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wija23\Downloads\"/>
    </mc:Choice>
  </mc:AlternateContent>
  <xr:revisionPtr revIDLastSave="0" documentId="13_ncr:1_{E62EB7EC-29BC-458D-BBB4-1F039ACA964E}" xr6:coauthVersionLast="47" xr6:coauthVersionMax="47" xr10:uidLastSave="{00000000-0000-0000-0000-000000000000}"/>
  <workbookProtection lockStructure="1"/>
  <bookViews>
    <workbookView xWindow="-120" yWindow="-120" windowWidth="29040" windowHeight="15720" tabRatio="667" firstSheet="2" activeTab="2" xr2:uid="{00000000-000D-0000-FFFF-FFFF00000000}"/>
  </bookViews>
  <sheets>
    <sheet name="START HÄR" sheetId="1" state="hidden" r:id="rId1"/>
    <sheet name="Publicering" sheetId="10" state="hidden" r:id="rId2"/>
    <sheet name="INFO" sheetId="12" r:id="rId3"/>
    <sheet name="CAFÉPASS" sheetId="2" r:id="rId4"/>
    <sheet name="MATCHER" sheetId="3" r:id="rId5"/>
    <sheet name="BEMANNINGSPLAN" sheetId="4" state="hidden" r:id="rId6"/>
    <sheet name="LAGÖVERSIKT" sheetId="5" state="hidden" r:id="rId7"/>
    <sheet name="UPPDATERINGSKONTROLL" sheetId="6" state="hidden" r:id="rId8"/>
    <sheet name="KLASSNING" sheetId="7" state="hidden" r:id="rId9"/>
    <sheet name="REGLER" sheetId="8" state="hidden" r:id="rId10"/>
    <sheet name="IMPORT PROFIXIO" sheetId="9" state="hidden" r:id="rId11"/>
    <sheet name="OM FILEN" sheetId="11"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05" i="5" l="1"/>
  <c r="Q506" i="5"/>
  <c r="Q507" i="5"/>
  <c r="Q508" i="5"/>
  <c r="Q509" i="5"/>
  <c r="Q510" i="5"/>
  <c r="Q511" i="5"/>
  <c r="X543" i="4"/>
  <c r="AC543" i="4" s="1"/>
  <c r="Y543" i="4"/>
  <c r="Z543" i="4"/>
  <c r="AD543" i="4"/>
  <c r="X544" i="4"/>
  <c r="AC544" i="4" s="1"/>
  <c r="Y544" i="4"/>
  <c r="Z544" i="4"/>
  <c r="AD544" i="4"/>
  <c r="X545" i="4"/>
  <c r="AC545" i="4" s="1"/>
  <c r="Y545" i="4"/>
  <c r="Z545" i="4"/>
  <c r="AD545" i="4"/>
  <c r="X546" i="4"/>
  <c r="Y546" i="4"/>
  <c r="Z546" i="4"/>
  <c r="AD546" i="4"/>
  <c r="M30" i="8"/>
  <c r="M29" i="8"/>
  <c r="M28" i="8"/>
  <c r="M27" i="8"/>
  <c r="M26" i="8"/>
  <c r="M25" i="8"/>
  <c r="M24" i="8"/>
  <c r="M23" i="8"/>
  <c r="M22" i="8"/>
  <c r="M21" i="8"/>
  <c r="M20" i="8"/>
  <c r="M19" i="8"/>
  <c r="M18" i="8"/>
  <c r="M17" i="8"/>
  <c r="M16" i="8"/>
  <c r="M15" i="8"/>
  <c r="M14" i="8"/>
  <c r="M13" i="8"/>
  <c r="M12" i="8"/>
  <c r="M11" i="8"/>
  <c r="M10" i="8"/>
  <c r="M9" i="8"/>
  <c r="M8" i="8"/>
  <c r="M7" i="8"/>
  <c r="M6" i="8"/>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F220" i="6"/>
  <c r="J220" i="6" s="1"/>
  <c r="F219" i="6"/>
  <c r="J219" i="6" s="1"/>
  <c r="F218" i="6"/>
  <c r="J218" i="6" s="1"/>
  <c r="F217" i="6"/>
  <c r="J217" i="6" s="1"/>
  <c r="J216" i="6"/>
  <c r="F216" i="6"/>
  <c r="J215" i="6"/>
  <c r="F215" i="6"/>
  <c r="F214" i="6"/>
  <c r="J214" i="6" s="1"/>
  <c r="F213" i="6"/>
  <c r="J213" i="6" s="1"/>
  <c r="J212" i="6"/>
  <c r="F212" i="6"/>
  <c r="J211" i="6"/>
  <c r="F211" i="6"/>
  <c r="J210" i="6"/>
  <c r="F210" i="6"/>
  <c r="J209" i="6"/>
  <c r="F209" i="6"/>
  <c r="F208" i="6"/>
  <c r="J208" i="6" s="1"/>
  <c r="F207" i="6"/>
  <c r="J207" i="6" s="1"/>
  <c r="F206" i="6"/>
  <c r="J206" i="6" s="1"/>
  <c r="F205" i="6"/>
  <c r="F204" i="6"/>
  <c r="F203" i="6"/>
  <c r="F202" i="6"/>
  <c r="F201" i="6"/>
  <c r="F200" i="6"/>
  <c r="F199" i="6"/>
  <c r="F198" i="6"/>
  <c r="F197" i="6"/>
  <c r="F196" i="6"/>
  <c r="F195" i="6"/>
  <c r="F194" i="6"/>
  <c r="J193" i="6"/>
  <c r="F193" i="6"/>
  <c r="F192" i="6"/>
  <c r="J192" i="6" s="1"/>
  <c r="F191" i="6"/>
  <c r="F190" i="6"/>
  <c r="F189" i="6"/>
  <c r="F188" i="6"/>
  <c r="F187" i="6"/>
  <c r="F186" i="6"/>
  <c r="F185" i="6"/>
  <c r="F184" i="6"/>
  <c r="F183" i="6"/>
  <c r="F182" i="6"/>
  <c r="F181" i="6"/>
  <c r="J180" i="6"/>
  <c r="F180" i="6"/>
  <c r="F179" i="6"/>
  <c r="J179" i="6" s="1"/>
  <c r="F178" i="6"/>
  <c r="F177" i="6"/>
  <c r="F176" i="6"/>
  <c r="J175" i="6"/>
  <c r="F175" i="6"/>
  <c r="J174" i="6"/>
  <c r="F174" i="6"/>
  <c r="F173" i="6"/>
  <c r="F172" i="6"/>
  <c r="J172" i="6" s="1"/>
  <c r="F171" i="6"/>
  <c r="J171" i="6" s="1"/>
  <c r="F170" i="6"/>
  <c r="F169" i="6"/>
  <c r="F168" i="6"/>
  <c r="F167" i="6"/>
  <c r="F166" i="6"/>
  <c r="F165" i="6"/>
  <c r="F164" i="6"/>
  <c r="F163" i="6"/>
  <c r="F162" i="6"/>
  <c r="J161" i="6"/>
  <c r="F161" i="6"/>
  <c r="F160" i="6"/>
  <c r="J160" i="6" s="1"/>
  <c r="F159" i="6"/>
  <c r="F158" i="6"/>
  <c r="F157" i="6"/>
  <c r="F156" i="6"/>
  <c r="F155" i="6"/>
  <c r="F154" i="6"/>
  <c r="F153" i="6"/>
  <c r="F152" i="6"/>
  <c r="F151" i="6"/>
  <c r="J150" i="6"/>
  <c r="F150" i="6"/>
  <c r="F149" i="6"/>
  <c r="J149" i="6" s="1"/>
  <c r="F148" i="6"/>
  <c r="F147" i="6"/>
  <c r="F146" i="6"/>
  <c r="F145" i="6"/>
  <c r="F144" i="6"/>
  <c r="F143" i="6"/>
  <c r="J142" i="6"/>
  <c r="F142" i="6"/>
  <c r="F141" i="6"/>
  <c r="F140" i="6"/>
  <c r="F139" i="6"/>
  <c r="F138" i="6"/>
  <c r="F137" i="6"/>
  <c r="F136" i="6"/>
  <c r="F135" i="6"/>
  <c r="F134" i="6"/>
  <c r="F133" i="6"/>
  <c r="F132" i="6"/>
  <c r="F131" i="6"/>
  <c r="F130" i="6"/>
  <c r="F129" i="6"/>
  <c r="F128" i="6"/>
  <c r="F127" i="6"/>
  <c r="F126" i="6"/>
  <c r="F125" i="6"/>
  <c r="F124" i="6"/>
  <c r="F123" i="6"/>
  <c r="J122" i="6"/>
  <c r="F122" i="6"/>
  <c r="J121" i="6"/>
  <c r="F121" i="6"/>
  <c r="F120" i="6"/>
  <c r="F119" i="6"/>
  <c r="F118" i="6"/>
  <c r="F117" i="6"/>
  <c r="F116" i="6"/>
  <c r="F115" i="6"/>
  <c r="F114" i="6"/>
  <c r="F113" i="6"/>
  <c r="F112" i="6"/>
  <c r="F111" i="6"/>
  <c r="J110" i="6"/>
  <c r="F110" i="6"/>
  <c r="F109" i="6"/>
  <c r="F108" i="6"/>
  <c r="F107" i="6"/>
  <c r="F106" i="6"/>
  <c r="F105" i="6"/>
  <c r="F104" i="6"/>
  <c r="F103" i="6"/>
  <c r="F102" i="6"/>
  <c r="F101" i="6"/>
  <c r="F100" i="6"/>
  <c r="F99" i="6"/>
  <c r="F98" i="6"/>
  <c r="F97" i="6"/>
  <c r="F96" i="6"/>
  <c r="F95" i="6"/>
  <c r="J95" i="6" s="1"/>
  <c r="F94" i="6"/>
  <c r="F93" i="6"/>
  <c r="F92" i="6"/>
  <c r="F91" i="6"/>
  <c r="F90" i="6"/>
  <c r="F89" i="6"/>
  <c r="F88" i="6"/>
  <c r="F87" i="6"/>
  <c r="F86" i="6"/>
  <c r="F85" i="6"/>
  <c r="F84" i="6"/>
  <c r="F83" i="6"/>
  <c r="J83" i="6" s="1"/>
  <c r="F82" i="6"/>
  <c r="J82" i="6" s="1"/>
  <c r="J81" i="6"/>
  <c r="F81" i="6"/>
  <c r="F80" i="6"/>
  <c r="F79" i="6"/>
  <c r="F78" i="6"/>
  <c r="F77" i="6"/>
  <c r="F76" i="6"/>
  <c r="F75" i="6"/>
  <c r="F74" i="6"/>
  <c r="F73" i="6"/>
  <c r="F72" i="6"/>
  <c r="F71" i="6"/>
  <c r="F70" i="6"/>
  <c r="F69" i="6"/>
  <c r="F68" i="6"/>
  <c r="F67" i="6"/>
  <c r="F66" i="6"/>
  <c r="F65" i="6"/>
  <c r="F64" i="6"/>
  <c r="F63" i="6"/>
  <c r="F62" i="6"/>
  <c r="F61" i="6"/>
  <c r="F60" i="6"/>
  <c r="F59" i="6"/>
  <c r="F58" i="6"/>
  <c r="J57" i="6"/>
  <c r="F57" i="6"/>
  <c r="F56" i="6"/>
  <c r="F55" i="6"/>
  <c r="F54" i="6"/>
  <c r="F53" i="6"/>
  <c r="F52" i="6"/>
  <c r="F51" i="6"/>
  <c r="F50" i="6"/>
  <c r="F49" i="6"/>
  <c r="F48" i="6"/>
  <c r="F47" i="6"/>
  <c r="F46" i="6"/>
  <c r="F45" i="6"/>
  <c r="F44" i="6"/>
  <c r="F43" i="6"/>
  <c r="F42" i="6"/>
  <c r="F41" i="6"/>
  <c r="F40" i="6"/>
  <c r="J39" i="6"/>
  <c r="F39" i="6"/>
  <c r="F38" i="6"/>
  <c r="F37" i="6"/>
  <c r="F36" i="6"/>
  <c r="F35" i="6"/>
  <c r="F34" i="6"/>
  <c r="F33" i="6"/>
  <c r="F32" i="6"/>
  <c r="F31" i="6"/>
  <c r="J30" i="6"/>
  <c r="F30" i="6"/>
  <c r="F29" i="6"/>
  <c r="F28" i="6"/>
  <c r="F27" i="6"/>
  <c r="F26" i="6"/>
  <c r="F25" i="6"/>
  <c r="F24" i="6"/>
  <c r="F23" i="6"/>
  <c r="F22" i="6"/>
  <c r="F21" i="6"/>
  <c r="F20" i="6"/>
  <c r="J19" i="6"/>
  <c r="F19" i="6"/>
  <c r="F18" i="6"/>
  <c r="F17" i="6"/>
  <c r="F16" i="6"/>
  <c r="F15" i="6"/>
  <c r="F14" i="6"/>
  <c r="F13" i="6"/>
  <c r="K29" i="5"/>
  <c r="J29" i="5"/>
  <c r="I29" i="5"/>
  <c r="H29" i="5"/>
  <c r="G29" i="5"/>
  <c r="B29" i="5"/>
  <c r="K28" i="5"/>
  <c r="J28" i="5"/>
  <c r="I28" i="5"/>
  <c r="H28" i="5"/>
  <c r="G28" i="5"/>
  <c r="B28" i="5"/>
  <c r="K27" i="5"/>
  <c r="J27" i="5"/>
  <c r="I27" i="5"/>
  <c r="H27" i="5"/>
  <c r="G27" i="5"/>
  <c r="B27" i="5"/>
  <c r="K26" i="5"/>
  <c r="J26" i="5"/>
  <c r="I26" i="5"/>
  <c r="H26" i="5"/>
  <c r="G26" i="5"/>
  <c r="B26" i="5"/>
  <c r="F25" i="5"/>
  <c r="E25" i="5"/>
  <c r="D25" i="5"/>
  <c r="A25" i="5"/>
  <c r="M25" i="5" s="1"/>
  <c r="L24" i="5"/>
  <c r="F24" i="5"/>
  <c r="E24" i="5"/>
  <c r="D24" i="5"/>
  <c r="A24" i="5"/>
  <c r="M24" i="5" s="1"/>
  <c r="F23" i="5"/>
  <c r="E23" i="5"/>
  <c r="A23" i="5"/>
  <c r="M23" i="5" s="1"/>
  <c r="D22" i="5"/>
  <c r="A22" i="5"/>
  <c r="M22" i="5" s="1"/>
  <c r="A21" i="5"/>
  <c r="F20" i="5"/>
  <c r="E20" i="5"/>
  <c r="D20" i="5"/>
  <c r="A20" i="5"/>
  <c r="M20" i="5" s="1"/>
  <c r="F19" i="5"/>
  <c r="E19" i="5"/>
  <c r="D19" i="5"/>
  <c r="A19" i="5"/>
  <c r="M19" i="5" s="1"/>
  <c r="A18" i="5"/>
  <c r="M17" i="5"/>
  <c r="F17" i="5"/>
  <c r="E17" i="5"/>
  <c r="D17" i="5"/>
  <c r="A17" i="5"/>
  <c r="L17" i="5" s="1"/>
  <c r="A16" i="5"/>
  <c r="A15" i="5"/>
  <c r="A14" i="5"/>
  <c r="A13" i="5"/>
  <c r="A12" i="5"/>
  <c r="A11" i="5"/>
  <c r="A10" i="5"/>
  <c r="A9" i="5"/>
  <c r="A8" i="5"/>
  <c r="A7" i="5"/>
  <c r="A6" i="5"/>
  <c r="A5" i="5"/>
  <c r="U546" i="4"/>
  <c r="AB546" i="4" s="1"/>
  <c r="M546" i="4"/>
  <c r="U545" i="4"/>
  <c r="O547" i="2" s="1"/>
  <c r="M545" i="4"/>
  <c r="U544" i="4"/>
  <c r="AB544" i="4" s="1"/>
  <c r="M544" i="4"/>
  <c r="U543" i="4"/>
  <c r="O545" i="2" s="1"/>
  <c r="M543" i="4"/>
  <c r="AD542" i="4"/>
  <c r="Z542" i="4"/>
  <c r="Y542" i="4"/>
  <c r="X542" i="4"/>
  <c r="AC542" i="4" s="1"/>
  <c r="U542" i="4"/>
  <c r="O544" i="2" s="1"/>
  <c r="M542" i="4"/>
  <c r="AD541" i="4"/>
  <c r="Z541" i="4"/>
  <c r="Y541" i="4"/>
  <c r="X541" i="4"/>
  <c r="AC541" i="4" s="1"/>
  <c r="U541" i="4"/>
  <c r="AE541" i="4" s="1"/>
  <c r="M541" i="4"/>
  <c r="AD540" i="4"/>
  <c r="Z540" i="4"/>
  <c r="Y540" i="4"/>
  <c r="X540" i="4"/>
  <c r="AC540" i="4" s="1"/>
  <c r="U540" i="4"/>
  <c r="AD539" i="4"/>
  <c r="Z539" i="4"/>
  <c r="Y539" i="4"/>
  <c r="X539" i="4"/>
  <c r="U539" i="4"/>
  <c r="O541" i="2" s="1"/>
  <c r="M539" i="4"/>
  <c r="AD538" i="4"/>
  <c r="Z538" i="4"/>
  <c r="Y538" i="4"/>
  <c r="X538" i="4"/>
  <c r="AC538" i="4" s="1"/>
  <c r="U538" i="4"/>
  <c r="O540" i="2" s="1"/>
  <c r="M538" i="4"/>
  <c r="AD537" i="4"/>
  <c r="Z537" i="4"/>
  <c r="Y537" i="4"/>
  <c r="X537" i="4"/>
  <c r="AC537" i="4" s="1"/>
  <c r="U537" i="4"/>
  <c r="AE537" i="4" s="1"/>
  <c r="M537" i="4"/>
  <c r="AD536" i="4"/>
  <c r="Z536" i="4"/>
  <c r="Y536" i="4"/>
  <c r="X536" i="4"/>
  <c r="AC536" i="4" s="1"/>
  <c r="U536" i="4"/>
  <c r="O538" i="2" s="1"/>
  <c r="M536" i="4"/>
  <c r="AD535" i="4"/>
  <c r="Z535" i="4"/>
  <c r="Y535" i="4"/>
  <c r="X535" i="4"/>
  <c r="AC535" i="4" s="1"/>
  <c r="U535" i="4"/>
  <c r="AE535" i="4" s="1"/>
  <c r="M535" i="4"/>
  <c r="AD534" i="4"/>
  <c r="Z534" i="4"/>
  <c r="Y534" i="4"/>
  <c r="X534" i="4"/>
  <c r="AC534" i="4" s="1"/>
  <c r="U534" i="4"/>
  <c r="M534" i="4"/>
  <c r="AD533" i="4"/>
  <c r="Z533" i="4"/>
  <c r="Y533" i="4"/>
  <c r="X533" i="4"/>
  <c r="AC533" i="4" s="1"/>
  <c r="U533" i="4"/>
  <c r="V533" i="4" s="1"/>
  <c r="W533" i="4" s="1"/>
  <c r="AD532" i="4"/>
  <c r="Z532" i="4"/>
  <c r="Y532" i="4"/>
  <c r="X532" i="4"/>
  <c r="U532" i="4"/>
  <c r="AB532" i="4" s="1"/>
  <c r="M532" i="4"/>
  <c r="AD531" i="4"/>
  <c r="Z531" i="4"/>
  <c r="Y531" i="4"/>
  <c r="X531" i="4"/>
  <c r="AC531" i="4" s="1"/>
  <c r="U531" i="4"/>
  <c r="O533" i="2" s="1"/>
  <c r="M531" i="4"/>
  <c r="AD530" i="4"/>
  <c r="Z530" i="4"/>
  <c r="Y530" i="4"/>
  <c r="X530" i="4"/>
  <c r="AC530" i="4" s="1"/>
  <c r="U530" i="4"/>
  <c r="AE530" i="4" s="1"/>
  <c r="M530" i="4"/>
  <c r="AD529" i="4"/>
  <c r="Z529" i="4"/>
  <c r="Y529" i="4"/>
  <c r="X529" i="4"/>
  <c r="AC529" i="4" s="1"/>
  <c r="U529" i="4"/>
  <c r="AD528" i="4"/>
  <c r="Z528" i="4"/>
  <c r="Y528" i="4"/>
  <c r="X528" i="4"/>
  <c r="U528" i="4"/>
  <c r="O530" i="2" s="1"/>
  <c r="M528" i="4"/>
  <c r="AD527" i="4"/>
  <c r="Z527" i="4"/>
  <c r="Y527" i="4"/>
  <c r="X527" i="4"/>
  <c r="AC527" i="4" s="1"/>
  <c r="U527" i="4"/>
  <c r="O529" i="2" s="1"/>
  <c r="M527" i="4"/>
  <c r="AD526" i="4"/>
  <c r="Z526" i="4"/>
  <c r="Y526" i="4"/>
  <c r="X526" i="4"/>
  <c r="AC526" i="4" s="1"/>
  <c r="U526" i="4"/>
  <c r="M526" i="4"/>
  <c r="AD525" i="4"/>
  <c r="Z525" i="4"/>
  <c r="Y525" i="4"/>
  <c r="X525" i="4"/>
  <c r="AC525" i="4" s="1"/>
  <c r="U525" i="4"/>
  <c r="M525" i="4"/>
  <c r="AD524" i="4"/>
  <c r="Z524" i="4"/>
  <c r="Y524" i="4"/>
  <c r="X524" i="4"/>
  <c r="U524" i="4"/>
  <c r="M524" i="4"/>
  <c r="AD523" i="4"/>
  <c r="Z523" i="4"/>
  <c r="Y523" i="4"/>
  <c r="X523" i="4"/>
  <c r="AC523" i="4" s="1"/>
  <c r="U523" i="4"/>
  <c r="AE523" i="4" s="1"/>
  <c r="M523" i="4"/>
  <c r="AD522" i="4"/>
  <c r="Z522" i="4"/>
  <c r="Y522" i="4"/>
  <c r="X522" i="4"/>
  <c r="AC522" i="4" s="1"/>
  <c r="U522" i="4"/>
  <c r="O524" i="2" s="1"/>
  <c r="M522" i="4"/>
  <c r="AD521" i="4"/>
  <c r="Z521" i="4"/>
  <c r="Y521" i="4"/>
  <c r="X521" i="4"/>
  <c r="AC521" i="4" s="1"/>
  <c r="U521" i="4"/>
  <c r="AE521" i="4" s="1"/>
  <c r="M521" i="4"/>
  <c r="AD520" i="4"/>
  <c r="Z520" i="4"/>
  <c r="Y520" i="4"/>
  <c r="X520" i="4"/>
  <c r="AC520" i="4" s="1"/>
  <c r="U520" i="4"/>
  <c r="M520" i="4"/>
  <c r="AD519" i="4"/>
  <c r="Z519" i="4"/>
  <c r="Y519" i="4"/>
  <c r="X519" i="4"/>
  <c r="U519" i="4"/>
  <c r="M519" i="4"/>
  <c r="AD518" i="4"/>
  <c r="Z518" i="4"/>
  <c r="Y518" i="4"/>
  <c r="X518" i="4"/>
  <c r="U518" i="4"/>
  <c r="M518" i="4"/>
  <c r="AD517" i="4"/>
  <c r="Z517" i="4"/>
  <c r="Y517" i="4"/>
  <c r="X517" i="4"/>
  <c r="U517" i="4"/>
  <c r="M517" i="4"/>
  <c r="AD516" i="4"/>
  <c r="Z516" i="4"/>
  <c r="Y516" i="4"/>
  <c r="X516" i="4"/>
  <c r="U516" i="4"/>
  <c r="M516" i="4"/>
  <c r="AD515" i="4"/>
  <c r="Z515" i="4"/>
  <c r="Y515" i="4"/>
  <c r="X515" i="4"/>
  <c r="U515" i="4"/>
  <c r="M515" i="4"/>
  <c r="AD514" i="4"/>
  <c r="Z514" i="4"/>
  <c r="Y514" i="4"/>
  <c r="X514" i="4"/>
  <c r="U514" i="4"/>
  <c r="M514" i="4"/>
  <c r="AD513" i="4"/>
  <c r="Z513" i="4"/>
  <c r="Y513" i="4"/>
  <c r="X513" i="4"/>
  <c r="U513" i="4"/>
  <c r="M513" i="4"/>
  <c r="AD512" i="4"/>
  <c r="Z512" i="4"/>
  <c r="Y512" i="4"/>
  <c r="X512" i="4"/>
  <c r="U512" i="4"/>
  <c r="M512" i="4"/>
  <c r="AD511" i="4"/>
  <c r="Z511" i="4"/>
  <c r="Y511" i="4"/>
  <c r="X511" i="4"/>
  <c r="U511" i="4"/>
  <c r="AD510" i="4"/>
  <c r="Z510" i="4"/>
  <c r="Y510" i="4"/>
  <c r="X510" i="4"/>
  <c r="U510" i="4"/>
  <c r="O512" i="2" s="1"/>
  <c r="M510" i="4"/>
  <c r="AD509" i="4"/>
  <c r="Z509" i="4"/>
  <c r="Y509" i="4"/>
  <c r="X509" i="4"/>
  <c r="AC509" i="4" s="1"/>
  <c r="U509" i="4"/>
  <c r="O511" i="2" s="1"/>
  <c r="M509" i="4"/>
  <c r="AD508" i="4"/>
  <c r="Z508" i="4"/>
  <c r="Y508" i="4"/>
  <c r="X508" i="4"/>
  <c r="AC508" i="4" s="1"/>
  <c r="U508" i="4"/>
  <c r="O510" i="2" s="1"/>
  <c r="M508" i="4"/>
  <c r="AD507" i="4"/>
  <c r="Z507" i="4"/>
  <c r="Y507" i="4"/>
  <c r="X507" i="4"/>
  <c r="AC507" i="4" s="1"/>
  <c r="U507" i="4"/>
  <c r="AE507" i="4" s="1"/>
  <c r="M507" i="4"/>
  <c r="AD506" i="4"/>
  <c r="Z506" i="4"/>
  <c r="Y506" i="4"/>
  <c r="X506" i="4"/>
  <c r="AC506" i="4" s="1"/>
  <c r="U506" i="4"/>
  <c r="O508" i="2" s="1"/>
  <c r="M506" i="4"/>
  <c r="AD505" i="4"/>
  <c r="Z505" i="4"/>
  <c r="Y505" i="4"/>
  <c r="X505" i="4"/>
  <c r="AC505" i="4" s="1"/>
  <c r="U505" i="4"/>
  <c r="O507" i="2" s="1"/>
  <c r="M505" i="4"/>
  <c r="AD504" i="4"/>
  <c r="Z504" i="4"/>
  <c r="Y504" i="4"/>
  <c r="X504" i="4"/>
  <c r="AC504" i="4" s="1"/>
  <c r="U504" i="4"/>
  <c r="AB504" i="4" s="1"/>
  <c r="M504" i="4"/>
  <c r="AD503" i="4"/>
  <c r="Z503" i="4"/>
  <c r="Y503" i="4"/>
  <c r="X503" i="4"/>
  <c r="AC503" i="4" s="1"/>
  <c r="U503" i="4"/>
  <c r="AD502" i="4"/>
  <c r="Z502" i="4"/>
  <c r="Y502" i="4"/>
  <c r="X502" i="4"/>
  <c r="U502" i="4"/>
  <c r="O504" i="2" s="1"/>
  <c r="M502" i="4"/>
  <c r="AD501" i="4"/>
  <c r="Z501" i="4"/>
  <c r="Y501" i="4"/>
  <c r="X501" i="4"/>
  <c r="AC501" i="4" s="1"/>
  <c r="U501" i="4"/>
  <c r="M501" i="4"/>
  <c r="AD500" i="4"/>
  <c r="Z500" i="4"/>
  <c r="Y500" i="4"/>
  <c r="X500" i="4"/>
  <c r="AC500" i="4" s="1"/>
  <c r="U500" i="4"/>
  <c r="M500" i="4"/>
  <c r="AD499" i="4"/>
  <c r="Z499" i="4"/>
  <c r="Y499" i="4"/>
  <c r="X499" i="4"/>
  <c r="AC499" i="4" s="1"/>
  <c r="V499" i="4"/>
  <c r="W499" i="4" s="1"/>
  <c r="U499" i="4"/>
  <c r="AE499" i="4" s="1"/>
  <c r="N499" i="4"/>
  <c r="M499" i="4"/>
  <c r="AD498" i="4"/>
  <c r="Z498" i="4"/>
  <c r="Y498" i="4"/>
  <c r="X498" i="4"/>
  <c r="AC498" i="4" s="1"/>
  <c r="V498" i="4"/>
  <c r="W498" i="4" s="1"/>
  <c r="U498" i="4"/>
  <c r="O500" i="2" s="1"/>
  <c r="N498" i="4"/>
  <c r="AD497" i="4"/>
  <c r="Z497" i="4"/>
  <c r="Y497" i="4"/>
  <c r="X497" i="4"/>
  <c r="U497" i="4"/>
  <c r="M497" i="4"/>
  <c r="AD496" i="4"/>
  <c r="Z496" i="4"/>
  <c r="Y496" i="4"/>
  <c r="X496" i="4"/>
  <c r="U496" i="4"/>
  <c r="M496" i="4"/>
  <c r="AD495" i="4"/>
  <c r="Z495" i="4"/>
  <c r="Y495" i="4"/>
  <c r="X495" i="4"/>
  <c r="U495" i="4"/>
  <c r="M495" i="4"/>
  <c r="AD494" i="4"/>
  <c r="Z494" i="4"/>
  <c r="Y494" i="4"/>
  <c r="X494" i="4"/>
  <c r="U494" i="4"/>
  <c r="M494" i="4"/>
  <c r="AD493" i="4"/>
  <c r="Z493" i="4"/>
  <c r="Y493" i="4"/>
  <c r="X493" i="4"/>
  <c r="U493" i="4"/>
  <c r="M493" i="4"/>
  <c r="AD492" i="4"/>
  <c r="Z492" i="4"/>
  <c r="Y492" i="4"/>
  <c r="X492" i="4"/>
  <c r="U492" i="4"/>
  <c r="M492" i="4"/>
  <c r="AD491" i="4"/>
  <c r="Z491" i="4"/>
  <c r="Y491" i="4"/>
  <c r="X491" i="4"/>
  <c r="U491" i="4"/>
  <c r="M491" i="4"/>
  <c r="AD490" i="4"/>
  <c r="Z490" i="4"/>
  <c r="Y490" i="4"/>
  <c r="X490" i="4"/>
  <c r="U490" i="4"/>
  <c r="M490" i="4"/>
  <c r="AD489" i="4"/>
  <c r="Z489" i="4"/>
  <c r="Y489" i="4"/>
  <c r="X489" i="4"/>
  <c r="U489" i="4"/>
  <c r="AB489" i="4" s="1"/>
  <c r="M489" i="4"/>
  <c r="AD488" i="4"/>
  <c r="Z488" i="4"/>
  <c r="Y488" i="4"/>
  <c r="X488" i="4"/>
  <c r="AC488" i="4" s="1"/>
  <c r="U488" i="4"/>
  <c r="AE488" i="4" s="1"/>
  <c r="M488" i="4"/>
  <c r="AD487" i="4"/>
  <c r="Z487" i="4"/>
  <c r="Y487" i="4"/>
  <c r="X487" i="4"/>
  <c r="AC487" i="4" s="1"/>
  <c r="U487" i="4"/>
  <c r="AB487" i="4" s="1"/>
  <c r="M487" i="4"/>
  <c r="AD486" i="4"/>
  <c r="Z486" i="4"/>
  <c r="Y486" i="4"/>
  <c r="X486" i="4"/>
  <c r="AC486" i="4" s="1"/>
  <c r="U486" i="4"/>
  <c r="AE486" i="4" s="1"/>
  <c r="M486" i="4"/>
  <c r="AD485" i="4"/>
  <c r="Z485" i="4"/>
  <c r="Y485" i="4"/>
  <c r="X485" i="4"/>
  <c r="AC485" i="4" s="1"/>
  <c r="U485" i="4"/>
  <c r="AE485" i="4" s="1"/>
  <c r="M485" i="4"/>
  <c r="AD484" i="4"/>
  <c r="Z484" i="4"/>
  <c r="Y484" i="4"/>
  <c r="X484" i="4"/>
  <c r="AC484" i="4" s="1"/>
  <c r="U484" i="4"/>
  <c r="AE484" i="4" s="1"/>
  <c r="M484" i="4"/>
  <c r="AD483" i="4"/>
  <c r="Z483" i="4"/>
  <c r="Y483" i="4"/>
  <c r="X483" i="4"/>
  <c r="AC483" i="4" s="1"/>
  <c r="U483" i="4"/>
  <c r="AE483" i="4" s="1"/>
  <c r="M483" i="4"/>
  <c r="AD482" i="4"/>
  <c r="Z482" i="4"/>
  <c r="Y482" i="4"/>
  <c r="X482" i="4"/>
  <c r="AC482" i="4" s="1"/>
  <c r="U482" i="4"/>
  <c r="V482" i="4" s="1"/>
  <c r="W482" i="4" s="1"/>
  <c r="AD481" i="4"/>
  <c r="Z481" i="4"/>
  <c r="Y481" i="4"/>
  <c r="X481" i="4"/>
  <c r="U481" i="4"/>
  <c r="AB481" i="4" s="1"/>
  <c r="M481" i="4"/>
  <c r="AD480" i="4"/>
  <c r="Z480" i="4"/>
  <c r="Y480" i="4"/>
  <c r="X480" i="4"/>
  <c r="AC480" i="4" s="1"/>
  <c r="U480" i="4"/>
  <c r="O482" i="2" s="1"/>
  <c r="M480" i="4"/>
  <c r="AD479" i="4"/>
  <c r="Z479" i="4"/>
  <c r="Y479" i="4"/>
  <c r="X479" i="4"/>
  <c r="AC479" i="4" s="1"/>
  <c r="U479" i="4"/>
  <c r="O481" i="2" s="1"/>
  <c r="M479" i="4"/>
  <c r="AD478" i="4"/>
  <c r="Z478" i="4"/>
  <c r="Y478" i="4"/>
  <c r="X478" i="4"/>
  <c r="AC478" i="4" s="1"/>
  <c r="U478" i="4"/>
  <c r="AB478" i="4" s="1"/>
  <c r="M478" i="4"/>
  <c r="AD477" i="4"/>
  <c r="Z477" i="4"/>
  <c r="Y477" i="4"/>
  <c r="X477" i="4"/>
  <c r="AC477" i="4" s="1"/>
  <c r="U477" i="4"/>
  <c r="O479" i="2" s="1"/>
  <c r="M477" i="4"/>
  <c r="AD476" i="4"/>
  <c r="Z476" i="4"/>
  <c r="Y476" i="4"/>
  <c r="X476" i="4"/>
  <c r="AC476" i="4" s="1"/>
  <c r="U476" i="4"/>
  <c r="AE476" i="4" s="1"/>
  <c r="M476" i="4"/>
  <c r="AD475" i="4"/>
  <c r="Z475" i="4"/>
  <c r="Y475" i="4"/>
  <c r="X475" i="4"/>
  <c r="AC475" i="4" s="1"/>
  <c r="U475" i="4"/>
  <c r="M475" i="4"/>
  <c r="AD474" i="4"/>
  <c r="Z474" i="4"/>
  <c r="Y474" i="4"/>
  <c r="X474" i="4"/>
  <c r="U474" i="4"/>
  <c r="AE474" i="4" s="1"/>
  <c r="M474" i="4"/>
  <c r="AD473" i="4"/>
  <c r="Z473" i="4"/>
  <c r="Y473" i="4"/>
  <c r="X473" i="4"/>
  <c r="AC473" i="4" s="1"/>
  <c r="U473" i="4"/>
  <c r="AE473" i="4" s="1"/>
  <c r="M473" i="4"/>
  <c r="AD472" i="4"/>
  <c r="Z472" i="4"/>
  <c r="Y472" i="4"/>
  <c r="X472" i="4"/>
  <c r="AC472" i="4" s="1"/>
  <c r="U472" i="4"/>
  <c r="M472" i="4"/>
  <c r="AD471" i="4"/>
  <c r="Z471" i="4"/>
  <c r="Y471" i="4"/>
  <c r="X471" i="4"/>
  <c r="AC471" i="4" s="1"/>
  <c r="U471" i="4"/>
  <c r="AE471" i="4" s="1"/>
  <c r="M471" i="4"/>
  <c r="AD470" i="4"/>
  <c r="Z470" i="4"/>
  <c r="Y470" i="4"/>
  <c r="X470" i="4"/>
  <c r="AC470" i="4" s="1"/>
  <c r="U470" i="4"/>
  <c r="M470" i="4"/>
  <c r="AD469" i="4"/>
  <c r="Z469" i="4"/>
  <c r="Y469" i="4"/>
  <c r="X469" i="4"/>
  <c r="AC469" i="4" s="1"/>
  <c r="U469" i="4"/>
  <c r="AE469" i="4" s="1"/>
  <c r="M469" i="4"/>
  <c r="AD468" i="4"/>
  <c r="Z468" i="4"/>
  <c r="Y468" i="4"/>
  <c r="X468" i="4"/>
  <c r="AC468" i="4" s="1"/>
  <c r="U468" i="4"/>
  <c r="AD467" i="4"/>
  <c r="Z467" i="4"/>
  <c r="Y467" i="4"/>
  <c r="X467" i="4"/>
  <c r="U467" i="4"/>
  <c r="AE467" i="4" s="1"/>
  <c r="M467" i="4"/>
  <c r="AD466" i="4"/>
  <c r="Z466" i="4"/>
  <c r="Y466" i="4"/>
  <c r="X466" i="4"/>
  <c r="AC466" i="4" s="1"/>
  <c r="U466" i="4"/>
  <c r="M466" i="4"/>
  <c r="AD465" i="4"/>
  <c r="Z465" i="4"/>
  <c r="Y465" i="4"/>
  <c r="X465" i="4"/>
  <c r="AC465" i="4" s="1"/>
  <c r="U465" i="4"/>
  <c r="AB465" i="4" s="1"/>
  <c r="M465" i="4"/>
  <c r="AD464" i="4"/>
  <c r="Z464" i="4"/>
  <c r="Y464" i="4"/>
  <c r="X464" i="4"/>
  <c r="AC464" i="4" s="1"/>
  <c r="U464" i="4"/>
  <c r="AD463" i="4"/>
  <c r="Z463" i="4"/>
  <c r="Y463" i="4"/>
  <c r="X463" i="4"/>
  <c r="AC463" i="4" s="1"/>
  <c r="V463" i="4"/>
  <c r="W463" i="4" s="1"/>
  <c r="U463" i="4"/>
  <c r="O465" i="2" s="1"/>
  <c r="N463" i="4"/>
  <c r="M463" i="4"/>
  <c r="AD462" i="4"/>
  <c r="Z462" i="4"/>
  <c r="Y462" i="4"/>
  <c r="X462" i="4"/>
  <c r="AC462" i="4" s="1"/>
  <c r="V462" i="4"/>
  <c r="W462" i="4" s="1"/>
  <c r="U462" i="4"/>
  <c r="AB462" i="4" s="1"/>
  <c r="N462" i="4"/>
  <c r="M462" i="4"/>
  <c r="AD461" i="4"/>
  <c r="Z461" i="4"/>
  <c r="Y461" i="4"/>
  <c r="X461" i="4"/>
  <c r="AC461" i="4" s="1"/>
  <c r="V461" i="4"/>
  <c r="W461" i="4" s="1"/>
  <c r="U461" i="4"/>
  <c r="AE461" i="4" s="1"/>
  <c r="N461" i="4"/>
  <c r="M461" i="4"/>
  <c r="AD460" i="4"/>
  <c r="Z460" i="4"/>
  <c r="Y460" i="4"/>
  <c r="X460" i="4"/>
  <c r="AC460" i="4" s="1"/>
  <c r="V460" i="4"/>
  <c r="W460" i="4" s="1"/>
  <c r="U460" i="4"/>
  <c r="O462" i="2" s="1"/>
  <c r="N460" i="4"/>
  <c r="M460" i="4"/>
  <c r="AD459" i="4"/>
  <c r="Z459" i="4"/>
  <c r="Y459" i="4"/>
  <c r="X459" i="4"/>
  <c r="AC459" i="4" s="1"/>
  <c r="V459" i="4"/>
  <c r="W459" i="4" s="1"/>
  <c r="U459" i="4"/>
  <c r="AB459" i="4" s="1"/>
  <c r="N459" i="4"/>
  <c r="AD458" i="4"/>
  <c r="Z458" i="4"/>
  <c r="Y458" i="4"/>
  <c r="X458" i="4"/>
  <c r="AC458" i="4" s="1"/>
  <c r="V458" i="4"/>
  <c r="W458" i="4" s="1"/>
  <c r="U458" i="4"/>
  <c r="O460" i="2" s="1"/>
  <c r="N458" i="4"/>
  <c r="M458" i="4"/>
  <c r="AD457" i="4"/>
  <c r="Z457" i="4"/>
  <c r="Y457" i="4"/>
  <c r="X457" i="4"/>
  <c r="AC457" i="4" s="1"/>
  <c r="V457" i="4"/>
  <c r="W457" i="4" s="1"/>
  <c r="U457" i="4"/>
  <c r="AE457" i="4" s="1"/>
  <c r="N457" i="4"/>
  <c r="M457" i="4"/>
  <c r="AD456" i="4"/>
  <c r="Z456" i="4"/>
  <c r="Y456" i="4"/>
  <c r="X456" i="4"/>
  <c r="AC456" i="4" s="1"/>
  <c r="V456" i="4"/>
  <c r="W456" i="4" s="1"/>
  <c r="U456" i="4"/>
  <c r="AE456" i="4" s="1"/>
  <c r="N456" i="4"/>
  <c r="M456" i="4"/>
  <c r="AD455" i="4"/>
  <c r="Z455" i="4"/>
  <c r="Y455" i="4"/>
  <c r="X455" i="4"/>
  <c r="AC455" i="4" s="1"/>
  <c r="V455" i="4"/>
  <c r="W455" i="4" s="1"/>
  <c r="U455" i="4"/>
  <c r="O457" i="2" s="1"/>
  <c r="N455" i="4"/>
  <c r="M455" i="4"/>
  <c r="AD454" i="4"/>
  <c r="Z454" i="4"/>
  <c r="Y454" i="4"/>
  <c r="X454" i="4"/>
  <c r="AC454" i="4" s="1"/>
  <c r="V454" i="4"/>
  <c r="W454" i="4" s="1"/>
  <c r="U454" i="4"/>
  <c r="AE454" i="4" s="1"/>
  <c r="N454" i="4"/>
  <c r="AD453" i="4"/>
  <c r="Z453" i="4"/>
  <c r="Y453" i="4"/>
  <c r="X453" i="4"/>
  <c r="U453" i="4"/>
  <c r="AE453" i="4" s="1"/>
  <c r="M453" i="4"/>
  <c r="AD452" i="4"/>
  <c r="Z452" i="4"/>
  <c r="Y452" i="4"/>
  <c r="X452" i="4"/>
  <c r="AC452" i="4" s="1"/>
  <c r="U452" i="4"/>
  <c r="AE452" i="4" s="1"/>
  <c r="M452" i="4"/>
  <c r="AD451" i="4"/>
  <c r="Z451" i="4"/>
  <c r="Y451" i="4"/>
  <c r="X451" i="4"/>
  <c r="AC451" i="4" s="1"/>
  <c r="U451" i="4"/>
  <c r="AB451" i="4" s="1"/>
  <c r="M451" i="4"/>
  <c r="AD450" i="4"/>
  <c r="Z450" i="4"/>
  <c r="Y450" i="4"/>
  <c r="X450" i="4"/>
  <c r="AC450" i="4" s="1"/>
  <c r="U450" i="4"/>
  <c r="M450" i="4"/>
  <c r="AD449" i="4"/>
  <c r="Z449" i="4"/>
  <c r="Y449" i="4"/>
  <c r="X449" i="4"/>
  <c r="U449" i="4"/>
  <c r="M449" i="4"/>
  <c r="AD448" i="4"/>
  <c r="Z448" i="4"/>
  <c r="Y448" i="4"/>
  <c r="X448" i="4"/>
  <c r="U448" i="4"/>
  <c r="M448" i="4"/>
  <c r="AD447" i="4"/>
  <c r="Z447" i="4"/>
  <c r="Y447" i="4"/>
  <c r="X447" i="4"/>
  <c r="U447" i="4"/>
  <c r="M447" i="4"/>
  <c r="AD446" i="4"/>
  <c r="Z446" i="4"/>
  <c r="Y446" i="4"/>
  <c r="X446" i="4"/>
  <c r="U446" i="4"/>
  <c r="M446" i="4"/>
  <c r="AD445" i="4"/>
  <c r="Z445" i="4"/>
  <c r="Y445" i="4"/>
  <c r="X445" i="4"/>
  <c r="U445" i="4"/>
  <c r="M445" i="4"/>
  <c r="AD444" i="4"/>
  <c r="Z444" i="4"/>
  <c r="Y444" i="4"/>
  <c r="X444" i="4"/>
  <c r="U444" i="4"/>
  <c r="M444" i="4"/>
  <c r="AD443" i="4"/>
  <c r="Z443" i="4"/>
  <c r="Y443" i="4"/>
  <c r="X443" i="4"/>
  <c r="U443" i="4"/>
  <c r="M443" i="4"/>
  <c r="AD442" i="4"/>
  <c r="Z442" i="4"/>
  <c r="Y442" i="4"/>
  <c r="X442" i="4"/>
  <c r="U442" i="4"/>
  <c r="M442" i="4"/>
  <c r="AD441" i="4"/>
  <c r="Z441" i="4"/>
  <c r="Y441" i="4"/>
  <c r="X441" i="4"/>
  <c r="U441" i="4"/>
  <c r="V441" i="4" s="1"/>
  <c r="W441" i="4" s="1"/>
  <c r="AD440" i="4"/>
  <c r="Z440" i="4"/>
  <c r="Y440" i="4"/>
  <c r="X440" i="4"/>
  <c r="U440" i="4"/>
  <c r="M440" i="4"/>
  <c r="AD439" i="4"/>
  <c r="Z439" i="4"/>
  <c r="Y439" i="4"/>
  <c r="X439" i="4"/>
  <c r="AC439" i="4" s="1"/>
  <c r="U439" i="4"/>
  <c r="AE439" i="4" s="1"/>
  <c r="M439" i="4"/>
  <c r="AD438" i="4"/>
  <c r="Z438" i="4"/>
  <c r="Y438" i="4"/>
  <c r="X438" i="4"/>
  <c r="AC438" i="4" s="1"/>
  <c r="U438" i="4"/>
  <c r="O440" i="2" s="1"/>
  <c r="M438" i="4"/>
  <c r="AD437" i="4"/>
  <c r="Z437" i="4"/>
  <c r="Y437" i="4"/>
  <c r="X437" i="4"/>
  <c r="AC437" i="4" s="1"/>
  <c r="U437" i="4"/>
  <c r="AD436" i="4"/>
  <c r="Z436" i="4"/>
  <c r="Y436" i="4"/>
  <c r="X436" i="4"/>
  <c r="U436" i="4"/>
  <c r="AE436" i="4" s="1"/>
  <c r="M436" i="4"/>
  <c r="AD435" i="4"/>
  <c r="Z435" i="4"/>
  <c r="Y435" i="4"/>
  <c r="X435" i="4"/>
  <c r="AC435" i="4" s="1"/>
  <c r="U435" i="4"/>
  <c r="O437" i="2" s="1"/>
  <c r="M435" i="4"/>
  <c r="AD434" i="4"/>
  <c r="Z434" i="4"/>
  <c r="Y434" i="4"/>
  <c r="X434" i="4"/>
  <c r="AC434" i="4" s="1"/>
  <c r="U434" i="4"/>
  <c r="AE434" i="4" s="1"/>
  <c r="M434" i="4"/>
  <c r="AD433" i="4"/>
  <c r="Z433" i="4"/>
  <c r="Y433" i="4"/>
  <c r="X433" i="4"/>
  <c r="AC433" i="4" s="1"/>
  <c r="U433" i="4"/>
  <c r="M433" i="4"/>
  <c r="AD432" i="4"/>
  <c r="Z432" i="4"/>
  <c r="Y432" i="4"/>
  <c r="X432" i="4"/>
  <c r="U432" i="4"/>
  <c r="AB432" i="4" s="1"/>
  <c r="M432" i="4"/>
  <c r="AD431" i="4"/>
  <c r="Z431" i="4"/>
  <c r="Y431" i="4"/>
  <c r="X431" i="4"/>
  <c r="AC431" i="4" s="1"/>
  <c r="U431" i="4"/>
  <c r="AE431" i="4" s="1"/>
  <c r="M431" i="4"/>
  <c r="AD430" i="4"/>
  <c r="Z430" i="4"/>
  <c r="Y430" i="4"/>
  <c r="X430" i="4"/>
  <c r="AC430" i="4" s="1"/>
  <c r="U430" i="4"/>
  <c r="AB430" i="4" s="1"/>
  <c r="M430" i="4"/>
  <c r="AD429" i="4"/>
  <c r="Z429" i="4"/>
  <c r="Y429" i="4"/>
  <c r="X429" i="4"/>
  <c r="AC429" i="4" s="1"/>
  <c r="U429" i="4"/>
  <c r="AE429" i="4" s="1"/>
  <c r="M429" i="4"/>
  <c r="AD428" i="4"/>
  <c r="Z428" i="4"/>
  <c r="Y428" i="4"/>
  <c r="X428" i="4"/>
  <c r="AC428" i="4" s="1"/>
  <c r="U428" i="4"/>
  <c r="O430" i="2" s="1"/>
  <c r="M428" i="4"/>
  <c r="AD427" i="4"/>
  <c r="Z427" i="4"/>
  <c r="Y427" i="4"/>
  <c r="X427" i="4"/>
  <c r="AC427" i="4" s="1"/>
  <c r="U427" i="4"/>
  <c r="O429" i="2" s="1"/>
  <c r="M427" i="4"/>
  <c r="AD426" i="4"/>
  <c r="Z426" i="4"/>
  <c r="Y426" i="4"/>
  <c r="X426" i="4"/>
  <c r="AC426" i="4" s="1"/>
  <c r="U426" i="4"/>
  <c r="AB426" i="4" s="1"/>
  <c r="M426" i="4"/>
  <c r="AD425" i="4"/>
  <c r="Z425" i="4"/>
  <c r="Y425" i="4"/>
  <c r="X425" i="4"/>
  <c r="AC425" i="4" s="1"/>
  <c r="U425" i="4"/>
  <c r="AB425" i="4" s="1"/>
  <c r="M425" i="4"/>
  <c r="AD424" i="4"/>
  <c r="Z424" i="4"/>
  <c r="Y424" i="4"/>
  <c r="X424" i="4"/>
  <c r="AC424" i="4" s="1"/>
  <c r="U424" i="4"/>
  <c r="AE424" i="4" s="1"/>
  <c r="M424" i="4"/>
  <c r="AD423" i="4"/>
  <c r="Z423" i="4"/>
  <c r="Y423" i="4"/>
  <c r="X423" i="4"/>
  <c r="AC423" i="4" s="1"/>
  <c r="U423" i="4"/>
  <c r="M423" i="4"/>
  <c r="AD422" i="4"/>
  <c r="Z422" i="4"/>
  <c r="Y422" i="4"/>
  <c r="X422" i="4"/>
  <c r="U422" i="4"/>
  <c r="AE422" i="4" s="1"/>
  <c r="M422" i="4"/>
  <c r="AD421" i="4"/>
  <c r="Z421" i="4"/>
  <c r="Y421" i="4"/>
  <c r="X421" i="4"/>
  <c r="AC421" i="4" s="1"/>
  <c r="U421" i="4"/>
  <c r="M421" i="4"/>
  <c r="AD420" i="4"/>
  <c r="Z420" i="4"/>
  <c r="Y420" i="4"/>
  <c r="X420" i="4"/>
  <c r="AC420" i="4" s="1"/>
  <c r="U420" i="4"/>
  <c r="O422" i="2" s="1"/>
  <c r="M420" i="4"/>
  <c r="AD419" i="4"/>
  <c r="Z419" i="4"/>
  <c r="Y419" i="4"/>
  <c r="X419" i="4"/>
  <c r="AC419" i="4" s="1"/>
  <c r="U419" i="4"/>
  <c r="O421" i="2" s="1"/>
  <c r="M419" i="4"/>
  <c r="AD418" i="4"/>
  <c r="Z418" i="4"/>
  <c r="Y418" i="4"/>
  <c r="X418" i="4"/>
  <c r="AC418" i="4" s="1"/>
  <c r="U418" i="4"/>
  <c r="O420" i="2" s="1"/>
  <c r="M418" i="4"/>
  <c r="AD417" i="4"/>
  <c r="Z417" i="4"/>
  <c r="Y417" i="4"/>
  <c r="X417" i="4"/>
  <c r="AC417" i="4" s="1"/>
  <c r="U417" i="4"/>
  <c r="O419" i="2" s="1"/>
  <c r="M417" i="4"/>
  <c r="AD416" i="4"/>
  <c r="Z416" i="4"/>
  <c r="Y416" i="4"/>
  <c r="X416" i="4"/>
  <c r="AC416" i="4" s="1"/>
  <c r="U416" i="4"/>
  <c r="AE416" i="4" s="1"/>
  <c r="M416" i="4"/>
  <c r="AD415" i="4"/>
  <c r="Z415" i="4"/>
  <c r="Y415" i="4"/>
  <c r="X415" i="4"/>
  <c r="AC415" i="4" s="1"/>
  <c r="U415" i="4"/>
  <c r="AD414" i="4"/>
  <c r="Z414" i="4"/>
  <c r="Y414" i="4"/>
  <c r="X414" i="4"/>
  <c r="U414" i="4"/>
  <c r="O416" i="2" s="1"/>
  <c r="M414" i="4"/>
  <c r="AD413" i="4"/>
  <c r="Z413" i="4"/>
  <c r="Y413" i="4"/>
  <c r="X413" i="4"/>
  <c r="AC413" i="4" s="1"/>
  <c r="U413" i="4"/>
  <c r="M413" i="4"/>
  <c r="AD412" i="4"/>
  <c r="Z412" i="4"/>
  <c r="Y412" i="4"/>
  <c r="X412" i="4"/>
  <c r="AC412" i="4" s="1"/>
  <c r="U412" i="4"/>
  <c r="M412" i="4"/>
  <c r="AD411" i="4"/>
  <c r="Z411" i="4"/>
  <c r="Y411" i="4"/>
  <c r="X411" i="4"/>
  <c r="AC411" i="4" s="1"/>
  <c r="V411" i="4"/>
  <c r="W411" i="4" s="1"/>
  <c r="U411" i="4"/>
  <c r="AE411" i="4" s="1"/>
  <c r="N411" i="4"/>
  <c r="M411" i="4"/>
  <c r="AD410" i="4"/>
  <c r="Z410" i="4"/>
  <c r="Y410" i="4"/>
  <c r="X410" i="4"/>
  <c r="AC410" i="4" s="1"/>
  <c r="V410" i="4"/>
  <c r="W410" i="4" s="1"/>
  <c r="U410" i="4"/>
  <c r="AE410" i="4" s="1"/>
  <c r="N410" i="4"/>
  <c r="AD409" i="4"/>
  <c r="Z409" i="4"/>
  <c r="Y409" i="4"/>
  <c r="X409" i="4"/>
  <c r="U409" i="4"/>
  <c r="AB409" i="4" s="1"/>
  <c r="M409" i="4"/>
  <c r="AD408" i="4"/>
  <c r="Z408" i="4"/>
  <c r="Y408" i="4"/>
  <c r="X408" i="4"/>
  <c r="AC408" i="4" s="1"/>
  <c r="U408" i="4"/>
  <c r="O410" i="2" s="1"/>
  <c r="M408" i="4"/>
  <c r="AD407" i="4"/>
  <c r="Z407" i="4"/>
  <c r="Y407" i="4"/>
  <c r="X407" i="4"/>
  <c r="AC407" i="4" s="1"/>
  <c r="U407" i="4"/>
  <c r="O409" i="2" s="1"/>
  <c r="M407" i="4"/>
  <c r="AD406" i="4"/>
  <c r="Z406" i="4"/>
  <c r="Y406" i="4"/>
  <c r="X406" i="4"/>
  <c r="AC406" i="4" s="1"/>
  <c r="U406" i="4"/>
  <c r="V406" i="4" s="1"/>
  <c r="W406" i="4" s="1"/>
  <c r="AD405" i="4"/>
  <c r="Z405" i="4"/>
  <c r="Y405" i="4"/>
  <c r="X405" i="4"/>
  <c r="U405" i="4"/>
  <c r="AE405" i="4" s="1"/>
  <c r="M405" i="4"/>
  <c r="AD404" i="4"/>
  <c r="Z404" i="4"/>
  <c r="Y404" i="4"/>
  <c r="X404" i="4"/>
  <c r="AC404" i="4" s="1"/>
  <c r="U404" i="4"/>
  <c r="O406" i="2" s="1"/>
  <c r="M404" i="4"/>
  <c r="AD403" i="4"/>
  <c r="Z403" i="4"/>
  <c r="Y403" i="4"/>
  <c r="X403" i="4"/>
  <c r="AC403" i="4" s="1"/>
  <c r="U403" i="4"/>
  <c r="M403" i="4"/>
  <c r="AD402" i="4"/>
  <c r="Z402" i="4"/>
  <c r="Y402" i="4"/>
  <c r="X402" i="4"/>
  <c r="AC402" i="4" s="1"/>
  <c r="V402" i="4"/>
  <c r="W402" i="4" s="1"/>
  <c r="U402" i="4"/>
  <c r="N402" i="4"/>
  <c r="M402" i="4"/>
  <c r="AD401" i="4"/>
  <c r="Z401" i="4"/>
  <c r="Y401" i="4"/>
  <c r="X401" i="4"/>
  <c r="AC401" i="4" s="1"/>
  <c r="V401" i="4"/>
  <c r="W401" i="4" s="1"/>
  <c r="U401" i="4"/>
  <c r="O403" i="2" s="1"/>
  <c r="N401" i="4"/>
  <c r="AD400" i="4"/>
  <c r="Z400" i="4"/>
  <c r="Y400" i="4"/>
  <c r="X400" i="4"/>
  <c r="U400" i="4"/>
  <c r="AE400" i="4" s="1"/>
  <c r="M400" i="4"/>
  <c r="AD399" i="4"/>
  <c r="Z399" i="4"/>
  <c r="Y399" i="4"/>
  <c r="X399" i="4"/>
  <c r="AC399" i="4" s="1"/>
  <c r="U399" i="4"/>
  <c r="O401" i="2" s="1"/>
  <c r="M399" i="4"/>
  <c r="AD398" i="4"/>
  <c r="Z398" i="4"/>
  <c r="Y398" i="4"/>
  <c r="X398" i="4"/>
  <c r="AC398" i="4" s="1"/>
  <c r="U398" i="4"/>
  <c r="AB398" i="4" s="1"/>
  <c r="M398" i="4"/>
  <c r="AD397" i="4"/>
  <c r="Z397" i="4"/>
  <c r="Y397" i="4"/>
  <c r="X397" i="4"/>
  <c r="AC397" i="4" s="1"/>
  <c r="U397" i="4"/>
  <c r="O399" i="2" s="1"/>
  <c r="M397" i="4"/>
  <c r="AD396" i="4"/>
  <c r="Z396" i="4"/>
  <c r="Y396" i="4"/>
  <c r="X396" i="4"/>
  <c r="AC396" i="4" s="1"/>
  <c r="U396" i="4"/>
  <c r="M396" i="4"/>
  <c r="AD395" i="4"/>
  <c r="Z395" i="4"/>
  <c r="Y395" i="4"/>
  <c r="X395" i="4"/>
  <c r="U395" i="4"/>
  <c r="M395" i="4"/>
  <c r="AD394" i="4"/>
  <c r="Z394" i="4"/>
  <c r="Y394" i="4"/>
  <c r="X394" i="4"/>
  <c r="U394" i="4"/>
  <c r="M394" i="4"/>
  <c r="AD393" i="4"/>
  <c r="Z393" i="4"/>
  <c r="Y393" i="4"/>
  <c r="X393" i="4"/>
  <c r="U393" i="4"/>
  <c r="M393" i="4"/>
  <c r="AD392" i="4"/>
  <c r="Z392" i="4"/>
  <c r="Y392" i="4"/>
  <c r="X392" i="4"/>
  <c r="U392" i="4"/>
  <c r="M392" i="4"/>
  <c r="AD391" i="4"/>
  <c r="Z391" i="4"/>
  <c r="Y391" i="4"/>
  <c r="X391" i="4"/>
  <c r="U391" i="4"/>
  <c r="M391" i="4"/>
  <c r="AD390" i="4"/>
  <c r="Z390" i="4"/>
  <c r="Y390" i="4"/>
  <c r="X390" i="4"/>
  <c r="U390" i="4"/>
  <c r="M390" i="4"/>
  <c r="AD389" i="4"/>
  <c r="Z389" i="4"/>
  <c r="Y389" i="4"/>
  <c r="X389" i="4"/>
  <c r="U389" i="4"/>
  <c r="M389" i="4"/>
  <c r="AD388" i="4"/>
  <c r="Z388" i="4"/>
  <c r="Y388" i="4"/>
  <c r="X388" i="4"/>
  <c r="U388" i="4"/>
  <c r="M388" i="4"/>
  <c r="AD387" i="4"/>
  <c r="Z387" i="4"/>
  <c r="Y387" i="4"/>
  <c r="X387" i="4"/>
  <c r="U387" i="4"/>
  <c r="M387" i="4"/>
  <c r="AD386" i="4"/>
  <c r="Z386" i="4"/>
  <c r="Y386" i="4"/>
  <c r="X386" i="4"/>
  <c r="U386" i="4"/>
  <c r="M386" i="4"/>
  <c r="AD385" i="4"/>
  <c r="Z385" i="4"/>
  <c r="Y385" i="4"/>
  <c r="X385" i="4"/>
  <c r="AC385" i="4" s="1"/>
  <c r="U385" i="4"/>
  <c r="O387" i="2" s="1"/>
  <c r="M385" i="4"/>
  <c r="AD384" i="4"/>
  <c r="Z384" i="4"/>
  <c r="Y384" i="4"/>
  <c r="X384" i="4"/>
  <c r="AC384" i="4" s="1"/>
  <c r="U384" i="4"/>
  <c r="M384" i="4"/>
  <c r="AD383" i="4"/>
  <c r="Z383" i="4"/>
  <c r="Y383" i="4"/>
  <c r="X383" i="4"/>
  <c r="AC383" i="4" s="1"/>
  <c r="U383" i="4"/>
  <c r="O385" i="2" s="1"/>
  <c r="M383" i="4"/>
  <c r="AD382" i="4"/>
  <c r="Z382" i="4"/>
  <c r="Y382" i="4"/>
  <c r="X382" i="4"/>
  <c r="AC382" i="4" s="1"/>
  <c r="U382" i="4"/>
  <c r="AE382" i="4" s="1"/>
  <c r="M382" i="4"/>
  <c r="AD381" i="4"/>
  <c r="Z381" i="4"/>
  <c r="Y381" i="4"/>
  <c r="X381" i="4"/>
  <c r="AC381" i="4" s="1"/>
  <c r="U381" i="4"/>
  <c r="AE381" i="4" s="1"/>
  <c r="M381" i="4"/>
  <c r="AD380" i="4"/>
  <c r="Z380" i="4"/>
  <c r="Y380" i="4"/>
  <c r="X380" i="4"/>
  <c r="AC380" i="4" s="1"/>
  <c r="U380" i="4"/>
  <c r="AE380" i="4" s="1"/>
  <c r="M380" i="4"/>
  <c r="AD379" i="4"/>
  <c r="Z379" i="4"/>
  <c r="Y379" i="4"/>
  <c r="X379" i="4"/>
  <c r="AC379" i="4" s="1"/>
  <c r="U379" i="4"/>
  <c r="V379" i="4" s="1"/>
  <c r="W379" i="4" s="1"/>
  <c r="AD378" i="4"/>
  <c r="Z378" i="4"/>
  <c r="Y378" i="4"/>
  <c r="X378" i="4"/>
  <c r="U378" i="4"/>
  <c r="O380" i="2" s="1"/>
  <c r="M378" i="4"/>
  <c r="AD377" i="4"/>
  <c r="Z377" i="4"/>
  <c r="Y377" i="4"/>
  <c r="X377" i="4"/>
  <c r="AC377" i="4" s="1"/>
  <c r="U377" i="4"/>
  <c r="AB377" i="4" s="1"/>
  <c r="M377" i="4"/>
  <c r="AD376" i="4"/>
  <c r="Z376" i="4"/>
  <c r="Y376" i="4"/>
  <c r="X376" i="4"/>
  <c r="AC376" i="4" s="1"/>
  <c r="U376" i="4"/>
  <c r="M376" i="4"/>
  <c r="AD375" i="4"/>
  <c r="Z375" i="4"/>
  <c r="Y375" i="4"/>
  <c r="X375" i="4"/>
  <c r="AC375" i="4" s="1"/>
  <c r="V375" i="4"/>
  <c r="W375" i="4" s="1"/>
  <c r="U375" i="4"/>
  <c r="AE375" i="4" s="1"/>
  <c r="N375" i="4"/>
  <c r="AD374" i="4"/>
  <c r="Z374" i="4"/>
  <c r="Y374" i="4"/>
  <c r="X374" i="4"/>
  <c r="AC374" i="4" s="1"/>
  <c r="V374" i="4"/>
  <c r="W374" i="4" s="1"/>
  <c r="U374" i="4"/>
  <c r="O376" i="2" s="1"/>
  <c r="N374" i="4"/>
  <c r="M374" i="4"/>
  <c r="AD373" i="4"/>
  <c r="Z373" i="4"/>
  <c r="Y373" i="4"/>
  <c r="X373" i="4"/>
  <c r="AC373" i="4" s="1"/>
  <c r="V373" i="4"/>
  <c r="W373" i="4" s="1"/>
  <c r="U373" i="4"/>
  <c r="N373" i="4"/>
  <c r="M373" i="4"/>
  <c r="AD372" i="4"/>
  <c r="Z372" i="4"/>
  <c r="Y372" i="4"/>
  <c r="X372" i="4"/>
  <c r="AC372" i="4" s="1"/>
  <c r="V372" i="4"/>
  <c r="W372" i="4" s="1"/>
  <c r="U372" i="4"/>
  <c r="O374" i="2" s="1"/>
  <c r="N372" i="4"/>
  <c r="M372" i="4"/>
  <c r="AD371" i="4"/>
  <c r="Z371" i="4"/>
  <c r="Y371" i="4"/>
  <c r="X371" i="4"/>
  <c r="AC371" i="4" s="1"/>
  <c r="V371" i="4"/>
  <c r="W371" i="4" s="1"/>
  <c r="U371" i="4"/>
  <c r="AB371" i="4" s="1"/>
  <c r="N371" i="4"/>
  <c r="M371" i="4"/>
  <c r="AD370" i="4"/>
  <c r="Z370" i="4"/>
  <c r="Y370" i="4"/>
  <c r="X370" i="4"/>
  <c r="AC370" i="4" s="1"/>
  <c r="V370" i="4"/>
  <c r="W370" i="4" s="1"/>
  <c r="U370" i="4"/>
  <c r="O372" i="2" s="1"/>
  <c r="N370" i="4"/>
  <c r="AD369" i="4"/>
  <c r="Z369" i="4"/>
  <c r="Y369" i="4"/>
  <c r="X369" i="4"/>
  <c r="U369" i="4"/>
  <c r="AE369" i="4" s="1"/>
  <c r="M369" i="4"/>
  <c r="AD368" i="4"/>
  <c r="Z368" i="4"/>
  <c r="Y368" i="4"/>
  <c r="X368" i="4"/>
  <c r="AC368" i="4" s="1"/>
  <c r="U368" i="4"/>
  <c r="O370" i="2" s="1"/>
  <c r="M368" i="4"/>
  <c r="AD367" i="4"/>
  <c r="Z367" i="4"/>
  <c r="Y367" i="4"/>
  <c r="X367" i="4"/>
  <c r="AC367" i="4" s="1"/>
  <c r="U367" i="4"/>
  <c r="O369" i="2" s="1"/>
  <c r="M367" i="4"/>
  <c r="AD366" i="4"/>
  <c r="Z366" i="4"/>
  <c r="Y366" i="4"/>
  <c r="X366" i="4"/>
  <c r="AC366" i="4" s="1"/>
  <c r="U366" i="4"/>
  <c r="AD365" i="4"/>
  <c r="Z365" i="4"/>
  <c r="Y365" i="4"/>
  <c r="X365" i="4"/>
  <c r="U365" i="4"/>
  <c r="AE365" i="4" s="1"/>
  <c r="M365" i="4"/>
  <c r="AD364" i="4"/>
  <c r="Z364" i="4"/>
  <c r="Y364" i="4"/>
  <c r="X364" i="4"/>
  <c r="AC364" i="4" s="1"/>
  <c r="U364" i="4"/>
  <c r="O366" i="2" s="1"/>
  <c r="M364" i="4"/>
  <c r="AD363" i="4"/>
  <c r="Z363" i="4"/>
  <c r="Y363" i="4"/>
  <c r="X363" i="4"/>
  <c r="AC363" i="4" s="1"/>
  <c r="U363" i="4"/>
  <c r="AE363" i="4" s="1"/>
  <c r="M363" i="4"/>
  <c r="AD362" i="4"/>
  <c r="Z362" i="4"/>
  <c r="Y362" i="4"/>
  <c r="X362" i="4"/>
  <c r="AC362" i="4" s="1"/>
  <c r="U362" i="4"/>
  <c r="O364" i="2" s="1"/>
  <c r="M362" i="4"/>
  <c r="AD361" i="4"/>
  <c r="Z361" i="4"/>
  <c r="Y361" i="4"/>
  <c r="X361" i="4"/>
  <c r="AC361" i="4" s="1"/>
  <c r="U361" i="4"/>
  <c r="AB361" i="4" s="1"/>
  <c r="M361" i="4"/>
  <c r="AD360" i="4"/>
  <c r="Z360" i="4"/>
  <c r="Y360" i="4"/>
  <c r="X360" i="4"/>
  <c r="AC360" i="4" s="1"/>
  <c r="U360" i="4"/>
  <c r="AE360" i="4" s="1"/>
  <c r="M360" i="4"/>
  <c r="AD359" i="4"/>
  <c r="Z359" i="4"/>
  <c r="Y359" i="4"/>
  <c r="X359" i="4"/>
  <c r="AC359" i="4" s="1"/>
  <c r="U359" i="4"/>
  <c r="M359" i="4"/>
  <c r="AD358" i="4"/>
  <c r="Z358" i="4"/>
  <c r="Y358" i="4"/>
  <c r="X358" i="4"/>
  <c r="U358" i="4"/>
  <c r="M358" i="4"/>
  <c r="AD357" i="4"/>
  <c r="Z357" i="4"/>
  <c r="Y357" i="4"/>
  <c r="X357" i="4"/>
  <c r="U357" i="4"/>
  <c r="M357" i="4"/>
  <c r="AD356" i="4"/>
  <c r="Z356" i="4"/>
  <c r="Y356" i="4"/>
  <c r="X356" i="4"/>
  <c r="U356" i="4"/>
  <c r="M356" i="4"/>
  <c r="AD355" i="4"/>
  <c r="Z355" i="4"/>
  <c r="Y355" i="4"/>
  <c r="X355" i="4"/>
  <c r="U355" i="4"/>
  <c r="M355" i="4"/>
  <c r="AD354" i="4"/>
  <c r="Z354" i="4"/>
  <c r="Y354" i="4"/>
  <c r="X354" i="4"/>
  <c r="U354" i="4"/>
  <c r="M354" i="4"/>
  <c r="AD353" i="4"/>
  <c r="Z353" i="4"/>
  <c r="Y353" i="4"/>
  <c r="X353" i="4"/>
  <c r="U353" i="4"/>
  <c r="M353" i="4"/>
  <c r="AD352" i="4"/>
  <c r="Z352" i="4"/>
  <c r="Y352" i="4"/>
  <c r="X352" i="4"/>
  <c r="U352" i="4"/>
  <c r="M352" i="4"/>
  <c r="AD351" i="4"/>
  <c r="Z351" i="4"/>
  <c r="Y351" i="4"/>
  <c r="X351" i="4"/>
  <c r="U351" i="4"/>
  <c r="M351" i="4"/>
  <c r="AD350" i="4"/>
  <c r="Z350" i="4"/>
  <c r="Y350" i="4"/>
  <c r="X350" i="4"/>
  <c r="U350" i="4"/>
  <c r="V350" i="4" s="1"/>
  <c r="W350" i="4" s="1"/>
  <c r="AD349" i="4"/>
  <c r="Z349" i="4"/>
  <c r="Y349" i="4"/>
  <c r="X349" i="4"/>
  <c r="U349" i="4"/>
  <c r="AE349" i="4" s="1"/>
  <c r="M349" i="4"/>
  <c r="AD348" i="4"/>
  <c r="Z348" i="4"/>
  <c r="Y348" i="4"/>
  <c r="X348" i="4"/>
  <c r="AC348" i="4" s="1"/>
  <c r="U348" i="4"/>
  <c r="AE348" i="4" s="1"/>
  <c r="M348" i="4"/>
  <c r="AD347" i="4"/>
  <c r="Z347" i="4"/>
  <c r="Y347" i="4"/>
  <c r="X347" i="4"/>
  <c r="AC347" i="4" s="1"/>
  <c r="U347" i="4"/>
  <c r="M347" i="4"/>
  <c r="AD346" i="4"/>
  <c r="Z346" i="4"/>
  <c r="Y346" i="4"/>
  <c r="X346" i="4"/>
  <c r="AC346" i="4" s="1"/>
  <c r="V346" i="4"/>
  <c r="W346" i="4" s="1"/>
  <c r="U346" i="4"/>
  <c r="O348" i="2" s="1"/>
  <c r="N346" i="4"/>
  <c r="M346" i="4"/>
  <c r="AD345" i="4"/>
  <c r="Z345" i="4"/>
  <c r="Y345" i="4"/>
  <c r="X345" i="4"/>
  <c r="AC345" i="4" s="1"/>
  <c r="V345" i="4"/>
  <c r="W345" i="4" s="1"/>
  <c r="U345" i="4"/>
  <c r="AE345" i="4" s="1"/>
  <c r="N345" i="4"/>
  <c r="AD344" i="4"/>
  <c r="Z344" i="4"/>
  <c r="Y344" i="4"/>
  <c r="X344" i="4"/>
  <c r="U344" i="4"/>
  <c r="O346" i="2" s="1"/>
  <c r="M344" i="4"/>
  <c r="AD343" i="4"/>
  <c r="Z343" i="4"/>
  <c r="Y343" i="4"/>
  <c r="X343" i="4"/>
  <c r="AC343" i="4" s="1"/>
  <c r="U343" i="4"/>
  <c r="M343" i="4"/>
  <c r="AD342" i="4"/>
  <c r="Z342" i="4"/>
  <c r="Y342" i="4"/>
  <c r="X342" i="4"/>
  <c r="AC342" i="4" s="1"/>
  <c r="U342" i="4"/>
  <c r="O344" i="2" s="1"/>
  <c r="M342" i="4"/>
  <c r="AD341" i="4"/>
  <c r="Z341" i="4"/>
  <c r="Y341" i="4"/>
  <c r="X341" i="4"/>
  <c r="AC341" i="4" s="1"/>
  <c r="U341" i="4"/>
  <c r="V341" i="4" s="1"/>
  <c r="W341" i="4" s="1"/>
  <c r="AD340" i="4"/>
  <c r="Z340" i="4"/>
  <c r="Y340" i="4"/>
  <c r="X340" i="4"/>
  <c r="U340" i="4"/>
  <c r="M340" i="4"/>
  <c r="AD339" i="4"/>
  <c r="Z339" i="4"/>
  <c r="Y339" i="4"/>
  <c r="X339" i="4"/>
  <c r="AC339" i="4" s="1"/>
  <c r="U339" i="4"/>
  <c r="M339" i="4"/>
  <c r="AD338" i="4"/>
  <c r="Z338" i="4"/>
  <c r="Y338" i="4"/>
  <c r="X338" i="4"/>
  <c r="AC338" i="4" s="1"/>
  <c r="U338" i="4"/>
  <c r="M338" i="4"/>
  <c r="AD337" i="4"/>
  <c r="Z337" i="4"/>
  <c r="Y337" i="4"/>
  <c r="X337" i="4"/>
  <c r="AC337" i="4" s="1"/>
  <c r="U337" i="4"/>
  <c r="AD336" i="4"/>
  <c r="Z336" i="4"/>
  <c r="Y336" i="4"/>
  <c r="X336" i="4"/>
  <c r="U336" i="4"/>
  <c r="AE336" i="4" s="1"/>
  <c r="M336" i="4"/>
  <c r="AD335" i="4"/>
  <c r="Z335" i="4"/>
  <c r="Y335" i="4"/>
  <c r="X335" i="4"/>
  <c r="AC335" i="4" s="1"/>
  <c r="U335" i="4"/>
  <c r="AE335" i="4" s="1"/>
  <c r="M335" i="4"/>
  <c r="AD334" i="4"/>
  <c r="Z334" i="4"/>
  <c r="Y334" i="4"/>
  <c r="X334" i="4"/>
  <c r="AC334" i="4" s="1"/>
  <c r="U334" i="4"/>
  <c r="AB334" i="4" s="1"/>
  <c r="M334" i="4"/>
  <c r="AD333" i="4"/>
  <c r="Z333" i="4"/>
  <c r="Y333" i="4"/>
  <c r="X333" i="4"/>
  <c r="AC333" i="4" s="1"/>
  <c r="U333" i="4"/>
  <c r="V333" i="4" s="1"/>
  <c r="W333" i="4" s="1"/>
  <c r="AD332" i="4"/>
  <c r="Z332" i="4"/>
  <c r="Y332" i="4"/>
  <c r="X332" i="4"/>
  <c r="U332" i="4"/>
  <c r="AE332" i="4" s="1"/>
  <c r="M332" i="4"/>
  <c r="AD331" i="4"/>
  <c r="Z331" i="4"/>
  <c r="Y331" i="4"/>
  <c r="X331" i="4"/>
  <c r="AC331" i="4" s="1"/>
  <c r="U331" i="4"/>
  <c r="O333" i="2" s="1"/>
  <c r="M331" i="4"/>
  <c r="AD330" i="4"/>
  <c r="Z330" i="4"/>
  <c r="Y330" i="4"/>
  <c r="X330" i="4"/>
  <c r="AC330" i="4" s="1"/>
  <c r="U330" i="4"/>
  <c r="O332" i="2" s="1"/>
  <c r="M330" i="4"/>
  <c r="AD329" i="4"/>
  <c r="Z329" i="4"/>
  <c r="Y329" i="4"/>
  <c r="X329" i="4"/>
  <c r="AC329" i="4" s="1"/>
  <c r="U329" i="4"/>
  <c r="AE329" i="4" s="1"/>
  <c r="M329" i="4"/>
  <c r="AD328" i="4"/>
  <c r="Z328" i="4"/>
  <c r="Y328" i="4"/>
  <c r="X328" i="4"/>
  <c r="AC328" i="4" s="1"/>
  <c r="U328" i="4"/>
  <c r="AB328" i="4" s="1"/>
  <c r="M328" i="4"/>
  <c r="AD327" i="4"/>
  <c r="Z327" i="4"/>
  <c r="Y327" i="4"/>
  <c r="X327" i="4"/>
  <c r="AC327" i="4" s="1"/>
  <c r="U327" i="4"/>
  <c r="AE327" i="4" s="1"/>
  <c r="M327" i="4"/>
  <c r="AD326" i="4"/>
  <c r="Z326" i="4"/>
  <c r="Y326" i="4"/>
  <c r="X326" i="4"/>
  <c r="AC326" i="4" s="1"/>
  <c r="U326" i="4"/>
  <c r="O328" i="2" s="1"/>
  <c r="M326" i="4"/>
  <c r="AD325" i="4"/>
  <c r="Z325" i="4"/>
  <c r="Y325" i="4"/>
  <c r="X325" i="4"/>
  <c r="AC325" i="4" s="1"/>
  <c r="U325" i="4"/>
  <c r="V325" i="4" s="1"/>
  <c r="W325" i="4" s="1"/>
  <c r="AD324" i="4"/>
  <c r="Z324" i="4"/>
  <c r="Y324" i="4"/>
  <c r="X324" i="4"/>
  <c r="AC324" i="4" s="1"/>
  <c r="V324" i="4"/>
  <c r="W324" i="4" s="1"/>
  <c r="U324" i="4"/>
  <c r="AE324" i="4" s="1"/>
  <c r="N324" i="4"/>
  <c r="M324" i="4"/>
  <c r="AD323" i="4"/>
  <c r="Z323" i="4"/>
  <c r="Y323" i="4"/>
  <c r="X323" i="4"/>
  <c r="AC323" i="4" s="1"/>
  <c r="V323" i="4"/>
  <c r="W323" i="4" s="1"/>
  <c r="U323" i="4"/>
  <c r="AB323" i="4" s="1"/>
  <c r="N323" i="4"/>
  <c r="M323" i="4"/>
  <c r="AD322" i="4"/>
  <c r="Z322" i="4"/>
  <c r="Y322" i="4"/>
  <c r="X322" i="4"/>
  <c r="AC322" i="4" s="1"/>
  <c r="V322" i="4"/>
  <c r="W322" i="4" s="1"/>
  <c r="U322" i="4"/>
  <c r="O324" i="2" s="1"/>
  <c r="N322" i="4"/>
  <c r="M322" i="4"/>
  <c r="AD321" i="4"/>
  <c r="Z321" i="4"/>
  <c r="Y321" i="4"/>
  <c r="X321" i="4"/>
  <c r="AC321" i="4" s="1"/>
  <c r="V321" i="4"/>
  <c r="W321" i="4" s="1"/>
  <c r="U321" i="4"/>
  <c r="N321" i="4"/>
  <c r="M321" i="4"/>
  <c r="AD320" i="4"/>
  <c r="Z320" i="4"/>
  <c r="Y320" i="4"/>
  <c r="X320" i="4"/>
  <c r="AC320" i="4" s="1"/>
  <c r="V320" i="4"/>
  <c r="W320" i="4" s="1"/>
  <c r="U320" i="4"/>
  <c r="O322" i="2" s="1"/>
  <c r="N320" i="4"/>
  <c r="AD319" i="4"/>
  <c r="Z319" i="4"/>
  <c r="Y319" i="4"/>
  <c r="X319" i="4"/>
  <c r="U319" i="4"/>
  <c r="M319" i="4"/>
  <c r="AD318" i="4"/>
  <c r="Z318" i="4"/>
  <c r="Y318" i="4"/>
  <c r="X318" i="4"/>
  <c r="AC318" i="4" s="1"/>
  <c r="U318" i="4"/>
  <c r="O320" i="2" s="1"/>
  <c r="M318" i="4"/>
  <c r="AD317" i="4"/>
  <c r="Z317" i="4"/>
  <c r="Y317" i="4"/>
  <c r="X317" i="4"/>
  <c r="AC317" i="4" s="1"/>
  <c r="U317" i="4"/>
  <c r="AE317" i="4" s="1"/>
  <c r="M317" i="4"/>
  <c r="AD316" i="4"/>
  <c r="Z316" i="4"/>
  <c r="Y316" i="4"/>
  <c r="X316" i="4"/>
  <c r="AC316" i="4" s="1"/>
  <c r="U316" i="4"/>
  <c r="M316" i="4"/>
  <c r="AD315" i="4"/>
  <c r="Z315" i="4"/>
  <c r="Y315" i="4"/>
  <c r="X315" i="4"/>
  <c r="U315" i="4"/>
  <c r="O317" i="2" s="1"/>
  <c r="M315" i="4"/>
  <c r="AD314" i="4"/>
  <c r="Z314" i="4"/>
  <c r="Y314" i="4"/>
  <c r="X314" i="4"/>
  <c r="AC314" i="4" s="1"/>
  <c r="U314" i="4"/>
  <c r="M314" i="4"/>
  <c r="AD313" i="4"/>
  <c r="Z313" i="4"/>
  <c r="Y313" i="4"/>
  <c r="X313" i="4"/>
  <c r="AC313" i="4" s="1"/>
  <c r="U313" i="4"/>
  <c r="AB313" i="4" s="1"/>
  <c r="M313" i="4"/>
  <c r="AD312" i="4"/>
  <c r="Z312" i="4"/>
  <c r="Y312" i="4"/>
  <c r="X312" i="4"/>
  <c r="AC312" i="4" s="1"/>
  <c r="U312" i="4"/>
  <c r="AE312" i="4" s="1"/>
  <c r="M312" i="4"/>
  <c r="AD311" i="4"/>
  <c r="Z311" i="4"/>
  <c r="Y311" i="4"/>
  <c r="X311" i="4"/>
  <c r="AC311" i="4" s="1"/>
  <c r="U311" i="4"/>
  <c r="M311" i="4"/>
  <c r="AD310" i="4"/>
  <c r="Z310" i="4"/>
  <c r="Y310" i="4"/>
  <c r="X310" i="4"/>
  <c r="AC310" i="4" s="1"/>
  <c r="U310" i="4"/>
  <c r="AE310" i="4" s="1"/>
  <c r="M310" i="4"/>
  <c r="AD309" i="4"/>
  <c r="Z309" i="4"/>
  <c r="Y309" i="4"/>
  <c r="X309" i="4"/>
  <c r="AC309" i="4" s="1"/>
  <c r="U309" i="4"/>
  <c r="AE309" i="4" s="1"/>
  <c r="M309" i="4"/>
  <c r="AD308" i="4"/>
  <c r="Z308" i="4"/>
  <c r="Y308" i="4"/>
  <c r="X308" i="4"/>
  <c r="AC308" i="4" s="1"/>
  <c r="U308" i="4"/>
  <c r="AD307" i="4"/>
  <c r="Z307" i="4"/>
  <c r="Y307" i="4"/>
  <c r="X307" i="4"/>
  <c r="U307" i="4"/>
  <c r="AB307" i="4" s="1"/>
  <c r="M307" i="4"/>
  <c r="AD306" i="4"/>
  <c r="Z306" i="4"/>
  <c r="Y306" i="4"/>
  <c r="X306" i="4"/>
  <c r="AC306" i="4" s="1"/>
  <c r="U306" i="4"/>
  <c r="O308" i="2" s="1"/>
  <c r="M306" i="4"/>
  <c r="AD305" i="4"/>
  <c r="Z305" i="4"/>
  <c r="Y305" i="4"/>
  <c r="X305" i="4"/>
  <c r="AC305" i="4" s="1"/>
  <c r="U305" i="4"/>
  <c r="M305" i="4"/>
  <c r="AD304" i="4"/>
  <c r="Z304" i="4"/>
  <c r="Y304" i="4"/>
  <c r="X304" i="4"/>
  <c r="AC304" i="4" s="1"/>
  <c r="V304" i="4"/>
  <c r="W304" i="4" s="1"/>
  <c r="U304" i="4"/>
  <c r="AB304" i="4" s="1"/>
  <c r="N304" i="4"/>
  <c r="M304" i="4"/>
  <c r="AD303" i="4"/>
  <c r="Z303" i="4"/>
  <c r="Y303" i="4"/>
  <c r="X303" i="4"/>
  <c r="AC303" i="4" s="1"/>
  <c r="V303" i="4"/>
  <c r="W303" i="4" s="1"/>
  <c r="U303" i="4"/>
  <c r="AE303" i="4" s="1"/>
  <c r="N303" i="4"/>
  <c r="M303" i="4"/>
  <c r="AD302" i="4"/>
  <c r="Z302" i="4"/>
  <c r="Y302" i="4"/>
  <c r="X302" i="4"/>
  <c r="AC302" i="4" s="1"/>
  <c r="V302" i="4"/>
  <c r="W302" i="4" s="1"/>
  <c r="U302" i="4"/>
  <c r="AE302" i="4" s="1"/>
  <c r="N302" i="4"/>
  <c r="M302" i="4"/>
  <c r="AD301" i="4"/>
  <c r="Z301" i="4"/>
  <c r="Y301" i="4"/>
  <c r="X301" i="4"/>
  <c r="AC301" i="4" s="1"/>
  <c r="V301" i="4"/>
  <c r="W301" i="4" s="1"/>
  <c r="U301" i="4"/>
  <c r="O303" i="2" s="1"/>
  <c r="N301" i="4"/>
  <c r="M301" i="4"/>
  <c r="AD300" i="4"/>
  <c r="Z300" i="4"/>
  <c r="Y300" i="4"/>
  <c r="X300" i="4"/>
  <c r="AC300" i="4" s="1"/>
  <c r="V300" i="4"/>
  <c r="W300" i="4" s="1"/>
  <c r="U300" i="4"/>
  <c r="AE300" i="4" s="1"/>
  <c r="N300" i="4"/>
  <c r="M300" i="4"/>
  <c r="AD299" i="4"/>
  <c r="Z299" i="4"/>
  <c r="Y299" i="4"/>
  <c r="X299" i="4"/>
  <c r="U299" i="4"/>
  <c r="AE299" i="4" s="1"/>
  <c r="M299" i="4"/>
  <c r="AD298" i="4"/>
  <c r="Z298" i="4"/>
  <c r="Y298" i="4"/>
  <c r="X298" i="4"/>
  <c r="AC298" i="4" s="1"/>
  <c r="U298" i="4"/>
  <c r="AE298" i="4" s="1"/>
  <c r="M298" i="4"/>
  <c r="AD297" i="4"/>
  <c r="Z297" i="4"/>
  <c r="Y297" i="4"/>
  <c r="X297" i="4"/>
  <c r="AC297" i="4" s="1"/>
  <c r="U297" i="4"/>
  <c r="O299" i="2" s="1"/>
  <c r="M297" i="4"/>
  <c r="AD296" i="4"/>
  <c r="Z296" i="4"/>
  <c r="Y296" i="4"/>
  <c r="X296" i="4"/>
  <c r="AC296" i="4" s="1"/>
  <c r="U296" i="4"/>
  <c r="M296" i="4"/>
  <c r="AD295" i="4"/>
  <c r="Z295" i="4"/>
  <c r="Y295" i="4"/>
  <c r="X295" i="4"/>
  <c r="AC295" i="4" s="1"/>
  <c r="U295" i="4"/>
  <c r="AB295" i="4" s="1"/>
  <c r="M295" i="4"/>
  <c r="AD294" i="4"/>
  <c r="Z294" i="4"/>
  <c r="Y294" i="4"/>
  <c r="X294" i="4"/>
  <c r="AC294" i="4" s="1"/>
  <c r="U294" i="4"/>
  <c r="O296" i="2" s="1"/>
  <c r="M294" i="4"/>
  <c r="AD293" i="4"/>
  <c r="Z293" i="4"/>
  <c r="Y293" i="4"/>
  <c r="X293" i="4"/>
  <c r="AC293" i="4" s="1"/>
  <c r="U293" i="4"/>
  <c r="O295" i="2" s="1"/>
  <c r="M293" i="4"/>
  <c r="AD292" i="4"/>
  <c r="Z292" i="4"/>
  <c r="Y292" i="4"/>
  <c r="X292" i="4"/>
  <c r="AC292" i="4" s="1"/>
  <c r="U292" i="4"/>
  <c r="AE292" i="4" s="1"/>
  <c r="M292" i="4"/>
  <c r="AD291" i="4"/>
  <c r="Z291" i="4"/>
  <c r="Y291" i="4"/>
  <c r="X291" i="4"/>
  <c r="AC291" i="4" s="1"/>
  <c r="U291" i="4"/>
  <c r="AE291" i="4" s="1"/>
  <c r="M291" i="4"/>
  <c r="AD290" i="4"/>
  <c r="Z290" i="4"/>
  <c r="Y290" i="4"/>
  <c r="X290" i="4"/>
  <c r="AC290" i="4" s="1"/>
  <c r="U290" i="4"/>
  <c r="AD289" i="4"/>
  <c r="Z289" i="4"/>
  <c r="Y289" i="4"/>
  <c r="X289" i="4"/>
  <c r="AC289" i="4" s="1"/>
  <c r="V289" i="4"/>
  <c r="W289" i="4" s="1"/>
  <c r="U289" i="4"/>
  <c r="O291" i="2" s="1"/>
  <c r="N289" i="4"/>
  <c r="M289" i="4"/>
  <c r="AD288" i="4"/>
  <c r="Z288" i="4"/>
  <c r="Y288" i="4"/>
  <c r="X288" i="4"/>
  <c r="AC288" i="4" s="1"/>
  <c r="V288" i="4"/>
  <c r="W288" i="4" s="1"/>
  <c r="U288" i="4"/>
  <c r="AE288" i="4" s="1"/>
  <c r="N288" i="4"/>
  <c r="M288" i="4"/>
  <c r="AD287" i="4"/>
  <c r="Z287" i="4"/>
  <c r="Y287" i="4"/>
  <c r="X287" i="4"/>
  <c r="AC287" i="4" s="1"/>
  <c r="V287" i="4"/>
  <c r="W287" i="4" s="1"/>
  <c r="U287" i="4"/>
  <c r="AE287" i="4" s="1"/>
  <c r="N287" i="4"/>
  <c r="M287" i="4"/>
  <c r="AD286" i="4"/>
  <c r="Z286" i="4"/>
  <c r="Y286" i="4"/>
  <c r="X286" i="4"/>
  <c r="AC286" i="4" s="1"/>
  <c r="V286" i="4"/>
  <c r="W286" i="4" s="1"/>
  <c r="U286" i="4"/>
  <c r="AE286" i="4" s="1"/>
  <c r="N286" i="4"/>
  <c r="M286" i="4"/>
  <c r="AD285" i="4"/>
  <c r="Z285" i="4"/>
  <c r="Y285" i="4"/>
  <c r="X285" i="4"/>
  <c r="AC285" i="4" s="1"/>
  <c r="V285" i="4"/>
  <c r="W285" i="4" s="1"/>
  <c r="U285" i="4"/>
  <c r="AE285" i="4" s="1"/>
  <c r="N285" i="4"/>
  <c r="M285" i="4"/>
  <c r="AD284" i="4"/>
  <c r="Z284" i="4"/>
  <c r="Y284" i="4"/>
  <c r="X284" i="4"/>
  <c r="U284" i="4"/>
  <c r="O286" i="2" s="1"/>
  <c r="M284" i="4"/>
  <c r="AD283" i="4"/>
  <c r="Z283" i="4"/>
  <c r="Y283" i="4"/>
  <c r="X283" i="4"/>
  <c r="AC283" i="4" s="1"/>
  <c r="U283" i="4"/>
  <c r="M283" i="4"/>
  <c r="AD282" i="4"/>
  <c r="Z282" i="4"/>
  <c r="Y282" i="4"/>
  <c r="X282" i="4"/>
  <c r="AC282" i="4" s="1"/>
  <c r="U282" i="4"/>
  <c r="O284" i="2" s="1"/>
  <c r="M282" i="4"/>
  <c r="AD281" i="4"/>
  <c r="Z281" i="4"/>
  <c r="Y281" i="4"/>
  <c r="X281" i="4"/>
  <c r="AC281" i="4" s="1"/>
  <c r="U281" i="4"/>
  <c r="O283" i="2" s="1"/>
  <c r="M281" i="4"/>
  <c r="AD280" i="4"/>
  <c r="Z280" i="4"/>
  <c r="Y280" i="4"/>
  <c r="X280" i="4"/>
  <c r="AC280" i="4" s="1"/>
  <c r="U280" i="4"/>
  <c r="AB280" i="4" s="1"/>
  <c r="M280" i="4"/>
  <c r="AD279" i="4"/>
  <c r="Z279" i="4"/>
  <c r="Y279" i="4"/>
  <c r="X279" i="4"/>
  <c r="AC279" i="4" s="1"/>
  <c r="U279" i="4"/>
  <c r="M279" i="4"/>
  <c r="AD278" i="4"/>
  <c r="Z278" i="4"/>
  <c r="Y278" i="4"/>
  <c r="X278" i="4"/>
  <c r="AC278" i="4" s="1"/>
  <c r="U278" i="4"/>
  <c r="V278" i="4" s="1"/>
  <c r="W278" i="4" s="1"/>
  <c r="AD277" i="4"/>
  <c r="Z277" i="4"/>
  <c r="Y277" i="4"/>
  <c r="X277" i="4"/>
  <c r="U277" i="4"/>
  <c r="AE277" i="4" s="1"/>
  <c r="M277" i="4"/>
  <c r="AD276" i="4"/>
  <c r="Z276" i="4"/>
  <c r="Y276" i="4"/>
  <c r="X276" i="4"/>
  <c r="AC276" i="4" s="1"/>
  <c r="U276" i="4"/>
  <c r="AE276" i="4" s="1"/>
  <c r="M276" i="4"/>
  <c r="AD275" i="4"/>
  <c r="Z275" i="4"/>
  <c r="Y275" i="4"/>
  <c r="X275" i="4"/>
  <c r="AC275" i="4" s="1"/>
  <c r="U275" i="4"/>
  <c r="AE275" i="4" s="1"/>
  <c r="M275" i="4"/>
  <c r="AD274" i="4"/>
  <c r="Z274" i="4"/>
  <c r="Y274" i="4"/>
  <c r="X274" i="4"/>
  <c r="AC274" i="4" s="1"/>
  <c r="U274" i="4"/>
  <c r="AD273" i="4"/>
  <c r="Z273" i="4"/>
  <c r="Y273" i="4"/>
  <c r="X273" i="4"/>
  <c r="U273" i="4"/>
  <c r="O275" i="2" s="1"/>
  <c r="M273" i="4"/>
  <c r="AD272" i="4"/>
  <c r="Z272" i="4"/>
  <c r="Y272" i="4"/>
  <c r="X272" i="4"/>
  <c r="AC272" i="4" s="1"/>
  <c r="U272" i="4"/>
  <c r="M272" i="4"/>
  <c r="AD271" i="4"/>
  <c r="Z271" i="4"/>
  <c r="Y271" i="4"/>
  <c r="X271" i="4"/>
  <c r="AC271" i="4" s="1"/>
  <c r="U271" i="4"/>
  <c r="M271" i="4"/>
  <c r="AD270" i="4"/>
  <c r="Z270" i="4"/>
  <c r="Y270" i="4"/>
  <c r="X270" i="4"/>
  <c r="AC270" i="4" s="1"/>
  <c r="U270" i="4"/>
  <c r="O272" i="2" s="1"/>
  <c r="M270" i="4"/>
  <c r="AD269" i="4"/>
  <c r="Z269" i="4"/>
  <c r="Y269" i="4"/>
  <c r="X269" i="4"/>
  <c r="AC269" i="4" s="1"/>
  <c r="U269" i="4"/>
  <c r="AE269" i="4" s="1"/>
  <c r="M269" i="4"/>
  <c r="AD268" i="4"/>
  <c r="Z268" i="4"/>
  <c r="Y268" i="4"/>
  <c r="X268" i="4"/>
  <c r="AC268" i="4" s="1"/>
  <c r="U268" i="4"/>
  <c r="O270" i="2" s="1"/>
  <c r="M268" i="4"/>
  <c r="AD267" i="4"/>
  <c r="Z267" i="4"/>
  <c r="Y267" i="4"/>
  <c r="X267" i="4"/>
  <c r="AC267" i="4" s="1"/>
  <c r="U267" i="4"/>
  <c r="M267" i="4"/>
  <c r="AD266" i="4"/>
  <c r="Z266" i="4"/>
  <c r="Y266" i="4"/>
  <c r="X266" i="4"/>
  <c r="U266" i="4"/>
  <c r="AB266" i="4" s="1"/>
  <c r="M266" i="4"/>
  <c r="AD265" i="4"/>
  <c r="Z265" i="4"/>
  <c r="Y265" i="4"/>
  <c r="X265" i="4"/>
  <c r="AC265" i="4" s="1"/>
  <c r="U265" i="4"/>
  <c r="AE265" i="4" s="1"/>
  <c r="M265" i="4"/>
  <c r="AD264" i="4"/>
  <c r="Z264" i="4"/>
  <c r="Y264" i="4"/>
  <c r="X264" i="4"/>
  <c r="AC264" i="4" s="1"/>
  <c r="U264" i="4"/>
  <c r="O266" i="2" s="1"/>
  <c r="M264" i="4"/>
  <c r="AD263" i="4"/>
  <c r="Z263" i="4"/>
  <c r="Y263" i="4"/>
  <c r="X263" i="4"/>
  <c r="AC263" i="4" s="1"/>
  <c r="U263" i="4"/>
  <c r="M263" i="4"/>
  <c r="AD262" i="4"/>
  <c r="Z262" i="4"/>
  <c r="Y262" i="4"/>
  <c r="X262" i="4"/>
  <c r="AC262" i="4" s="1"/>
  <c r="U262" i="4"/>
  <c r="AE262" i="4" s="1"/>
  <c r="M262" i="4"/>
  <c r="AD261" i="4"/>
  <c r="Z261" i="4"/>
  <c r="Y261" i="4"/>
  <c r="X261" i="4"/>
  <c r="AC261" i="4" s="1"/>
  <c r="U261" i="4"/>
  <c r="AE261" i="4" s="1"/>
  <c r="M261" i="4"/>
  <c r="AD260" i="4"/>
  <c r="Z260" i="4"/>
  <c r="Y260" i="4"/>
  <c r="X260" i="4"/>
  <c r="AC260" i="4" s="1"/>
  <c r="U260" i="4"/>
  <c r="O262" i="2" s="1"/>
  <c r="M260" i="4"/>
  <c r="AD259" i="4"/>
  <c r="Z259" i="4"/>
  <c r="Y259" i="4"/>
  <c r="X259" i="4"/>
  <c r="AC259" i="4" s="1"/>
  <c r="U259" i="4"/>
  <c r="AD258" i="4"/>
  <c r="Z258" i="4"/>
  <c r="Y258" i="4"/>
  <c r="X258" i="4"/>
  <c r="U258" i="4"/>
  <c r="AB258" i="4" s="1"/>
  <c r="M258" i="4"/>
  <c r="AD257" i="4"/>
  <c r="Z257" i="4"/>
  <c r="Y257" i="4"/>
  <c r="X257" i="4"/>
  <c r="AC257" i="4" s="1"/>
  <c r="U257" i="4"/>
  <c r="AE257" i="4" s="1"/>
  <c r="M257" i="4"/>
  <c r="AD256" i="4"/>
  <c r="Z256" i="4"/>
  <c r="Y256" i="4"/>
  <c r="X256" i="4"/>
  <c r="AC256" i="4" s="1"/>
  <c r="U256" i="4"/>
  <c r="O258" i="2" s="1"/>
  <c r="M256" i="4"/>
  <c r="AD255" i="4"/>
  <c r="Z255" i="4"/>
  <c r="Y255" i="4"/>
  <c r="X255" i="4"/>
  <c r="AC255" i="4" s="1"/>
  <c r="U255" i="4"/>
  <c r="AB255" i="4" s="1"/>
  <c r="M255" i="4"/>
  <c r="AD254" i="4"/>
  <c r="Z254" i="4"/>
  <c r="Y254" i="4"/>
  <c r="X254" i="4"/>
  <c r="AC254" i="4" s="1"/>
  <c r="U254" i="4"/>
  <c r="AE254" i="4" s="1"/>
  <c r="M254" i="4"/>
  <c r="AD253" i="4"/>
  <c r="Z253" i="4"/>
  <c r="Y253" i="4"/>
  <c r="X253" i="4"/>
  <c r="AC253" i="4" s="1"/>
  <c r="U253" i="4"/>
  <c r="AE253" i="4" s="1"/>
  <c r="M253" i="4"/>
  <c r="AD252" i="4"/>
  <c r="Z252" i="4"/>
  <c r="Y252" i="4"/>
  <c r="X252" i="4"/>
  <c r="AC252" i="4" s="1"/>
  <c r="U252" i="4"/>
  <c r="O254" i="2" s="1"/>
  <c r="M252" i="4"/>
  <c r="AD251" i="4"/>
  <c r="Z251" i="4"/>
  <c r="Y251" i="4"/>
  <c r="X251" i="4"/>
  <c r="AC251" i="4" s="1"/>
  <c r="U251" i="4"/>
  <c r="O253" i="2" s="1"/>
  <c r="M251" i="4"/>
  <c r="AD250" i="4"/>
  <c r="Z250" i="4"/>
  <c r="Y250" i="4"/>
  <c r="X250" i="4"/>
  <c r="AC250" i="4" s="1"/>
  <c r="U250" i="4"/>
  <c r="M250" i="4"/>
  <c r="AD249" i="4"/>
  <c r="Z249" i="4"/>
  <c r="Y249" i="4"/>
  <c r="X249" i="4"/>
  <c r="AC249" i="4" s="1"/>
  <c r="U249" i="4"/>
  <c r="O251" i="2" s="1"/>
  <c r="M249" i="4"/>
  <c r="AD248" i="4"/>
  <c r="Z248" i="4"/>
  <c r="Y248" i="4"/>
  <c r="X248" i="4"/>
  <c r="AC248" i="4" s="1"/>
  <c r="U248" i="4"/>
  <c r="AE248" i="4" s="1"/>
  <c r="M248" i="4"/>
  <c r="AD247" i="4"/>
  <c r="Z247" i="4"/>
  <c r="Y247" i="4"/>
  <c r="X247" i="4"/>
  <c r="AC247" i="4" s="1"/>
  <c r="U247" i="4"/>
  <c r="O249" i="2" s="1"/>
  <c r="M247" i="4"/>
  <c r="AD246" i="4"/>
  <c r="Z246" i="4"/>
  <c r="Y246" i="4"/>
  <c r="X246" i="4"/>
  <c r="AC246" i="4" s="1"/>
  <c r="U246" i="4"/>
  <c r="AB246" i="4" s="1"/>
  <c r="M246" i="4"/>
  <c r="AD245" i="4"/>
  <c r="Z245" i="4"/>
  <c r="Y245" i="4"/>
  <c r="X245" i="4"/>
  <c r="AC245" i="4" s="1"/>
  <c r="U245" i="4"/>
  <c r="AD244" i="4"/>
  <c r="Z244" i="4"/>
  <c r="Y244" i="4"/>
  <c r="X244" i="4"/>
  <c r="AC244" i="4" s="1"/>
  <c r="V244" i="4"/>
  <c r="W244" i="4" s="1"/>
  <c r="U244" i="4"/>
  <c r="O246" i="2" s="1"/>
  <c r="N244" i="4"/>
  <c r="M244" i="4"/>
  <c r="AD243" i="4"/>
  <c r="Z243" i="4"/>
  <c r="Y243" i="4"/>
  <c r="X243" i="4"/>
  <c r="AC243" i="4" s="1"/>
  <c r="V243" i="4"/>
  <c r="W243" i="4" s="1"/>
  <c r="U243" i="4"/>
  <c r="O245" i="2" s="1"/>
  <c r="N243" i="4"/>
  <c r="M243" i="4"/>
  <c r="AD242" i="4"/>
  <c r="Z242" i="4"/>
  <c r="Y242" i="4"/>
  <c r="X242" i="4"/>
  <c r="AC242" i="4" s="1"/>
  <c r="V242" i="4"/>
  <c r="W242" i="4" s="1"/>
  <c r="U242" i="4"/>
  <c r="O244" i="2" s="1"/>
  <c r="N242" i="4"/>
  <c r="M242" i="4"/>
  <c r="AD241" i="4"/>
  <c r="Z241" i="4"/>
  <c r="Y241" i="4"/>
  <c r="X241" i="4"/>
  <c r="AC241" i="4" s="1"/>
  <c r="V241" i="4"/>
  <c r="W241" i="4" s="1"/>
  <c r="U241" i="4"/>
  <c r="N241" i="4"/>
  <c r="M241" i="4"/>
  <c r="AD240" i="4"/>
  <c r="Z240" i="4"/>
  <c r="Y240" i="4"/>
  <c r="X240" i="4"/>
  <c r="AC240" i="4" s="1"/>
  <c r="V240" i="4"/>
  <c r="W240" i="4" s="1"/>
  <c r="U240" i="4"/>
  <c r="AB240" i="4" s="1"/>
  <c r="N240" i="4"/>
  <c r="M240" i="4"/>
  <c r="AD239" i="4"/>
  <c r="Z239" i="4"/>
  <c r="Y239" i="4"/>
  <c r="X239" i="4"/>
  <c r="U239" i="4"/>
  <c r="AB239" i="4" s="1"/>
  <c r="M239" i="4"/>
  <c r="AD238" i="4"/>
  <c r="Z238" i="4"/>
  <c r="Y238" i="4"/>
  <c r="X238" i="4"/>
  <c r="AC238" i="4" s="1"/>
  <c r="U238" i="4"/>
  <c r="O240" i="2" s="1"/>
  <c r="M238" i="4"/>
  <c r="AD237" i="4"/>
  <c r="Z237" i="4"/>
  <c r="Y237" i="4"/>
  <c r="X237" i="4"/>
  <c r="AC237" i="4" s="1"/>
  <c r="U237" i="4"/>
  <c r="O239" i="2" s="1"/>
  <c r="M237" i="4"/>
  <c r="AD236" i="4"/>
  <c r="Z236" i="4"/>
  <c r="Y236" i="4"/>
  <c r="X236" i="4"/>
  <c r="AC236" i="4" s="1"/>
  <c r="U236" i="4"/>
  <c r="V236" i="4" s="1"/>
  <c r="W236" i="4" s="1"/>
  <c r="AD235" i="4"/>
  <c r="Z235" i="4"/>
  <c r="Y235" i="4"/>
  <c r="X235" i="4"/>
  <c r="U235" i="4"/>
  <c r="M235" i="4"/>
  <c r="AD234" i="4"/>
  <c r="Z234" i="4"/>
  <c r="Y234" i="4"/>
  <c r="X234" i="4"/>
  <c r="AC234" i="4" s="1"/>
  <c r="U234" i="4"/>
  <c r="AB234" i="4" s="1"/>
  <c r="M234" i="4"/>
  <c r="AD233" i="4"/>
  <c r="Z233" i="4"/>
  <c r="Y233" i="4"/>
  <c r="X233" i="4"/>
  <c r="AC233" i="4" s="1"/>
  <c r="U233" i="4"/>
  <c r="AB233" i="4" s="1"/>
  <c r="M233" i="4"/>
  <c r="AD232" i="4"/>
  <c r="Z232" i="4"/>
  <c r="Y232" i="4"/>
  <c r="X232" i="4"/>
  <c r="AC232" i="4" s="1"/>
  <c r="U232" i="4"/>
  <c r="O234" i="2" s="1"/>
  <c r="M232" i="4"/>
  <c r="AD231" i="4"/>
  <c r="Z231" i="4"/>
  <c r="Y231" i="4"/>
  <c r="X231" i="4"/>
  <c r="AC231" i="4" s="1"/>
  <c r="U231" i="4"/>
  <c r="M231" i="4"/>
  <c r="AD230" i="4"/>
  <c r="Z230" i="4"/>
  <c r="Y230" i="4"/>
  <c r="X230" i="4"/>
  <c r="U230" i="4"/>
  <c r="M230" i="4"/>
  <c r="AD229" i="4"/>
  <c r="Z229" i="4"/>
  <c r="Y229" i="4"/>
  <c r="X229" i="4"/>
  <c r="U229" i="4"/>
  <c r="AB229" i="4" s="1"/>
  <c r="M229" i="4"/>
  <c r="AD228" i="4"/>
  <c r="Z228" i="4"/>
  <c r="Y228" i="4"/>
  <c r="X228" i="4"/>
  <c r="AC228" i="4" s="1"/>
  <c r="U228" i="4"/>
  <c r="M228" i="4"/>
  <c r="AD227" i="4"/>
  <c r="Z227" i="4"/>
  <c r="Y227" i="4"/>
  <c r="X227" i="4"/>
  <c r="AC227" i="4" s="1"/>
  <c r="U227" i="4"/>
  <c r="M227" i="4"/>
  <c r="AD226" i="4"/>
  <c r="Z226" i="4"/>
  <c r="Y226" i="4"/>
  <c r="X226" i="4"/>
  <c r="AC226" i="4" s="1"/>
  <c r="U226" i="4"/>
  <c r="M226" i="4"/>
  <c r="AD225" i="4"/>
  <c r="Z225" i="4"/>
  <c r="Y225" i="4"/>
  <c r="X225" i="4"/>
  <c r="AC225" i="4" s="1"/>
  <c r="U225" i="4"/>
  <c r="O227" i="2" s="1"/>
  <c r="M225" i="4"/>
  <c r="AD224" i="4"/>
  <c r="Z224" i="4"/>
  <c r="Y224" i="4"/>
  <c r="X224" i="4"/>
  <c r="AC224" i="4" s="1"/>
  <c r="U224" i="4"/>
  <c r="AB224" i="4" s="1"/>
  <c r="M224" i="4"/>
  <c r="AD223" i="4"/>
  <c r="Z223" i="4"/>
  <c r="Y223" i="4"/>
  <c r="X223" i="4"/>
  <c r="AC223" i="4" s="1"/>
  <c r="U223" i="4"/>
  <c r="AE223" i="4" s="1"/>
  <c r="M223" i="4"/>
  <c r="AD222" i="4"/>
  <c r="Z222" i="4"/>
  <c r="Y222" i="4"/>
  <c r="X222" i="4"/>
  <c r="AC222" i="4" s="1"/>
  <c r="U222" i="4"/>
  <c r="M222" i="4"/>
  <c r="AD221" i="4"/>
  <c r="Z221" i="4"/>
  <c r="Y221" i="4"/>
  <c r="X221" i="4"/>
  <c r="AC221" i="4" s="1"/>
  <c r="U221" i="4"/>
  <c r="AB221" i="4" s="1"/>
  <c r="M221" i="4"/>
  <c r="AD220" i="4"/>
  <c r="Z220" i="4"/>
  <c r="Y220" i="4"/>
  <c r="X220" i="4"/>
  <c r="AC220" i="4" s="1"/>
  <c r="U220" i="4"/>
  <c r="O222" i="2" s="1"/>
  <c r="M220" i="4"/>
  <c r="AD219" i="4"/>
  <c r="Z219" i="4"/>
  <c r="Y219" i="4"/>
  <c r="X219" i="4"/>
  <c r="AC219" i="4" s="1"/>
  <c r="U219" i="4"/>
  <c r="O221" i="2" s="1"/>
  <c r="M219" i="4"/>
  <c r="AD218" i="4"/>
  <c r="Z218" i="4"/>
  <c r="Y218" i="4"/>
  <c r="X218" i="4"/>
  <c r="AC218" i="4" s="1"/>
  <c r="U218" i="4"/>
  <c r="AD217" i="4"/>
  <c r="Z217" i="4"/>
  <c r="Y217" i="4"/>
  <c r="X217" i="4"/>
  <c r="U217" i="4"/>
  <c r="AE217" i="4" s="1"/>
  <c r="M217" i="4"/>
  <c r="AD216" i="4"/>
  <c r="Z216" i="4"/>
  <c r="Y216" i="4"/>
  <c r="X216" i="4"/>
  <c r="AC216" i="4" s="1"/>
  <c r="U216" i="4"/>
  <c r="AB216" i="4" s="1"/>
  <c r="M216" i="4"/>
  <c r="AD215" i="4"/>
  <c r="Z215" i="4"/>
  <c r="Y215" i="4"/>
  <c r="X215" i="4"/>
  <c r="AC215" i="4" s="1"/>
  <c r="U215" i="4"/>
  <c r="AB215" i="4" s="1"/>
  <c r="M215" i="4"/>
  <c r="AD214" i="4"/>
  <c r="Z214" i="4"/>
  <c r="Y214" i="4"/>
  <c r="X214" i="4"/>
  <c r="AC214" i="4" s="1"/>
  <c r="U214" i="4"/>
  <c r="V214" i="4" s="1"/>
  <c r="W214" i="4" s="1"/>
  <c r="AD213" i="4"/>
  <c r="Z213" i="4"/>
  <c r="Y213" i="4"/>
  <c r="X213" i="4"/>
  <c r="U213" i="4"/>
  <c r="O215" i="2" s="1"/>
  <c r="M213" i="4"/>
  <c r="AD212" i="4"/>
  <c r="Z212" i="4"/>
  <c r="Y212" i="4"/>
  <c r="X212" i="4"/>
  <c r="AC212" i="4" s="1"/>
  <c r="U212" i="4"/>
  <c r="AE212" i="4" s="1"/>
  <c r="M212" i="4"/>
  <c r="AD211" i="4"/>
  <c r="Z211" i="4"/>
  <c r="Y211" i="4"/>
  <c r="X211" i="4"/>
  <c r="AC211" i="4" s="1"/>
  <c r="U211" i="4"/>
  <c r="M211" i="4"/>
  <c r="AD210" i="4"/>
  <c r="Z210" i="4"/>
  <c r="Y210" i="4"/>
  <c r="X210" i="4"/>
  <c r="AC210" i="4" s="1"/>
  <c r="V210" i="4"/>
  <c r="W210" i="4" s="1"/>
  <c r="U210" i="4"/>
  <c r="O212" i="2" s="1"/>
  <c r="N210" i="4"/>
  <c r="M210" i="4"/>
  <c r="AD209" i="4"/>
  <c r="Z209" i="4"/>
  <c r="Y209" i="4"/>
  <c r="X209" i="4"/>
  <c r="AC209" i="4" s="1"/>
  <c r="V209" i="4"/>
  <c r="W209" i="4" s="1"/>
  <c r="U209" i="4"/>
  <c r="O211" i="2" s="1"/>
  <c r="N209" i="4"/>
  <c r="AD208" i="4"/>
  <c r="Z208" i="4"/>
  <c r="Y208" i="4"/>
  <c r="X208" i="4"/>
  <c r="U208" i="4"/>
  <c r="O210" i="2" s="1"/>
  <c r="M208" i="4"/>
  <c r="AD207" i="4"/>
  <c r="Z207" i="4"/>
  <c r="Y207" i="4"/>
  <c r="X207" i="4"/>
  <c r="AC207" i="4" s="1"/>
  <c r="U207" i="4"/>
  <c r="O209" i="2" s="1"/>
  <c r="M207" i="4"/>
  <c r="AD206" i="4"/>
  <c r="Z206" i="4"/>
  <c r="Y206" i="4"/>
  <c r="X206" i="4"/>
  <c r="AC206" i="4" s="1"/>
  <c r="U206" i="4"/>
  <c r="AE206" i="4" s="1"/>
  <c r="M206" i="4"/>
  <c r="AD205" i="4"/>
  <c r="Z205" i="4"/>
  <c r="Y205" i="4"/>
  <c r="X205" i="4"/>
  <c r="AC205" i="4" s="1"/>
  <c r="U205" i="4"/>
  <c r="AD204" i="4"/>
  <c r="Z204" i="4"/>
  <c r="Y204" i="4"/>
  <c r="X204" i="4"/>
  <c r="U204" i="4"/>
  <c r="AB204" i="4" s="1"/>
  <c r="M204" i="4"/>
  <c r="AD203" i="4"/>
  <c r="Z203" i="4"/>
  <c r="Y203" i="4"/>
  <c r="X203" i="4"/>
  <c r="AC203" i="4" s="1"/>
  <c r="U203" i="4"/>
  <c r="AB203" i="4" s="1"/>
  <c r="M203" i="4"/>
  <c r="AD202" i="4"/>
  <c r="Z202" i="4"/>
  <c r="Y202" i="4"/>
  <c r="X202" i="4"/>
  <c r="AC202" i="4" s="1"/>
  <c r="U202" i="4"/>
  <c r="O204" i="2" s="1"/>
  <c r="M202" i="4"/>
  <c r="AD201" i="4"/>
  <c r="Z201" i="4"/>
  <c r="Y201" i="4"/>
  <c r="X201" i="4"/>
  <c r="AC201" i="4" s="1"/>
  <c r="U201" i="4"/>
  <c r="O203" i="2" s="1"/>
  <c r="M201" i="4"/>
  <c r="AD200" i="4"/>
  <c r="Z200" i="4"/>
  <c r="Y200" i="4"/>
  <c r="X200" i="4"/>
  <c r="AC200" i="4" s="1"/>
  <c r="U200" i="4"/>
  <c r="AB200" i="4" s="1"/>
  <c r="M200" i="4"/>
  <c r="AD199" i="4"/>
  <c r="Z199" i="4"/>
  <c r="Y199" i="4"/>
  <c r="X199" i="4"/>
  <c r="AC199" i="4" s="1"/>
  <c r="U199" i="4"/>
  <c r="M199" i="4"/>
  <c r="AD198" i="4"/>
  <c r="Z198" i="4"/>
  <c r="Y198" i="4"/>
  <c r="X198" i="4"/>
  <c r="AC198" i="4" s="1"/>
  <c r="U198" i="4"/>
  <c r="AB198" i="4" s="1"/>
  <c r="M198" i="4"/>
  <c r="AD197" i="4"/>
  <c r="Z197" i="4"/>
  <c r="Y197" i="4"/>
  <c r="X197" i="4"/>
  <c r="AC197" i="4" s="1"/>
  <c r="U197" i="4"/>
  <c r="AB197" i="4" s="1"/>
  <c r="M197" i="4"/>
  <c r="AD196" i="4"/>
  <c r="Z196" i="4"/>
  <c r="Y196" i="4"/>
  <c r="X196" i="4"/>
  <c r="AC196" i="4" s="1"/>
  <c r="U196" i="4"/>
  <c r="O198" i="2" s="1"/>
  <c r="M196" i="4"/>
  <c r="AD195" i="4"/>
  <c r="Z195" i="4"/>
  <c r="Y195" i="4"/>
  <c r="X195" i="4"/>
  <c r="AC195" i="4" s="1"/>
  <c r="U195" i="4"/>
  <c r="M195" i="4"/>
  <c r="AD194" i="4"/>
  <c r="Z194" i="4"/>
  <c r="Y194" i="4"/>
  <c r="X194" i="4"/>
  <c r="AC194" i="4" s="1"/>
  <c r="U194" i="4"/>
  <c r="M194" i="4"/>
  <c r="AD193" i="4"/>
  <c r="Z193" i="4"/>
  <c r="Y193" i="4"/>
  <c r="X193" i="4"/>
  <c r="AC193" i="4" s="1"/>
  <c r="U193" i="4"/>
  <c r="AE193" i="4" s="1"/>
  <c r="M193" i="4"/>
  <c r="AD192" i="4"/>
  <c r="Z192" i="4"/>
  <c r="Y192" i="4"/>
  <c r="X192" i="4"/>
  <c r="AC192" i="4" s="1"/>
  <c r="U192" i="4"/>
  <c r="AB192" i="4" s="1"/>
  <c r="M192" i="4"/>
  <c r="AD191" i="4"/>
  <c r="Z191" i="4"/>
  <c r="Y191" i="4"/>
  <c r="X191" i="4"/>
  <c r="AC191" i="4" s="1"/>
  <c r="U191" i="4"/>
  <c r="V191" i="4" s="1"/>
  <c r="W191" i="4" s="1"/>
  <c r="AD190" i="4"/>
  <c r="Z190" i="4"/>
  <c r="Y190" i="4"/>
  <c r="X190" i="4"/>
  <c r="U190" i="4"/>
  <c r="AE190" i="4" s="1"/>
  <c r="M190" i="4"/>
  <c r="AD189" i="4"/>
  <c r="Z189" i="4"/>
  <c r="Y189" i="4"/>
  <c r="X189" i="4"/>
  <c r="AC189" i="4" s="1"/>
  <c r="U189" i="4"/>
  <c r="O191" i="2" s="1"/>
  <c r="M189" i="4"/>
  <c r="AD188" i="4"/>
  <c r="Z188" i="4"/>
  <c r="Y188" i="4"/>
  <c r="X188" i="4"/>
  <c r="AC188" i="4" s="1"/>
  <c r="U188" i="4"/>
  <c r="O190" i="2" s="1"/>
  <c r="M188" i="4"/>
  <c r="AD187" i="4"/>
  <c r="Z187" i="4"/>
  <c r="Y187" i="4"/>
  <c r="X187" i="4"/>
  <c r="AC187" i="4" s="1"/>
  <c r="U187" i="4"/>
  <c r="AE187" i="4" s="1"/>
  <c r="M187" i="4"/>
  <c r="AD186" i="4"/>
  <c r="Z186" i="4"/>
  <c r="Y186" i="4"/>
  <c r="X186" i="4"/>
  <c r="AC186" i="4" s="1"/>
  <c r="U186" i="4"/>
  <c r="AB186" i="4" s="1"/>
  <c r="M186" i="4"/>
  <c r="AD185" i="4"/>
  <c r="Z185" i="4"/>
  <c r="Y185" i="4"/>
  <c r="X185" i="4"/>
  <c r="AC185" i="4" s="1"/>
  <c r="U185" i="4"/>
  <c r="M185" i="4"/>
  <c r="AD184" i="4"/>
  <c r="Z184" i="4"/>
  <c r="Y184" i="4"/>
  <c r="X184" i="4"/>
  <c r="AC184" i="4" s="1"/>
  <c r="U184" i="4"/>
  <c r="AE184" i="4" s="1"/>
  <c r="M184" i="4"/>
  <c r="AD183" i="4"/>
  <c r="Z183" i="4"/>
  <c r="Y183" i="4"/>
  <c r="X183" i="4"/>
  <c r="AC183" i="4" s="1"/>
  <c r="U183" i="4"/>
  <c r="O185" i="2" s="1"/>
  <c r="M183" i="4"/>
  <c r="AD182" i="4"/>
  <c r="Z182" i="4"/>
  <c r="Y182" i="4"/>
  <c r="X182" i="4"/>
  <c r="AC182" i="4" s="1"/>
  <c r="U182" i="4"/>
  <c r="M182" i="4"/>
  <c r="AD181" i="4"/>
  <c r="Z181" i="4"/>
  <c r="Y181" i="4"/>
  <c r="X181" i="4"/>
  <c r="AC181" i="4" s="1"/>
  <c r="U181" i="4"/>
  <c r="O183" i="2" s="1"/>
  <c r="M181" i="4"/>
  <c r="AD180" i="4"/>
  <c r="Z180" i="4"/>
  <c r="Y180" i="4"/>
  <c r="X180" i="4"/>
  <c r="AC180" i="4" s="1"/>
  <c r="U180" i="4"/>
  <c r="AD179" i="4"/>
  <c r="Z179" i="4"/>
  <c r="Y179" i="4"/>
  <c r="X179" i="4"/>
  <c r="U179" i="4"/>
  <c r="M179" i="4"/>
  <c r="AD178" i="4"/>
  <c r="Z178" i="4"/>
  <c r="Y178" i="4"/>
  <c r="X178" i="4"/>
  <c r="AC178" i="4" s="1"/>
  <c r="U178" i="4"/>
  <c r="AE178" i="4" s="1"/>
  <c r="M178" i="4"/>
  <c r="AD177" i="4"/>
  <c r="Z177" i="4"/>
  <c r="Y177" i="4"/>
  <c r="X177" i="4"/>
  <c r="AC177" i="4" s="1"/>
  <c r="U177" i="4"/>
  <c r="AE177" i="4" s="1"/>
  <c r="M177" i="4"/>
  <c r="AD176" i="4"/>
  <c r="Z176" i="4"/>
  <c r="Y176" i="4"/>
  <c r="X176" i="4"/>
  <c r="AC176" i="4" s="1"/>
  <c r="U176" i="4"/>
  <c r="M176" i="4"/>
  <c r="AD175" i="4"/>
  <c r="Z175" i="4"/>
  <c r="Y175" i="4"/>
  <c r="X175" i="4"/>
  <c r="AC175" i="4" s="1"/>
  <c r="U175" i="4"/>
  <c r="O177" i="2" s="1"/>
  <c r="M175" i="4"/>
  <c r="AD174" i="4"/>
  <c r="Z174" i="4"/>
  <c r="Y174" i="4"/>
  <c r="X174" i="4"/>
  <c r="AC174" i="4" s="1"/>
  <c r="U174" i="4"/>
  <c r="M174" i="4"/>
  <c r="AD173" i="4"/>
  <c r="Z173" i="4"/>
  <c r="Y173" i="4"/>
  <c r="X173" i="4"/>
  <c r="AC173" i="4" s="1"/>
  <c r="V173" i="4"/>
  <c r="W173" i="4" s="1"/>
  <c r="U173" i="4"/>
  <c r="O175" i="2" s="1"/>
  <c r="N173" i="4"/>
  <c r="AD172" i="4"/>
  <c r="Z172" i="4"/>
  <c r="Y172" i="4"/>
  <c r="X172" i="4"/>
  <c r="AC172" i="4" s="1"/>
  <c r="V172" i="4"/>
  <c r="W172" i="4" s="1"/>
  <c r="U172" i="4"/>
  <c r="AE172" i="4" s="1"/>
  <c r="N172" i="4"/>
  <c r="M172" i="4"/>
  <c r="AD171" i="4"/>
  <c r="Z171" i="4"/>
  <c r="Y171" i="4"/>
  <c r="X171" i="4"/>
  <c r="AC171" i="4" s="1"/>
  <c r="V171" i="4"/>
  <c r="W171" i="4" s="1"/>
  <c r="U171" i="4"/>
  <c r="AE171" i="4" s="1"/>
  <c r="N171" i="4"/>
  <c r="M171" i="4"/>
  <c r="AD170" i="4"/>
  <c r="Z170" i="4"/>
  <c r="Y170" i="4"/>
  <c r="X170" i="4"/>
  <c r="AC170" i="4" s="1"/>
  <c r="V170" i="4"/>
  <c r="W170" i="4" s="1"/>
  <c r="U170" i="4"/>
  <c r="AB170" i="4" s="1"/>
  <c r="N170" i="4"/>
  <c r="M170" i="4"/>
  <c r="AD169" i="4"/>
  <c r="Z169" i="4"/>
  <c r="Y169" i="4"/>
  <c r="X169" i="4"/>
  <c r="AC169" i="4" s="1"/>
  <c r="V169" i="4"/>
  <c r="W169" i="4" s="1"/>
  <c r="U169" i="4"/>
  <c r="N169" i="4"/>
  <c r="M169" i="4"/>
  <c r="AD168" i="4"/>
  <c r="Z168" i="4"/>
  <c r="Y168" i="4"/>
  <c r="X168" i="4"/>
  <c r="AC168" i="4" s="1"/>
  <c r="V168" i="4"/>
  <c r="W168" i="4" s="1"/>
  <c r="U168" i="4"/>
  <c r="O170" i="2" s="1"/>
  <c r="N168" i="4"/>
  <c r="AD167" i="4"/>
  <c r="Z167" i="4"/>
  <c r="Y167" i="4"/>
  <c r="X167" i="4"/>
  <c r="U167" i="4"/>
  <c r="AB167" i="4" s="1"/>
  <c r="M167" i="4"/>
  <c r="AD166" i="4"/>
  <c r="Z166" i="4"/>
  <c r="Y166" i="4"/>
  <c r="X166" i="4"/>
  <c r="AC166" i="4" s="1"/>
  <c r="U166" i="4"/>
  <c r="AE166" i="4" s="1"/>
  <c r="M166" i="4"/>
  <c r="AD165" i="4"/>
  <c r="Z165" i="4"/>
  <c r="Y165" i="4"/>
  <c r="X165" i="4"/>
  <c r="AC165" i="4" s="1"/>
  <c r="U165" i="4"/>
  <c r="M165" i="4"/>
  <c r="AD164" i="4"/>
  <c r="Z164" i="4"/>
  <c r="Y164" i="4"/>
  <c r="X164" i="4"/>
  <c r="AC164" i="4" s="1"/>
  <c r="U164" i="4"/>
  <c r="AB164" i="4" s="1"/>
  <c r="M164" i="4"/>
  <c r="AD163" i="4"/>
  <c r="Z163" i="4"/>
  <c r="Y163" i="4"/>
  <c r="X163" i="4"/>
  <c r="AC163" i="4" s="1"/>
  <c r="U163" i="4"/>
  <c r="O165" i="2" s="1"/>
  <c r="M163" i="4"/>
  <c r="AD162" i="4"/>
  <c r="Z162" i="4"/>
  <c r="Y162" i="4"/>
  <c r="X162" i="4"/>
  <c r="AC162" i="4" s="1"/>
  <c r="U162" i="4"/>
  <c r="M162" i="4"/>
  <c r="AD161" i="4"/>
  <c r="Z161" i="4"/>
  <c r="Y161" i="4"/>
  <c r="X161" i="4"/>
  <c r="U161" i="4"/>
  <c r="AB161" i="4" s="1"/>
  <c r="M161" i="4"/>
  <c r="AD160" i="4"/>
  <c r="Z160" i="4"/>
  <c r="Y160" i="4"/>
  <c r="X160" i="4"/>
  <c r="AC160" i="4" s="1"/>
  <c r="U160" i="4"/>
  <c r="AB160" i="4" s="1"/>
  <c r="M160" i="4"/>
  <c r="AD159" i="4"/>
  <c r="Z159" i="4"/>
  <c r="Y159" i="4"/>
  <c r="X159" i="4"/>
  <c r="AC159" i="4" s="1"/>
  <c r="U159" i="4"/>
  <c r="AE159" i="4" s="1"/>
  <c r="M159" i="4"/>
  <c r="AD158" i="4"/>
  <c r="Z158" i="4"/>
  <c r="Y158" i="4"/>
  <c r="X158" i="4"/>
  <c r="AC158" i="4" s="1"/>
  <c r="U158" i="4"/>
  <c r="O160" i="2" s="1"/>
  <c r="M158" i="4"/>
  <c r="AD157" i="4"/>
  <c r="Z157" i="4"/>
  <c r="Y157" i="4"/>
  <c r="X157" i="4"/>
  <c r="AC157" i="4" s="1"/>
  <c r="U157" i="4"/>
  <c r="AE157" i="4" s="1"/>
  <c r="M157" i="4"/>
  <c r="AD156" i="4"/>
  <c r="Z156" i="4"/>
  <c r="Y156" i="4"/>
  <c r="X156" i="4"/>
  <c r="AC156" i="4" s="1"/>
  <c r="U156" i="4"/>
  <c r="AE156" i="4" s="1"/>
  <c r="M156" i="4"/>
  <c r="AD155" i="4"/>
  <c r="Z155" i="4"/>
  <c r="Y155" i="4"/>
  <c r="X155" i="4"/>
  <c r="AC155" i="4" s="1"/>
  <c r="U155" i="4"/>
  <c r="AB155" i="4" s="1"/>
  <c r="M155" i="4"/>
  <c r="AD154" i="4"/>
  <c r="Z154" i="4"/>
  <c r="Y154" i="4"/>
  <c r="X154" i="4"/>
  <c r="AC154" i="4" s="1"/>
  <c r="U154" i="4"/>
  <c r="AD153" i="4"/>
  <c r="Z153" i="4"/>
  <c r="Y153" i="4"/>
  <c r="X153" i="4"/>
  <c r="U153" i="4"/>
  <c r="AE153" i="4" s="1"/>
  <c r="M153" i="4"/>
  <c r="AD152" i="4"/>
  <c r="Z152" i="4"/>
  <c r="Y152" i="4"/>
  <c r="X152" i="4"/>
  <c r="AC152" i="4" s="1"/>
  <c r="U152" i="4"/>
  <c r="AB152" i="4" s="1"/>
  <c r="M152" i="4"/>
  <c r="AD151" i="4"/>
  <c r="Z151" i="4"/>
  <c r="Y151" i="4"/>
  <c r="X151" i="4"/>
  <c r="AC151" i="4" s="1"/>
  <c r="U151" i="4"/>
  <c r="M151" i="4"/>
  <c r="AD150" i="4"/>
  <c r="Z150" i="4"/>
  <c r="Y150" i="4"/>
  <c r="X150" i="4"/>
  <c r="AC150" i="4" s="1"/>
  <c r="U150" i="4"/>
  <c r="AE150" i="4" s="1"/>
  <c r="M150" i="4"/>
  <c r="AD149" i="4"/>
  <c r="Z149" i="4"/>
  <c r="Y149" i="4"/>
  <c r="X149" i="4"/>
  <c r="AC149" i="4" s="1"/>
  <c r="U149" i="4"/>
  <c r="M149" i="4"/>
  <c r="AD148" i="4"/>
  <c r="Z148" i="4"/>
  <c r="Y148" i="4"/>
  <c r="X148" i="4"/>
  <c r="AC148" i="4" s="1"/>
  <c r="U148" i="4"/>
  <c r="AE148" i="4" s="1"/>
  <c r="M148" i="4"/>
  <c r="AD147" i="4"/>
  <c r="Z147" i="4"/>
  <c r="Y147" i="4"/>
  <c r="X147" i="4"/>
  <c r="AC147" i="4" s="1"/>
  <c r="U147" i="4"/>
  <c r="M147" i="4"/>
  <c r="AD146" i="4"/>
  <c r="Z146" i="4"/>
  <c r="Y146" i="4"/>
  <c r="X146" i="4"/>
  <c r="AC146" i="4" s="1"/>
  <c r="U146" i="4"/>
  <c r="AB146" i="4" s="1"/>
  <c r="M146" i="4"/>
  <c r="AD145" i="4"/>
  <c r="Z145" i="4"/>
  <c r="Y145" i="4"/>
  <c r="X145" i="4"/>
  <c r="AC145" i="4" s="1"/>
  <c r="U145" i="4"/>
  <c r="AE145" i="4" s="1"/>
  <c r="M145" i="4"/>
  <c r="AD144" i="4"/>
  <c r="Z144" i="4"/>
  <c r="Y144" i="4"/>
  <c r="X144" i="4"/>
  <c r="AC144" i="4" s="1"/>
  <c r="U144" i="4"/>
  <c r="O146" i="2" s="1"/>
  <c r="M144" i="4"/>
  <c r="AD143" i="4"/>
  <c r="Z143" i="4"/>
  <c r="Y143" i="4"/>
  <c r="X143" i="4"/>
  <c r="AC143" i="4" s="1"/>
  <c r="U143" i="4"/>
  <c r="V143" i="4" s="1"/>
  <c r="W143" i="4" s="1"/>
  <c r="AD142" i="4"/>
  <c r="Z142" i="4"/>
  <c r="Y142" i="4"/>
  <c r="X142" i="4"/>
  <c r="U142" i="4"/>
  <c r="O144" i="2" s="1"/>
  <c r="M142" i="4"/>
  <c r="AD141" i="4"/>
  <c r="Z141" i="4"/>
  <c r="Y141" i="4"/>
  <c r="X141" i="4"/>
  <c r="AC141" i="4" s="1"/>
  <c r="U141" i="4"/>
  <c r="AE141" i="4" s="1"/>
  <c r="M141" i="4"/>
  <c r="AD140" i="4"/>
  <c r="Z140" i="4"/>
  <c r="Y140" i="4"/>
  <c r="X140" i="4"/>
  <c r="AC140" i="4" s="1"/>
  <c r="U140" i="4"/>
  <c r="AB140" i="4" s="1"/>
  <c r="M140" i="4"/>
  <c r="AD139" i="4"/>
  <c r="Z139" i="4"/>
  <c r="Y139" i="4"/>
  <c r="X139" i="4"/>
  <c r="AC139" i="4" s="1"/>
  <c r="U139" i="4"/>
  <c r="V139" i="4" s="1"/>
  <c r="W139" i="4" s="1"/>
  <c r="AD138" i="4"/>
  <c r="Z138" i="4"/>
  <c r="Y138" i="4"/>
  <c r="X138" i="4"/>
  <c r="AC138" i="4" s="1"/>
  <c r="V138" i="4"/>
  <c r="W138" i="4" s="1"/>
  <c r="U138" i="4"/>
  <c r="AE138" i="4" s="1"/>
  <c r="N138" i="4"/>
  <c r="M138" i="4"/>
  <c r="AD137" i="4"/>
  <c r="Z137" i="4"/>
  <c r="Y137" i="4"/>
  <c r="X137" i="4"/>
  <c r="AC137" i="4" s="1"/>
  <c r="V137" i="4"/>
  <c r="W137" i="4" s="1"/>
  <c r="U137" i="4"/>
  <c r="N137" i="4"/>
  <c r="M137" i="4"/>
  <c r="AD136" i="4"/>
  <c r="Z136" i="4"/>
  <c r="Y136" i="4"/>
  <c r="X136" i="4"/>
  <c r="AC136" i="4" s="1"/>
  <c r="V136" i="4"/>
  <c r="W136" i="4" s="1"/>
  <c r="U136" i="4"/>
  <c r="AB136" i="4" s="1"/>
  <c r="N136" i="4"/>
  <c r="M136" i="4"/>
  <c r="AD135" i="4"/>
  <c r="Z135" i="4"/>
  <c r="Y135" i="4"/>
  <c r="X135" i="4"/>
  <c r="AC135" i="4" s="1"/>
  <c r="V135" i="4"/>
  <c r="W135" i="4" s="1"/>
  <c r="U135" i="4"/>
  <c r="AE135" i="4" s="1"/>
  <c r="N135" i="4"/>
  <c r="M135" i="4"/>
  <c r="AD134" i="4"/>
  <c r="Z134" i="4"/>
  <c r="Y134" i="4"/>
  <c r="X134" i="4"/>
  <c r="AC134" i="4" s="1"/>
  <c r="V134" i="4"/>
  <c r="W134" i="4" s="1"/>
  <c r="U134" i="4"/>
  <c r="N134" i="4"/>
  <c r="AD133" i="4"/>
  <c r="Z133" i="4"/>
  <c r="Y133" i="4"/>
  <c r="X133" i="4"/>
  <c r="AC133" i="4" s="1"/>
  <c r="V133" i="4"/>
  <c r="W133" i="4" s="1"/>
  <c r="U133" i="4"/>
  <c r="AE133" i="4" s="1"/>
  <c r="N133" i="4"/>
  <c r="M133" i="4"/>
  <c r="AD132" i="4"/>
  <c r="Z132" i="4"/>
  <c r="Y132" i="4"/>
  <c r="X132" i="4"/>
  <c r="AC132" i="4" s="1"/>
  <c r="V132" i="4"/>
  <c r="W132" i="4" s="1"/>
  <c r="U132" i="4"/>
  <c r="AE132" i="4" s="1"/>
  <c r="N132" i="4"/>
  <c r="M132" i="4"/>
  <c r="AD131" i="4"/>
  <c r="Z131" i="4"/>
  <c r="Y131" i="4"/>
  <c r="X131" i="4"/>
  <c r="AC131" i="4" s="1"/>
  <c r="V131" i="4"/>
  <c r="W131" i="4" s="1"/>
  <c r="U131" i="4"/>
  <c r="O133" i="2" s="1"/>
  <c r="N131" i="4"/>
  <c r="M131" i="4"/>
  <c r="AD130" i="4"/>
  <c r="Z130" i="4"/>
  <c r="Y130" i="4"/>
  <c r="X130" i="4"/>
  <c r="AC130" i="4" s="1"/>
  <c r="V130" i="4"/>
  <c r="W130" i="4" s="1"/>
  <c r="U130" i="4"/>
  <c r="AE130" i="4" s="1"/>
  <c r="N130" i="4"/>
  <c r="M130" i="4"/>
  <c r="AD129" i="4"/>
  <c r="Z129" i="4"/>
  <c r="Y129" i="4"/>
  <c r="X129" i="4"/>
  <c r="AC129" i="4" s="1"/>
  <c r="V129" i="4"/>
  <c r="W129" i="4" s="1"/>
  <c r="U129" i="4"/>
  <c r="O131" i="2" s="1"/>
  <c r="N129" i="4"/>
  <c r="AD128" i="4"/>
  <c r="Z128" i="4"/>
  <c r="Y128" i="4"/>
  <c r="X128" i="4"/>
  <c r="U128" i="4"/>
  <c r="M128" i="4"/>
  <c r="AD127" i="4"/>
  <c r="Z127" i="4"/>
  <c r="Y127" i="4"/>
  <c r="X127" i="4"/>
  <c r="AC127" i="4" s="1"/>
  <c r="U127" i="4"/>
  <c r="AE127" i="4" s="1"/>
  <c r="M127" i="4"/>
  <c r="AD126" i="4"/>
  <c r="Z126" i="4"/>
  <c r="Y126" i="4"/>
  <c r="X126" i="4"/>
  <c r="AC126" i="4" s="1"/>
  <c r="U126" i="4"/>
  <c r="AE126" i="4" s="1"/>
  <c r="M126" i="4"/>
  <c r="AD125" i="4"/>
  <c r="Z125" i="4"/>
  <c r="Y125" i="4"/>
  <c r="X125" i="4"/>
  <c r="AC125" i="4" s="1"/>
  <c r="U125" i="4"/>
  <c r="AB125" i="4" s="1"/>
  <c r="M125" i="4"/>
  <c r="AD124" i="4"/>
  <c r="Z124" i="4"/>
  <c r="Y124" i="4"/>
  <c r="X124" i="4"/>
  <c r="AC124" i="4" s="1"/>
  <c r="U124" i="4"/>
  <c r="M124" i="4"/>
  <c r="AD123" i="4"/>
  <c r="Z123" i="4"/>
  <c r="Y123" i="4"/>
  <c r="X123" i="4"/>
  <c r="U123" i="4"/>
  <c r="M123" i="4"/>
  <c r="AD122" i="4"/>
  <c r="Z122" i="4"/>
  <c r="Y122" i="4"/>
  <c r="X122" i="4"/>
  <c r="AC122" i="4" s="1"/>
  <c r="U122" i="4"/>
  <c r="AB122" i="4" s="1"/>
  <c r="M122" i="4"/>
  <c r="AD121" i="4"/>
  <c r="Z121" i="4"/>
  <c r="Y121" i="4"/>
  <c r="X121" i="4"/>
  <c r="AC121" i="4" s="1"/>
  <c r="U121" i="4"/>
  <c r="M121" i="4"/>
  <c r="AD120" i="4"/>
  <c r="Z120" i="4"/>
  <c r="Y120" i="4"/>
  <c r="X120" i="4"/>
  <c r="AC120" i="4" s="1"/>
  <c r="U120" i="4"/>
  <c r="AE120" i="4" s="1"/>
  <c r="M120" i="4"/>
  <c r="AD119" i="4"/>
  <c r="Z119" i="4"/>
  <c r="Y119" i="4"/>
  <c r="X119" i="4"/>
  <c r="AC119" i="4" s="1"/>
  <c r="U119" i="4"/>
  <c r="M119" i="4"/>
  <c r="AD118" i="4"/>
  <c r="Z118" i="4"/>
  <c r="Y118" i="4"/>
  <c r="X118" i="4"/>
  <c r="AC118" i="4" s="1"/>
  <c r="U118" i="4"/>
  <c r="M118" i="4"/>
  <c r="AD117" i="4"/>
  <c r="Z117" i="4"/>
  <c r="Y117" i="4"/>
  <c r="X117" i="4"/>
  <c r="AC117" i="4" s="1"/>
  <c r="U117" i="4"/>
  <c r="AE117" i="4" s="1"/>
  <c r="M117" i="4"/>
  <c r="AD116" i="4"/>
  <c r="Z116" i="4"/>
  <c r="Y116" i="4"/>
  <c r="X116" i="4"/>
  <c r="AC116" i="4" s="1"/>
  <c r="U116" i="4"/>
  <c r="O118" i="2" s="1"/>
  <c r="M116" i="4"/>
  <c r="AD115" i="4"/>
  <c r="Z115" i="4"/>
  <c r="Y115" i="4"/>
  <c r="X115" i="4"/>
  <c r="AC115" i="4" s="1"/>
  <c r="U115" i="4"/>
  <c r="AE115" i="4" s="1"/>
  <c r="M115" i="4"/>
  <c r="AD114" i="4"/>
  <c r="Z114" i="4"/>
  <c r="Y114" i="4"/>
  <c r="X114" i="4"/>
  <c r="AC114" i="4" s="1"/>
  <c r="U114" i="4"/>
  <c r="O116" i="2" s="1"/>
  <c r="M114" i="4"/>
  <c r="AD113" i="4"/>
  <c r="Z113" i="4"/>
  <c r="Y113" i="4"/>
  <c r="X113" i="4"/>
  <c r="AC113" i="4" s="1"/>
  <c r="U113" i="4"/>
  <c r="O115" i="2" s="1"/>
  <c r="M113" i="4"/>
  <c r="AD112" i="4"/>
  <c r="Z112" i="4"/>
  <c r="Y112" i="4"/>
  <c r="X112" i="4"/>
  <c r="AC112" i="4" s="1"/>
  <c r="U112" i="4"/>
  <c r="O114" i="2" s="1"/>
  <c r="M112" i="4"/>
  <c r="AD111" i="4"/>
  <c r="Z111" i="4"/>
  <c r="Y111" i="4"/>
  <c r="X111" i="4"/>
  <c r="AC111" i="4" s="1"/>
  <c r="U111" i="4"/>
  <c r="AD110" i="4"/>
  <c r="Z110" i="4"/>
  <c r="Y110" i="4"/>
  <c r="X110" i="4"/>
  <c r="U110" i="4"/>
  <c r="AE110" i="4" s="1"/>
  <c r="M110" i="4"/>
  <c r="AD109" i="4"/>
  <c r="Z109" i="4"/>
  <c r="Y109" i="4"/>
  <c r="X109" i="4"/>
  <c r="AC109" i="4" s="1"/>
  <c r="U109" i="4"/>
  <c r="AE109" i="4" s="1"/>
  <c r="M109" i="4"/>
  <c r="AD108" i="4"/>
  <c r="Z108" i="4"/>
  <c r="Y108" i="4"/>
  <c r="X108" i="4"/>
  <c r="AC108" i="4" s="1"/>
  <c r="U108" i="4"/>
  <c r="M108" i="4"/>
  <c r="AD107" i="4"/>
  <c r="Z107" i="4"/>
  <c r="Y107" i="4"/>
  <c r="X107" i="4"/>
  <c r="AC107" i="4" s="1"/>
  <c r="U107" i="4"/>
  <c r="AE107" i="4" s="1"/>
  <c r="M107" i="4"/>
  <c r="AD106" i="4"/>
  <c r="Z106" i="4"/>
  <c r="Y106" i="4"/>
  <c r="X106" i="4"/>
  <c r="AC106" i="4" s="1"/>
  <c r="U106" i="4"/>
  <c r="M106" i="4"/>
  <c r="AD105" i="4"/>
  <c r="Z105" i="4"/>
  <c r="Y105" i="4"/>
  <c r="X105" i="4"/>
  <c r="AC105" i="4" s="1"/>
  <c r="U105" i="4"/>
  <c r="O107" i="2" s="1"/>
  <c r="M105" i="4"/>
  <c r="AD104" i="4"/>
  <c r="Z104" i="4"/>
  <c r="Y104" i="4"/>
  <c r="X104" i="4"/>
  <c r="AC104" i="4" s="1"/>
  <c r="U104" i="4"/>
  <c r="M104" i="4"/>
  <c r="AD103" i="4"/>
  <c r="Z103" i="4"/>
  <c r="Y103" i="4"/>
  <c r="X103" i="4"/>
  <c r="AC103" i="4" s="1"/>
  <c r="U103" i="4"/>
  <c r="AB103" i="4" s="1"/>
  <c r="M103" i="4"/>
  <c r="AD102" i="4"/>
  <c r="Z102" i="4"/>
  <c r="Y102" i="4"/>
  <c r="X102" i="4"/>
  <c r="AC102" i="4" s="1"/>
  <c r="U102" i="4"/>
  <c r="M102" i="4"/>
  <c r="AD101" i="4"/>
  <c r="Z101" i="4"/>
  <c r="Y101" i="4"/>
  <c r="X101" i="4"/>
  <c r="AC101" i="4" s="1"/>
  <c r="U101" i="4"/>
  <c r="AD100" i="4"/>
  <c r="Z100" i="4"/>
  <c r="Y100" i="4"/>
  <c r="X100" i="4"/>
  <c r="AC100" i="4" s="1"/>
  <c r="V100" i="4"/>
  <c r="W100" i="4" s="1"/>
  <c r="U100" i="4"/>
  <c r="AE100" i="4" s="1"/>
  <c r="N100" i="4"/>
  <c r="M100" i="4"/>
  <c r="AD99" i="4"/>
  <c r="Z99" i="4"/>
  <c r="Y99" i="4"/>
  <c r="X99" i="4"/>
  <c r="AC99" i="4" s="1"/>
  <c r="V99" i="4"/>
  <c r="W99" i="4" s="1"/>
  <c r="U99" i="4"/>
  <c r="O101" i="2" s="1"/>
  <c r="N99" i="4"/>
  <c r="M99" i="4"/>
  <c r="AD98" i="4"/>
  <c r="Z98" i="4"/>
  <c r="Y98" i="4"/>
  <c r="X98" i="4"/>
  <c r="AC98" i="4" s="1"/>
  <c r="V98" i="4"/>
  <c r="W98" i="4" s="1"/>
  <c r="U98" i="4"/>
  <c r="AE98" i="4" s="1"/>
  <c r="N98" i="4"/>
  <c r="M98" i="4"/>
  <c r="AD97" i="4"/>
  <c r="Z97" i="4"/>
  <c r="Y97" i="4"/>
  <c r="X97" i="4"/>
  <c r="AC97" i="4" s="1"/>
  <c r="V97" i="4"/>
  <c r="W97" i="4" s="1"/>
  <c r="U97" i="4"/>
  <c r="AE97" i="4" s="1"/>
  <c r="N97" i="4"/>
  <c r="M97" i="4"/>
  <c r="AD96" i="4"/>
  <c r="Z96" i="4"/>
  <c r="Y96" i="4"/>
  <c r="X96" i="4"/>
  <c r="AC96" i="4" s="1"/>
  <c r="V96" i="4"/>
  <c r="W96" i="4" s="1"/>
  <c r="U96" i="4"/>
  <c r="AE96" i="4" s="1"/>
  <c r="N96" i="4"/>
  <c r="M96" i="4"/>
  <c r="AD95" i="4"/>
  <c r="Z95" i="4"/>
  <c r="Y95" i="4"/>
  <c r="X95" i="4"/>
  <c r="U95" i="4"/>
  <c r="M95" i="4"/>
  <c r="AD94" i="4"/>
  <c r="Z94" i="4"/>
  <c r="Y94" i="4"/>
  <c r="X94" i="4"/>
  <c r="AC94" i="4" s="1"/>
  <c r="U94" i="4"/>
  <c r="AB94" i="4" s="1"/>
  <c r="M94" i="4"/>
  <c r="AD93" i="4"/>
  <c r="Z93" i="4"/>
  <c r="Y93" i="4"/>
  <c r="X93" i="4"/>
  <c r="AC93" i="4" s="1"/>
  <c r="U93" i="4"/>
  <c r="M93" i="4"/>
  <c r="AD92" i="4"/>
  <c r="Z92" i="4"/>
  <c r="Y92" i="4"/>
  <c r="X92" i="4"/>
  <c r="AC92" i="4" s="1"/>
  <c r="V92" i="4"/>
  <c r="W92" i="4" s="1"/>
  <c r="U92" i="4"/>
  <c r="O94" i="2" s="1"/>
  <c r="N92" i="4"/>
  <c r="AD91" i="4"/>
  <c r="Z91" i="4"/>
  <c r="Y91" i="4"/>
  <c r="X91" i="4"/>
  <c r="U91" i="4"/>
  <c r="O93" i="2" s="1"/>
  <c r="M91" i="4"/>
  <c r="AD90" i="4"/>
  <c r="Z90" i="4"/>
  <c r="Y90" i="4"/>
  <c r="X90" i="4"/>
  <c r="AC90" i="4" s="1"/>
  <c r="U90" i="4"/>
  <c r="M90" i="4"/>
  <c r="AD89" i="4"/>
  <c r="Z89" i="4"/>
  <c r="Y89" i="4"/>
  <c r="X89" i="4"/>
  <c r="AC89" i="4" s="1"/>
  <c r="U89" i="4"/>
  <c r="M89" i="4"/>
  <c r="AD88" i="4"/>
  <c r="Z88" i="4"/>
  <c r="Y88" i="4"/>
  <c r="X88" i="4"/>
  <c r="AC88" i="4" s="1"/>
  <c r="U88" i="4"/>
  <c r="M88" i="4"/>
  <c r="AD87" i="4"/>
  <c r="Z87" i="4"/>
  <c r="Y87" i="4"/>
  <c r="X87" i="4"/>
  <c r="U87" i="4"/>
  <c r="AE87" i="4" s="1"/>
  <c r="M87" i="4"/>
  <c r="AD86" i="4"/>
  <c r="Z86" i="4"/>
  <c r="Y86" i="4"/>
  <c r="X86" i="4"/>
  <c r="AC86" i="4" s="1"/>
  <c r="U86" i="4"/>
  <c r="AB86" i="4" s="1"/>
  <c r="M86" i="4"/>
  <c r="AD85" i="4"/>
  <c r="Z85" i="4"/>
  <c r="Y85" i="4"/>
  <c r="X85" i="4"/>
  <c r="AC85" i="4" s="1"/>
  <c r="U85" i="4"/>
  <c r="AE85" i="4" s="1"/>
  <c r="M85" i="4"/>
  <c r="AD84" i="4"/>
  <c r="Z84" i="4"/>
  <c r="Y84" i="4"/>
  <c r="X84" i="4"/>
  <c r="AC84" i="4" s="1"/>
  <c r="U84" i="4"/>
  <c r="AE84" i="4" s="1"/>
  <c r="M84" i="4"/>
  <c r="AD83" i="4"/>
  <c r="Z83" i="4"/>
  <c r="Y83" i="4"/>
  <c r="X83" i="4"/>
  <c r="AC83" i="4" s="1"/>
  <c r="U83" i="4"/>
  <c r="AE83" i="4" s="1"/>
  <c r="M83" i="4"/>
  <c r="AD82" i="4"/>
  <c r="Z82" i="4"/>
  <c r="Y82" i="4"/>
  <c r="X82" i="4"/>
  <c r="AC82" i="4" s="1"/>
  <c r="U82" i="4"/>
  <c r="M82" i="4"/>
  <c r="AD81" i="4"/>
  <c r="Z81" i="4"/>
  <c r="Y81" i="4"/>
  <c r="X81" i="4"/>
  <c r="AC81" i="4" s="1"/>
  <c r="U81" i="4"/>
  <c r="AE81" i="4" s="1"/>
  <c r="M81" i="4"/>
  <c r="AD80" i="4"/>
  <c r="Z80" i="4"/>
  <c r="Y80" i="4"/>
  <c r="X80" i="4"/>
  <c r="AC80" i="4" s="1"/>
  <c r="U80" i="4"/>
  <c r="AE80" i="4" s="1"/>
  <c r="M80" i="4"/>
  <c r="AD79" i="4"/>
  <c r="Z79" i="4"/>
  <c r="Y79" i="4"/>
  <c r="X79" i="4"/>
  <c r="AC79" i="4" s="1"/>
  <c r="U79" i="4"/>
  <c r="AE79" i="4" s="1"/>
  <c r="M79" i="4"/>
  <c r="AD78" i="4"/>
  <c r="Z78" i="4"/>
  <c r="Y78" i="4"/>
  <c r="X78" i="4"/>
  <c r="AC78" i="4" s="1"/>
  <c r="U78" i="4"/>
  <c r="O80" i="2" s="1"/>
  <c r="M78" i="4"/>
  <c r="AD77" i="4"/>
  <c r="Z77" i="4"/>
  <c r="Y77" i="4"/>
  <c r="X77" i="4"/>
  <c r="AC77" i="4" s="1"/>
  <c r="U77" i="4"/>
  <c r="AD76" i="4"/>
  <c r="Z76" i="4"/>
  <c r="Y76" i="4"/>
  <c r="X76" i="4"/>
  <c r="AC76" i="4" s="1"/>
  <c r="V76" i="4"/>
  <c r="W76" i="4" s="1"/>
  <c r="U76" i="4"/>
  <c r="AB76" i="4" s="1"/>
  <c r="N76" i="4"/>
  <c r="M76" i="4"/>
  <c r="AD75" i="4"/>
  <c r="Z75" i="4"/>
  <c r="Y75" i="4"/>
  <c r="X75" i="4"/>
  <c r="AC75" i="4" s="1"/>
  <c r="V75" i="4"/>
  <c r="W75" i="4" s="1"/>
  <c r="U75" i="4"/>
  <c r="AE75" i="4" s="1"/>
  <c r="N75" i="4"/>
  <c r="M75" i="4"/>
  <c r="AD74" i="4"/>
  <c r="Z74" i="4"/>
  <c r="Y74" i="4"/>
  <c r="X74" i="4"/>
  <c r="AC74" i="4" s="1"/>
  <c r="V74" i="4"/>
  <c r="W74" i="4" s="1"/>
  <c r="U74" i="4"/>
  <c r="O76" i="2" s="1"/>
  <c r="N74" i="4"/>
  <c r="M74" i="4"/>
  <c r="AD73" i="4"/>
  <c r="Z73" i="4"/>
  <c r="Y73" i="4"/>
  <c r="X73" i="4"/>
  <c r="AC73" i="4" s="1"/>
  <c r="V73" i="4"/>
  <c r="W73" i="4" s="1"/>
  <c r="U73" i="4"/>
  <c r="O75" i="2" s="1"/>
  <c r="N73" i="4"/>
  <c r="M73" i="4"/>
  <c r="AD72" i="4"/>
  <c r="Z72" i="4"/>
  <c r="Y72" i="4"/>
  <c r="X72" i="4"/>
  <c r="AC72" i="4" s="1"/>
  <c r="V72" i="4"/>
  <c r="W72" i="4" s="1"/>
  <c r="U72" i="4"/>
  <c r="O74" i="2" s="1"/>
  <c r="N72" i="4"/>
  <c r="AD71" i="4"/>
  <c r="Z71" i="4"/>
  <c r="Y71" i="4"/>
  <c r="X71" i="4"/>
  <c r="U71" i="4"/>
  <c r="AE71" i="4" s="1"/>
  <c r="M71" i="4"/>
  <c r="AD70" i="4"/>
  <c r="Z70" i="4"/>
  <c r="Y70" i="4"/>
  <c r="X70" i="4"/>
  <c r="AC70" i="4" s="1"/>
  <c r="U70" i="4"/>
  <c r="M70" i="4"/>
  <c r="AD69" i="4"/>
  <c r="Z69" i="4"/>
  <c r="Y69" i="4"/>
  <c r="X69" i="4"/>
  <c r="AC69" i="4" s="1"/>
  <c r="U69" i="4"/>
  <c r="AE69" i="4" s="1"/>
  <c r="M69" i="4"/>
  <c r="AD68" i="4"/>
  <c r="Z68" i="4"/>
  <c r="Y68" i="4"/>
  <c r="X68" i="4"/>
  <c r="AC68" i="4" s="1"/>
  <c r="U68" i="4"/>
  <c r="AD67" i="4"/>
  <c r="Z67" i="4"/>
  <c r="Y67" i="4"/>
  <c r="X67" i="4"/>
  <c r="U67" i="4"/>
  <c r="O69" i="2" s="1"/>
  <c r="M67" i="4"/>
  <c r="AD66" i="4"/>
  <c r="Z66" i="4"/>
  <c r="Y66" i="4"/>
  <c r="X66" i="4"/>
  <c r="AC66" i="4" s="1"/>
  <c r="U66" i="4"/>
  <c r="AE66" i="4" s="1"/>
  <c r="M66" i="4"/>
  <c r="AD65" i="4"/>
  <c r="Z65" i="4"/>
  <c r="Y65" i="4"/>
  <c r="X65" i="4"/>
  <c r="AC65" i="4" s="1"/>
  <c r="U65" i="4"/>
  <c r="M65" i="4"/>
  <c r="AD64" i="4"/>
  <c r="Z64" i="4"/>
  <c r="Y64" i="4"/>
  <c r="X64" i="4"/>
  <c r="U64" i="4"/>
  <c r="AE64" i="4" s="1"/>
  <c r="M64" i="4"/>
  <c r="AD63" i="4"/>
  <c r="Z63" i="4"/>
  <c r="Y63" i="4"/>
  <c r="X63" i="4"/>
  <c r="AC63" i="4" s="1"/>
  <c r="U63" i="4"/>
  <c r="O65" i="2" s="1"/>
  <c r="M63" i="4"/>
  <c r="AD62" i="4"/>
  <c r="Z62" i="4"/>
  <c r="Y62" i="4"/>
  <c r="X62" i="4"/>
  <c r="AC62" i="4" s="1"/>
  <c r="U62" i="4"/>
  <c r="AB62" i="4" s="1"/>
  <c r="M62" i="4"/>
  <c r="AD61" i="4"/>
  <c r="Z61" i="4"/>
  <c r="Y61" i="4"/>
  <c r="X61" i="4"/>
  <c r="AC61" i="4" s="1"/>
  <c r="U61" i="4"/>
  <c r="M61" i="4"/>
  <c r="AD60" i="4"/>
  <c r="Z60" i="4"/>
  <c r="Y60" i="4"/>
  <c r="X60" i="4"/>
  <c r="AC60" i="4" s="1"/>
  <c r="U60" i="4"/>
  <c r="O62" i="2" s="1"/>
  <c r="M60" i="4"/>
  <c r="AD59" i="4"/>
  <c r="Z59" i="4"/>
  <c r="Y59" i="4"/>
  <c r="X59" i="4"/>
  <c r="AC59" i="4" s="1"/>
  <c r="U59" i="4"/>
  <c r="AB59" i="4" s="1"/>
  <c r="M59" i="4"/>
  <c r="AD58" i="4"/>
  <c r="Z58" i="4"/>
  <c r="Y58" i="4"/>
  <c r="X58" i="4"/>
  <c r="AC58" i="4" s="1"/>
  <c r="U58" i="4"/>
  <c r="M58" i="4"/>
  <c r="AD57" i="4"/>
  <c r="Z57" i="4"/>
  <c r="Y57" i="4"/>
  <c r="X57" i="4"/>
  <c r="AC57" i="4" s="1"/>
  <c r="U57" i="4"/>
  <c r="AD56" i="4"/>
  <c r="Z56" i="4"/>
  <c r="Y56" i="4"/>
  <c r="X56" i="4"/>
  <c r="U56" i="4"/>
  <c r="AE56" i="4" s="1"/>
  <c r="M56" i="4"/>
  <c r="AD55" i="4"/>
  <c r="Z55" i="4"/>
  <c r="Y55" i="4"/>
  <c r="X55" i="4"/>
  <c r="AC55" i="4" s="1"/>
  <c r="U55" i="4"/>
  <c r="O57" i="2" s="1"/>
  <c r="M55" i="4"/>
  <c r="AD54" i="4"/>
  <c r="Z54" i="4"/>
  <c r="Y54" i="4"/>
  <c r="X54" i="4"/>
  <c r="AC54" i="4" s="1"/>
  <c r="U54" i="4"/>
  <c r="M54" i="4"/>
  <c r="AD53" i="4"/>
  <c r="Z53" i="4"/>
  <c r="Y53" i="4"/>
  <c r="X53" i="4"/>
  <c r="AC53" i="4" s="1"/>
  <c r="V53" i="4"/>
  <c r="W53" i="4" s="1"/>
  <c r="U53" i="4"/>
  <c r="O55" i="2" s="1"/>
  <c r="N53" i="4"/>
  <c r="M53" i="4"/>
  <c r="AD52" i="4"/>
  <c r="Z52" i="4"/>
  <c r="Y52" i="4"/>
  <c r="X52" i="4"/>
  <c r="AC52" i="4" s="1"/>
  <c r="V52" i="4"/>
  <c r="W52" i="4" s="1"/>
  <c r="U52" i="4"/>
  <c r="AB52" i="4" s="1"/>
  <c r="N52" i="4"/>
  <c r="AD51" i="4"/>
  <c r="Z51" i="4"/>
  <c r="Y51" i="4"/>
  <c r="X51" i="4"/>
  <c r="U51" i="4"/>
  <c r="AE51" i="4" s="1"/>
  <c r="M51" i="4"/>
  <c r="AD50" i="4"/>
  <c r="Z50" i="4"/>
  <c r="Y50" i="4"/>
  <c r="X50" i="4"/>
  <c r="AC50" i="4" s="1"/>
  <c r="U50" i="4"/>
  <c r="O52" i="2" s="1"/>
  <c r="M50" i="4"/>
  <c r="AD49" i="4"/>
  <c r="Z49" i="4"/>
  <c r="Y49" i="4"/>
  <c r="X49" i="4"/>
  <c r="AC49" i="4" s="1"/>
  <c r="U49" i="4"/>
  <c r="AE49" i="4" s="1"/>
  <c r="M49" i="4"/>
  <c r="AD48" i="4"/>
  <c r="Z48" i="4"/>
  <c r="Y48" i="4"/>
  <c r="X48" i="4"/>
  <c r="AC48" i="4" s="1"/>
  <c r="U48" i="4"/>
  <c r="O50" i="2" s="1"/>
  <c r="M48" i="4"/>
  <c r="AD47" i="4"/>
  <c r="Z47" i="4"/>
  <c r="Y47" i="4"/>
  <c r="X47" i="4"/>
  <c r="AC47" i="4" s="1"/>
  <c r="U47" i="4"/>
  <c r="M47" i="4"/>
  <c r="AD46" i="4"/>
  <c r="Z46" i="4"/>
  <c r="Y46" i="4"/>
  <c r="X46" i="4"/>
  <c r="U46" i="4"/>
  <c r="O48" i="2" s="1"/>
  <c r="M46" i="4"/>
  <c r="AD45" i="4"/>
  <c r="Z45" i="4"/>
  <c r="Y45" i="4"/>
  <c r="X45" i="4"/>
  <c r="AC45" i="4" s="1"/>
  <c r="U45" i="4"/>
  <c r="AB45" i="4" s="1"/>
  <c r="M45" i="4"/>
  <c r="AD44" i="4"/>
  <c r="Z44" i="4"/>
  <c r="Y44" i="4"/>
  <c r="X44" i="4"/>
  <c r="AC44" i="4" s="1"/>
  <c r="U44" i="4"/>
  <c r="AE44" i="4" s="1"/>
  <c r="M44" i="4"/>
  <c r="AD43" i="4"/>
  <c r="Z43" i="4"/>
  <c r="Y43" i="4"/>
  <c r="X43" i="4"/>
  <c r="AC43" i="4" s="1"/>
  <c r="U43" i="4"/>
  <c r="M43" i="4"/>
  <c r="AD42" i="4"/>
  <c r="Z42" i="4"/>
  <c r="Y42" i="4"/>
  <c r="X42" i="4"/>
  <c r="AC42" i="4" s="1"/>
  <c r="U42" i="4"/>
  <c r="O44" i="2" s="1"/>
  <c r="M42" i="4"/>
  <c r="AD41" i="4"/>
  <c r="Z41" i="4"/>
  <c r="Y41" i="4"/>
  <c r="X41" i="4"/>
  <c r="AC41" i="4" s="1"/>
  <c r="U41" i="4"/>
  <c r="AE41" i="4" s="1"/>
  <c r="M41" i="4"/>
  <c r="AD40" i="4"/>
  <c r="Z40" i="4"/>
  <c r="Y40" i="4"/>
  <c r="X40" i="4"/>
  <c r="AC40" i="4" s="1"/>
  <c r="U40" i="4"/>
  <c r="AE40" i="4" s="1"/>
  <c r="M40" i="4"/>
  <c r="AD39" i="4"/>
  <c r="Z39" i="4"/>
  <c r="Y39" i="4"/>
  <c r="X39" i="4"/>
  <c r="AC39" i="4" s="1"/>
  <c r="U39" i="4"/>
  <c r="AD38" i="4"/>
  <c r="Z38" i="4"/>
  <c r="Y38" i="4"/>
  <c r="X38" i="4"/>
  <c r="U38" i="4"/>
  <c r="AE38" i="4" s="1"/>
  <c r="M38" i="4"/>
  <c r="AD37" i="4"/>
  <c r="Z37" i="4"/>
  <c r="Y37" i="4"/>
  <c r="X37" i="4"/>
  <c r="AC37" i="4" s="1"/>
  <c r="U37" i="4"/>
  <c r="M37" i="4"/>
  <c r="AD36" i="4"/>
  <c r="Z36" i="4"/>
  <c r="Y36" i="4"/>
  <c r="X36" i="4"/>
  <c r="AC36" i="4" s="1"/>
  <c r="U36" i="4"/>
  <c r="AB36" i="4" s="1"/>
  <c r="M36" i="4"/>
  <c r="AD35" i="4"/>
  <c r="Z35" i="4"/>
  <c r="Y35" i="4"/>
  <c r="X35" i="4"/>
  <c r="AC35" i="4" s="1"/>
  <c r="U35" i="4"/>
  <c r="AE35" i="4" s="1"/>
  <c r="M35" i="4"/>
  <c r="AD34" i="4"/>
  <c r="Z34" i="4"/>
  <c r="Y34" i="4"/>
  <c r="X34" i="4"/>
  <c r="AC34" i="4" s="1"/>
  <c r="U34" i="4"/>
  <c r="O36" i="2" s="1"/>
  <c r="M34" i="4"/>
  <c r="AD33" i="4"/>
  <c r="Z33" i="4"/>
  <c r="Y33" i="4"/>
  <c r="X33" i="4"/>
  <c r="AC33" i="4" s="1"/>
  <c r="U33" i="4"/>
  <c r="O35" i="2" s="1"/>
  <c r="M33" i="4"/>
  <c r="AD32" i="4"/>
  <c r="Z32" i="4"/>
  <c r="Y32" i="4"/>
  <c r="X32" i="4"/>
  <c r="AC32" i="4" s="1"/>
  <c r="U32" i="4"/>
  <c r="O34" i="2" s="1"/>
  <c r="M32" i="4"/>
  <c r="AD31" i="4"/>
  <c r="Z31" i="4"/>
  <c r="Y31" i="4"/>
  <c r="X31" i="4"/>
  <c r="AC31" i="4" s="1"/>
  <c r="U31" i="4"/>
  <c r="O33" i="2" s="1"/>
  <c r="M31" i="4"/>
  <c r="AD30" i="4"/>
  <c r="Z30" i="4"/>
  <c r="Y30" i="4"/>
  <c r="X30" i="4"/>
  <c r="AC30" i="4" s="1"/>
  <c r="U30" i="4"/>
  <c r="AE30" i="4" s="1"/>
  <c r="M30" i="4"/>
  <c r="AD29" i="4"/>
  <c r="Z29" i="4"/>
  <c r="Y29" i="4"/>
  <c r="X29" i="4"/>
  <c r="AC29" i="4" s="1"/>
  <c r="U29" i="4"/>
  <c r="M29" i="4"/>
  <c r="AD28" i="4"/>
  <c r="Z28" i="4"/>
  <c r="Y28" i="4"/>
  <c r="X28" i="4"/>
  <c r="AC28" i="4" s="1"/>
  <c r="U28" i="4"/>
  <c r="O30" i="2" s="1"/>
  <c r="M28" i="4"/>
  <c r="AD27" i="4"/>
  <c r="Z27" i="4"/>
  <c r="Y27" i="4"/>
  <c r="X27" i="4"/>
  <c r="AC27" i="4" s="1"/>
  <c r="U27" i="4"/>
  <c r="O29" i="2" s="1"/>
  <c r="M27" i="4"/>
  <c r="AD26" i="4"/>
  <c r="Z26" i="4"/>
  <c r="Y26" i="4"/>
  <c r="X26" i="4"/>
  <c r="AC26" i="4" s="1"/>
  <c r="U26" i="4"/>
  <c r="O28" i="2" s="1"/>
  <c r="M26" i="4"/>
  <c r="AD25" i="4"/>
  <c r="Z25" i="4"/>
  <c r="Y25" i="4"/>
  <c r="X25" i="4"/>
  <c r="AC25" i="4" s="1"/>
  <c r="U25" i="4"/>
  <c r="AE25" i="4" s="1"/>
  <c r="M25" i="4"/>
  <c r="AD24" i="4"/>
  <c r="Z24" i="4"/>
  <c r="Y24" i="4"/>
  <c r="X24" i="4"/>
  <c r="AC24" i="4" s="1"/>
  <c r="U24" i="4"/>
  <c r="AB24" i="4" s="1"/>
  <c r="M24" i="4"/>
  <c r="AD23" i="4"/>
  <c r="Z23" i="4"/>
  <c r="Y23" i="4"/>
  <c r="X23" i="4"/>
  <c r="AC23" i="4" s="1"/>
  <c r="U23" i="4"/>
  <c r="M23" i="4"/>
  <c r="AD22" i="4"/>
  <c r="Z22" i="4"/>
  <c r="Y22" i="4"/>
  <c r="X22" i="4"/>
  <c r="AC22" i="4" s="1"/>
  <c r="V22" i="4"/>
  <c r="W22" i="4" s="1"/>
  <c r="U22" i="4"/>
  <c r="O24" i="2" s="1"/>
  <c r="N22" i="4"/>
  <c r="AD21" i="4"/>
  <c r="Z21" i="4"/>
  <c r="Y21" i="4"/>
  <c r="X21" i="4"/>
  <c r="AC21" i="4" s="1"/>
  <c r="V21" i="4"/>
  <c r="W21" i="4" s="1"/>
  <c r="U21" i="4"/>
  <c r="O23" i="2" s="1"/>
  <c r="N21" i="4"/>
  <c r="M21" i="4"/>
  <c r="AD20" i="4"/>
  <c r="Z20" i="4"/>
  <c r="Y20" i="4"/>
  <c r="X20" i="4"/>
  <c r="AC20" i="4" s="1"/>
  <c r="V20" i="4"/>
  <c r="W20" i="4" s="1"/>
  <c r="U20" i="4"/>
  <c r="O22" i="2" s="1"/>
  <c r="N20" i="4"/>
  <c r="M20" i="4"/>
  <c r="AD19" i="4"/>
  <c r="Z19" i="4"/>
  <c r="Y19" i="4"/>
  <c r="X19" i="4"/>
  <c r="AC19" i="4" s="1"/>
  <c r="V19" i="4"/>
  <c r="W19" i="4" s="1"/>
  <c r="U19" i="4"/>
  <c r="AE19" i="4" s="1"/>
  <c r="N19" i="4"/>
  <c r="M19" i="4"/>
  <c r="AD18" i="4"/>
  <c r="Z18" i="4"/>
  <c r="Y18" i="4"/>
  <c r="X18" i="4"/>
  <c r="AC18" i="4" s="1"/>
  <c r="V18" i="4"/>
  <c r="W18" i="4" s="1"/>
  <c r="U18" i="4"/>
  <c r="AE18" i="4" s="1"/>
  <c r="N18" i="4"/>
  <c r="M18" i="4"/>
  <c r="AD17" i="4"/>
  <c r="Z17" i="4"/>
  <c r="Y17" i="4"/>
  <c r="X17" i="4"/>
  <c r="AC17" i="4" s="1"/>
  <c r="V17" i="4"/>
  <c r="W17" i="4" s="1"/>
  <c r="U17" i="4"/>
  <c r="O19" i="2" s="1"/>
  <c r="N17" i="4"/>
  <c r="M17" i="4"/>
  <c r="AD16" i="4"/>
  <c r="Z16" i="4"/>
  <c r="Y16" i="4"/>
  <c r="X16" i="4"/>
  <c r="U16" i="4"/>
  <c r="AB16" i="4" s="1"/>
  <c r="M16" i="4"/>
  <c r="AD15" i="4"/>
  <c r="Z15" i="4"/>
  <c r="Y15" i="4"/>
  <c r="X15" i="4"/>
  <c r="AC15" i="4" s="1"/>
  <c r="U15" i="4"/>
  <c r="O17" i="2" s="1"/>
  <c r="M15" i="4"/>
  <c r="AD14" i="4"/>
  <c r="Z14" i="4"/>
  <c r="Y14" i="4"/>
  <c r="X14" i="4"/>
  <c r="AC14" i="4" s="1"/>
  <c r="U14" i="4"/>
  <c r="O16" i="2" s="1"/>
  <c r="M14" i="4"/>
  <c r="AD13" i="4"/>
  <c r="Z13" i="4"/>
  <c r="Y13" i="4"/>
  <c r="X13" i="4"/>
  <c r="AC13" i="4" s="1"/>
  <c r="U13" i="4"/>
  <c r="AE13" i="4" s="1"/>
  <c r="M13" i="4"/>
  <c r="AD12" i="4"/>
  <c r="Z12" i="4"/>
  <c r="Y12" i="4"/>
  <c r="X12" i="4"/>
  <c r="AC12" i="4" s="1"/>
  <c r="U12" i="4"/>
  <c r="AB12" i="4" s="1"/>
  <c r="M12" i="4"/>
  <c r="AD11" i="4"/>
  <c r="Z11" i="4"/>
  <c r="Y11" i="4"/>
  <c r="X11" i="4"/>
  <c r="AC11" i="4" s="1"/>
  <c r="U11" i="4"/>
  <c r="AB11" i="4" s="1"/>
  <c r="M11" i="4"/>
  <c r="AD10" i="4"/>
  <c r="Z10" i="4"/>
  <c r="Y10" i="4"/>
  <c r="X10" i="4"/>
  <c r="AC10" i="4" s="1"/>
  <c r="U10" i="4"/>
  <c r="AE10" i="4" s="1"/>
  <c r="M10" i="4"/>
  <c r="AD9" i="4"/>
  <c r="Z9" i="4"/>
  <c r="Y9" i="4"/>
  <c r="X9" i="4"/>
  <c r="AC9" i="4" s="1"/>
  <c r="U9" i="4"/>
  <c r="M9" i="4"/>
  <c r="AD8" i="4"/>
  <c r="Z8" i="4"/>
  <c r="Y8" i="4"/>
  <c r="X8" i="4"/>
  <c r="AC8" i="4" s="1"/>
  <c r="V8" i="4"/>
  <c r="W8" i="4" s="1"/>
  <c r="U8" i="4"/>
  <c r="AE8" i="4" s="1"/>
  <c r="N8" i="4"/>
  <c r="M8" i="4"/>
  <c r="AD7" i="4"/>
  <c r="Z7" i="4"/>
  <c r="Y7" i="4"/>
  <c r="X7" i="4"/>
  <c r="AC7" i="4" s="1"/>
  <c r="V7" i="4"/>
  <c r="W7" i="4" s="1"/>
  <c r="U7" i="4"/>
  <c r="AE7" i="4" s="1"/>
  <c r="N7" i="4"/>
  <c r="M7" i="4"/>
  <c r="AD6" i="4"/>
  <c r="Z6" i="4"/>
  <c r="Y6" i="4"/>
  <c r="X6" i="4"/>
  <c r="AC6" i="4" s="1"/>
  <c r="V6" i="4"/>
  <c r="W6" i="4" s="1"/>
  <c r="U6" i="4"/>
  <c r="O8" i="2" s="1"/>
  <c r="N6" i="4"/>
  <c r="M6" i="4"/>
  <c r="AD5" i="4"/>
  <c r="Z5" i="4"/>
  <c r="Y5" i="4"/>
  <c r="X5" i="4"/>
  <c r="AC5" i="4" s="1"/>
  <c r="V5" i="4"/>
  <c r="W5" i="4" s="1"/>
  <c r="U5" i="4"/>
  <c r="N5" i="4"/>
  <c r="A504" i="3"/>
  <c r="A503" i="3"/>
  <c r="A502" i="3"/>
  <c r="N502" i="3" s="1"/>
  <c r="L501" i="3"/>
  <c r="J501" i="3"/>
  <c r="H501" i="3"/>
  <c r="F501" i="3"/>
  <c r="P509" i="6" s="1"/>
  <c r="C501" i="3"/>
  <c r="M509" i="6" s="1"/>
  <c r="A501" i="3"/>
  <c r="K501" i="3" s="1"/>
  <c r="Q509" i="6" s="1"/>
  <c r="A500" i="3"/>
  <c r="F500" i="3" s="1"/>
  <c r="P508" i="6" s="1"/>
  <c r="L499" i="3"/>
  <c r="J499" i="3"/>
  <c r="I499" i="3"/>
  <c r="H499" i="3"/>
  <c r="G499" i="3"/>
  <c r="F499" i="3"/>
  <c r="P507" i="6" s="1"/>
  <c r="E499" i="3"/>
  <c r="O507" i="6" s="1"/>
  <c r="D499" i="3"/>
  <c r="N507" i="6" s="1"/>
  <c r="A499" i="3"/>
  <c r="B499" i="3" s="1"/>
  <c r="L507" i="6" s="1"/>
  <c r="D498" i="3"/>
  <c r="N506" i="6" s="1"/>
  <c r="C498" i="3"/>
  <c r="M506" i="6" s="1"/>
  <c r="A498" i="3"/>
  <c r="H497" i="3"/>
  <c r="A497" i="3"/>
  <c r="A496" i="3"/>
  <c r="A495" i="3"/>
  <c r="D495" i="3" s="1"/>
  <c r="N503" i="6" s="1"/>
  <c r="A494" i="3"/>
  <c r="H494" i="3" s="1"/>
  <c r="A493" i="3"/>
  <c r="N493" i="3" s="1"/>
  <c r="A492" i="3"/>
  <c r="A491" i="3"/>
  <c r="N491" i="3" s="1"/>
  <c r="C490" i="3"/>
  <c r="M498" i="6" s="1"/>
  <c r="A490" i="3"/>
  <c r="J489" i="3"/>
  <c r="I489" i="3"/>
  <c r="A489" i="3"/>
  <c r="A488" i="3"/>
  <c r="A487" i="3"/>
  <c r="B487" i="3" s="1"/>
  <c r="L495" i="6" s="1"/>
  <c r="A486" i="3"/>
  <c r="F486" i="3" s="1"/>
  <c r="P494" i="6" s="1"/>
  <c r="A485" i="3"/>
  <c r="H485" i="3" s="1"/>
  <c r="H484" i="3"/>
  <c r="F484" i="3"/>
  <c r="P492" i="6" s="1"/>
  <c r="E484" i="3"/>
  <c r="O492" i="6" s="1"/>
  <c r="A484" i="3"/>
  <c r="A483" i="3"/>
  <c r="J483" i="3" s="1"/>
  <c r="A482" i="3"/>
  <c r="G482" i="3" s="1"/>
  <c r="N481" i="3"/>
  <c r="L481" i="3"/>
  <c r="H481" i="3"/>
  <c r="G481" i="3"/>
  <c r="F481" i="3"/>
  <c r="P489" i="6" s="1"/>
  <c r="C481" i="3"/>
  <c r="M489" i="6" s="1"/>
  <c r="B481" i="3"/>
  <c r="L489" i="6" s="1"/>
  <c r="A481" i="3"/>
  <c r="A480" i="3"/>
  <c r="A479" i="3"/>
  <c r="A478" i="3"/>
  <c r="N477" i="3"/>
  <c r="L477" i="3"/>
  <c r="K477" i="3"/>
  <c r="Q485" i="6" s="1"/>
  <c r="I477" i="3"/>
  <c r="H477" i="3"/>
  <c r="G477" i="3"/>
  <c r="F477" i="3"/>
  <c r="P485" i="6" s="1"/>
  <c r="C477" i="3"/>
  <c r="M485" i="6" s="1"/>
  <c r="A477" i="3"/>
  <c r="J477" i="3" s="1"/>
  <c r="A476" i="3"/>
  <c r="N475" i="3"/>
  <c r="L475" i="3"/>
  <c r="F475" i="3"/>
  <c r="E475" i="3"/>
  <c r="O483" i="6" s="1"/>
  <c r="A475" i="3"/>
  <c r="C475" i="3" s="1"/>
  <c r="M483" i="6" s="1"/>
  <c r="A474" i="3"/>
  <c r="L474" i="3" s="1"/>
  <c r="A473" i="3"/>
  <c r="B473" i="3" s="1"/>
  <c r="L481" i="6" s="1"/>
  <c r="A472" i="3"/>
  <c r="I472" i="3" s="1"/>
  <c r="B471" i="3"/>
  <c r="L479" i="6" s="1"/>
  <c r="A471" i="3"/>
  <c r="B470" i="3"/>
  <c r="L478" i="6" s="1"/>
  <c r="A470" i="3"/>
  <c r="A469" i="3"/>
  <c r="A468" i="3"/>
  <c r="A467" i="3"/>
  <c r="C467" i="3" s="1"/>
  <c r="M475" i="6" s="1"/>
  <c r="K466" i="3"/>
  <c r="Q474" i="6" s="1"/>
  <c r="J466" i="3"/>
  <c r="H466" i="3"/>
  <c r="A466" i="3"/>
  <c r="A465" i="3"/>
  <c r="A464" i="3"/>
  <c r="N464" i="3" s="1"/>
  <c r="A463" i="3"/>
  <c r="A462" i="3"/>
  <c r="G462" i="3" s="1"/>
  <c r="A461" i="3"/>
  <c r="A460" i="3"/>
  <c r="I460" i="3" s="1"/>
  <c r="A459" i="3"/>
  <c r="A458" i="3"/>
  <c r="B458" i="3" s="1"/>
  <c r="E457" i="3"/>
  <c r="O465" i="6" s="1"/>
  <c r="D457" i="3"/>
  <c r="N465" i="6" s="1"/>
  <c r="C457" i="3"/>
  <c r="M465" i="6" s="1"/>
  <c r="A457" i="3"/>
  <c r="A456" i="3"/>
  <c r="C456" i="3" s="1"/>
  <c r="M464" i="6" s="1"/>
  <c r="A455" i="3"/>
  <c r="B455" i="3" s="1"/>
  <c r="A454" i="3"/>
  <c r="A453" i="3"/>
  <c r="G453" i="3" s="1"/>
  <c r="H452" i="3"/>
  <c r="A452" i="3"/>
  <c r="E452" i="3" s="1"/>
  <c r="O460" i="6" s="1"/>
  <c r="A451" i="3"/>
  <c r="D450" i="3"/>
  <c r="N458" i="6" s="1"/>
  <c r="A450" i="3"/>
  <c r="G450" i="3" s="1"/>
  <c r="A449" i="3"/>
  <c r="L449" i="3" s="1"/>
  <c r="A448" i="3"/>
  <c r="E448" i="3" s="1"/>
  <c r="O456" i="6" s="1"/>
  <c r="N447" i="3"/>
  <c r="L447" i="3"/>
  <c r="J447" i="3"/>
  <c r="I447" i="3"/>
  <c r="B447" i="3"/>
  <c r="A447" i="3"/>
  <c r="H447" i="3" s="1"/>
  <c r="A446" i="3"/>
  <c r="L446" i="3" s="1"/>
  <c r="G445" i="3"/>
  <c r="D445" i="3"/>
  <c r="N453" i="6" s="1"/>
  <c r="C445" i="3"/>
  <c r="M453" i="6" s="1"/>
  <c r="B445" i="3"/>
  <c r="L453" i="6" s="1"/>
  <c r="A445" i="3"/>
  <c r="A444" i="3"/>
  <c r="A443" i="3"/>
  <c r="N443" i="3" s="1"/>
  <c r="A442" i="3"/>
  <c r="A441" i="3"/>
  <c r="K441" i="3" s="1"/>
  <c r="Q449" i="6" s="1"/>
  <c r="D440" i="3"/>
  <c r="N448" i="6" s="1"/>
  <c r="B440" i="3"/>
  <c r="A440" i="3"/>
  <c r="F440" i="3" s="1"/>
  <c r="P448" i="6" s="1"/>
  <c r="A439" i="3"/>
  <c r="B439" i="3" s="1"/>
  <c r="L447" i="6" s="1"/>
  <c r="A438" i="3"/>
  <c r="A437" i="3"/>
  <c r="A436" i="3"/>
  <c r="A435" i="3"/>
  <c r="K434" i="3"/>
  <c r="J434" i="3"/>
  <c r="H434" i="3"/>
  <c r="G434" i="3"/>
  <c r="A434" i="3"/>
  <c r="L434" i="3" s="1"/>
  <c r="L433" i="3"/>
  <c r="J433" i="3"/>
  <c r="I433" i="3"/>
  <c r="H433" i="3"/>
  <c r="G433" i="3"/>
  <c r="F433" i="3"/>
  <c r="P441" i="6" s="1"/>
  <c r="E433" i="3"/>
  <c r="O441" i="6" s="1"/>
  <c r="D433" i="3"/>
  <c r="N441" i="6" s="1"/>
  <c r="C433" i="3"/>
  <c r="M441" i="6" s="1"/>
  <c r="B433" i="3"/>
  <c r="L441" i="6" s="1"/>
  <c r="A433" i="3"/>
  <c r="N433" i="3" s="1"/>
  <c r="A432" i="3"/>
  <c r="D431" i="3"/>
  <c r="N439" i="6" s="1"/>
  <c r="A431" i="3"/>
  <c r="L431" i="3" s="1"/>
  <c r="K430" i="3"/>
  <c r="Q438" i="6" s="1"/>
  <c r="J430" i="3"/>
  <c r="F430" i="3"/>
  <c r="P438" i="6" s="1"/>
  <c r="E430" i="3"/>
  <c r="O438" i="6" s="1"/>
  <c r="D430" i="3"/>
  <c r="N438" i="6" s="1"/>
  <c r="C430" i="3"/>
  <c r="M438" i="6" s="1"/>
  <c r="B430" i="3"/>
  <c r="L438" i="6" s="1"/>
  <c r="A430" i="3"/>
  <c r="A429" i="3"/>
  <c r="B429" i="3" s="1"/>
  <c r="L437" i="6" s="1"/>
  <c r="A428" i="3"/>
  <c r="K427" i="3"/>
  <c r="Q435" i="6" s="1"/>
  <c r="A427" i="3"/>
  <c r="E427" i="3" s="1"/>
  <c r="O435" i="6" s="1"/>
  <c r="K426" i="3"/>
  <c r="I426" i="3"/>
  <c r="F426" i="3"/>
  <c r="P434" i="6" s="1"/>
  <c r="A426" i="3"/>
  <c r="L426" i="3" s="1"/>
  <c r="A425" i="3"/>
  <c r="G425" i="3" s="1"/>
  <c r="A424" i="3"/>
  <c r="N424" i="3" s="1"/>
  <c r="A423" i="3"/>
  <c r="A422" i="3"/>
  <c r="B422" i="3" s="1"/>
  <c r="L430" i="6" s="1"/>
  <c r="A421" i="3"/>
  <c r="J421" i="3" s="1"/>
  <c r="A420" i="3"/>
  <c r="N420" i="3" s="1"/>
  <c r="A419" i="3"/>
  <c r="N419" i="3" s="1"/>
  <c r="A418" i="3"/>
  <c r="K418" i="3" s="1"/>
  <c r="Q426" i="6" s="1"/>
  <c r="A417" i="3"/>
  <c r="N417" i="3" s="1"/>
  <c r="A416" i="3"/>
  <c r="A415" i="3"/>
  <c r="A414" i="3"/>
  <c r="L414" i="3" s="1"/>
  <c r="N413" i="3"/>
  <c r="A413" i="3"/>
  <c r="A412" i="3"/>
  <c r="F412" i="3" s="1"/>
  <c r="P420" i="6" s="1"/>
  <c r="A411" i="3"/>
  <c r="F411" i="3" s="1"/>
  <c r="P419" i="6" s="1"/>
  <c r="J410" i="3"/>
  <c r="H410" i="3"/>
  <c r="A410" i="3"/>
  <c r="F410" i="3" s="1"/>
  <c r="P418" i="6" s="1"/>
  <c r="A409" i="3"/>
  <c r="L409" i="3" s="1"/>
  <c r="A408" i="3"/>
  <c r="F408" i="3" s="1"/>
  <c r="P416" i="6" s="1"/>
  <c r="N407" i="3"/>
  <c r="J407" i="3"/>
  <c r="G407" i="3"/>
  <c r="F407" i="3"/>
  <c r="P415" i="6" s="1"/>
  <c r="E407" i="3"/>
  <c r="O415" i="6" s="1"/>
  <c r="D407" i="3"/>
  <c r="N415" i="6" s="1"/>
  <c r="A407" i="3"/>
  <c r="B407" i="3" s="1"/>
  <c r="L415" i="6" s="1"/>
  <c r="A406" i="3"/>
  <c r="F406" i="3" s="1"/>
  <c r="P414" i="6" s="1"/>
  <c r="A405" i="3"/>
  <c r="C405" i="3" s="1"/>
  <c r="M413" i="6" s="1"/>
  <c r="A404" i="3"/>
  <c r="B404" i="3" s="1"/>
  <c r="K403" i="3"/>
  <c r="Q411" i="6" s="1"/>
  <c r="J403" i="3"/>
  <c r="I403" i="3"/>
  <c r="H403" i="3"/>
  <c r="G403" i="3"/>
  <c r="A403" i="3"/>
  <c r="N403" i="3" s="1"/>
  <c r="L402" i="3"/>
  <c r="K402" i="3"/>
  <c r="Q410" i="6" s="1"/>
  <c r="J402" i="3"/>
  <c r="I402" i="3"/>
  <c r="H402" i="3"/>
  <c r="G402" i="3"/>
  <c r="C402" i="3"/>
  <c r="M410" i="6" s="1"/>
  <c r="A402" i="3"/>
  <c r="B402" i="3" s="1"/>
  <c r="A401" i="3"/>
  <c r="H401" i="3" s="1"/>
  <c r="A400" i="3"/>
  <c r="L400" i="3" s="1"/>
  <c r="A399" i="3"/>
  <c r="J398" i="3"/>
  <c r="H398" i="3"/>
  <c r="A398" i="3"/>
  <c r="K397" i="3"/>
  <c r="Q405" i="6" s="1"/>
  <c r="J397" i="3"/>
  <c r="B397" i="3"/>
  <c r="L405" i="6" s="1"/>
  <c r="A397" i="3"/>
  <c r="G397" i="3" s="1"/>
  <c r="A396" i="3"/>
  <c r="E395" i="3"/>
  <c r="O403" i="6" s="1"/>
  <c r="A395" i="3"/>
  <c r="I394" i="3"/>
  <c r="H394" i="3"/>
  <c r="G394" i="3"/>
  <c r="A394" i="3"/>
  <c r="A393" i="3"/>
  <c r="J393" i="3" s="1"/>
  <c r="A392" i="3"/>
  <c r="A391" i="3"/>
  <c r="A390" i="3"/>
  <c r="F390" i="3" s="1"/>
  <c r="P398" i="6" s="1"/>
  <c r="A389" i="3"/>
  <c r="H389" i="3" s="1"/>
  <c r="A388" i="3"/>
  <c r="A387" i="3"/>
  <c r="A386" i="3"/>
  <c r="A385" i="3"/>
  <c r="B385" i="3" s="1"/>
  <c r="L393" i="6" s="1"/>
  <c r="A384" i="3"/>
  <c r="A383" i="3"/>
  <c r="A382" i="3"/>
  <c r="K382" i="3" s="1"/>
  <c r="Q390" i="6" s="1"/>
  <c r="A381" i="3"/>
  <c r="J380" i="3"/>
  <c r="A380" i="3"/>
  <c r="A379" i="3"/>
  <c r="I379" i="3" s="1"/>
  <c r="I378" i="3"/>
  <c r="H378" i="3"/>
  <c r="A378" i="3"/>
  <c r="A377" i="3"/>
  <c r="K376" i="3"/>
  <c r="Q384" i="6" s="1"/>
  <c r="H376" i="3"/>
  <c r="A376" i="3"/>
  <c r="N376" i="3" s="1"/>
  <c r="A375" i="3"/>
  <c r="A374" i="3"/>
  <c r="H374" i="3" s="1"/>
  <c r="A373" i="3"/>
  <c r="A372" i="3"/>
  <c r="A371" i="3"/>
  <c r="L371" i="3" s="1"/>
  <c r="A370" i="3"/>
  <c r="J370" i="3" s="1"/>
  <c r="I369" i="3"/>
  <c r="H369" i="3"/>
  <c r="A369" i="3"/>
  <c r="F369" i="3" s="1"/>
  <c r="P377" i="6" s="1"/>
  <c r="A368" i="3"/>
  <c r="I367" i="3"/>
  <c r="H367" i="3"/>
  <c r="A367" i="3"/>
  <c r="L366" i="3"/>
  <c r="A366" i="3"/>
  <c r="I366" i="3" s="1"/>
  <c r="C365" i="3"/>
  <c r="M373" i="6" s="1"/>
  <c r="B365" i="3"/>
  <c r="A365" i="3"/>
  <c r="A364" i="3"/>
  <c r="F364" i="3" s="1"/>
  <c r="P372" i="6" s="1"/>
  <c r="K363" i="3"/>
  <c r="Q371" i="6" s="1"/>
  <c r="I363" i="3"/>
  <c r="A363" i="3"/>
  <c r="F363" i="3" s="1"/>
  <c r="P371" i="6" s="1"/>
  <c r="A362" i="3"/>
  <c r="H362" i="3" s="1"/>
  <c r="A361" i="3"/>
  <c r="K361" i="3" s="1"/>
  <c r="A360" i="3"/>
  <c r="G360" i="3" s="1"/>
  <c r="A359" i="3"/>
  <c r="C359" i="3" s="1"/>
  <c r="M367" i="6" s="1"/>
  <c r="A358" i="3"/>
  <c r="A357" i="3"/>
  <c r="A356" i="3"/>
  <c r="K356" i="3" s="1"/>
  <c r="Q364" i="6" s="1"/>
  <c r="K355" i="3"/>
  <c r="Q363" i="6" s="1"/>
  <c r="H355" i="3"/>
  <c r="G355" i="3"/>
  <c r="F355" i="3"/>
  <c r="P363" i="6" s="1"/>
  <c r="A355" i="3"/>
  <c r="J355" i="3" s="1"/>
  <c r="L354" i="3"/>
  <c r="A354" i="3"/>
  <c r="A353" i="3"/>
  <c r="A352" i="3"/>
  <c r="L352" i="3" s="1"/>
  <c r="N351" i="3"/>
  <c r="K351" i="3"/>
  <c r="Q359" i="6" s="1"/>
  <c r="J351" i="3"/>
  <c r="F351" i="3"/>
  <c r="P359" i="6" s="1"/>
  <c r="E351" i="3"/>
  <c r="O359" i="6" s="1"/>
  <c r="B351" i="3"/>
  <c r="L359" i="6" s="1"/>
  <c r="A351" i="3"/>
  <c r="L351" i="3" s="1"/>
  <c r="A350" i="3"/>
  <c r="K350" i="3" s="1"/>
  <c r="Q358" i="6" s="1"/>
  <c r="A349" i="3"/>
  <c r="L349" i="3" s="1"/>
  <c r="K348" i="3"/>
  <c r="Q356" i="6" s="1"/>
  <c r="J348" i="3"/>
  <c r="I348" i="3"/>
  <c r="A348" i="3"/>
  <c r="H348" i="3" s="1"/>
  <c r="A347" i="3"/>
  <c r="A346" i="3"/>
  <c r="C345" i="3"/>
  <c r="M353" i="6" s="1"/>
  <c r="A345" i="3"/>
  <c r="A344" i="3"/>
  <c r="A343" i="3"/>
  <c r="K343" i="3" s="1"/>
  <c r="Q351" i="6" s="1"/>
  <c r="A342" i="3"/>
  <c r="F342" i="3" s="1"/>
  <c r="P350" i="6" s="1"/>
  <c r="A341" i="3"/>
  <c r="A340" i="3"/>
  <c r="B340" i="3" s="1"/>
  <c r="L348" i="6" s="1"/>
  <c r="A339" i="3"/>
  <c r="A338" i="3"/>
  <c r="D338" i="3" s="1"/>
  <c r="N346" i="6" s="1"/>
  <c r="E337" i="3"/>
  <c r="O345" i="6" s="1"/>
  <c r="D337" i="3"/>
  <c r="N345" i="6" s="1"/>
  <c r="A337" i="3"/>
  <c r="A336" i="3"/>
  <c r="K336" i="3" s="1"/>
  <c r="Q344" i="6" s="1"/>
  <c r="A335" i="3"/>
  <c r="G334" i="3"/>
  <c r="F334" i="3"/>
  <c r="P342" i="6" s="1"/>
  <c r="A334" i="3"/>
  <c r="A333" i="3"/>
  <c r="J333" i="3" s="1"/>
  <c r="A332" i="3"/>
  <c r="D332" i="3" s="1"/>
  <c r="N340" i="6" s="1"/>
  <c r="A331" i="3"/>
  <c r="A330" i="3"/>
  <c r="D330" i="3" s="1"/>
  <c r="N338" i="6" s="1"/>
  <c r="A329" i="3"/>
  <c r="L328" i="3"/>
  <c r="F328" i="3"/>
  <c r="P336" i="6" s="1"/>
  <c r="A328" i="3"/>
  <c r="D328" i="3" s="1"/>
  <c r="N336" i="6" s="1"/>
  <c r="A327" i="3"/>
  <c r="L327" i="3" s="1"/>
  <c r="A326" i="3"/>
  <c r="F326" i="3" s="1"/>
  <c r="P334" i="6" s="1"/>
  <c r="A325" i="3"/>
  <c r="A324" i="3"/>
  <c r="L324" i="3" s="1"/>
  <c r="D323" i="3"/>
  <c r="N331" i="6" s="1"/>
  <c r="A323" i="3"/>
  <c r="A322" i="3"/>
  <c r="A321" i="3"/>
  <c r="D321" i="3" s="1"/>
  <c r="N329" i="6" s="1"/>
  <c r="A320" i="3"/>
  <c r="D320" i="3" s="1"/>
  <c r="N328" i="6" s="1"/>
  <c r="A319" i="3"/>
  <c r="B319" i="3" s="1"/>
  <c r="A318" i="3"/>
  <c r="K318" i="3" s="1"/>
  <c r="Q326" i="6" s="1"/>
  <c r="A317" i="3"/>
  <c r="D317" i="3" s="1"/>
  <c r="N325" i="6" s="1"/>
  <c r="A316" i="3"/>
  <c r="A315" i="3"/>
  <c r="A314" i="3"/>
  <c r="K314" i="3" s="1"/>
  <c r="Q322" i="6" s="1"/>
  <c r="A313" i="3"/>
  <c r="N313" i="3" s="1"/>
  <c r="A312" i="3"/>
  <c r="F312" i="3" s="1"/>
  <c r="P320" i="6" s="1"/>
  <c r="A311" i="3"/>
  <c r="D311" i="3" s="1"/>
  <c r="N319" i="6" s="1"/>
  <c r="A310" i="3"/>
  <c r="N309" i="3"/>
  <c r="D309" i="3"/>
  <c r="N317" i="6" s="1"/>
  <c r="C309" i="3"/>
  <c r="M317" i="6" s="1"/>
  <c r="B309" i="3"/>
  <c r="L317" i="6" s="1"/>
  <c r="A309" i="3"/>
  <c r="A308" i="3"/>
  <c r="I308" i="3" s="1"/>
  <c r="N307" i="3"/>
  <c r="A307" i="3"/>
  <c r="F307" i="3" s="1"/>
  <c r="P315" i="6" s="1"/>
  <c r="A306" i="3"/>
  <c r="N305" i="3"/>
  <c r="L305" i="3"/>
  <c r="K305" i="3"/>
  <c r="Q313" i="6" s="1"/>
  <c r="J305" i="3"/>
  <c r="I305" i="3"/>
  <c r="H305" i="3"/>
  <c r="F305" i="3"/>
  <c r="P313" i="6" s="1"/>
  <c r="D305" i="3"/>
  <c r="N313" i="6" s="1"/>
  <c r="A305" i="3"/>
  <c r="C305" i="3" s="1"/>
  <c r="M313" i="6" s="1"/>
  <c r="A304" i="3"/>
  <c r="A303" i="3"/>
  <c r="B303" i="3" s="1"/>
  <c r="L311" i="6" s="1"/>
  <c r="A302" i="3"/>
  <c r="B302" i="3" s="1"/>
  <c r="A301" i="3"/>
  <c r="C301" i="3" s="1"/>
  <c r="M309" i="6" s="1"/>
  <c r="A300" i="3"/>
  <c r="N300" i="3" s="1"/>
  <c r="J299" i="3"/>
  <c r="A299" i="3"/>
  <c r="D299" i="3" s="1"/>
  <c r="N307" i="6" s="1"/>
  <c r="A298" i="3"/>
  <c r="H298" i="3" s="1"/>
  <c r="A297" i="3"/>
  <c r="I297" i="3" s="1"/>
  <c r="J296" i="3"/>
  <c r="A296" i="3"/>
  <c r="A295" i="3"/>
  <c r="J295" i="3" s="1"/>
  <c r="A294" i="3"/>
  <c r="A293" i="3"/>
  <c r="L293" i="3" s="1"/>
  <c r="A292" i="3"/>
  <c r="N292" i="3" s="1"/>
  <c r="A291" i="3"/>
  <c r="A290" i="3"/>
  <c r="H289" i="3"/>
  <c r="A289" i="3"/>
  <c r="C289" i="3" s="1"/>
  <c r="M297" i="6" s="1"/>
  <c r="A288" i="3"/>
  <c r="A287" i="3"/>
  <c r="A286" i="3"/>
  <c r="G286" i="3" s="1"/>
  <c r="A285" i="3"/>
  <c r="A284" i="3"/>
  <c r="K284" i="3" s="1"/>
  <c r="Q292" i="6" s="1"/>
  <c r="D283" i="3"/>
  <c r="N291" i="6" s="1"/>
  <c r="A283" i="3"/>
  <c r="F283" i="3" s="1"/>
  <c r="P291" i="6" s="1"/>
  <c r="E282" i="3"/>
  <c r="O290" i="6" s="1"/>
  <c r="D282" i="3"/>
  <c r="N290" i="6" s="1"/>
  <c r="B282" i="3"/>
  <c r="L290" i="6" s="1"/>
  <c r="A282" i="3"/>
  <c r="C282" i="3" s="1"/>
  <c r="M290" i="6" s="1"/>
  <c r="A281" i="3"/>
  <c r="B281" i="3" s="1"/>
  <c r="A280" i="3"/>
  <c r="A279" i="3"/>
  <c r="E279" i="3" s="1"/>
  <c r="O287" i="6" s="1"/>
  <c r="A278" i="3"/>
  <c r="H277" i="3"/>
  <c r="F277" i="3"/>
  <c r="P285" i="6" s="1"/>
  <c r="E277" i="3"/>
  <c r="O285" i="6" s="1"/>
  <c r="D277" i="3"/>
  <c r="N285" i="6" s="1"/>
  <c r="A277" i="3"/>
  <c r="C277" i="3" s="1"/>
  <c r="M285" i="6" s="1"/>
  <c r="A276" i="3"/>
  <c r="D275" i="3"/>
  <c r="N283" i="6" s="1"/>
  <c r="A275" i="3"/>
  <c r="A274" i="3"/>
  <c r="A273" i="3"/>
  <c r="I273" i="3" s="1"/>
  <c r="A272" i="3"/>
  <c r="N272" i="3" s="1"/>
  <c r="A271" i="3"/>
  <c r="K271" i="3" s="1"/>
  <c r="Q279" i="6" s="1"/>
  <c r="K270" i="3"/>
  <c r="Q278" i="6" s="1"/>
  <c r="F270" i="3"/>
  <c r="P278" i="6" s="1"/>
  <c r="B270" i="3"/>
  <c r="L278" i="6" s="1"/>
  <c r="A270" i="3"/>
  <c r="A269" i="3"/>
  <c r="L269" i="3" s="1"/>
  <c r="A268" i="3"/>
  <c r="H268" i="3" s="1"/>
  <c r="A267" i="3"/>
  <c r="N267" i="3" s="1"/>
  <c r="A266" i="3"/>
  <c r="A265" i="3"/>
  <c r="L265" i="3" s="1"/>
  <c r="N264" i="3"/>
  <c r="L264" i="3"/>
  <c r="J264" i="3"/>
  <c r="I264" i="3"/>
  <c r="A264" i="3"/>
  <c r="H264" i="3" s="1"/>
  <c r="A263" i="3"/>
  <c r="A262" i="3"/>
  <c r="B262" i="3" s="1"/>
  <c r="L270" i="6" s="1"/>
  <c r="L261" i="3"/>
  <c r="K261" i="3"/>
  <c r="Q269" i="6" s="1"/>
  <c r="I261" i="3"/>
  <c r="D261" i="3"/>
  <c r="N269" i="6" s="1"/>
  <c r="A261" i="3"/>
  <c r="E261" i="3" s="1"/>
  <c r="O269" i="6" s="1"/>
  <c r="A260" i="3"/>
  <c r="A259" i="3"/>
  <c r="H259" i="3" s="1"/>
  <c r="A258" i="3"/>
  <c r="D258" i="3" s="1"/>
  <c r="N266" i="6" s="1"/>
  <c r="A257" i="3"/>
  <c r="K257" i="3" s="1"/>
  <c r="A256" i="3"/>
  <c r="N256" i="3" s="1"/>
  <c r="A255" i="3"/>
  <c r="F255" i="3" s="1"/>
  <c r="P263" i="6" s="1"/>
  <c r="A254" i="3"/>
  <c r="D254" i="3" s="1"/>
  <c r="N262" i="6" s="1"/>
  <c r="A253" i="3"/>
  <c r="A252" i="3"/>
  <c r="G251" i="3"/>
  <c r="A251" i="3"/>
  <c r="A250" i="3"/>
  <c r="D250" i="3" s="1"/>
  <c r="N258" i="6" s="1"/>
  <c r="N249" i="3"/>
  <c r="A249" i="3"/>
  <c r="I249" i="3" s="1"/>
  <c r="A248" i="3"/>
  <c r="H248" i="3" s="1"/>
  <c r="A247" i="3"/>
  <c r="A246" i="3"/>
  <c r="A245" i="3"/>
  <c r="K245" i="3" s="1"/>
  <c r="Q253" i="6" s="1"/>
  <c r="A244" i="3"/>
  <c r="K244" i="3" s="1"/>
  <c r="Q252" i="6" s="1"/>
  <c r="A243" i="3"/>
  <c r="N243" i="3" s="1"/>
  <c r="A242" i="3"/>
  <c r="A241" i="3"/>
  <c r="D241" i="3" s="1"/>
  <c r="N249" i="6" s="1"/>
  <c r="A240" i="3"/>
  <c r="A239" i="3"/>
  <c r="L238" i="3"/>
  <c r="A238" i="3"/>
  <c r="N237" i="3"/>
  <c r="L237" i="3"/>
  <c r="K237" i="3"/>
  <c r="J237" i="3"/>
  <c r="I237" i="3"/>
  <c r="H237" i="3"/>
  <c r="G237" i="3"/>
  <c r="A237" i="3"/>
  <c r="B237" i="3" s="1"/>
  <c r="L245" i="6" s="1"/>
  <c r="A236" i="3"/>
  <c r="D236" i="3" s="1"/>
  <c r="N244" i="6" s="1"/>
  <c r="A235" i="3"/>
  <c r="L235" i="3" s="1"/>
  <c r="A234" i="3"/>
  <c r="G234" i="3" s="1"/>
  <c r="A233" i="3"/>
  <c r="A232" i="3"/>
  <c r="G232" i="3" s="1"/>
  <c r="N231" i="3"/>
  <c r="L231" i="3"/>
  <c r="J231" i="3"/>
  <c r="A231" i="3"/>
  <c r="K231" i="3" s="1"/>
  <c r="Q239" i="6" s="1"/>
  <c r="A230" i="3"/>
  <c r="C230" i="3" s="1"/>
  <c r="M238" i="6" s="1"/>
  <c r="A229" i="3"/>
  <c r="A228" i="3"/>
  <c r="A227" i="3"/>
  <c r="A226" i="3"/>
  <c r="L226" i="3" s="1"/>
  <c r="A225" i="3"/>
  <c r="I225" i="3" s="1"/>
  <c r="A224" i="3"/>
  <c r="A223" i="3"/>
  <c r="F223" i="3" s="1"/>
  <c r="P231" i="6" s="1"/>
  <c r="G222" i="3"/>
  <c r="E222" i="3"/>
  <c r="O230" i="6" s="1"/>
  <c r="A222" i="3"/>
  <c r="A221" i="3"/>
  <c r="G221" i="3" s="1"/>
  <c r="A220" i="3"/>
  <c r="A219" i="3"/>
  <c r="A218" i="3"/>
  <c r="A217" i="3"/>
  <c r="F217" i="3" s="1"/>
  <c r="P225" i="6" s="1"/>
  <c r="A216" i="3"/>
  <c r="E216" i="3" s="1"/>
  <c r="O224" i="6" s="1"/>
  <c r="A215" i="3"/>
  <c r="C215" i="3" s="1"/>
  <c r="M223" i="6" s="1"/>
  <c r="A214" i="3"/>
  <c r="G214" i="3" s="1"/>
  <c r="I213" i="3"/>
  <c r="H213" i="3"/>
  <c r="G213" i="3"/>
  <c r="A213" i="3"/>
  <c r="A212" i="3"/>
  <c r="L212" i="3" s="1"/>
  <c r="A211" i="3"/>
  <c r="K211" i="3" s="1"/>
  <c r="Q219" i="6" s="1"/>
  <c r="A210" i="3"/>
  <c r="D210" i="3" s="1"/>
  <c r="N218" i="6" s="1"/>
  <c r="A209" i="3"/>
  <c r="C209" i="3" s="1"/>
  <c r="M217" i="6" s="1"/>
  <c r="A208" i="3"/>
  <c r="N207" i="3"/>
  <c r="A207" i="3"/>
  <c r="L207" i="3" s="1"/>
  <c r="A206" i="3"/>
  <c r="G206" i="3" s="1"/>
  <c r="A205" i="3"/>
  <c r="N204" i="3"/>
  <c r="L204" i="3"/>
  <c r="K204" i="3"/>
  <c r="Q212" i="6" s="1"/>
  <c r="J204" i="3"/>
  <c r="I204" i="3"/>
  <c r="H204" i="3"/>
  <c r="G204" i="3"/>
  <c r="E204" i="3"/>
  <c r="O212" i="6" s="1"/>
  <c r="D204" i="3"/>
  <c r="N212" i="6" s="1"/>
  <c r="C204" i="3"/>
  <c r="M212" i="6" s="1"/>
  <c r="B204" i="3"/>
  <c r="L212" i="6" s="1"/>
  <c r="A204" i="3"/>
  <c r="A203" i="3"/>
  <c r="A202" i="3"/>
  <c r="A201" i="3"/>
  <c r="L201" i="3" s="1"/>
  <c r="A200" i="3"/>
  <c r="C200" i="3" s="1"/>
  <c r="M208" i="6" s="1"/>
  <c r="A199" i="3"/>
  <c r="A198" i="3"/>
  <c r="G198" i="3" s="1"/>
  <c r="A197" i="3"/>
  <c r="A196" i="3"/>
  <c r="A195" i="3"/>
  <c r="B195" i="3" s="1"/>
  <c r="L203" i="6" s="1"/>
  <c r="B194" i="3"/>
  <c r="A194" i="3"/>
  <c r="A193" i="3"/>
  <c r="A192" i="3"/>
  <c r="A191" i="3"/>
  <c r="H191" i="3" s="1"/>
  <c r="A190" i="3"/>
  <c r="I189" i="3"/>
  <c r="D189" i="3"/>
  <c r="N197" i="6" s="1"/>
  <c r="C189" i="3"/>
  <c r="M197" i="6" s="1"/>
  <c r="A189" i="3"/>
  <c r="B189" i="3" s="1"/>
  <c r="A188" i="3"/>
  <c r="H188" i="3" s="1"/>
  <c r="A187" i="3"/>
  <c r="D187" i="3" s="1"/>
  <c r="N195" i="6" s="1"/>
  <c r="A186" i="3"/>
  <c r="C186" i="3" s="1"/>
  <c r="M194" i="6" s="1"/>
  <c r="A185" i="3"/>
  <c r="A184" i="3"/>
  <c r="A183" i="3"/>
  <c r="D183" i="3" s="1"/>
  <c r="B182" i="3"/>
  <c r="A182" i="3"/>
  <c r="C181" i="3"/>
  <c r="M189" i="6" s="1"/>
  <c r="A181" i="3"/>
  <c r="D181" i="3" s="1"/>
  <c r="N189" i="6" s="1"/>
  <c r="A180" i="3"/>
  <c r="H179" i="3"/>
  <c r="B179" i="3"/>
  <c r="A179" i="3"/>
  <c r="A178" i="3"/>
  <c r="K177" i="3"/>
  <c r="I177" i="3"/>
  <c r="H177" i="3"/>
  <c r="E177" i="3"/>
  <c r="D177" i="3"/>
  <c r="N185" i="6" s="1"/>
  <c r="C177" i="3"/>
  <c r="M185" i="6" s="1"/>
  <c r="A177" i="3"/>
  <c r="B177" i="3" s="1"/>
  <c r="L185" i="6" s="1"/>
  <c r="A176" i="3"/>
  <c r="D176" i="3" s="1"/>
  <c r="A175" i="3"/>
  <c r="A174" i="3"/>
  <c r="I174" i="3" s="1"/>
  <c r="A173" i="3"/>
  <c r="A172" i="3"/>
  <c r="C172" i="3" s="1"/>
  <c r="M180" i="6" s="1"/>
  <c r="A171" i="3"/>
  <c r="B171" i="3" s="1"/>
  <c r="L179" i="6" s="1"/>
  <c r="A170" i="3"/>
  <c r="A169" i="3"/>
  <c r="A168" i="3"/>
  <c r="A167" i="3"/>
  <c r="C167" i="3" s="1"/>
  <c r="M175" i="6" s="1"/>
  <c r="A166" i="3"/>
  <c r="E165" i="3"/>
  <c r="D165" i="3"/>
  <c r="A165" i="3"/>
  <c r="A164" i="3"/>
  <c r="A163" i="3"/>
  <c r="A162" i="3"/>
  <c r="C162" i="3" s="1"/>
  <c r="M170" i="6" s="1"/>
  <c r="A161" i="3"/>
  <c r="I161" i="3" s="1"/>
  <c r="A160" i="3"/>
  <c r="E160" i="3" s="1"/>
  <c r="O168" i="6" s="1"/>
  <c r="A159" i="3"/>
  <c r="A158" i="3"/>
  <c r="D158" i="3" s="1"/>
  <c r="A157" i="3"/>
  <c r="E157" i="3" s="1"/>
  <c r="H156" i="3"/>
  <c r="D156" i="3"/>
  <c r="C156" i="3"/>
  <c r="M164" i="6" s="1"/>
  <c r="A156" i="3"/>
  <c r="B156" i="3" s="1"/>
  <c r="L164" i="6" s="1"/>
  <c r="A155" i="3"/>
  <c r="A154" i="3"/>
  <c r="H154" i="3" s="1"/>
  <c r="A153" i="3"/>
  <c r="E153" i="3" s="1"/>
  <c r="A152" i="3"/>
  <c r="A151" i="3"/>
  <c r="H151" i="3" s="1"/>
  <c r="A150" i="3"/>
  <c r="I150" i="3" s="1"/>
  <c r="A149" i="3"/>
  <c r="A148" i="3"/>
  <c r="A147" i="3"/>
  <c r="A146" i="3"/>
  <c r="A145" i="3"/>
  <c r="A144" i="3"/>
  <c r="A143" i="3"/>
  <c r="A142" i="3"/>
  <c r="H142" i="3" s="1"/>
  <c r="A141" i="3"/>
  <c r="I141" i="3" s="1"/>
  <c r="A140" i="3"/>
  <c r="B140" i="3" s="1"/>
  <c r="A139" i="3"/>
  <c r="A138" i="3"/>
  <c r="A137" i="3"/>
  <c r="A136" i="3"/>
  <c r="E136" i="3" s="1"/>
  <c r="O144" i="6" s="1"/>
  <c r="H135" i="3"/>
  <c r="E135" i="3"/>
  <c r="L135" i="3" s="1"/>
  <c r="C135" i="3"/>
  <c r="M143" i="6" s="1"/>
  <c r="B135" i="3"/>
  <c r="A135" i="3"/>
  <c r="I135" i="3" s="1"/>
  <c r="A134" i="3"/>
  <c r="A133" i="3"/>
  <c r="D133" i="3" s="1"/>
  <c r="A132" i="3"/>
  <c r="A131" i="3"/>
  <c r="A130" i="3"/>
  <c r="A129" i="3"/>
  <c r="A128" i="3"/>
  <c r="B128" i="3" s="1"/>
  <c r="A127" i="3"/>
  <c r="A126" i="3"/>
  <c r="A125" i="3"/>
  <c r="H125" i="3" s="1"/>
  <c r="A124" i="3"/>
  <c r="E124" i="3" s="1"/>
  <c r="A123" i="3"/>
  <c r="A122" i="3"/>
  <c r="I122" i="3" s="1"/>
  <c r="A121" i="3"/>
  <c r="A120" i="3"/>
  <c r="B120" i="3" s="1"/>
  <c r="L128" i="6" s="1"/>
  <c r="A119" i="3"/>
  <c r="A118" i="3"/>
  <c r="A117" i="3"/>
  <c r="I117" i="3" s="1"/>
  <c r="A116" i="3"/>
  <c r="D116" i="3" s="1"/>
  <c r="N124" i="6" s="1"/>
  <c r="A115" i="3"/>
  <c r="H115" i="3" s="1"/>
  <c r="A114" i="3"/>
  <c r="A113" i="3"/>
  <c r="A112" i="3"/>
  <c r="C112" i="3" s="1"/>
  <c r="M120" i="6" s="1"/>
  <c r="A111" i="3"/>
  <c r="B111" i="3" s="1"/>
  <c r="L119" i="6" s="1"/>
  <c r="A110" i="3"/>
  <c r="E110" i="3" s="1"/>
  <c r="A109" i="3"/>
  <c r="A108" i="3"/>
  <c r="C108" i="3" s="1"/>
  <c r="M116" i="6" s="1"/>
  <c r="A107" i="3"/>
  <c r="A106" i="3"/>
  <c r="I106" i="3" s="1"/>
  <c r="E105" i="3"/>
  <c r="A105" i="3"/>
  <c r="A104" i="3"/>
  <c r="A103" i="3"/>
  <c r="A102" i="3"/>
  <c r="D102" i="3" s="1"/>
  <c r="A101" i="3"/>
  <c r="I100" i="3"/>
  <c r="H100" i="3"/>
  <c r="E100" i="3"/>
  <c r="O108" i="6" s="1"/>
  <c r="A100" i="3"/>
  <c r="A99" i="3"/>
  <c r="A98" i="3"/>
  <c r="E98" i="3" s="1"/>
  <c r="O106" i="6" s="1"/>
  <c r="A97" i="3"/>
  <c r="H97" i="3" s="1"/>
  <c r="A96" i="3"/>
  <c r="A95" i="3"/>
  <c r="A94" i="3"/>
  <c r="H94" i="3" s="1"/>
  <c r="A93" i="3"/>
  <c r="A92" i="3"/>
  <c r="I92" i="3" s="1"/>
  <c r="A91" i="3"/>
  <c r="A90" i="3"/>
  <c r="I90" i="3" s="1"/>
  <c r="A89" i="3"/>
  <c r="C89" i="3" s="1"/>
  <c r="M97" i="6" s="1"/>
  <c r="A88" i="3"/>
  <c r="D88" i="3" s="1"/>
  <c r="N96" i="6" s="1"/>
  <c r="A87" i="3"/>
  <c r="D87" i="3" s="1"/>
  <c r="N95" i="6" s="1"/>
  <c r="A86" i="3"/>
  <c r="A85" i="3"/>
  <c r="A84" i="3"/>
  <c r="I83" i="3"/>
  <c r="C83" i="3"/>
  <c r="M91" i="6" s="1"/>
  <c r="A83" i="3"/>
  <c r="E83" i="3" s="1"/>
  <c r="O91" i="6" s="1"/>
  <c r="A82" i="3"/>
  <c r="A81" i="3"/>
  <c r="B81" i="3" s="1"/>
  <c r="A80" i="3"/>
  <c r="I80" i="3" s="1"/>
  <c r="A79" i="3"/>
  <c r="A78" i="3"/>
  <c r="E78" i="3" s="1"/>
  <c r="O86" i="6" s="1"/>
  <c r="A77" i="3"/>
  <c r="I77" i="3" s="1"/>
  <c r="A76" i="3"/>
  <c r="E76" i="3" s="1"/>
  <c r="O84" i="6" s="1"/>
  <c r="A75" i="3"/>
  <c r="I75" i="3" s="1"/>
  <c r="A74" i="3"/>
  <c r="A73" i="3"/>
  <c r="A72" i="3"/>
  <c r="A71" i="3"/>
  <c r="C71" i="3" s="1"/>
  <c r="M79" i="6" s="1"/>
  <c r="A70" i="3"/>
  <c r="E70" i="3" s="1"/>
  <c r="O78" i="6" s="1"/>
  <c r="A69" i="3"/>
  <c r="D69" i="3" s="1"/>
  <c r="N77" i="6" s="1"/>
  <c r="A68" i="3"/>
  <c r="B68" i="3" s="1"/>
  <c r="A67" i="3"/>
  <c r="D67" i="3" s="1"/>
  <c r="N75" i="6" s="1"/>
  <c r="A66" i="3"/>
  <c r="B66" i="3" s="1"/>
  <c r="A65" i="3"/>
  <c r="I65" i="3" s="1"/>
  <c r="A64" i="3"/>
  <c r="D64" i="3" s="1"/>
  <c r="N72" i="6" s="1"/>
  <c r="I63" i="3"/>
  <c r="H63" i="3"/>
  <c r="E63" i="3"/>
  <c r="D63" i="3"/>
  <c r="A63" i="3"/>
  <c r="C63" i="3" s="1"/>
  <c r="M71" i="6" s="1"/>
  <c r="A62" i="3"/>
  <c r="A61" i="3"/>
  <c r="C61" i="3" s="1"/>
  <c r="M69" i="6" s="1"/>
  <c r="A60" i="3"/>
  <c r="A59" i="3"/>
  <c r="I59" i="3" s="1"/>
  <c r="I58" i="3"/>
  <c r="H58" i="3"/>
  <c r="A58" i="3"/>
  <c r="A57" i="3"/>
  <c r="I57" i="3" s="1"/>
  <c r="A56" i="3"/>
  <c r="I56" i="3" s="1"/>
  <c r="A55" i="3"/>
  <c r="H55" i="3" s="1"/>
  <c r="A54" i="3"/>
  <c r="E54" i="3" s="1"/>
  <c r="A53" i="3"/>
  <c r="I53" i="3" s="1"/>
  <c r="A52" i="3"/>
  <c r="C52" i="3" s="1"/>
  <c r="M60" i="6" s="1"/>
  <c r="A51" i="3"/>
  <c r="D51" i="3" s="1"/>
  <c r="N59" i="6" s="1"/>
  <c r="A50" i="3"/>
  <c r="A49" i="3"/>
  <c r="E49" i="3" s="1"/>
  <c r="A48" i="3"/>
  <c r="A47" i="3"/>
  <c r="B47" i="3" s="1"/>
  <c r="L55" i="6" s="1"/>
  <c r="A46" i="3"/>
  <c r="C46" i="3" s="1"/>
  <c r="M54" i="6" s="1"/>
  <c r="A45" i="3"/>
  <c r="H45" i="3" s="1"/>
  <c r="A44" i="3"/>
  <c r="I44" i="3" s="1"/>
  <c r="A43" i="3"/>
  <c r="A42" i="3"/>
  <c r="I42" i="3" s="1"/>
  <c r="A41" i="3"/>
  <c r="D41" i="3" s="1"/>
  <c r="N49" i="6" s="1"/>
  <c r="A40" i="3"/>
  <c r="A39" i="3"/>
  <c r="A38" i="3"/>
  <c r="A37" i="3"/>
  <c r="C37" i="3" s="1"/>
  <c r="M45" i="6" s="1"/>
  <c r="A36" i="3"/>
  <c r="A35" i="3"/>
  <c r="I35" i="3" s="1"/>
  <c r="A34" i="3"/>
  <c r="I34" i="3" s="1"/>
  <c r="I33" i="3"/>
  <c r="A33" i="3"/>
  <c r="A32" i="3"/>
  <c r="B32" i="3" s="1"/>
  <c r="A31" i="3"/>
  <c r="I31" i="3" s="1"/>
  <c r="A30" i="3"/>
  <c r="I30" i="3" s="1"/>
  <c r="A29" i="3"/>
  <c r="E29" i="3" s="1"/>
  <c r="A28" i="3"/>
  <c r="A27" i="3"/>
  <c r="A26" i="3"/>
  <c r="H26" i="3" s="1"/>
  <c r="A25" i="3"/>
  <c r="C25" i="3" s="1"/>
  <c r="M33" i="6" s="1"/>
  <c r="A24" i="3"/>
  <c r="H24" i="3" s="1"/>
  <c r="A23" i="3"/>
  <c r="A22" i="3"/>
  <c r="A21" i="3"/>
  <c r="B21" i="3" s="1"/>
  <c r="A20" i="3"/>
  <c r="E20" i="3" s="1"/>
  <c r="A19" i="3"/>
  <c r="A18" i="3"/>
  <c r="H18" i="3" s="1"/>
  <c r="A17" i="3"/>
  <c r="E17" i="3" s="1"/>
  <c r="F17" i="3" s="1"/>
  <c r="P25" i="6" s="1"/>
  <c r="A16" i="3"/>
  <c r="A15" i="3"/>
  <c r="E15" i="3" s="1"/>
  <c r="A14" i="3"/>
  <c r="I14" i="3" s="1"/>
  <c r="A13" i="3"/>
  <c r="I13" i="3" s="1"/>
  <c r="A12" i="3"/>
  <c r="B12" i="3" s="1"/>
  <c r="A11" i="3"/>
  <c r="I11" i="3" s="1"/>
  <c r="A10" i="3"/>
  <c r="D10" i="3" s="1"/>
  <c r="N18" i="6" s="1"/>
  <c r="A9" i="3"/>
  <c r="A8" i="3"/>
  <c r="A7" i="3"/>
  <c r="H7" i="3" s="1"/>
  <c r="H6" i="3"/>
  <c r="A6" i="3"/>
  <c r="D6" i="3" s="1"/>
  <c r="A5" i="3"/>
  <c r="O478" i="2"/>
  <c r="O476" i="2"/>
  <c r="N451" i="3" l="1"/>
  <c r="L451" i="3"/>
  <c r="J451" i="3"/>
  <c r="G451" i="3"/>
  <c r="C451" i="3"/>
  <c r="M459" i="6" s="1"/>
  <c r="B451" i="3"/>
  <c r="L459" i="6" s="1"/>
  <c r="H120" i="3"/>
  <c r="J120" i="3" s="1"/>
  <c r="E138" i="3"/>
  <c r="O146" i="6" s="1"/>
  <c r="I138" i="3"/>
  <c r="H138" i="3"/>
  <c r="D138" i="3"/>
  <c r="N146" i="6" s="1"/>
  <c r="N306" i="3"/>
  <c r="K306" i="3"/>
  <c r="H306" i="3"/>
  <c r="C311" i="3"/>
  <c r="M319" i="6" s="1"/>
  <c r="D326" i="3"/>
  <c r="N334" i="6" s="1"/>
  <c r="J391" i="3"/>
  <c r="I391" i="3"/>
  <c r="H391" i="3"/>
  <c r="N416" i="3"/>
  <c r="K416" i="3"/>
  <c r="Q424" i="6" s="1"/>
  <c r="H53" i="3"/>
  <c r="J53" i="3" s="1"/>
  <c r="G303" i="3"/>
  <c r="C306" i="3"/>
  <c r="M314" i="6" s="1"/>
  <c r="F360" i="3"/>
  <c r="P368" i="6" s="1"/>
  <c r="D391" i="3"/>
  <c r="N399" i="6" s="1"/>
  <c r="B416" i="3"/>
  <c r="L422" i="3"/>
  <c r="F377" i="3"/>
  <c r="P385" i="6" s="1"/>
  <c r="N377" i="3"/>
  <c r="L377" i="3"/>
  <c r="K377" i="3"/>
  <c r="Q385" i="6" s="1"/>
  <c r="J377" i="3"/>
  <c r="H377" i="3"/>
  <c r="E391" i="3"/>
  <c r="O399" i="6" s="1"/>
  <c r="C416" i="3"/>
  <c r="M424" i="6" s="1"/>
  <c r="B159" i="3"/>
  <c r="E159" i="3"/>
  <c r="O167" i="6" s="1"/>
  <c r="C159" i="3"/>
  <c r="M167" i="6" s="1"/>
  <c r="B209" i="3"/>
  <c r="E258" i="3"/>
  <c r="O266" i="6" s="1"/>
  <c r="J343" i="3"/>
  <c r="I360" i="3"/>
  <c r="C377" i="3"/>
  <c r="M385" i="6" s="1"/>
  <c r="F454" i="3"/>
  <c r="P462" i="6" s="1"/>
  <c r="L454" i="3"/>
  <c r="K454" i="3"/>
  <c r="Q462" i="6" s="1"/>
  <c r="J454" i="3"/>
  <c r="I454" i="3"/>
  <c r="H454" i="3"/>
  <c r="I45" i="3"/>
  <c r="I61" i="3"/>
  <c r="E67" i="3"/>
  <c r="O75" i="6" s="1"/>
  <c r="H105" i="3"/>
  <c r="I105" i="3"/>
  <c r="H258" i="3"/>
  <c r="N262" i="3"/>
  <c r="J298" i="3"/>
  <c r="B312" i="3"/>
  <c r="L320" i="6" s="1"/>
  <c r="J360" i="3"/>
  <c r="E377" i="3"/>
  <c r="O385" i="6" s="1"/>
  <c r="J416" i="3"/>
  <c r="C454" i="3"/>
  <c r="M462" i="6" s="1"/>
  <c r="C26" i="3"/>
  <c r="M34" i="6" s="1"/>
  <c r="B105" i="3"/>
  <c r="L113" i="6" s="1"/>
  <c r="I258" i="3"/>
  <c r="L309" i="3"/>
  <c r="K309" i="3"/>
  <c r="Q317" i="6" s="1"/>
  <c r="J309" i="3"/>
  <c r="I309" i="3"/>
  <c r="H309" i="3"/>
  <c r="G309" i="3"/>
  <c r="C312" i="3"/>
  <c r="M320" i="6" s="1"/>
  <c r="B345" i="3"/>
  <c r="L353" i="6" s="1"/>
  <c r="N345" i="3"/>
  <c r="L345" i="3"/>
  <c r="J345" i="3"/>
  <c r="I345" i="3"/>
  <c r="H345" i="3"/>
  <c r="G377" i="3"/>
  <c r="D411" i="3"/>
  <c r="N419" i="6" s="1"/>
  <c r="B435" i="3"/>
  <c r="L443" i="6" s="1"/>
  <c r="N435" i="3"/>
  <c r="J435" i="3"/>
  <c r="I435" i="3"/>
  <c r="G435" i="3"/>
  <c r="D435" i="3"/>
  <c r="N443" i="6" s="1"/>
  <c r="I445" i="3"/>
  <c r="H445" i="3"/>
  <c r="D454" i="3"/>
  <c r="N462" i="6" s="1"/>
  <c r="K469" i="3"/>
  <c r="Q477" i="6" s="1"/>
  <c r="J469" i="3"/>
  <c r="I469" i="3"/>
  <c r="H469" i="3"/>
  <c r="G469" i="3"/>
  <c r="F469" i="3"/>
  <c r="P477" i="6" s="1"/>
  <c r="E469" i="3"/>
  <c r="O477" i="6" s="1"/>
  <c r="C483" i="3"/>
  <c r="M491" i="6" s="1"/>
  <c r="N311" i="3"/>
  <c r="L311" i="3"/>
  <c r="K311" i="3"/>
  <c r="Q319" i="6" s="1"/>
  <c r="J311" i="3"/>
  <c r="I311" i="3"/>
  <c r="H311" i="3"/>
  <c r="G311" i="3"/>
  <c r="I111" i="3"/>
  <c r="E343" i="3"/>
  <c r="O351" i="6" s="1"/>
  <c r="K258" i="3"/>
  <c r="Q266" i="6" s="1"/>
  <c r="D312" i="3"/>
  <c r="N320" i="6" s="1"/>
  <c r="G454" i="3"/>
  <c r="N476" i="3"/>
  <c r="K476" i="3"/>
  <c r="Q484" i="6" s="1"/>
  <c r="E312" i="3"/>
  <c r="O320" i="6" s="1"/>
  <c r="L367" i="3"/>
  <c r="J367" i="3"/>
  <c r="N388" i="3"/>
  <c r="L388" i="3"/>
  <c r="J388" i="3"/>
  <c r="I388" i="3"/>
  <c r="G388" i="3"/>
  <c r="F388" i="3"/>
  <c r="P396" i="6" s="1"/>
  <c r="E388" i="3"/>
  <c r="O396" i="6" s="1"/>
  <c r="N234" i="3"/>
  <c r="B144" i="3"/>
  <c r="D144" i="3"/>
  <c r="I144" i="3"/>
  <c r="H144" i="3"/>
  <c r="E144" i="3"/>
  <c r="L144" i="3" s="1"/>
  <c r="C171" i="3"/>
  <c r="M179" i="6" s="1"/>
  <c r="C70" i="3"/>
  <c r="M78" i="6" s="1"/>
  <c r="C144" i="3"/>
  <c r="M152" i="6" s="1"/>
  <c r="D171" i="3"/>
  <c r="N179" i="6" s="1"/>
  <c r="F243" i="3"/>
  <c r="P251" i="6" s="1"/>
  <c r="B363" i="3"/>
  <c r="L371" i="6" s="1"/>
  <c r="B367" i="3"/>
  <c r="L375" i="6" s="1"/>
  <c r="H373" i="3"/>
  <c r="G373" i="3"/>
  <c r="E373" i="3"/>
  <c r="O381" i="6" s="1"/>
  <c r="B388" i="3"/>
  <c r="L396" i="6" s="1"/>
  <c r="B450" i="3"/>
  <c r="L458" i="6" s="1"/>
  <c r="K463" i="3"/>
  <c r="M463" i="3" s="1"/>
  <c r="J463" i="3"/>
  <c r="G463" i="3"/>
  <c r="L490" i="3"/>
  <c r="K490" i="3"/>
  <c r="Q498" i="6" s="1"/>
  <c r="J490" i="3"/>
  <c r="I490" i="3"/>
  <c r="E490" i="3"/>
  <c r="O498" i="6" s="1"/>
  <c r="D490" i="3"/>
  <c r="N498" i="6" s="1"/>
  <c r="N487" i="3"/>
  <c r="K487" i="3"/>
  <c r="Q495" i="6" s="1"/>
  <c r="J487" i="3"/>
  <c r="I487" i="3"/>
  <c r="H487" i="3"/>
  <c r="G487" i="3"/>
  <c r="F487" i="3"/>
  <c r="P495" i="6" s="1"/>
  <c r="E487" i="3"/>
  <c r="O495" i="6" s="1"/>
  <c r="H67" i="3"/>
  <c r="I67" i="3"/>
  <c r="F311" i="3"/>
  <c r="P319" i="6" s="1"/>
  <c r="D487" i="3"/>
  <c r="N495" i="6" s="1"/>
  <c r="D7" i="3"/>
  <c r="N15" i="6" s="1"/>
  <c r="I243" i="3"/>
  <c r="B301" i="3"/>
  <c r="L309" i="6" s="1"/>
  <c r="C363" i="3"/>
  <c r="M371" i="6" s="1"/>
  <c r="J395" i="3"/>
  <c r="F395" i="3"/>
  <c r="P403" i="6" s="1"/>
  <c r="N457" i="3"/>
  <c r="J457" i="3"/>
  <c r="I457" i="3"/>
  <c r="H457" i="3"/>
  <c r="G457" i="3"/>
  <c r="F457" i="3"/>
  <c r="P465" i="6" s="1"/>
  <c r="L498" i="3"/>
  <c r="K498" i="3"/>
  <c r="J498" i="3"/>
  <c r="I498" i="3"/>
  <c r="H498" i="3"/>
  <c r="G498" i="3"/>
  <c r="F498" i="3"/>
  <c r="P506" i="6" s="1"/>
  <c r="D72" i="3"/>
  <c r="N80" i="6" s="1"/>
  <c r="I72" i="3"/>
  <c r="H72" i="3"/>
  <c r="E72" i="3"/>
  <c r="L72" i="3" s="1"/>
  <c r="L326" i="3"/>
  <c r="K326" i="3"/>
  <c r="Q334" i="6" s="1"/>
  <c r="I326" i="3"/>
  <c r="H326" i="3"/>
  <c r="C72" i="3"/>
  <c r="M80" i="6" s="1"/>
  <c r="H422" i="3"/>
  <c r="D61" i="3"/>
  <c r="I69" i="6" s="1"/>
  <c r="D45" i="3"/>
  <c r="N53" i="6" s="1"/>
  <c r="E61" i="3"/>
  <c r="C487" i="3"/>
  <c r="M495" i="6" s="1"/>
  <c r="H61" i="3"/>
  <c r="N312" i="3"/>
  <c r="K312" i="3"/>
  <c r="Q320" i="6" s="1"/>
  <c r="J312" i="3"/>
  <c r="I312" i="3"/>
  <c r="H312" i="3"/>
  <c r="G312" i="3"/>
  <c r="H416" i="3"/>
  <c r="B165" i="3"/>
  <c r="L173" i="6" s="1"/>
  <c r="I165" i="3"/>
  <c r="H165" i="3"/>
  <c r="I171" i="3"/>
  <c r="J294" i="3"/>
  <c r="K294" i="3"/>
  <c r="Q302" i="6" s="1"/>
  <c r="I294" i="3"/>
  <c r="H294" i="3"/>
  <c r="H331" i="3"/>
  <c r="F331" i="3"/>
  <c r="P339" i="6" s="1"/>
  <c r="L357" i="3"/>
  <c r="N357" i="3"/>
  <c r="K357" i="3"/>
  <c r="Q365" i="6" s="1"/>
  <c r="J357" i="3"/>
  <c r="I357" i="3"/>
  <c r="D357" i="3"/>
  <c r="N365" i="6" s="1"/>
  <c r="D367" i="3"/>
  <c r="N375" i="6" s="1"/>
  <c r="C388" i="3"/>
  <c r="M396" i="6" s="1"/>
  <c r="C136" i="3"/>
  <c r="M144" i="6" s="1"/>
  <c r="C165" i="3"/>
  <c r="M173" i="6" s="1"/>
  <c r="L271" i="3"/>
  <c r="F284" i="3"/>
  <c r="P292" i="6" s="1"/>
  <c r="E367" i="3"/>
  <c r="O375" i="6" s="1"/>
  <c r="C395" i="3"/>
  <c r="M403" i="6" s="1"/>
  <c r="B457" i="3"/>
  <c r="L465" i="6" s="1"/>
  <c r="N490" i="3"/>
  <c r="B498" i="3"/>
  <c r="L506" i="6" s="1"/>
  <c r="I412" i="3"/>
  <c r="C449" i="3"/>
  <c r="M457" i="6" s="1"/>
  <c r="C21" i="3"/>
  <c r="M29" i="6" s="1"/>
  <c r="H57" i="3"/>
  <c r="C81" i="3"/>
  <c r="M89" i="6" s="1"/>
  <c r="L236" i="3"/>
  <c r="D264" i="3"/>
  <c r="N272" i="6" s="1"/>
  <c r="F281" i="3"/>
  <c r="P289" i="6" s="1"/>
  <c r="B300" i="3"/>
  <c r="L308" i="6" s="1"/>
  <c r="C320" i="3"/>
  <c r="M328" i="6" s="1"/>
  <c r="L338" i="3"/>
  <c r="H361" i="3"/>
  <c r="E382" i="3"/>
  <c r="O390" i="6" s="1"/>
  <c r="B403" i="3"/>
  <c r="L411" i="6" s="1"/>
  <c r="B405" i="3"/>
  <c r="D408" i="3"/>
  <c r="N416" i="6" s="1"/>
  <c r="B434" i="3"/>
  <c r="L442" i="6" s="1"/>
  <c r="I441" i="3"/>
  <c r="E449" i="3"/>
  <c r="O457" i="6" s="1"/>
  <c r="B474" i="3"/>
  <c r="L482" i="6" s="1"/>
  <c r="F494" i="3"/>
  <c r="P502" i="6" s="1"/>
  <c r="K499" i="3"/>
  <c r="Q507" i="6" s="1"/>
  <c r="D21" i="3"/>
  <c r="D81" i="3"/>
  <c r="N89" i="6" s="1"/>
  <c r="N236" i="3"/>
  <c r="E264" i="3"/>
  <c r="O272" i="6" s="1"/>
  <c r="D300" i="3"/>
  <c r="N308" i="6" s="1"/>
  <c r="I320" i="3"/>
  <c r="C403" i="3"/>
  <c r="M411" i="6" s="1"/>
  <c r="C434" i="3"/>
  <c r="M442" i="6" s="1"/>
  <c r="F449" i="3"/>
  <c r="P457" i="6" s="1"/>
  <c r="D474" i="3"/>
  <c r="N482" i="6" s="1"/>
  <c r="E81" i="3"/>
  <c r="F264" i="3"/>
  <c r="P272" i="6" s="1"/>
  <c r="I300" i="3"/>
  <c r="D403" i="3"/>
  <c r="N411" i="6" s="1"/>
  <c r="D434" i="3"/>
  <c r="N442" i="6" s="1"/>
  <c r="J449" i="3"/>
  <c r="F474" i="3"/>
  <c r="P482" i="6" s="1"/>
  <c r="E51" i="3"/>
  <c r="O59" i="6" s="1"/>
  <c r="C69" i="3"/>
  <c r="M77" i="6" s="1"/>
  <c r="C117" i="3"/>
  <c r="M125" i="6" s="1"/>
  <c r="H207" i="3"/>
  <c r="D237" i="3"/>
  <c r="N245" i="6" s="1"/>
  <c r="F249" i="3"/>
  <c r="P257" i="6" s="1"/>
  <c r="K256" i="3"/>
  <c r="Q264" i="6" s="1"/>
  <c r="G264" i="3"/>
  <c r="J300" i="3"/>
  <c r="C307" i="3"/>
  <c r="M315" i="6" s="1"/>
  <c r="C351" i="3"/>
  <c r="M359" i="6" s="1"/>
  <c r="C355" i="3"/>
  <c r="M363" i="6" s="1"/>
  <c r="G362" i="3"/>
  <c r="C369" i="3"/>
  <c r="M377" i="6" s="1"/>
  <c r="C397" i="3"/>
  <c r="M405" i="6" s="1"/>
  <c r="D402" i="3"/>
  <c r="N410" i="6" s="1"/>
  <c r="E403" i="3"/>
  <c r="O411" i="6" s="1"/>
  <c r="G426" i="3"/>
  <c r="E434" i="3"/>
  <c r="O442" i="6" s="1"/>
  <c r="C447" i="3"/>
  <c r="M455" i="6" s="1"/>
  <c r="K449" i="3"/>
  <c r="K474" i="3"/>
  <c r="Q482" i="6" s="1"/>
  <c r="H21" i="3"/>
  <c r="I21" i="3"/>
  <c r="E6" i="3"/>
  <c r="O14" i="6" s="1"/>
  <c r="D135" i="3"/>
  <c r="D162" i="3"/>
  <c r="N170" i="6" s="1"/>
  <c r="E237" i="3"/>
  <c r="O245" i="6" s="1"/>
  <c r="G249" i="3"/>
  <c r="D351" i="3"/>
  <c r="N359" i="6" s="1"/>
  <c r="D355" i="3"/>
  <c r="N363" i="6" s="1"/>
  <c r="F402" i="3"/>
  <c r="P410" i="6" s="1"/>
  <c r="F403" i="3"/>
  <c r="P411" i="6" s="1"/>
  <c r="L420" i="3"/>
  <c r="H426" i="3"/>
  <c r="F434" i="3"/>
  <c r="P442" i="6" s="1"/>
  <c r="D447" i="3"/>
  <c r="N455" i="6" s="1"/>
  <c r="D147" i="3"/>
  <c r="N155" i="6" s="1"/>
  <c r="I147" i="3"/>
  <c r="H147" i="3"/>
  <c r="J147" i="3" s="1"/>
  <c r="E147" i="3"/>
  <c r="O155" i="6" s="1"/>
  <c r="B147" i="3"/>
  <c r="G155" i="6" s="1"/>
  <c r="I242" i="3"/>
  <c r="H242" i="3"/>
  <c r="J242" i="3"/>
  <c r="B242" i="3"/>
  <c r="L250" i="6" s="1"/>
  <c r="I9" i="3"/>
  <c r="H9" i="3"/>
  <c r="N335" i="3"/>
  <c r="D335" i="3"/>
  <c r="N343" i="6" s="1"/>
  <c r="C335" i="3"/>
  <c r="M343" i="6" s="1"/>
  <c r="F335" i="3"/>
  <c r="P343" i="6" s="1"/>
  <c r="B335" i="3"/>
  <c r="L343" i="6" s="1"/>
  <c r="L492" i="3"/>
  <c r="N492" i="3"/>
  <c r="F492" i="3"/>
  <c r="P500" i="6" s="1"/>
  <c r="C39" i="3"/>
  <c r="M47" i="6" s="1"/>
  <c r="D39" i="3"/>
  <c r="N47" i="6" s="1"/>
  <c r="H39" i="3"/>
  <c r="B131" i="3"/>
  <c r="G139" i="6" s="1"/>
  <c r="C131" i="3"/>
  <c r="M139" i="6" s="1"/>
  <c r="E202" i="3"/>
  <c r="O210" i="6" s="1"/>
  <c r="G202" i="3"/>
  <c r="H202" i="3"/>
  <c r="C202" i="3"/>
  <c r="M210" i="6" s="1"/>
  <c r="I285" i="3"/>
  <c r="H285" i="3"/>
  <c r="J285" i="3"/>
  <c r="E285" i="3"/>
  <c r="O293" i="6" s="1"/>
  <c r="D285" i="3"/>
  <c r="N293" i="6" s="1"/>
  <c r="B285" i="3"/>
  <c r="L293" i="6" s="1"/>
  <c r="L285" i="3"/>
  <c r="C124" i="3"/>
  <c r="M132" i="6" s="1"/>
  <c r="E27" i="3"/>
  <c r="L27" i="3" s="1"/>
  <c r="D27" i="3"/>
  <c r="N35" i="6" s="1"/>
  <c r="H27" i="3"/>
  <c r="C27" i="3"/>
  <c r="M35" i="6" s="1"/>
  <c r="L199" i="3"/>
  <c r="K199" i="3"/>
  <c r="Q207" i="6" s="1"/>
  <c r="H199" i="3"/>
  <c r="G199" i="3"/>
  <c r="F199" i="3"/>
  <c r="P207" i="6" s="1"/>
  <c r="J199" i="3"/>
  <c r="B27" i="3"/>
  <c r="L35" i="6" s="1"/>
  <c r="I15" i="3"/>
  <c r="H15" i="3"/>
  <c r="E118" i="3"/>
  <c r="O126" i="6" s="1"/>
  <c r="D118" i="3"/>
  <c r="N126" i="6" s="1"/>
  <c r="D375" i="3"/>
  <c r="N383" i="6" s="1"/>
  <c r="F375" i="3"/>
  <c r="P383" i="6" s="1"/>
  <c r="C375" i="3"/>
  <c r="M383" i="6" s="1"/>
  <c r="B375" i="3"/>
  <c r="N375" i="3"/>
  <c r="H375" i="3"/>
  <c r="L375" i="3"/>
  <c r="J375" i="3"/>
  <c r="I375" i="3"/>
  <c r="C118" i="3"/>
  <c r="M126" i="6" s="1"/>
  <c r="I381" i="3"/>
  <c r="C381" i="3"/>
  <c r="M389" i="6" s="1"/>
  <c r="L381" i="3"/>
  <c r="J381" i="3"/>
  <c r="N415" i="3"/>
  <c r="K415" i="3"/>
  <c r="Q423" i="6" s="1"/>
  <c r="G415" i="3"/>
  <c r="D415" i="3"/>
  <c r="N423" i="6" s="1"/>
  <c r="I415" i="3"/>
  <c r="C219" i="3"/>
  <c r="M227" i="6" s="1"/>
  <c r="B219" i="3"/>
  <c r="L227" i="6" s="1"/>
  <c r="C415" i="3"/>
  <c r="M423" i="6" s="1"/>
  <c r="L442" i="3"/>
  <c r="F442" i="3"/>
  <c r="P450" i="6" s="1"/>
  <c r="E442" i="3"/>
  <c r="O450" i="6" s="1"/>
  <c r="B442" i="3"/>
  <c r="L450" i="6" s="1"/>
  <c r="B71" i="3"/>
  <c r="L79" i="6" s="1"/>
  <c r="H126" i="3"/>
  <c r="E126" i="3"/>
  <c r="L126" i="3" s="1"/>
  <c r="E174" i="3"/>
  <c r="L174" i="3" s="1"/>
  <c r="E210" i="3"/>
  <c r="O218" i="6" s="1"/>
  <c r="B255" i="3"/>
  <c r="L263" i="6" s="1"/>
  <c r="C293" i="3"/>
  <c r="M301" i="6" s="1"/>
  <c r="C302" i="3"/>
  <c r="M310" i="6" s="1"/>
  <c r="D318" i="3"/>
  <c r="N326" i="6" s="1"/>
  <c r="D329" i="3"/>
  <c r="N337" i="6" s="1"/>
  <c r="C329" i="3"/>
  <c r="M337" i="6" s="1"/>
  <c r="I336" i="3"/>
  <c r="E371" i="3"/>
  <c r="O379" i="6" s="1"/>
  <c r="C442" i="3"/>
  <c r="M450" i="6" s="1"/>
  <c r="B102" i="3"/>
  <c r="D106" i="3"/>
  <c r="N114" i="6" s="1"/>
  <c r="H112" i="3"/>
  <c r="B126" i="3"/>
  <c r="L134" i="6" s="1"/>
  <c r="H132" i="3"/>
  <c r="C132" i="3"/>
  <c r="M140" i="6" s="1"/>
  <c r="B132" i="3"/>
  <c r="L140" i="6" s="1"/>
  <c r="H174" i="3"/>
  <c r="E186" i="3"/>
  <c r="G186" i="3" s="1"/>
  <c r="D186" i="3"/>
  <c r="I194" i="6" s="1"/>
  <c r="H190" i="3"/>
  <c r="E190" i="3"/>
  <c r="O198" i="6" s="1"/>
  <c r="H210" i="3"/>
  <c r="F214" i="3"/>
  <c r="P222" i="6" s="1"/>
  <c r="G219" i="3"/>
  <c r="B225" i="3"/>
  <c r="L233" i="6" s="1"/>
  <c r="K230" i="3"/>
  <c r="Q238" i="6" s="1"/>
  <c r="G230" i="3"/>
  <c r="D230" i="3"/>
  <c r="N238" i="6" s="1"/>
  <c r="C255" i="3"/>
  <c r="M263" i="6" s="1"/>
  <c r="G272" i="3"/>
  <c r="F293" i="3"/>
  <c r="P301" i="6" s="1"/>
  <c r="J302" i="3"/>
  <c r="G308" i="3"/>
  <c r="N310" i="3"/>
  <c r="F310" i="3"/>
  <c r="P318" i="6" s="1"/>
  <c r="F314" i="3"/>
  <c r="P322" i="6" s="1"/>
  <c r="E318" i="3"/>
  <c r="O326" i="6" s="1"/>
  <c r="B323" i="3"/>
  <c r="L331" i="6" s="1"/>
  <c r="L323" i="3"/>
  <c r="J323" i="3"/>
  <c r="B330" i="3"/>
  <c r="L338" i="6" s="1"/>
  <c r="J330" i="3"/>
  <c r="I330" i="3"/>
  <c r="L330" i="3"/>
  <c r="E330" i="3"/>
  <c r="O338" i="6" s="1"/>
  <c r="B333" i="3"/>
  <c r="L341" i="6" s="1"/>
  <c r="D352" i="3"/>
  <c r="N360" i="6" s="1"/>
  <c r="E364" i="3"/>
  <c r="O372" i="6" s="1"/>
  <c r="G371" i="3"/>
  <c r="N399" i="3"/>
  <c r="J399" i="3"/>
  <c r="H399" i="3"/>
  <c r="G399" i="3"/>
  <c r="D399" i="3"/>
  <c r="N407" i="6" s="1"/>
  <c r="N421" i="3"/>
  <c r="H421" i="3"/>
  <c r="E421" i="3"/>
  <c r="O429" i="6" s="1"/>
  <c r="D421" i="3"/>
  <c r="N429" i="6" s="1"/>
  <c r="K432" i="3"/>
  <c r="I432" i="3"/>
  <c r="H439" i="3"/>
  <c r="D442" i="3"/>
  <c r="N450" i="6" s="1"/>
  <c r="B472" i="3"/>
  <c r="L480" i="6" s="1"/>
  <c r="D486" i="3"/>
  <c r="N494" i="6" s="1"/>
  <c r="I10" i="3"/>
  <c r="H35" i="3"/>
  <c r="D54" i="3"/>
  <c r="N62" i="6" s="1"/>
  <c r="B65" i="3"/>
  <c r="L73" i="6" s="1"/>
  <c r="E68" i="3"/>
  <c r="L68" i="3" s="1"/>
  <c r="E71" i="3"/>
  <c r="O79" i="6" s="1"/>
  <c r="C102" i="3"/>
  <c r="M110" i="6" s="1"/>
  <c r="I113" i="3"/>
  <c r="H113" i="3"/>
  <c r="C126" i="3"/>
  <c r="M134" i="6" s="1"/>
  <c r="D132" i="3"/>
  <c r="N140" i="6" s="1"/>
  <c r="D150" i="3"/>
  <c r="N158" i="6" s="1"/>
  <c r="B162" i="3"/>
  <c r="L170" i="6" s="1"/>
  <c r="B186" i="3"/>
  <c r="L194" i="6" s="1"/>
  <c r="L219" i="3"/>
  <c r="D225" i="3"/>
  <c r="N233" i="6" s="1"/>
  <c r="B230" i="3"/>
  <c r="L238" i="6" s="1"/>
  <c r="G262" i="3"/>
  <c r="D262" i="3"/>
  <c r="N270" i="6" s="1"/>
  <c r="K272" i="3"/>
  <c r="Q280" i="6" s="1"/>
  <c r="K283" i="3"/>
  <c r="Q291" i="6" s="1"/>
  <c r="H283" i="3"/>
  <c r="E283" i="3"/>
  <c r="O291" i="6" s="1"/>
  <c r="G293" i="3"/>
  <c r="K296" i="3"/>
  <c r="Q304" i="6" s="1"/>
  <c r="I296" i="3"/>
  <c r="B296" i="3"/>
  <c r="L304" i="6" s="1"/>
  <c r="I314" i="3"/>
  <c r="F318" i="3"/>
  <c r="P326" i="6" s="1"/>
  <c r="C323" i="3"/>
  <c r="M331" i="6" s="1"/>
  <c r="C330" i="3"/>
  <c r="M338" i="6" s="1"/>
  <c r="D333" i="3"/>
  <c r="N341" i="6" s="1"/>
  <c r="L337" i="3"/>
  <c r="K337" i="3"/>
  <c r="J337" i="3"/>
  <c r="C337" i="3"/>
  <c r="M345" i="6" s="1"/>
  <c r="B337" i="3"/>
  <c r="L345" i="6" s="1"/>
  <c r="N362" i="3"/>
  <c r="J362" i="3"/>
  <c r="F362" i="3"/>
  <c r="P370" i="6" s="1"/>
  <c r="B362" i="3"/>
  <c r="L370" i="6" s="1"/>
  <c r="K362" i="3"/>
  <c r="Q370" i="6" s="1"/>
  <c r="N365" i="3"/>
  <c r="H365" i="3"/>
  <c r="F365" i="3"/>
  <c r="P373" i="6" s="1"/>
  <c r="H383" i="3"/>
  <c r="G383" i="3"/>
  <c r="B383" i="3"/>
  <c r="B421" i="3"/>
  <c r="L429" i="6" s="1"/>
  <c r="I439" i="3"/>
  <c r="K442" i="3"/>
  <c r="Q450" i="6" s="1"/>
  <c r="C472" i="3"/>
  <c r="M480" i="6" s="1"/>
  <c r="N295" i="3"/>
  <c r="L295" i="3"/>
  <c r="K295" i="3"/>
  <c r="H322" i="3"/>
  <c r="B322" i="3"/>
  <c r="O322" i="3" s="1"/>
  <c r="P322" i="3" s="1"/>
  <c r="K322" i="3"/>
  <c r="Q330" i="6" s="1"/>
  <c r="J322" i="3"/>
  <c r="F322" i="3"/>
  <c r="P330" i="6" s="1"/>
  <c r="E322" i="3"/>
  <c r="O330" i="6" s="1"/>
  <c r="L424" i="3"/>
  <c r="I424" i="3"/>
  <c r="H424" i="3"/>
  <c r="F424" i="3"/>
  <c r="P432" i="6" s="1"/>
  <c r="D424" i="3"/>
  <c r="N432" i="6" s="1"/>
  <c r="C424" i="3"/>
  <c r="M432" i="6" s="1"/>
  <c r="D235" i="3"/>
  <c r="N243" i="6" s="1"/>
  <c r="E255" i="3"/>
  <c r="O263" i="6" s="1"/>
  <c r="K255" i="3"/>
  <c r="Q263" i="6" s="1"/>
  <c r="I255" i="3"/>
  <c r="H255" i="3"/>
  <c r="G255" i="3"/>
  <c r="F267" i="3"/>
  <c r="P275" i="6" s="1"/>
  <c r="L267" i="3"/>
  <c r="I267" i="3"/>
  <c r="H267" i="3"/>
  <c r="E267" i="3"/>
  <c r="O275" i="6" s="1"/>
  <c r="F295" i="3"/>
  <c r="P303" i="6" s="1"/>
  <c r="C318" i="3"/>
  <c r="M326" i="6" s="1"/>
  <c r="K349" i="3"/>
  <c r="Q357" i="6" s="1"/>
  <c r="G349" i="3"/>
  <c r="J214" i="3"/>
  <c r="H214" i="3"/>
  <c r="D267" i="3"/>
  <c r="N275" i="6" s="1"/>
  <c r="H295" i="3"/>
  <c r="D308" i="3"/>
  <c r="N316" i="6" s="1"/>
  <c r="B54" i="3"/>
  <c r="L62" i="6" s="1"/>
  <c r="D68" i="3"/>
  <c r="N76" i="6" s="1"/>
  <c r="I76" i="3"/>
  <c r="H76" i="3"/>
  <c r="C65" i="3"/>
  <c r="M73" i="6" s="1"/>
  <c r="H68" i="3"/>
  <c r="J68" i="3" s="1"/>
  <c r="H71" i="3"/>
  <c r="H225" i="3"/>
  <c r="J255" i="3"/>
  <c r="D287" i="3"/>
  <c r="N295" i="6" s="1"/>
  <c r="I287" i="3"/>
  <c r="J318" i="3"/>
  <c r="Q318" i="5" s="1"/>
  <c r="G333" i="3"/>
  <c r="K354" i="3"/>
  <c r="Q362" i="6" s="1"/>
  <c r="G354" i="3"/>
  <c r="C354" i="3"/>
  <c r="M362" i="6" s="1"/>
  <c r="B354" i="3"/>
  <c r="L362" i="6" s="1"/>
  <c r="J354" i="3"/>
  <c r="J396" i="3"/>
  <c r="I396" i="3"/>
  <c r="G396" i="3"/>
  <c r="D396" i="3"/>
  <c r="N404" i="6" s="1"/>
  <c r="B396" i="3"/>
  <c r="J439" i="3"/>
  <c r="J488" i="3"/>
  <c r="D488" i="3"/>
  <c r="N496" i="6" s="1"/>
  <c r="C488" i="3"/>
  <c r="M496" i="6" s="1"/>
  <c r="B488" i="3"/>
  <c r="O488" i="3" s="1"/>
  <c r="P488" i="3" s="1"/>
  <c r="K488" i="3"/>
  <c r="Q496" i="6" s="1"/>
  <c r="H488" i="3"/>
  <c r="D29" i="3"/>
  <c r="I37" i="6" s="1"/>
  <c r="I68" i="3"/>
  <c r="E77" i="3"/>
  <c r="O85" i="6" s="1"/>
  <c r="H102" i="3"/>
  <c r="I126" i="3"/>
  <c r="J126" i="3" s="1"/>
  <c r="H157" i="3"/>
  <c r="E180" i="3"/>
  <c r="F180" i="3" s="1"/>
  <c r="P188" i="6" s="1"/>
  <c r="D180" i="3"/>
  <c r="N188" i="6" s="1"/>
  <c r="H192" i="3"/>
  <c r="E192" i="3"/>
  <c r="B201" i="3"/>
  <c r="B212" i="3"/>
  <c r="L220" i="6" s="1"/>
  <c r="J245" i="3"/>
  <c r="B265" i="3"/>
  <c r="L273" i="6" s="1"/>
  <c r="D265" i="3"/>
  <c r="N273" i="6" s="1"/>
  <c r="F265" i="3"/>
  <c r="P273" i="6" s="1"/>
  <c r="E265" i="3"/>
  <c r="O273" i="6" s="1"/>
  <c r="K265" i="3"/>
  <c r="B280" i="3"/>
  <c r="O280" i="3" s="1"/>
  <c r="P280" i="3" s="1"/>
  <c r="N280" i="3"/>
  <c r="E280" i="3"/>
  <c r="O288" i="6" s="1"/>
  <c r="K293" i="3"/>
  <c r="Q301" i="6" s="1"/>
  <c r="H315" i="3"/>
  <c r="G315" i="3"/>
  <c r="F315" i="3"/>
  <c r="P323" i="6" s="1"/>
  <c r="G323" i="3"/>
  <c r="F330" i="3"/>
  <c r="P338" i="6" s="1"/>
  <c r="H333" i="3"/>
  <c r="D354" i="3"/>
  <c r="N362" i="6" s="1"/>
  <c r="B359" i="3"/>
  <c r="L367" i="6" s="1"/>
  <c r="K421" i="3"/>
  <c r="Q429" i="6" s="1"/>
  <c r="I6" i="3"/>
  <c r="D13" i="3"/>
  <c r="E13" i="3"/>
  <c r="O21" i="6" s="1"/>
  <c r="D37" i="3"/>
  <c r="N45" i="6" s="1"/>
  <c r="E44" i="3"/>
  <c r="O52" i="6" s="1"/>
  <c r="H77" i="3"/>
  <c r="B90" i="3"/>
  <c r="L98" i="6" s="1"/>
  <c r="D109" i="3"/>
  <c r="N117" i="6" s="1"/>
  <c r="C109" i="3"/>
  <c r="M117" i="6" s="1"/>
  <c r="H109" i="3"/>
  <c r="H122" i="3"/>
  <c r="J122" i="3" s="1"/>
  <c r="C122" i="3"/>
  <c r="M130" i="6" s="1"/>
  <c r="B122" i="3"/>
  <c r="C180" i="3"/>
  <c r="M188" i="6" s="1"/>
  <c r="E187" i="3"/>
  <c r="O195" i="6" s="1"/>
  <c r="B192" i="3"/>
  <c r="L200" i="6" s="1"/>
  <c r="E198" i="3"/>
  <c r="O206" i="6" s="1"/>
  <c r="E201" i="3"/>
  <c r="O209" i="6" s="1"/>
  <c r="G212" i="3"/>
  <c r="G216" i="3"/>
  <c r="D226" i="3"/>
  <c r="N234" i="6" s="1"/>
  <c r="C226" i="3"/>
  <c r="M234" i="6" s="1"/>
  <c r="I230" i="3"/>
  <c r="C234" i="3"/>
  <c r="M242" i="6" s="1"/>
  <c r="L245" i="3"/>
  <c r="H253" i="3"/>
  <c r="D253" i="3"/>
  <c r="N261" i="6" s="1"/>
  <c r="C253" i="3"/>
  <c r="M261" i="6" s="1"/>
  <c r="L253" i="3"/>
  <c r="G256" i="3"/>
  <c r="F256" i="3"/>
  <c r="P264" i="6" s="1"/>
  <c r="C265" i="3"/>
  <c r="M273" i="6" s="1"/>
  <c r="K269" i="3"/>
  <c r="M269" i="3" s="1"/>
  <c r="G280" i="3"/>
  <c r="N283" i="3"/>
  <c r="N298" i="3"/>
  <c r="L298" i="3"/>
  <c r="C298" i="3"/>
  <c r="M306" i="6" s="1"/>
  <c r="D315" i="3"/>
  <c r="N323" i="6" s="1"/>
  <c r="G330" i="3"/>
  <c r="H337" i="3"/>
  <c r="L344" i="3"/>
  <c r="I344" i="3"/>
  <c r="H344" i="3"/>
  <c r="E354" i="3"/>
  <c r="O362" i="6" s="1"/>
  <c r="L362" i="3"/>
  <c r="D365" i="3"/>
  <c r="N373" i="6" s="1"/>
  <c r="E380" i="3"/>
  <c r="O388" i="6" s="1"/>
  <c r="N380" i="3"/>
  <c r="L380" i="3"/>
  <c r="K380" i="3"/>
  <c r="Q388" i="6" s="1"/>
  <c r="D380" i="3"/>
  <c r="N388" i="6" s="1"/>
  <c r="L386" i="3"/>
  <c r="E386" i="3"/>
  <c r="O394" i="6" s="1"/>
  <c r="C386" i="3"/>
  <c r="M394" i="6" s="1"/>
  <c r="J386" i="3"/>
  <c r="N406" i="3"/>
  <c r="J406" i="3"/>
  <c r="I406" i="3"/>
  <c r="G406" i="3"/>
  <c r="C406" i="3"/>
  <c r="M414" i="6" s="1"/>
  <c r="L421" i="3"/>
  <c r="I436" i="3"/>
  <c r="H436" i="3"/>
  <c r="E436" i="3"/>
  <c r="O444" i="6" s="1"/>
  <c r="L436" i="3"/>
  <c r="K436" i="3"/>
  <c r="Q444" i="6" s="1"/>
  <c r="N436" i="3"/>
  <c r="J436" i="3"/>
  <c r="D436" i="3"/>
  <c r="N444" i="6" s="1"/>
  <c r="N460" i="3"/>
  <c r="J460" i="3"/>
  <c r="C460" i="3"/>
  <c r="M468" i="6" s="1"/>
  <c r="B460" i="3"/>
  <c r="L468" i="6" s="1"/>
  <c r="H460" i="3"/>
  <c r="L488" i="3"/>
  <c r="H496" i="3"/>
  <c r="G496" i="3"/>
  <c r="N496" i="3"/>
  <c r="F496" i="3"/>
  <c r="P504" i="6" s="1"/>
  <c r="H13" i="3"/>
  <c r="J13" i="3" s="1"/>
  <c r="B26" i="3"/>
  <c r="L34" i="6" s="1"/>
  <c r="E37" i="3"/>
  <c r="O45" i="6" s="1"/>
  <c r="H44" i="3"/>
  <c r="J44" i="3" s="1"/>
  <c r="B83" i="3"/>
  <c r="G91" i="6" s="1"/>
  <c r="C90" i="3"/>
  <c r="M98" i="6" s="1"/>
  <c r="E109" i="3"/>
  <c r="G109" i="3" s="1"/>
  <c r="D122" i="3"/>
  <c r="N130" i="6" s="1"/>
  <c r="D128" i="3"/>
  <c r="N136" i="6" s="1"/>
  <c r="C128" i="3"/>
  <c r="M136" i="6" s="1"/>
  <c r="I158" i="3"/>
  <c r="H187" i="3"/>
  <c r="I192" i="3"/>
  <c r="K201" i="3"/>
  <c r="Q209" i="6" s="1"/>
  <c r="H216" i="3"/>
  <c r="J222" i="3"/>
  <c r="I222" i="3"/>
  <c r="K222" i="3"/>
  <c r="Q230" i="6" s="1"/>
  <c r="H222" i="3"/>
  <c r="E226" i="3"/>
  <c r="O234" i="6" s="1"/>
  <c r="L230" i="3"/>
  <c r="C241" i="3"/>
  <c r="M249" i="6" s="1"/>
  <c r="B253" i="3"/>
  <c r="B256" i="3"/>
  <c r="L264" i="6" s="1"/>
  <c r="G265" i="3"/>
  <c r="N270" i="3"/>
  <c r="C270" i="3"/>
  <c r="M278" i="6" s="1"/>
  <c r="L270" i="3"/>
  <c r="K280" i="3"/>
  <c r="Q288" i="6" s="1"/>
  <c r="I284" i="3"/>
  <c r="H284" i="3"/>
  <c r="G284" i="3"/>
  <c r="B298" i="3"/>
  <c r="L306" i="6" s="1"/>
  <c r="I315" i="3"/>
  <c r="G324" i="3"/>
  <c r="B327" i="3"/>
  <c r="L335" i="6" s="1"/>
  <c r="H330" i="3"/>
  <c r="N337" i="3"/>
  <c r="C344" i="3"/>
  <c r="M352" i="6" s="1"/>
  <c r="B348" i="3"/>
  <c r="L356" i="6" s="1"/>
  <c r="F348" i="3"/>
  <c r="P356" i="6" s="1"/>
  <c r="E348" i="3"/>
  <c r="O356" i="6" s="1"/>
  <c r="G348" i="3"/>
  <c r="D348" i="3"/>
  <c r="N356" i="6" s="1"/>
  <c r="F354" i="3"/>
  <c r="P362" i="6" s="1"/>
  <c r="G356" i="3"/>
  <c r="H360" i="3"/>
  <c r="C360" i="3"/>
  <c r="M368" i="6" s="1"/>
  <c r="B360" i="3"/>
  <c r="L368" i="6" s="1"/>
  <c r="N360" i="3"/>
  <c r="D360" i="3"/>
  <c r="N368" i="6" s="1"/>
  <c r="N363" i="3"/>
  <c r="L363" i="3"/>
  <c r="J363" i="3"/>
  <c r="H363" i="3"/>
  <c r="G363" i="3"/>
  <c r="E363" i="3"/>
  <c r="O371" i="6" s="1"/>
  <c r="D363" i="3"/>
  <c r="N371" i="6" s="1"/>
  <c r="B380" i="3"/>
  <c r="F386" i="3"/>
  <c r="P394" i="6" s="1"/>
  <c r="D394" i="3"/>
  <c r="N402" i="6" s="1"/>
  <c r="L394" i="3"/>
  <c r="K394" i="3"/>
  <c r="Q402" i="6" s="1"/>
  <c r="J394" i="3"/>
  <c r="N394" i="3"/>
  <c r="E394" i="3"/>
  <c r="O402" i="6" s="1"/>
  <c r="C394" i="3"/>
  <c r="M402" i="6" s="1"/>
  <c r="B394" i="3"/>
  <c r="L402" i="6" s="1"/>
  <c r="B406" i="3"/>
  <c r="L414" i="6" s="1"/>
  <c r="L413" i="3"/>
  <c r="K413" i="3"/>
  <c r="Q421" i="6" s="1"/>
  <c r="J413" i="3"/>
  <c r="H413" i="3"/>
  <c r="F413" i="3"/>
  <c r="P421" i="6" s="1"/>
  <c r="B413" i="3"/>
  <c r="L421" i="6" s="1"/>
  <c r="B436" i="3"/>
  <c r="L444" i="6" s="1"/>
  <c r="D460" i="3"/>
  <c r="N468" i="6" s="1"/>
  <c r="N484" i="3"/>
  <c r="J484" i="3"/>
  <c r="I484" i="3"/>
  <c r="D484" i="3"/>
  <c r="N492" i="6" s="1"/>
  <c r="C484" i="3"/>
  <c r="M492" i="6" s="1"/>
  <c r="B484" i="3"/>
  <c r="L492" i="6" s="1"/>
  <c r="N488" i="3"/>
  <c r="C496" i="3"/>
  <c r="M504" i="6" s="1"/>
  <c r="I195" i="3"/>
  <c r="H195" i="3"/>
  <c r="D195" i="3"/>
  <c r="I203" i="6" s="1"/>
  <c r="C195" i="3"/>
  <c r="M203" i="6" s="1"/>
  <c r="N318" i="3"/>
  <c r="H318" i="3"/>
  <c r="I318" i="3"/>
  <c r="G318" i="3"/>
  <c r="B318" i="3"/>
  <c r="L326" i="6" s="1"/>
  <c r="K340" i="3"/>
  <c r="Q348" i="6" s="1"/>
  <c r="F340" i="3"/>
  <c r="P348" i="6" s="1"/>
  <c r="C340" i="3"/>
  <c r="M348" i="6" s="1"/>
  <c r="D293" i="3"/>
  <c r="N301" i="6" s="1"/>
  <c r="J293" i="3"/>
  <c r="I293" i="3"/>
  <c r="B293" i="3"/>
  <c r="L301" i="6" s="1"/>
  <c r="F371" i="3"/>
  <c r="P379" i="6" s="1"/>
  <c r="B371" i="3"/>
  <c r="B424" i="3"/>
  <c r="L432" i="6" s="1"/>
  <c r="L486" i="3"/>
  <c r="J486" i="3"/>
  <c r="I486" i="3"/>
  <c r="G486" i="3"/>
  <c r="B486" i="3"/>
  <c r="L494" i="6" s="1"/>
  <c r="H75" i="3"/>
  <c r="E195" i="3"/>
  <c r="G195" i="3" s="1"/>
  <c r="F229" i="3"/>
  <c r="P237" i="6" s="1"/>
  <c r="D229" i="3"/>
  <c r="N237" i="6" s="1"/>
  <c r="I341" i="3"/>
  <c r="D341" i="3"/>
  <c r="N349" i="6" s="1"/>
  <c r="C486" i="3"/>
  <c r="M494" i="6" s="1"/>
  <c r="I29" i="3"/>
  <c r="C29" i="3"/>
  <c r="M37" i="6" s="1"/>
  <c r="E132" i="3"/>
  <c r="L132" i="3" s="1"/>
  <c r="B198" i="3"/>
  <c r="L206" i="6" s="1"/>
  <c r="L198" i="3"/>
  <c r="K198" i="3"/>
  <c r="Q206" i="6" s="1"/>
  <c r="N198" i="3"/>
  <c r="J198" i="3"/>
  <c r="D198" i="3"/>
  <c r="N206" i="6" s="1"/>
  <c r="N219" i="3"/>
  <c r="E234" i="3"/>
  <c r="O242" i="6" s="1"/>
  <c r="D234" i="3"/>
  <c r="N242" i="6" s="1"/>
  <c r="K234" i="3"/>
  <c r="Q242" i="6" s="1"/>
  <c r="H293" i="3"/>
  <c r="H230" i="3"/>
  <c r="F269" i="3"/>
  <c r="P277" i="6" s="1"/>
  <c r="L287" i="3"/>
  <c r="E488" i="3"/>
  <c r="O496" i="6" s="1"/>
  <c r="H90" i="3"/>
  <c r="H193" i="3"/>
  <c r="J193" i="3" s="1"/>
  <c r="E193" i="3"/>
  <c r="G193" i="3" s="1"/>
  <c r="H198" i="3"/>
  <c r="C213" i="3"/>
  <c r="M221" i="6" s="1"/>
  <c r="B213" i="3"/>
  <c r="L221" i="6" s="1"/>
  <c r="N213" i="3"/>
  <c r="L213" i="3"/>
  <c r="D213" i="3"/>
  <c r="N221" i="6" s="1"/>
  <c r="I216" i="3"/>
  <c r="J226" i="3"/>
  <c r="N230" i="3"/>
  <c r="H234" i="3"/>
  <c r="F241" i="3"/>
  <c r="P249" i="6" s="1"/>
  <c r="E253" i="3"/>
  <c r="O261" i="6" s="1"/>
  <c r="H256" i="3"/>
  <c r="B261" i="3"/>
  <c r="L269" i="6" s="1"/>
  <c r="G261" i="3"/>
  <c r="H261" i="3"/>
  <c r="F261" i="3"/>
  <c r="P269" i="6" s="1"/>
  <c r="J261" i="3"/>
  <c r="H265" i="3"/>
  <c r="D298" i="3"/>
  <c r="N306" i="6" s="1"/>
  <c r="F301" i="3"/>
  <c r="P309" i="6" s="1"/>
  <c r="J301" i="3"/>
  <c r="E301" i="3"/>
  <c r="O309" i="6" s="1"/>
  <c r="D301" i="3"/>
  <c r="N309" i="6" s="1"/>
  <c r="K301" i="3"/>
  <c r="G301" i="3"/>
  <c r="J315" i="3"/>
  <c r="J324" i="3"/>
  <c r="H327" i="3"/>
  <c r="K330" i="3"/>
  <c r="Q338" i="6" s="1"/>
  <c r="F344" i="3"/>
  <c r="P352" i="6" s="1"/>
  <c r="H354" i="3"/>
  <c r="H356" i="3"/>
  <c r="C380" i="3"/>
  <c r="M388" i="6" s="1"/>
  <c r="G386" i="3"/>
  <c r="D406" i="3"/>
  <c r="N414" i="6" s="1"/>
  <c r="C436" i="3"/>
  <c r="M444" i="6" s="1"/>
  <c r="E460" i="3"/>
  <c r="O468" i="6" s="1"/>
  <c r="C489" i="3"/>
  <c r="M497" i="6" s="1"/>
  <c r="N489" i="3"/>
  <c r="L489" i="3"/>
  <c r="H489" i="3"/>
  <c r="D496" i="3"/>
  <c r="N504" i="6" s="1"/>
  <c r="C210" i="3"/>
  <c r="M218" i="6" s="1"/>
  <c r="B210" i="3"/>
  <c r="L218" i="6" s="1"/>
  <c r="N210" i="3"/>
  <c r="N439" i="3"/>
  <c r="F439" i="3"/>
  <c r="P447" i="6" s="1"/>
  <c r="E439" i="3"/>
  <c r="O447" i="6" s="1"/>
  <c r="D439" i="3"/>
  <c r="N447" i="6" s="1"/>
  <c r="K439" i="3"/>
  <c r="Q447" i="6" s="1"/>
  <c r="G439" i="3"/>
  <c r="D322" i="3"/>
  <c r="N330" i="6" s="1"/>
  <c r="H34" i="3"/>
  <c r="J34" i="3" s="1"/>
  <c r="I54" i="3"/>
  <c r="C54" i="3"/>
  <c r="M62" i="6" s="1"/>
  <c r="C68" i="3"/>
  <c r="M76" i="6" s="1"/>
  <c r="D219" i="3"/>
  <c r="N227" i="6" s="1"/>
  <c r="L225" i="3"/>
  <c r="J225" i="3"/>
  <c r="C225" i="3"/>
  <c r="M233" i="6" s="1"/>
  <c r="J314" i="3"/>
  <c r="D314" i="3"/>
  <c r="N322" i="6" s="1"/>
  <c r="B314" i="3"/>
  <c r="L322" i="6" s="1"/>
  <c r="G314" i="3"/>
  <c r="G322" i="3"/>
  <c r="N333" i="3"/>
  <c r="I333" i="3"/>
  <c r="F333" i="3"/>
  <c r="P341" i="6" s="1"/>
  <c r="E333" i="3"/>
  <c r="O341" i="6" s="1"/>
  <c r="L333" i="3"/>
  <c r="K333" i="3"/>
  <c r="Q341" i="6" s="1"/>
  <c r="C333" i="3"/>
  <c r="M341" i="6" s="1"/>
  <c r="J349" i="3"/>
  <c r="J415" i="3"/>
  <c r="G424" i="3"/>
  <c r="C439" i="3"/>
  <c r="M447" i="6" s="1"/>
  <c r="H472" i="3"/>
  <c r="G472" i="3"/>
  <c r="E472" i="3"/>
  <c r="O480" i="6" s="1"/>
  <c r="N472" i="3"/>
  <c r="E18" i="3"/>
  <c r="L18" i="3" s="1"/>
  <c r="I18" i="3"/>
  <c r="D126" i="3"/>
  <c r="N134" i="6" s="1"/>
  <c r="D201" i="3"/>
  <c r="N209" i="6" s="1"/>
  <c r="C201" i="3"/>
  <c r="M209" i="6" s="1"/>
  <c r="J201" i="3"/>
  <c r="G201" i="3"/>
  <c r="K486" i="3"/>
  <c r="M486" i="3" s="1"/>
  <c r="C198" i="3"/>
  <c r="M206" i="6" s="1"/>
  <c r="B234" i="3"/>
  <c r="L242" i="6" s="1"/>
  <c r="L255" i="3"/>
  <c r="H37" i="3"/>
  <c r="C45" i="3"/>
  <c r="M53" i="6" s="1"/>
  <c r="E45" i="3"/>
  <c r="G45" i="3" s="1"/>
  <c r="H78" i="3"/>
  <c r="I78" i="3"/>
  <c r="I37" i="3"/>
  <c r="B45" i="3"/>
  <c r="L53" i="6" s="1"/>
  <c r="D70" i="3"/>
  <c r="N78" i="6" s="1"/>
  <c r="I70" i="3"/>
  <c r="D78" i="3"/>
  <c r="N86" i="6" s="1"/>
  <c r="D83" i="3"/>
  <c r="N91" i="6" s="1"/>
  <c r="I198" i="3"/>
  <c r="N201" i="3"/>
  <c r="E213" i="3"/>
  <c r="O221" i="6" s="1"/>
  <c r="K216" i="3"/>
  <c r="Q224" i="6" s="1"/>
  <c r="K226" i="3"/>
  <c r="Q234" i="6" s="1"/>
  <c r="H231" i="3"/>
  <c r="D231" i="3"/>
  <c r="N239" i="6" s="1"/>
  <c r="I231" i="3"/>
  <c r="L234" i="3"/>
  <c r="G241" i="3"/>
  <c r="G253" i="3"/>
  <c r="J256" i="3"/>
  <c r="C261" i="3"/>
  <c r="M269" i="6" s="1"/>
  <c r="J265" i="3"/>
  <c r="G298" i="3"/>
  <c r="I327" i="3"/>
  <c r="G344" i="3"/>
  <c r="I354" i="3"/>
  <c r="N367" i="3"/>
  <c r="K367" i="3"/>
  <c r="Q375" i="6" s="1"/>
  <c r="F367" i="3"/>
  <c r="P375" i="6" s="1"/>
  <c r="H380" i="3"/>
  <c r="E406" i="3"/>
  <c r="O414" i="6" s="1"/>
  <c r="F460" i="3"/>
  <c r="P468" i="6" s="1"/>
  <c r="L470" i="3"/>
  <c r="E470" i="3"/>
  <c r="O478" i="6" s="1"/>
  <c r="D470" i="3"/>
  <c r="N478" i="6" s="1"/>
  <c r="C470" i="3"/>
  <c r="M478" i="6" s="1"/>
  <c r="H470" i="3"/>
  <c r="F470" i="3"/>
  <c r="P478" i="6" s="1"/>
  <c r="K470" i="3"/>
  <c r="O470" i="3" s="1"/>
  <c r="P470" i="3" s="1"/>
  <c r="J470" i="3"/>
  <c r="D179" i="3"/>
  <c r="N187" i="6" s="1"/>
  <c r="C179" i="3"/>
  <c r="M187" i="6" s="1"/>
  <c r="E306" i="3"/>
  <c r="O314" i="6" s="1"/>
  <c r="G306" i="3"/>
  <c r="D306" i="3"/>
  <c r="N314" i="6" s="1"/>
  <c r="J392" i="3"/>
  <c r="F392" i="3"/>
  <c r="P400" i="6" s="1"/>
  <c r="E392" i="3"/>
  <c r="O400" i="6" s="1"/>
  <c r="G398" i="3"/>
  <c r="C398" i="3"/>
  <c r="M406" i="6" s="1"/>
  <c r="B398" i="3"/>
  <c r="K408" i="3"/>
  <c r="Q416" i="6" s="1"/>
  <c r="J408" i="3"/>
  <c r="G408" i="3"/>
  <c r="N408" i="3"/>
  <c r="L408" i="3"/>
  <c r="H476" i="3"/>
  <c r="J476" i="3"/>
  <c r="D476" i="3"/>
  <c r="N484" i="6" s="1"/>
  <c r="I483" i="3"/>
  <c r="H483" i="3"/>
  <c r="D483" i="3"/>
  <c r="N491" i="6" s="1"/>
  <c r="L491" i="3"/>
  <c r="G491" i="3"/>
  <c r="E491" i="3"/>
  <c r="O499" i="6" s="1"/>
  <c r="B491" i="3"/>
  <c r="L499" i="6" s="1"/>
  <c r="K410" i="3"/>
  <c r="Q418" i="6" s="1"/>
  <c r="D100" i="3"/>
  <c r="N108" i="6" s="1"/>
  <c r="C100" i="3"/>
  <c r="M108" i="6" s="1"/>
  <c r="L282" i="3"/>
  <c r="F282" i="3"/>
  <c r="P290" i="6" s="1"/>
  <c r="D410" i="3"/>
  <c r="N418" i="6" s="1"/>
  <c r="H431" i="3"/>
  <c r="J431" i="3"/>
  <c r="E431" i="3"/>
  <c r="O439" i="6" s="1"/>
  <c r="D452" i="3"/>
  <c r="N460" i="6" s="1"/>
  <c r="N463" i="3"/>
  <c r="L463" i="3"/>
  <c r="F463" i="3"/>
  <c r="P471" i="6" s="1"/>
  <c r="C463" i="3"/>
  <c r="M471" i="6" s="1"/>
  <c r="L493" i="3"/>
  <c r="I493" i="3"/>
  <c r="O498" i="3"/>
  <c r="P498" i="3" s="1"/>
  <c r="G238" i="3"/>
  <c r="K238" i="3"/>
  <c r="Q246" i="6" s="1"/>
  <c r="H238" i="3"/>
  <c r="N391" i="3"/>
  <c r="L391" i="3"/>
  <c r="F397" i="3"/>
  <c r="P405" i="6" s="1"/>
  <c r="E397" i="3"/>
  <c r="O405" i="6" s="1"/>
  <c r="E410" i="3"/>
  <c r="O418" i="6" s="1"/>
  <c r="C431" i="3"/>
  <c r="M439" i="6" s="1"/>
  <c r="F445" i="3"/>
  <c r="P453" i="6" s="1"/>
  <c r="L445" i="3"/>
  <c r="K445" i="3"/>
  <c r="J445" i="3"/>
  <c r="L450" i="3"/>
  <c r="K450" i="3"/>
  <c r="M450" i="3" s="1"/>
  <c r="J450" i="3"/>
  <c r="B463" i="3"/>
  <c r="L471" i="6" s="1"/>
  <c r="N469" i="3"/>
  <c r="D469" i="3"/>
  <c r="N477" i="6" s="1"/>
  <c r="C469" i="3"/>
  <c r="M477" i="6" s="1"/>
  <c r="B469" i="3"/>
  <c r="L477" i="6" s="1"/>
  <c r="H493" i="3"/>
  <c r="N326" i="3"/>
  <c r="J326" i="3"/>
  <c r="C133" i="3"/>
  <c r="M141" i="6" s="1"/>
  <c r="C237" i="3"/>
  <c r="M245" i="6" s="1"/>
  <c r="G294" i="3"/>
  <c r="B305" i="3"/>
  <c r="L313" i="6" s="1"/>
  <c r="B311" i="3"/>
  <c r="O311" i="3" s="1"/>
  <c r="P311" i="3" s="1"/>
  <c r="B326" i="3"/>
  <c r="L334" i="6" s="1"/>
  <c r="B355" i="3"/>
  <c r="L363" i="6" s="1"/>
  <c r="B357" i="3"/>
  <c r="L365" i="6" s="1"/>
  <c r="D376" i="3"/>
  <c r="N384" i="6" s="1"/>
  <c r="L378" i="3"/>
  <c r="F378" i="3"/>
  <c r="P386" i="6" s="1"/>
  <c r="D378" i="3"/>
  <c r="N386" i="6" s="1"/>
  <c r="C378" i="3"/>
  <c r="M386" i="6" s="1"/>
  <c r="N430" i="3"/>
  <c r="I430" i="3"/>
  <c r="H430" i="3"/>
  <c r="G430" i="3"/>
  <c r="J440" i="3"/>
  <c r="H440" i="3"/>
  <c r="K433" i="3"/>
  <c r="Q441" i="6" s="1"/>
  <c r="K457" i="3"/>
  <c r="Q465" i="6" s="1"/>
  <c r="B377" i="3"/>
  <c r="L385" i="6" s="1"/>
  <c r="C420" i="3"/>
  <c r="M428" i="6" s="1"/>
  <c r="B454" i="3"/>
  <c r="L462" i="6" s="1"/>
  <c r="D458" i="3"/>
  <c r="N466" i="6" s="1"/>
  <c r="C499" i="3"/>
  <c r="M507" i="6" s="1"/>
  <c r="H246" i="3"/>
  <c r="G246" i="3"/>
  <c r="D246" i="3"/>
  <c r="N254" i="6" s="1"/>
  <c r="L246" i="3"/>
  <c r="K246" i="3"/>
  <c r="Q254" i="6" s="1"/>
  <c r="I246" i="3"/>
  <c r="F246" i="3"/>
  <c r="P254" i="6" s="1"/>
  <c r="E246" i="3"/>
  <c r="O254" i="6" s="1"/>
  <c r="C246" i="3"/>
  <c r="M254" i="6" s="1"/>
  <c r="B246" i="3"/>
  <c r="L254" i="6" s="1"/>
  <c r="N246" i="3"/>
  <c r="J246" i="3"/>
  <c r="G291" i="3"/>
  <c r="H291" i="3"/>
  <c r="F291" i="3"/>
  <c r="P299" i="6" s="1"/>
  <c r="C291" i="3"/>
  <c r="M299" i="6" s="1"/>
  <c r="N291" i="3"/>
  <c r="B291" i="3"/>
  <c r="L299" i="6" s="1"/>
  <c r="D291" i="3"/>
  <c r="N299" i="6" s="1"/>
  <c r="I291" i="3"/>
  <c r="L291" i="3"/>
  <c r="K291" i="3"/>
  <c r="Q299" i="6" s="1"/>
  <c r="E291" i="3"/>
  <c r="O299" i="6" s="1"/>
  <c r="J291" i="3"/>
  <c r="L38" i="3"/>
  <c r="D38" i="3"/>
  <c r="N46" i="6" s="1"/>
  <c r="C38" i="3"/>
  <c r="M46" i="6" s="1"/>
  <c r="B38" i="3"/>
  <c r="L46" i="6" s="1"/>
  <c r="I38" i="3"/>
  <c r="E38" i="3"/>
  <c r="F38" i="3" s="1"/>
  <c r="P46" i="6" s="1"/>
  <c r="H79" i="3"/>
  <c r="E79" i="3"/>
  <c r="O87" i="6" s="1"/>
  <c r="D79" i="3"/>
  <c r="K79" i="3" s="1"/>
  <c r="C107" i="3"/>
  <c r="M115" i="6" s="1"/>
  <c r="B107" i="3"/>
  <c r="L115" i="6" s="1"/>
  <c r="E107" i="3"/>
  <c r="G107" i="3" s="1"/>
  <c r="I107" i="3"/>
  <c r="H107" i="3"/>
  <c r="I228" i="3"/>
  <c r="H228" i="3"/>
  <c r="E228" i="3"/>
  <c r="O236" i="6" s="1"/>
  <c r="D228" i="3"/>
  <c r="N236" i="6" s="1"/>
  <c r="B228" i="3"/>
  <c r="L236" i="6" s="1"/>
  <c r="K228" i="3"/>
  <c r="Q236" i="6" s="1"/>
  <c r="N228" i="3"/>
  <c r="J228" i="3"/>
  <c r="G228" i="3"/>
  <c r="L228" i="3"/>
  <c r="C228" i="3"/>
  <c r="M236" i="6" s="1"/>
  <c r="K252" i="3"/>
  <c r="Q260" i="6" s="1"/>
  <c r="J252" i="3"/>
  <c r="G252" i="3"/>
  <c r="L252" i="3"/>
  <c r="C252" i="3"/>
  <c r="M260" i="6" s="1"/>
  <c r="N252" i="3"/>
  <c r="B252" i="3"/>
  <c r="L260" i="6" s="1"/>
  <c r="I252" i="3"/>
  <c r="H252" i="3"/>
  <c r="E252" i="3"/>
  <c r="O260" i="6" s="1"/>
  <c r="D252" i="3"/>
  <c r="N260" i="6" s="1"/>
  <c r="F252" i="3"/>
  <c r="P260" i="6" s="1"/>
  <c r="D104" i="3"/>
  <c r="K104" i="3" s="1"/>
  <c r="C104" i="3"/>
  <c r="M112" i="6" s="1"/>
  <c r="H104" i="3"/>
  <c r="I104" i="3"/>
  <c r="B104" i="3"/>
  <c r="L112" i="6" s="1"/>
  <c r="C152" i="3"/>
  <c r="M160" i="6" s="1"/>
  <c r="B152" i="3"/>
  <c r="G160" i="6" s="1"/>
  <c r="D152" i="3"/>
  <c r="N160" i="6" s="1"/>
  <c r="H368" i="3"/>
  <c r="B368" i="3"/>
  <c r="L376" i="6" s="1"/>
  <c r="E368" i="3"/>
  <c r="O376" i="6" s="1"/>
  <c r="D368" i="3"/>
  <c r="N376" i="6" s="1"/>
  <c r="J368" i="3"/>
  <c r="F368" i="3"/>
  <c r="P376" i="6" s="1"/>
  <c r="N368" i="3"/>
  <c r="K368" i="3"/>
  <c r="C79" i="3"/>
  <c r="M87" i="6" s="1"/>
  <c r="H163" i="3"/>
  <c r="E163" i="3"/>
  <c r="L163" i="3" s="1"/>
  <c r="H339" i="3"/>
  <c r="L339" i="3"/>
  <c r="K339" i="3"/>
  <c r="Q347" i="6" s="1"/>
  <c r="E339" i="3"/>
  <c r="O347" i="6" s="1"/>
  <c r="C339" i="3"/>
  <c r="M347" i="6" s="1"/>
  <c r="B339" i="3"/>
  <c r="L347" i="6" s="1"/>
  <c r="F339" i="3"/>
  <c r="P347" i="6" s="1"/>
  <c r="G339" i="3"/>
  <c r="D339" i="3"/>
  <c r="N347" i="6" s="1"/>
  <c r="N339" i="3"/>
  <c r="I339" i="3"/>
  <c r="J339" i="3"/>
  <c r="B164" i="3"/>
  <c r="L172" i="6" s="1"/>
  <c r="D164" i="3"/>
  <c r="N172" i="6" s="1"/>
  <c r="C164" i="3"/>
  <c r="M172" i="6" s="1"/>
  <c r="I164" i="3"/>
  <c r="H164" i="3"/>
  <c r="I129" i="3"/>
  <c r="H129" i="3"/>
  <c r="D129" i="3"/>
  <c r="N137" i="6" s="1"/>
  <c r="B129" i="3"/>
  <c r="L137" i="6" s="1"/>
  <c r="C129" i="3"/>
  <c r="M137" i="6" s="1"/>
  <c r="E129" i="3"/>
  <c r="G129" i="3" s="1"/>
  <c r="I185" i="3"/>
  <c r="D185" i="3"/>
  <c r="I193" i="6" s="1"/>
  <c r="H185" i="3"/>
  <c r="B30" i="3"/>
  <c r="L38" i="6" s="1"/>
  <c r="E82" i="3"/>
  <c r="O90" i="6" s="1"/>
  <c r="I82" i="3"/>
  <c r="H82" i="3"/>
  <c r="J82" i="3" s="1"/>
  <c r="I41" i="3"/>
  <c r="C41" i="3"/>
  <c r="M49" i="6" s="1"/>
  <c r="B41" i="3"/>
  <c r="E41" i="3"/>
  <c r="D16" i="3"/>
  <c r="N24" i="6" s="1"/>
  <c r="I16" i="3"/>
  <c r="H16" i="3"/>
  <c r="E16" i="3"/>
  <c r="L16" i="3" s="1"/>
  <c r="I98" i="3"/>
  <c r="H98" i="3"/>
  <c r="J98" i="3" s="1"/>
  <c r="L276" i="3"/>
  <c r="K276" i="3"/>
  <c r="Q284" i="6" s="1"/>
  <c r="H276" i="3"/>
  <c r="J276" i="3"/>
  <c r="I276" i="3"/>
  <c r="F276" i="3"/>
  <c r="P284" i="6" s="1"/>
  <c r="N276" i="3"/>
  <c r="E276" i="3"/>
  <c r="O284" i="6" s="1"/>
  <c r="D276" i="3"/>
  <c r="N284" i="6" s="1"/>
  <c r="C276" i="3"/>
  <c r="M284" i="6" s="1"/>
  <c r="G276" i="3"/>
  <c r="B276" i="3"/>
  <c r="L284" i="6" s="1"/>
  <c r="H288" i="3"/>
  <c r="F288" i="3"/>
  <c r="P296" i="6" s="1"/>
  <c r="E288" i="3"/>
  <c r="O296" i="6" s="1"/>
  <c r="B288" i="3"/>
  <c r="L296" i="6" s="1"/>
  <c r="I288" i="3"/>
  <c r="G288" i="3"/>
  <c r="C288" i="3"/>
  <c r="M296" i="6" s="1"/>
  <c r="J288" i="3"/>
  <c r="L288" i="3"/>
  <c r="D288" i="3"/>
  <c r="N296" i="6" s="1"/>
  <c r="K288" i="3"/>
  <c r="Q296" i="6" s="1"/>
  <c r="N288" i="3"/>
  <c r="K208" i="3"/>
  <c r="Q216" i="6" s="1"/>
  <c r="J208" i="3"/>
  <c r="G208" i="3"/>
  <c r="E208" i="3"/>
  <c r="O216" i="6" s="1"/>
  <c r="I19" i="3"/>
  <c r="H19" i="3"/>
  <c r="H178" i="3"/>
  <c r="E178" i="3"/>
  <c r="F178" i="3" s="1"/>
  <c r="P186" i="6" s="1"/>
  <c r="C178" i="3"/>
  <c r="M186" i="6" s="1"/>
  <c r="I240" i="3"/>
  <c r="H240" i="3"/>
  <c r="D240" i="3"/>
  <c r="N248" i="6" s="1"/>
  <c r="J240" i="3"/>
  <c r="G240" i="3"/>
  <c r="C240" i="3"/>
  <c r="M248" i="6" s="1"/>
  <c r="B80" i="3"/>
  <c r="L88" i="6" s="1"/>
  <c r="B141" i="3"/>
  <c r="H149" i="3"/>
  <c r="D149" i="3"/>
  <c r="N157" i="6" s="1"/>
  <c r="C153" i="3"/>
  <c r="M161" i="6" s="1"/>
  <c r="C161" i="3"/>
  <c r="M169" i="6" s="1"/>
  <c r="C168" i="3"/>
  <c r="M176" i="6" s="1"/>
  <c r="B168" i="3"/>
  <c r="L176" i="6" s="1"/>
  <c r="I168" i="3"/>
  <c r="N206" i="3"/>
  <c r="K212" i="3"/>
  <c r="Q220" i="6" s="1"/>
  <c r="I212" i="3"/>
  <c r="N212" i="3"/>
  <c r="H212" i="3"/>
  <c r="D221" i="3"/>
  <c r="N229" i="6" s="1"/>
  <c r="J223" i="3"/>
  <c r="H223" i="3"/>
  <c r="E223" i="3"/>
  <c r="O231" i="6" s="1"/>
  <c r="K240" i="3"/>
  <c r="Q248" i="6" s="1"/>
  <c r="J244" i="3"/>
  <c r="N254" i="3"/>
  <c r="L254" i="3"/>
  <c r="J254" i="3"/>
  <c r="H254" i="3"/>
  <c r="I269" i="3"/>
  <c r="H269" i="3"/>
  <c r="D269" i="3"/>
  <c r="N277" i="6" s="1"/>
  <c r="C269" i="3"/>
  <c r="M277" i="6" s="1"/>
  <c r="B269" i="3"/>
  <c r="L277" i="6" s="1"/>
  <c r="G273" i="3"/>
  <c r="B279" i="3"/>
  <c r="L287" i="6" s="1"/>
  <c r="H282" i="3"/>
  <c r="C303" i="3"/>
  <c r="M311" i="6" s="1"/>
  <c r="L303" i="3"/>
  <c r="J303" i="3"/>
  <c r="I303" i="3"/>
  <c r="F303" i="3"/>
  <c r="P311" i="6" s="1"/>
  <c r="N303" i="3"/>
  <c r="H303" i="3"/>
  <c r="B332" i="3"/>
  <c r="L340" i="6" s="1"/>
  <c r="E342" i="3"/>
  <c r="O350" i="6" s="1"/>
  <c r="I385" i="3"/>
  <c r="E385" i="3"/>
  <c r="O393" i="6" s="1"/>
  <c r="L385" i="3"/>
  <c r="K385" i="3"/>
  <c r="Q393" i="6" s="1"/>
  <c r="N385" i="3"/>
  <c r="J385" i="3"/>
  <c r="F385" i="3"/>
  <c r="P393" i="6" s="1"/>
  <c r="H385" i="3"/>
  <c r="D385" i="3"/>
  <c r="N393" i="6" s="1"/>
  <c r="B390" i="3"/>
  <c r="L398" i="6" s="1"/>
  <c r="J390" i="3"/>
  <c r="L390" i="3"/>
  <c r="K390" i="3"/>
  <c r="M390" i="3" s="1"/>
  <c r="C390" i="3"/>
  <c r="M398" i="6" s="1"/>
  <c r="H390" i="3"/>
  <c r="G390" i="3"/>
  <c r="D390" i="3"/>
  <c r="N398" i="6" s="1"/>
  <c r="E412" i="3"/>
  <c r="O420" i="6" s="1"/>
  <c r="D412" i="3"/>
  <c r="N420" i="6" s="1"/>
  <c r="C412" i="3"/>
  <c r="M420" i="6" s="1"/>
  <c r="N412" i="3"/>
  <c r="B412" i="3"/>
  <c r="L420" i="6" s="1"/>
  <c r="K412" i="3"/>
  <c r="Q420" i="6" s="1"/>
  <c r="J412" i="3"/>
  <c r="E418" i="3"/>
  <c r="O426" i="6" s="1"/>
  <c r="L429" i="3"/>
  <c r="K429" i="3"/>
  <c r="Q437" i="6" s="1"/>
  <c r="J429" i="3"/>
  <c r="F429" i="3"/>
  <c r="P437" i="6" s="1"/>
  <c r="C429" i="3"/>
  <c r="M437" i="6" s="1"/>
  <c r="H429" i="3"/>
  <c r="N479" i="3"/>
  <c r="F479" i="3"/>
  <c r="P487" i="6" s="1"/>
  <c r="E479" i="3"/>
  <c r="O487" i="6" s="1"/>
  <c r="D479" i="3"/>
  <c r="N487" i="6" s="1"/>
  <c r="G479" i="3"/>
  <c r="J479" i="3"/>
  <c r="K482" i="3"/>
  <c r="Q490" i="6" s="1"/>
  <c r="J482" i="3"/>
  <c r="H482" i="3"/>
  <c r="D482" i="3"/>
  <c r="N490" i="6" s="1"/>
  <c r="L482" i="3"/>
  <c r="E482" i="3"/>
  <c r="O490" i="6" s="1"/>
  <c r="C482" i="3"/>
  <c r="M490" i="6" s="1"/>
  <c r="F482" i="3"/>
  <c r="P490" i="6" s="1"/>
  <c r="B482" i="3"/>
  <c r="E36" i="3"/>
  <c r="O44" i="6" s="1"/>
  <c r="D36" i="3"/>
  <c r="K36" i="3" s="1"/>
  <c r="Q44" i="6" s="1"/>
  <c r="G257" i="3"/>
  <c r="F257" i="3"/>
  <c r="P265" i="6" s="1"/>
  <c r="B257" i="3"/>
  <c r="L265" i="6" s="1"/>
  <c r="J257" i="3"/>
  <c r="I257" i="3"/>
  <c r="D257" i="3"/>
  <c r="N265" i="6" s="1"/>
  <c r="L321" i="3"/>
  <c r="K321" i="3"/>
  <c r="Q329" i="6" s="1"/>
  <c r="J321" i="3"/>
  <c r="I321" i="3"/>
  <c r="F321" i="3"/>
  <c r="P329" i="6" s="1"/>
  <c r="N321" i="3"/>
  <c r="H321" i="3"/>
  <c r="E321" i="3"/>
  <c r="O329" i="6" s="1"/>
  <c r="L423" i="3"/>
  <c r="I423" i="3"/>
  <c r="N423" i="3"/>
  <c r="G423" i="3"/>
  <c r="C423" i="3"/>
  <c r="M431" i="6" s="1"/>
  <c r="F428" i="3"/>
  <c r="P436" i="6" s="1"/>
  <c r="D428" i="3"/>
  <c r="N436" i="6" s="1"/>
  <c r="L428" i="3"/>
  <c r="B11" i="3"/>
  <c r="L19" i="6" s="1"/>
  <c r="B14" i="3"/>
  <c r="G22" i="6" s="1"/>
  <c r="C19" i="3"/>
  <c r="M27" i="6" s="1"/>
  <c r="B36" i="3"/>
  <c r="L44" i="6" s="1"/>
  <c r="B62" i="3"/>
  <c r="L70" i="6" s="1"/>
  <c r="H62" i="3"/>
  <c r="E62" i="3"/>
  <c r="O70" i="6" s="1"/>
  <c r="D101" i="3"/>
  <c r="N109" i="6" s="1"/>
  <c r="C101" i="3"/>
  <c r="M109" i="6" s="1"/>
  <c r="D110" i="3"/>
  <c r="N118" i="6" s="1"/>
  <c r="B167" i="3"/>
  <c r="L175" i="6" s="1"/>
  <c r="I176" i="3"/>
  <c r="H176" i="3"/>
  <c r="C176" i="3"/>
  <c r="M184" i="6" s="1"/>
  <c r="H200" i="3"/>
  <c r="G200" i="3"/>
  <c r="L200" i="3"/>
  <c r="N215" i="3"/>
  <c r="H215" i="3"/>
  <c r="G215" i="3"/>
  <c r="D215" i="3"/>
  <c r="N223" i="6" s="1"/>
  <c r="B240" i="3"/>
  <c r="L248" i="6" s="1"/>
  <c r="J259" i="3"/>
  <c r="B297" i="3"/>
  <c r="L305" i="6" s="1"/>
  <c r="E297" i="3"/>
  <c r="O305" i="6" s="1"/>
  <c r="D297" i="3"/>
  <c r="N305" i="6" s="1"/>
  <c r="N297" i="3"/>
  <c r="H297" i="3"/>
  <c r="G297" i="3"/>
  <c r="C297" i="3"/>
  <c r="M305" i="6" s="1"/>
  <c r="C374" i="3"/>
  <c r="M382" i="6" s="1"/>
  <c r="L374" i="3"/>
  <c r="B374" i="3"/>
  <c r="J374" i="3"/>
  <c r="G374" i="3"/>
  <c r="F374" i="3"/>
  <c r="P382" i="6" s="1"/>
  <c r="D374" i="3"/>
  <c r="N382" i="6" s="1"/>
  <c r="J428" i="3"/>
  <c r="F444" i="3"/>
  <c r="P452" i="6" s="1"/>
  <c r="D444" i="3"/>
  <c r="N452" i="6" s="1"/>
  <c r="K444" i="3"/>
  <c r="Q452" i="6" s="1"/>
  <c r="J444" i="3"/>
  <c r="I444" i="3"/>
  <c r="C444" i="3"/>
  <c r="M452" i="6" s="1"/>
  <c r="B444" i="3"/>
  <c r="L452" i="6" s="1"/>
  <c r="G444" i="3"/>
  <c r="N444" i="3"/>
  <c r="C14" i="3"/>
  <c r="M22" i="6" s="1"/>
  <c r="D19" i="3"/>
  <c r="N27" i="6" s="1"/>
  <c r="C36" i="3"/>
  <c r="M44" i="6" s="1"/>
  <c r="B42" i="3"/>
  <c r="L50" i="6" s="1"/>
  <c r="D52" i="3"/>
  <c r="N60" i="6" s="1"/>
  <c r="H54" i="3"/>
  <c r="C62" i="3"/>
  <c r="M70" i="6" s="1"/>
  <c r="E99" i="3"/>
  <c r="L99" i="3" s="1"/>
  <c r="D99" i="3"/>
  <c r="N107" i="6" s="1"/>
  <c r="B101" i="3"/>
  <c r="L109" i="6" s="1"/>
  <c r="C123" i="3"/>
  <c r="M131" i="6" s="1"/>
  <c r="B123" i="3"/>
  <c r="L131" i="6" s="1"/>
  <c r="E240" i="3"/>
  <c r="O248" i="6" s="1"/>
  <c r="C250" i="3"/>
  <c r="M258" i="6" s="1"/>
  <c r="B250" i="3"/>
  <c r="L258" i="6" s="1"/>
  <c r="D273" i="3"/>
  <c r="N281" i="6" s="1"/>
  <c r="C321" i="3"/>
  <c r="M329" i="6" s="1"/>
  <c r="E374" i="3"/>
  <c r="O382" i="6" s="1"/>
  <c r="B418" i="3"/>
  <c r="L426" i="6" s="1"/>
  <c r="F423" i="3"/>
  <c r="P431" i="6" s="1"/>
  <c r="C453" i="3"/>
  <c r="M461" i="6" s="1"/>
  <c r="B453" i="3"/>
  <c r="L461" i="6" s="1"/>
  <c r="E478" i="3"/>
  <c r="O486" i="6" s="1"/>
  <c r="D478" i="3"/>
  <c r="N486" i="6" s="1"/>
  <c r="C478" i="3"/>
  <c r="M486" i="6" s="1"/>
  <c r="K478" i="3"/>
  <c r="Q486" i="6" s="1"/>
  <c r="L478" i="3"/>
  <c r="J478" i="3"/>
  <c r="N478" i="3"/>
  <c r="H478" i="3"/>
  <c r="G478" i="3"/>
  <c r="B478" i="3"/>
  <c r="L486" i="6" s="1"/>
  <c r="I478" i="3"/>
  <c r="F478" i="3"/>
  <c r="P486" i="6" s="1"/>
  <c r="D11" i="3"/>
  <c r="N19" i="6" s="1"/>
  <c r="D14" i="3"/>
  <c r="I28" i="3"/>
  <c r="E28" i="3"/>
  <c r="L28" i="3" s="1"/>
  <c r="G36" i="3"/>
  <c r="D42" i="3"/>
  <c r="N50" i="6" s="1"/>
  <c r="C60" i="3"/>
  <c r="M68" i="6" s="1"/>
  <c r="E60" i="3"/>
  <c r="G60" i="3" s="1"/>
  <c r="D60" i="3"/>
  <c r="I68" i="6" s="1"/>
  <c r="B20" i="3"/>
  <c r="G28" i="6" s="1"/>
  <c r="D28" i="3"/>
  <c r="N36" i="6" s="1"/>
  <c r="H36" i="3"/>
  <c r="H52" i="3"/>
  <c r="B60" i="3"/>
  <c r="B75" i="3"/>
  <c r="C99" i="3"/>
  <c r="M107" i="6" s="1"/>
  <c r="I101" i="3"/>
  <c r="B108" i="3"/>
  <c r="L116" i="6" s="1"/>
  <c r="C149" i="3"/>
  <c r="M157" i="6" s="1"/>
  <c r="D161" i="3"/>
  <c r="K161" i="3" s="1"/>
  <c r="D168" i="3"/>
  <c r="N176" i="6" s="1"/>
  <c r="I173" i="3"/>
  <c r="H173" i="3"/>
  <c r="C173" i="3"/>
  <c r="M181" i="6" s="1"/>
  <c r="I183" i="3"/>
  <c r="H183" i="3"/>
  <c r="D200" i="3"/>
  <c r="N208" i="6" s="1"/>
  <c r="J207" i="3"/>
  <c r="I207" i="3"/>
  <c r="E207" i="3"/>
  <c r="O215" i="6" s="1"/>
  <c r="D207" i="3"/>
  <c r="N215" i="6" s="1"/>
  <c r="B207" i="3"/>
  <c r="L215" i="6" s="1"/>
  <c r="L240" i="3"/>
  <c r="D243" i="3"/>
  <c r="N251" i="6" s="1"/>
  <c r="C243" i="3"/>
  <c r="M251" i="6" s="1"/>
  <c r="L243" i="3"/>
  <c r="K243" i="3"/>
  <c r="Q251" i="6" s="1"/>
  <c r="J243" i="3"/>
  <c r="H243" i="3"/>
  <c r="H250" i="3"/>
  <c r="L257" i="3"/>
  <c r="C279" i="3"/>
  <c r="M287" i="6" s="1"/>
  <c r="C332" i="3"/>
  <c r="M340" i="6" s="1"/>
  <c r="K374" i="3"/>
  <c r="Q382" i="6" s="1"/>
  <c r="L480" i="3"/>
  <c r="K480" i="3"/>
  <c r="Q488" i="6" s="1"/>
  <c r="J480" i="3"/>
  <c r="D480" i="3"/>
  <c r="N488" i="6" s="1"/>
  <c r="N480" i="3"/>
  <c r="G480" i="3"/>
  <c r="I480" i="3"/>
  <c r="C480" i="3"/>
  <c r="M488" i="6" s="1"/>
  <c r="I36" i="3"/>
  <c r="I52" i="3"/>
  <c r="J52" i="3" s="1"/>
  <c r="H60" i="3"/>
  <c r="B63" i="3"/>
  <c r="G71" i="6" s="1"/>
  <c r="C75" i="3"/>
  <c r="M83" i="6" s="1"/>
  <c r="H80" i="3"/>
  <c r="H99" i="3"/>
  <c r="H123" i="3"/>
  <c r="H130" i="3"/>
  <c r="D130" i="3"/>
  <c r="N138" i="6" s="1"/>
  <c r="B138" i="3"/>
  <c r="L146" i="6" s="1"/>
  <c r="D141" i="3"/>
  <c r="N149" i="6" s="1"/>
  <c r="H150" i="3"/>
  <c r="E150" i="3"/>
  <c r="G150" i="3" s="1"/>
  <c r="C150" i="3"/>
  <c r="M158" i="6" s="1"/>
  <c r="E154" i="3"/>
  <c r="O162" i="6" s="1"/>
  <c r="D154" i="3"/>
  <c r="E168" i="3"/>
  <c r="L168" i="3" s="1"/>
  <c r="B173" i="3"/>
  <c r="L181" i="6" s="1"/>
  <c r="B183" i="3"/>
  <c r="L191" i="6" s="1"/>
  <c r="C190" i="3"/>
  <c r="M198" i="6" s="1"/>
  <c r="C193" i="3"/>
  <c r="M201" i="6" s="1"/>
  <c r="F200" i="3"/>
  <c r="P208" i="6" s="1"/>
  <c r="C207" i="3"/>
  <c r="M215" i="6" s="1"/>
  <c r="C212" i="3"/>
  <c r="M220" i="6" s="1"/>
  <c r="K215" i="3"/>
  <c r="Q223" i="6" s="1"/>
  <c r="K229" i="3"/>
  <c r="Q237" i="6" s="1"/>
  <c r="L229" i="3"/>
  <c r="H229" i="3"/>
  <c r="G229" i="3"/>
  <c r="E229" i="3"/>
  <c r="O237" i="6" s="1"/>
  <c r="N240" i="3"/>
  <c r="B243" i="3"/>
  <c r="L251" i="6" s="1"/>
  <c r="H245" i="3"/>
  <c r="G245" i="3"/>
  <c r="C245" i="3"/>
  <c r="M253" i="6" s="1"/>
  <c r="I245" i="3"/>
  <c r="F245" i="3"/>
  <c r="P253" i="6" s="1"/>
  <c r="B245" i="3"/>
  <c r="L253" i="6" s="1"/>
  <c r="J250" i="3"/>
  <c r="I254" i="3"/>
  <c r="G258" i="3"/>
  <c r="F258" i="3"/>
  <c r="P266" i="6" s="1"/>
  <c r="C258" i="3"/>
  <c r="M266" i="6" s="1"/>
  <c r="N258" i="3"/>
  <c r="L258" i="3"/>
  <c r="J258" i="3"/>
  <c r="J266" i="3"/>
  <c r="B266" i="3"/>
  <c r="L274" i="6" s="1"/>
  <c r="L266" i="3"/>
  <c r="G269" i="3"/>
  <c r="D271" i="3"/>
  <c r="N279" i="6" s="1"/>
  <c r="L277" i="3"/>
  <c r="K277" i="3"/>
  <c r="Q285" i="6" s="1"/>
  <c r="G277" i="3"/>
  <c r="J277" i="3"/>
  <c r="K297" i="3"/>
  <c r="Q305" i="6" s="1"/>
  <c r="D303" i="3"/>
  <c r="N311" i="6" s="1"/>
  <c r="B336" i="3"/>
  <c r="L344" i="6" s="1"/>
  <c r="D336" i="3"/>
  <c r="N344" i="6" s="1"/>
  <c r="C336" i="3"/>
  <c r="M344" i="6" s="1"/>
  <c r="H336" i="3"/>
  <c r="F336" i="3"/>
  <c r="P344" i="6" s="1"/>
  <c r="E336" i="3"/>
  <c r="O344" i="6" s="1"/>
  <c r="N336" i="3"/>
  <c r="L336" i="3"/>
  <c r="J336" i="3"/>
  <c r="G343" i="3"/>
  <c r="N343" i="3"/>
  <c r="L343" i="3"/>
  <c r="H343" i="3"/>
  <c r="C343" i="3"/>
  <c r="M351" i="6" s="1"/>
  <c r="B343" i="3"/>
  <c r="L351" i="6" s="1"/>
  <c r="C372" i="3"/>
  <c r="M380" i="6" s="1"/>
  <c r="N372" i="3"/>
  <c r="J372" i="3"/>
  <c r="I372" i="3"/>
  <c r="K372" i="3"/>
  <c r="Q380" i="6" s="1"/>
  <c r="F372" i="3"/>
  <c r="P380" i="6" s="1"/>
  <c r="D372" i="3"/>
  <c r="N380" i="6" s="1"/>
  <c r="G372" i="3"/>
  <c r="B372" i="3"/>
  <c r="L382" i="3"/>
  <c r="H382" i="3"/>
  <c r="J382" i="3"/>
  <c r="I382" i="3"/>
  <c r="F382" i="3"/>
  <c r="P390" i="6" s="1"/>
  <c r="D382" i="3"/>
  <c r="N390" i="6" s="1"/>
  <c r="C382" i="3"/>
  <c r="M390" i="6" s="1"/>
  <c r="N382" i="3"/>
  <c r="G382" i="3"/>
  <c r="C385" i="3"/>
  <c r="M393" i="6" s="1"/>
  <c r="I390" i="3"/>
  <c r="G412" i="3"/>
  <c r="F414" i="3"/>
  <c r="P422" i="6" s="1"/>
  <c r="D414" i="3"/>
  <c r="N422" i="6" s="1"/>
  <c r="J414" i="3"/>
  <c r="C414" i="3"/>
  <c r="M422" i="6" s="1"/>
  <c r="K414" i="3"/>
  <c r="Q422" i="6" s="1"/>
  <c r="I414" i="3"/>
  <c r="G414" i="3"/>
  <c r="H414" i="3"/>
  <c r="B480" i="3"/>
  <c r="O480" i="3" s="1"/>
  <c r="P480" i="3" s="1"/>
  <c r="N244" i="3"/>
  <c r="C244" i="3"/>
  <c r="M252" i="6" s="1"/>
  <c r="B244" i="3"/>
  <c r="F379" i="3"/>
  <c r="P387" i="6" s="1"/>
  <c r="B379" i="3"/>
  <c r="L387" i="6" s="1"/>
  <c r="L379" i="3"/>
  <c r="K379" i="3"/>
  <c r="Q387" i="6" s="1"/>
  <c r="G379" i="3"/>
  <c r="D379" i="3"/>
  <c r="N387" i="6" s="1"/>
  <c r="C379" i="3"/>
  <c r="M387" i="6" s="1"/>
  <c r="H379" i="3"/>
  <c r="E379" i="3"/>
  <c r="O387" i="6" s="1"/>
  <c r="C208" i="3"/>
  <c r="M216" i="6" s="1"/>
  <c r="E244" i="3"/>
  <c r="O252" i="6" s="1"/>
  <c r="F273" i="3"/>
  <c r="P281" i="6" s="1"/>
  <c r="E273" i="3"/>
  <c r="O281" i="6" s="1"/>
  <c r="B273" i="3"/>
  <c r="L281" i="6" s="1"/>
  <c r="N273" i="3"/>
  <c r="L273" i="3"/>
  <c r="J273" i="3"/>
  <c r="G342" i="3"/>
  <c r="N342" i="3"/>
  <c r="L342" i="3"/>
  <c r="K342" i="3"/>
  <c r="Q350" i="6" s="1"/>
  <c r="I342" i="3"/>
  <c r="H342" i="3"/>
  <c r="D342" i="3"/>
  <c r="N350" i="6" s="1"/>
  <c r="J342" i="3"/>
  <c r="D409" i="3"/>
  <c r="N417" i="6" s="1"/>
  <c r="C409" i="3"/>
  <c r="M417" i="6" s="1"/>
  <c r="J409" i="3"/>
  <c r="F409" i="3"/>
  <c r="P417" i="6" s="1"/>
  <c r="N409" i="3"/>
  <c r="I409" i="3"/>
  <c r="G409" i="3"/>
  <c r="E409" i="3"/>
  <c r="O417" i="6" s="1"/>
  <c r="B409" i="3"/>
  <c r="L417" i="6" s="1"/>
  <c r="B417" i="3"/>
  <c r="L425" i="6" s="1"/>
  <c r="H59" i="3"/>
  <c r="I153" i="3"/>
  <c r="H153" i="3"/>
  <c r="D153" i="3"/>
  <c r="K153" i="3" s="1"/>
  <c r="M153" i="3" s="1"/>
  <c r="D178" i="3"/>
  <c r="N186" i="6" s="1"/>
  <c r="D208" i="3"/>
  <c r="N216" i="6" s="1"/>
  <c r="F244" i="3"/>
  <c r="P252" i="6" s="1"/>
  <c r="C257" i="3"/>
  <c r="M265" i="6" s="1"/>
  <c r="C273" i="3"/>
  <c r="M281" i="6" s="1"/>
  <c r="B321" i="3"/>
  <c r="L329" i="6" s="1"/>
  <c r="N325" i="3"/>
  <c r="D325" i="3"/>
  <c r="N333" i="6" s="1"/>
  <c r="B342" i="3"/>
  <c r="L350" i="6" s="1"/>
  <c r="N346" i="3"/>
  <c r="D346" i="3"/>
  <c r="N354" i="6" s="1"/>
  <c r="L346" i="3"/>
  <c r="B346" i="3"/>
  <c r="L354" i="6" s="1"/>
  <c r="J379" i="3"/>
  <c r="I384" i="3"/>
  <c r="J384" i="3"/>
  <c r="F384" i="3"/>
  <c r="P392" i="6" s="1"/>
  <c r="L384" i="3"/>
  <c r="N389" i="3"/>
  <c r="G389" i="3"/>
  <c r="F389" i="3"/>
  <c r="P397" i="6" s="1"/>
  <c r="C389" i="3"/>
  <c r="M397" i="6" s="1"/>
  <c r="L389" i="3"/>
  <c r="J389" i="3"/>
  <c r="H409" i="3"/>
  <c r="D418" i="3"/>
  <c r="N426" i="6" s="1"/>
  <c r="C418" i="3"/>
  <c r="M426" i="6" s="1"/>
  <c r="J418" i="3"/>
  <c r="G418" i="3"/>
  <c r="F418" i="3"/>
  <c r="P426" i="6" s="1"/>
  <c r="N418" i="3"/>
  <c r="L418" i="3"/>
  <c r="H418" i="3"/>
  <c r="D423" i="3"/>
  <c r="N431" i="6" s="1"/>
  <c r="E446" i="3"/>
  <c r="O454" i="6" s="1"/>
  <c r="D446" i="3"/>
  <c r="N454" i="6" s="1"/>
  <c r="C446" i="3"/>
  <c r="M454" i="6" s="1"/>
  <c r="J446" i="3"/>
  <c r="K446" i="3"/>
  <c r="O446" i="3" s="1"/>
  <c r="P446" i="3" s="1"/>
  <c r="H446" i="3"/>
  <c r="G446" i="3"/>
  <c r="B446" i="3"/>
  <c r="L454" i="6" s="1"/>
  <c r="C11" i="3"/>
  <c r="M19" i="6" s="1"/>
  <c r="I27" i="3"/>
  <c r="I132" i="3"/>
  <c r="B153" i="3"/>
  <c r="L161" i="6" s="1"/>
  <c r="B176" i="3"/>
  <c r="G184" i="6" s="1"/>
  <c r="B200" i="3"/>
  <c r="L208" i="6" s="1"/>
  <c r="F208" i="3"/>
  <c r="P216" i="6" s="1"/>
  <c r="B215" i="3"/>
  <c r="L223" i="6" s="1"/>
  <c r="D217" i="3"/>
  <c r="N225" i="6" s="1"/>
  <c r="C217" i="3"/>
  <c r="M225" i="6" s="1"/>
  <c r="L221" i="3"/>
  <c r="N221" i="3"/>
  <c r="K221" i="3"/>
  <c r="Q229" i="6" s="1"/>
  <c r="I221" i="3"/>
  <c r="E232" i="3"/>
  <c r="O240" i="6" s="1"/>
  <c r="D232" i="3"/>
  <c r="N240" i="6" s="1"/>
  <c r="H232" i="3"/>
  <c r="G244" i="3"/>
  <c r="H257" i="3"/>
  <c r="H279" i="3"/>
  <c r="G279" i="3"/>
  <c r="D279" i="3"/>
  <c r="N287" i="6" s="1"/>
  <c r="N279" i="3"/>
  <c r="K279" i="3"/>
  <c r="Q287" i="6" s="1"/>
  <c r="N286" i="3"/>
  <c r="L286" i="3"/>
  <c r="H286" i="3"/>
  <c r="C286" i="3"/>
  <c r="M294" i="6" s="1"/>
  <c r="D286" i="3"/>
  <c r="N294" i="6" s="1"/>
  <c r="B286" i="3"/>
  <c r="L294" i="6" s="1"/>
  <c r="F297" i="3"/>
  <c r="P305" i="6" s="1"/>
  <c r="N332" i="3"/>
  <c r="L332" i="3"/>
  <c r="K332" i="3"/>
  <c r="Q340" i="6" s="1"/>
  <c r="G332" i="3"/>
  <c r="C342" i="3"/>
  <c r="M350" i="6" s="1"/>
  <c r="E346" i="3"/>
  <c r="O354" i="6" s="1"/>
  <c r="N379" i="3"/>
  <c r="N384" i="3"/>
  <c r="D400" i="3"/>
  <c r="N408" i="6" s="1"/>
  <c r="K400" i="3"/>
  <c r="Q408" i="6" s="1"/>
  <c r="G400" i="3"/>
  <c r="I400" i="3"/>
  <c r="H400" i="3"/>
  <c r="F400" i="3"/>
  <c r="P408" i="6" s="1"/>
  <c r="C400" i="3"/>
  <c r="M408" i="6" s="1"/>
  <c r="B400" i="3"/>
  <c r="L408" i="6" s="1"/>
  <c r="J400" i="3"/>
  <c r="E400" i="3"/>
  <c r="O408" i="6" s="1"/>
  <c r="K409" i="3"/>
  <c r="Q417" i="6" s="1"/>
  <c r="N428" i="3"/>
  <c r="L444" i="3"/>
  <c r="F446" i="3"/>
  <c r="P454" i="6" s="1"/>
  <c r="B9" i="3"/>
  <c r="L17" i="6" s="1"/>
  <c r="E52" i="3"/>
  <c r="O60" i="6" s="1"/>
  <c r="I62" i="3"/>
  <c r="C80" i="3"/>
  <c r="M88" i="6" s="1"/>
  <c r="E88" i="3"/>
  <c r="O96" i="6" s="1"/>
  <c r="B99" i="3"/>
  <c r="L107" i="6" s="1"/>
  <c r="E101" i="3"/>
  <c r="F101" i="3" s="1"/>
  <c r="P109" i="6" s="1"/>
  <c r="I108" i="3"/>
  <c r="H108" i="3"/>
  <c r="D108" i="3"/>
  <c r="D123" i="3"/>
  <c r="B6" i="3"/>
  <c r="G14" i="6" s="1"/>
  <c r="C9" i="3"/>
  <c r="M17" i="6" s="1"/>
  <c r="E14" i="3"/>
  <c r="L14" i="3" s="1"/>
  <c r="E80" i="3"/>
  <c r="O88" i="6" s="1"/>
  <c r="D120" i="3"/>
  <c r="I128" i="6" s="1"/>
  <c r="C120" i="3"/>
  <c r="M128" i="6" s="1"/>
  <c r="I120" i="3"/>
  <c r="E123" i="3"/>
  <c r="O131" i="6" s="1"/>
  <c r="C141" i="3"/>
  <c r="M149" i="6" s="1"/>
  <c r="F215" i="3"/>
  <c r="P223" i="6" s="1"/>
  <c r="G217" i="3"/>
  <c r="F221" i="3"/>
  <c r="P229" i="6" s="1"/>
  <c r="H273" i="3"/>
  <c r="K281" i="3"/>
  <c r="Q289" i="6" s="1"/>
  <c r="J281" i="3"/>
  <c r="G281" i="3"/>
  <c r="I281" i="3"/>
  <c r="H281" i="3"/>
  <c r="D281" i="3"/>
  <c r="N289" i="6" s="1"/>
  <c r="N287" i="3"/>
  <c r="F287" i="3"/>
  <c r="P295" i="6" s="1"/>
  <c r="G289" i="3"/>
  <c r="F289" i="3"/>
  <c r="P297" i="6" s="1"/>
  <c r="E289" i="3"/>
  <c r="O297" i="6" s="1"/>
  <c r="B289" i="3"/>
  <c r="L297" i="6" s="1"/>
  <c r="L289" i="3"/>
  <c r="J289" i="3"/>
  <c r="Q289" i="5" s="1"/>
  <c r="J297" i="3"/>
  <c r="G299" i="3"/>
  <c r="L299" i="3"/>
  <c r="K299" i="3"/>
  <c r="Q307" i="6" s="1"/>
  <c r="F299" i="3"/>
  <c r="P307" i="6" s="1"/>
  <c r="H317" i="3"/>
  <c r="C317" i="3"/>
  <c r="M325" i="6" s="1"/>
  <c r="B317" i="3"/>
  <c r="K317" i="3"/>
  <c r="Q325" i="6" s="1"/>
  <c r="G321" i="3"/>
  <c r="C328" i="3"/>
  <c r="M336" i="6" s="1"/>
  <c r="B328" i="3"/>
  <c r="L336" i="6" s="1"/>
  <c r="N328" i="3"/>
  <c r="H328" i="3"/>
  <c r="K328" i="3"/>
  <c r="Q336" i="6" s="1"/>
  <c r="N400" i="3"/>
  <c r="I418" i="3"/>
  <c r="L458" i="3"/>
  <c r="G458" i="3"/>
  <c r="J458" i="3"/>
  <c r="H458" i="3"/>
  <c r="F458" i="3"/>
  <c r="P466" i="6" s="1"/>
  <c r="E458" i="3"/>
  <c r="O466" i="6" s="1"/>
  <c r="K458" i="3"/>
  <c r="Q466" i="6" s="1"/>
  <c r="C6" i="3"/>
  <c r="M14" i="6" s="1"/>
  <c r="D9" i="3"/>
  <c r="N17" i="6" s="1"/>
  <c r="H14" i="3"/>
  <c r="C17" i="3"/>
  <c r="M25" i="6" s="1"/>
  <c r="D20" i="3"/>
  <c r="I28" i="6" s="1"/>
  <c r="B39" i="3"/>
  <c r="L47" i="6" s="1"/>
  <c r="E9" i="3"/>
  <c r="H17" i="3"/>
  <c r="B29" i="3"/>
  <c r="G37" i="6" s="1"/>
  <c r="E53" i="3"/>
  <c r="O61" i="6" s="1"/>
  <c r="C53" i="3"/>
  <c r="M61" i="6" s="1"/>
  <c r="B53" i="3"/>
  <c r="L61" i="6" s="1"/>
  <c r="I60" i="3"/>
  <c r="L71" i="3"/>
  <c r="D75" i="3"/>
  <c r="C78" i="3"/>
  <c r="M86" i="6" s="1"/>
  <c r="I81" i="3"/>
  <c r="H81" i="3"/>
  <c r="E90" i="3"/>
  <c r="D90" i="3"/>
  <c r="N98" i="6" s="1"/>
  <c r="I96" i="3"/>
  <c r="H96" i="3"/>
  <c r="I99" i="3"/>
  <c r="E108" i="3"/>
  <c r="G108" i="3" s="1"/>
  <c r="E120" i="3"/>
  <c r="G120" i="3" s="1"/>
  <c r="I123" i="3"/>
  <c r="C138" i="3"/>
  <c r="M146" i="6" s="1"/>
  <c r="E141" i="3"/>
  <c r="O149" i="6" s="1"/>
  <c r="B150" i="3"/>
  <c r="L158" i="6" s="1"/>
  <c r="C154" i="3"/>
  <c r="M162" i="6" s="1"/>
  <c r="H162" i="3"/>
  <c r="E162" i="3"/>
  <c r="O170" i="6" s="1"/>
  <c r="I162" i="3"/>
  <c r="H168" i="3"/>
  <c r="D173" i="3"/>
  <c r="N181" i="6" s="1"/>
  <c r="C183" i="3"/>
  <c r="M191" i="6" s="1"/>
  <c r="D190" i="3"/>
  <c r="N198" i="6" s="1"/>
  <c r="D193" i="3"/>
  <c r="K193" i="3" s="1"/>
  <c r="I200" i="3"/>
  <c r="G207" i="3"/>
  <c r="K210" i="3"/>
  <c r="Q218" i="6" s="1"/>
  <c r="J210" i="3"/>
  <c r="L210" i="3"/>
  <c r="I210" i="3"/>
  <c r="G210" i="3"/>
  <c r="D212" i="3"/>
  <c r="N220" i="6" s="1"/>
  <c r="L215" i="3"/>
  <c r="J219" i="3"/>
  <c r="I219" i="3"/>
  <c r="K219" i="3"/>
  <c r="Q227" i="6" s="1"/>
  <c r="H219" i="3"/>
  <c r="E219" i="3"/>
  <c r="O227" i="6" s="1"/>
  <c r="H221" i="3"/>
  <c r="G225" i="3"/>
  <c r="E225" i="3"/>
  <c r="O233" i="6" s="1"/>
  <c r="N225" i="3"/>
  <c r="K225" i="3"/>
  <c r="Q233" i="6" s="1"/>
  <c r="C229" i="3"/>
  <c r="M237" i="6" s="1"/>
  <c r="K241" i="3"/>
  <c r="Q249" i="6" s="1"/>
  <c r="L241" i="3"/>
  <c r="H241" i="3"/>
  <c r="E241" i="3"/>
  <c r="O249" i="6" s="1"/>
  <c r="E243" i="3"/>
  <c r="O251" i="6" s="1"/>
  <c r="D245" i="3"/>
  <c r="N253" i="6" s="1"/>
  <c r="L250" i="3"/>
  <c r="B258" i="3"/>
  <c r="L266" i="6" s="1"/>
  <c r="K267" i="3"/>
  <c r="Q275" i="6" s="1"/>
  <c r="J267" i="3"/>
  <c r="G267" i="3"/>
  <c r="C267" i="3"/>
  <c r="M275" i="6" s="1"/>
  <c r="B267" i="3"/>
  <c r="L275" i="6" s="1"/>
  <c r="J269" i="3"/>
  <c r="E271" i="3"/>
  <c r="O279" i="6" s="1"/>
  <c r="K273" i="3"/>
  <c r="Q281" i="6" s="1"/>
  <c r="B277" i="3"/>
  <c r="L285" i="6" s="1"/>
  <c r="F279" i="3"/>
  <c r="P287" i="6" s="1"/>
  <c r="C281" i="3"/>
  <c r="M289" i="6" s="1"/>
  <c r="K285" i="3"/>
  <c r="Q293" i="6" s="1"/>
  <c r="G285" i="3"/>
  <c r="F285" i="3"/>
  <c r="P293" i="6" s="1"/>
  <c r="C285" i="3"/>
  <c r="M293" i="6" s="1"/>
  <c r="N285" i="3"/>
  <c r="G287" i="3"/>
  <c r="D289" i="3"/>
  <c r="N297" i="6" s="1"/>
  <c r="E292" i="3"/>
  <c r="O300" i="6" s="1"/>
  <c r="F292" i="3"/>
  <c r="P300" i="6" s="1"/>
  <c r="B292" i="3"/>
  <c r="L300" i="6" s="1"/>
  <c r="L297" i="3"/>
  <c r="I299" i="3"/>
  <c r="E303" i="3"/>
  <c r="O311" i="6" s="1"/>
  <c r="L317" i="3"/>
  <c r="E328" i="3"/>
  <c r="O336" i="6" s="1"/>
  <c r="H332" i="3"/>
  <c r="G336" i="3"/>
  <c r="D343" i="3"/>
  <c r="N351" i="6" s="1"/>
  <c r="L372" i="3"/>
  <c r="B382" i="3"/>
  <c r="L390" i="6" s="1"/>
  <c r="G385" i="3"/>
  <c r="H393" i="3"/>
  <c r="C393" i="3"/>
  <c r="M401" i="6" s="1"/>
  <c r="G401" i="3"/>
  <c r="H412" i="3"/>
  <c r="B414" i="3"/>
  <c r="C458" i="3"/>
  <c r="M466" i="6" s="1"/>
  <c r="F480" i="3"/>
  <c r="P488" i="6" s="1"/>
  <c r="E114" i="3"/>
  <c r="O122" i="6" s="1"/>
  <c r="D114" i="3"/>
  <c r="N122" i="6" s="1"/>
  <c r="I114" i="3"/>
  <c r="H114" i="3"/>
  <c r="B114" i="3"/>
  <c r="L122" i="6" s="1"/>
  <c r="C18" i="3"/>
  <c r="M26" i="6" s="1"/>
  <c r="B18" i="3"/>
  <c r="L26" i="6" s="1"/>
  <c r="L214" i="3"/>
  <c r="K214" i="3"/>
  <c r="Q222" i="6" s="1"/>
  <c r="D214" i="3"/>
  <c r="N222" i="6" s="1"/>
  <c r="C214" i="3"/>
  <c r="M222" i="6" s="1"/>
  <c r="D249" i="3"/>
  <c r="N257" i="6" s="1"/>
  <c r="C249" i="3"/>
  <c r="M257" i="6" s="1"/>
  <c r="L249" i="3"/>
  <c r="K249" i="3"/>
  <c r="Q257" i="6" s="1"/>
  <c r="J249" i="3"/>
  <c r="H249" i="3"/>
  <c r="N250" i="3"/>
  <c r="I263" i="3"/>
  <c r="N263" i="3"/>
  <c r="D263" i="3"/>
  <c r="N271" i="6" s="1"/>
  <c r="I279" i="3"/>
  <c r="B294" i="3"/>
  <c r="L302" i="6" s="1"/>
  <c r="D294" i="3"/>
  <c r="N302" i="6" s="1"/>
  <c r="C294" i="3"/>
  <c r="M302" i="6" s="1"/>
  <c r="L294" i="3"/>
  <c r="N294" i="3"/>
  <c r="E324" i="3"/>
  <c r="O332" i="6" s="1"/>
  <c r="D324" i="3"/>
  <c r="N332" i="6" s="1"/>
  <c r="K324" i="3"/>
  <c r="Q332" i="6" s="1"/>
  <c r="I324" i="3"/>
  <c r="H324" i="3"/>
  <c r="C324" i="3"/>
  <c r="M332" i="6" s="1"/>
  <c r="N324" i="3"/>
  <c r="I332" i="3"/>
  <c r="H350" i="3"/>
  <c r="G350" i="3"/>
  <c r="F350" i="3"/>
  <c r="P358" i="6" s="1"/>
  <c r="N350" i="3"/>
  <c r="I350" i="3"/>
  <c r="K370" i="3"/>
  <c r="Q378" i="6" s="1"/>
  <c r="G370" i="3"/>
  <c r="N370" i="3"/>
  <c r="L370" i="3"/>
  <c r="I370" i="3"/>
  <c r="H370" i="3"/>
  <c r="D370" i="3"/>
  <c r="N378" i="6" s="1"/>
  <c r="C370" i="3"/>
  <c r="M378" i="6" s="1"/>
  <c r="B370" i="3"/>
  <c r="L378" i="6" s="1"/>
  <c r="D373" i="3"/>
  <c r="N381" i="6" s="1"/>
  <c r="L373" i="3"/>
  <c r="K373" i="3"/>
  <c r="Q381" i="6" s="1"/>
  <c r="J373" i="3"/>
  <c r="N373" i="3"/>
  <c r="I373" i="3"/>
  <c r="F373" i="3"/>
  <c r="P381" i="6" s="1"/>
  <c r="L438" i="3"/>
  <c r="K438" i="3"/>
  <c r="Q446" i="6" s="1"/>
  <c r="H438" i="3"/>
  <c r="G438" i="3"/>
  <c r="I438" i="3"/>
  <c r="F438" i="3"/>
  <c r="P446" i="6" s="1"/>
  <c r="B438" i="3"/>
  <c r="L446" i="6" s="1"/>
  <c r="J438" i="3"/>
  <c r="D438" i="3"/>
  <c r="N446" i="6" s="1"/>
  <c r="C438" i="3"/>
  <c r="M446" i="6" s="1"/>
  <c r="C114" i="3"/>
  <c r="M122" i="6" s="1"/>
  <c r="I97" i="3"/>
  <c r="E117" i="3"/>
  <c r="O125" i="6" s="1"/>
  <c r="D117" i="3"/>
  <c r="N125" i="6" s="1"/>
  <c r="K117" i="3"/>
  <c r="Q125" i="6" s="1"/>
  <c r="H117" i="3"/>
  <c r="J117" i="3" s="1"/>
  <c r="H141" i="3"/>
  <c r="C174" i="3"/>
  <c r="M182" i="6" s="1"/>
  <c r="B174" i="3"/>
  <c r="L182" i="6" s="1"/>
  <c r="I180" i="3"/>
  <c r="H180" i="3"/>
  <c r="K200" i="3"/>
  <c r="Q208" i="6" s="1"/>
  <c r="C216" i="3"/>
  <c r="M224" i="6" s="1"/>
  <c r="B216" i="3"/>
  <c r="L224" i="6" s="1"/>
  <c r="N216" i="3"/>
  <c r="L216" i="3"/>
  <c r="J216" i="3"/>
  <c r="N222" i="3"/>
  <c r="L222" i="3"/>
  <c r="C222" i="3"/>
  <c r="M230" i="6" s="1"/>
  <c r="B222" i="3"/>
  <c r="L230" i="6" s="1"/>
  <c r="O23" i="6"/>
  <c r="G15" i="3"/>
  <c r="D18" i="3"/>
  <c r="N26" i="6" s="1"/>
  <c r="B72" i="3"/>
  <c r="L80" i="6" s="1"/>
  <c r="E97" i="3"/>
  <c r="O105" i="6" s="1"/>
  <c r="H106" i="3"/>
  <c r="E106" i="3"/>
  <c r="F106" i="3" s="1"/>
  <c r="P114" i="6" s="1"/>
  <c r="C106" i="3"/>
  <c r="M114" i="6" s="1"/>
  <c r="B117" i="3"/>
  <c r="L125" i="6" s="1"/>
  <c r="I159" i="3"/>
  <c r="H159" i="3"/>
  <c r="D159" i="3"/>
  <c r="N167" i="6" s="1"/>
  <c r="D174" i="3"/>
  <c r="K174" i="3" s="1"/>
  <c r="B180" i="3"/>
  <c r="L188" i="6" s="1"/>
  <c r="E183" i="3"/>
  <c r="O191" i="6" s="1"/>
  <c r="N200" i="3"/>
  <c r="K207" i="3"/>
  <c r="Q215" i="6" s="1"/>
  <c r="E214" i="3"/>
  <c r="O222" i="6" s="1"/>
  <c r="D216" i="3"/>
  <c r="N224" i="6" s="1"/>
  <c r="D222" i="3"/>
  <c r="N230" i="6" s="1"/>
  <c r="G243" i="3"/>
  <c r="B249" i="3"/>
  <c r="L257" i="6" s="1"/>
  <c r="L251" i="3"/>
  <c r="K251" i="3"/>
  <c r="Q259" i="6" s="1"/>
  <c r="F251" i="3"/>
  <c r="P259" i="6" s="1"/>
  <c r="N251" i="3"/>
  <c r="J251" i="3"/>
  <c r="D251" i="3"/>
  <c r="N259" i="6" s="1"/>
  <c r="G263" i="3"/>
  <c r="J272" i="3"/>
  <c r="C272" i="3"/>
  <c r="M280" i="6" s="1"/>
  <c r="B272" i="3"/>
  <c r="L280" i="6" s="1"/>
  <c r="I272" i="3"/>
  <c r="H272" i="3"/>
  <c r="F272" i="3"/>
  <c r="P280" i="6" s="1"/>
  <c r="K275" i="3"/>
  <c r="Q283" i="6" s="1"/>
  <c r="J275" i="3"/>
  <c r="J279" i="3"/>
  <c r="L281" i="3"/>
  <c r="J287" i="3"/>
  <c r="K289" i="3"/>
  <c r="E294" i="3"/>
  <c r="O302" i="6" s="1"/>
  <c r="N299" i="3"/>
  <c r="K303" i="3"/>
  <c r="Q311" i="6" s="1"/>
  <c r="N320" i="3"/>
  <c r="L320" i="3"/>
  <c r="K320" i="3"/>
  <c r="Q328" i="6" s="1"/>
  <c r="H320" i="3"/>
  <c r="F320" i="3"/>
  <c r="P328" i="6" s="1"/>
  <c r="B320" i="3"/>
  <c r="L328" i="6" s="1"/>
  <c r="B324" i="3"/>
  <c r="L332" i="6" s="1"/>
  <c r="G328" i="3"/>
  <c r="B350" i="3"/>
  <c r="G366" i="3"/>
  <c r="B366" i="3"/>
  <c r="L374" i="6" s="1"/>
  <c r="H366" i="3"/>
  <c r="D366" i="3"/>
  <c r="N374" i="6" s="1"/>
  <c r="C366" i="3"/>
  <c r="M374" i="6" s="1"/>
  <c r="K366" i="3"/>
  <c r="Q374" i="6" s="1"/>
  <c r="J366" i="3"/>
  <c r="F366" i="3"/>
  <c r="P374" i="6" s="1"/>
  <c r="E370" i="3"/>
  <c r="O378" i="6" s="1"/>
  <c r="B373" i="3"/>
  <c r="L381" i="6" s="1"/>
  <c r="L412" i="3"/>
  <c r="I462" i="3"/>
  <c r="H462" i="3"/>
  <c r="C462" i="3"/>
  <c r="M470" i="6" s="1"/>
  <c r="L462" i="3"/>
  <c r="J462" i="3"/>
  <c r="F462" i="3"/>
  <c r="P470" i="6" s="1"/>
  <c r="D462" i="3"/>
  <c r="N470" i="6" s="1"/>
  <c r="K462" i="3"/>
  <c r="M462" i="3" s="1"/>
  <c r="B462" i="3"/>
  <c r="L470" i="6" s="1"/>
  <c r="N485" i="3"/>
  <c r="L485" i="3"/>
  <c r="G485" i="3"/>
  <c r="K485" i="3"/>
  <c r="F485" i="3"/>
  <c r="P493" i="6" s="1"/>
  <c r="E485" i="3"/>
  <c r="O493" i="6" s="1"/>
  <c r="J485" i="3"/>
  <c r="C485" i="3"/>
  <c r="M493" i="6" s="1"/>
  <c r="B485" i="3"/>
  <c r="L493" i="6" s="1"/>
  <c r="D278" i="3"/>
  <c r="N286" i="6" s="1"/>
  <c r="C278" i="3"/>
  <c r="M286" i="6" s="1"/>
  <c r="N278" i="3"/>
  <c r="C10" i="3"/>
  <c r="M18" i="6" s="1"/>
  <c r="H10" i="3"/>
  <c r="E10" i="3"/>
  <c r="O18" i="6" s="1"/>
  <c r="D142" i="3"/>
  <c r="C142" i="3"/>
  <c r="M150" i="6" s="1"/>
  <c r="E142" i="3"/>
  <c r="F142" i="3" s="1"/>
  <c r="P150" i="6" s="1"/>
  <c r="I156" i="3"/>
  <c r="E156" i="3"/>
  <c r="O164" i="6" s="1"/>
  <c r="E249" i="3"/>
  <c r="O257" i="6" s="1"/>
  <c r="I270" i="3"/>
  <c r="H270" i="3"/>
  <c r="E270" i="3"/>
  <c r="O278" i="6" s="1"/>
  <c r="J270" i="3"/>
  <c r="G270" i="3"/>
  <c r="D270" i="3"/>
  <c r="N278" i="6" s="1"/>
  <c r="L279" i="3"/>
  <c r="K282" i="3"/>
  <c r="Q290" i="6" s="1"/>
  <c r="J282" i="3"/>
  <c r="G282" i="3"/>
  <c r="N282" i="3"/>
  <c r="I282" i="3"/>
  <c r="F294" i="3"/>
  <c r="P302" i="6" s="1"/>
  <c r="G300" i="3"/>
  <c r="L300" i="3"/>
  <c r="K300" i="3"/>
  <c r="Q308" i="6" s="1"/>
  <c r="H300" i="3"/>
  <c r="F300" i="3"/>
  <c r="P308" i="6" s="1"/>
  <c r="E300" i="3"/>
  <c r="O308" i="6" s="1"/>
  <c r="C300" i="3"/>
  <c r="M308" i="6" s="1"/>
  <c r="F324" i="3"/>
  <c r="P332" i="6" s="1"/>
  <c r="J350" i="3"/>
  <c r="N352" i="3"/>
  <c r="E352" i="3"/>
  <c r="O360" i="6" s="1"/>
  <c r="C352" i="3"/>
  <c r="M360" i="6" s="1"/>
  <c r="B352" i="3"/>
  <c r="L360" i="6" s="1"/>
  <c r="M356" i="3"/>
  <c r="F356" i="3"/>
  <c r="P364" i="6" s="1"/>
  <c r="D356" i="3"/>
  <c r="N364" i="6" s="1"/>
  <c r="B356" i="3"/>
  <c r="O356" i="3" s="1"/>
  <c r="P356" i="3" s="1"/>
  <c r="N356" i="3"/>
  <c r="I356" i="3"/>
  <c r="E358" i="3"/>
  <c r="O366" i="6" s="1"/>
  <c r="K358" i="3"/>
  <c r="Q366" i="6" s="1"/>
  <c r="F370" i="3"/>
  <c r="P378" i="6" s="1"/>
  <c r="C373" i="3"/>
  <c r="M381" i="6" s="1"/>
  <c r="H111" i="3"/>
  <c r="J111" i="3" s="1"/>
  <c r="E111" i="3"/>
  <c r="O119" i="6" s="1"/>
  <c r="D140" i="3"/>
  <c r="K140" i="3" s="1"/>
  <c r="C140" i="3"/>
  <c r="M148" i="6" s="1"/>
  <c r="D194" i="3"/>
  <c r="N202" i="6" s="1"/>
  <c r="C194" i="3"/>
  <c r="M202" i="6" s="1"/>
  <c r="C231" i="3"/>
  <c r="M239" i="6" s="1"/>
  <c r="B231" i="3"/>
  <c r="L239" i="6" s="1"/>
  <c r="L242" i="3"/>
  <c r="N242" i="3"/>
  <c r="D327" i="3"/>
  <c r="N335" i="6" s="1"/>
  <c r="C327" i="3"/>
  <c r="M335" i="6" s="1"/>
  <c r="N327" i="3"/>
  <c r="K327" i="3"/>
  <c r="Q335" i="6" s="1"/>
  <c r="J327" i="3"/>
  <c r="G327" i="3"/>
  <c r="K437" i="3"/>
  <c r="Q445" i="6" s="1"/>
  <c r="J437" i="3"/>
  <c r="C437" i="3"/>
  <c r="M445" i="6" s="1"/>
  <c r="H437" i="3"/>
  <c r="G437" i="3"/>
  <c r="C111" i="3"/>
  <c r="M119" i="6" s="1"/>
  <c r="D124" i="3"/>
  <c r="N132" i="6" s="1"/>
  <c r="I128" i="3"/>
  <c r="H128" i="3"/>
  <c r="D136" i="3"/>
  <c r="N144" i="6" s="1"/>
  <c r="H140" i="3"/>
  <c r="C147" i="3"/>
  <c r="M155" i="6" s="1"/>
  <c r="H189" i="3"/>
  <c r="J189" i="3" s="1"/>
  <c r="E189" i="3"/>
  <c r="L189" i="3" s="1"/>
  <c r="D192" i="3"/>
  <c r="C192" i="3"/>
  <c r="M200" i="6" s="1"/>
  <c r="I194" i="3"/>
  <c r="I201" i="3"/>
  <c r="H201" i="3"/>
  <c r="D202" i="3"/>
  <c r="N210" i="6" s="1"/>
  <c r="E231" i="3"/>
  <c r="O239" i="6" s="1"/>
  <c r="J234" i="3"/>
  <c r="I234" i="3"/>
  <c r="C242" i="3"/>
  <c r="M250" i="6" s="1"/>
  <c r="K253" i="3"/>
  <c r="O253" i="3" s="1"/>
  <c r="P253" i="3" s="1"/>
  <c r="J253" i="3"/>
  <c r="F253" i="3"/>
  <c r="P261" i="6" s="1"/>
  <c r="E256" i="3"/>
  <c r="O264" i="6" s="1"/>
  <c r="C256" i="3"/>
  <c r="M264" i="6" s="1"/>
  <c r="L315" i="3"/>
  <c r="K315" i="3"/>
  <c r="Q323" i="6" s="1"/>
  <c r="E315" i="3"/>
  <c r="O323" i="6" s="1"/>
  <c r="C315" i="3"/>
  <c r="M323" i="6" s="1"/>
  <c r="B315" i="3"/>
  <c r="L323" i="6" s="1"/>
  <c r="N315" i="3"/>
  <c r="E327" i="3"/>
  <c r="O335" i="6" s="1"/>
  <c r="K338" i="3"/>
  <c r="Q346" i="6" s="1"/>
  <c r="G338" i="3"/>
  <c r="J338" i="3"/>
  <c r="I338" i="3"/>
  <c r="H338" i="3"/>
  <c r="N349" i="3"/>
  <c r="B349" i="3"/>
  <c r="L357" i="6" s="1"/>
  <c r="H349" i="3"/>
  <c r="D349" i="3"/>
  <c r="N357" i="6" s="1"/>
  <c r="C349" i="3"/>
  <c r="M357" i="6" s="1"/>
  <c r="N361" i="3"/>
  <c r="G361" i="3"/>
  <c r="J361" i="3"/>
  <c r="E361" i="3"/>
  <c r="O369" i="6" s="1"/>
  <c r="C361" i="3"/>
  <c r="M369" i="6" s="1"/>
  <c r="F422" i="3"/>
  <c r="P430" i="6" s="1"/>
  <c r="E422" i="3"/>
  <c r="O430" i="6" s="1"/>
  <c r="K422" i="3"/>
  <c r="Q430" i="6" s="1"/>
  <c r="D422" i="3"/>
  <c r="N430" i="6" s="1"/>
  <c r="J422" i="3"/>
  <c r="Q422" i="5" s="1"/>
  <c r="G422" i="3"/>
  <c r="C422" i="3"/>
  <c r="M430" i="6" s="1"/>
  <c r="H448" i="3"/>
  <c r="G448" i="3"/>
  <c r="C448" i="3"/>
  <c r="M456" i="6" s="1"/>
  <c r="N448" i="3"/>
  <c r="J448" i="3"/>
  <c r="I448" i="3"/>
  <c r="K448" i="3"/>
  <c r="Q456" i="6" s="1"/>
  <c r="F448" i="3"/>
  <c r="P456" i="6" s="1"/>
  <c r="L448" i="3"/>
  <c r="B448" i="3"/>
  <c r="L456" i="6" s="1"/>
  <c r="E466" i="3"/>
  <c r="O474" i="6" s="1"/>
  <c r="D466" i="3"/>
  <c r="N474" i="6" s="1"/>
  <c r="L466" i="3"/>
  <c r="C466" i="3"/>
  <c r="M474" i="6" s="1"/>
  <c r="I466" i="3"/>
  <c r="G466" i="3"/>
  <c r="F466" i="3"/>
  <c r="P474" i="6" s="1"/>
  <c r="N466" i="3"/>
  <c r="L503" i="3"/>
  <c r="F503" i="3"/>
  <c r="P511" i="6" s="1"/>
  <c r="E503" i="3"/>
  <c r="O511" i="6" s="1"/>
  <c r="D503" i="3"/>
  <c r="N511" i="6" s="1"/>
  <c r="C503" i="3"/>
  <c r="M511" i="6" s="1"/>
  <c r="H503" i="3"/>
  <c r="J503" i="3"/>
  <c r="D111" i="3"/>
  <c r="I119" i="6" s="1"/>
  <c r="I140" i="3"/>
  <c r="D157" i="3"/>
  <c r="C157" i="3"/>
  <c r="M165" i="6" s="1"/>
  <c r="H171" i="3"/>
  <c r="E171" i="3"/>
  <c r="O179" i="6" s="1"/>
  <c r="I186" i="3"/>
  <c r="H186" i="3"/>
  <c r="K213" i="3"/>
  <c r="Q221" i="6" s="1"/>
  <c r="J213" i="3"/>
  <c r="H226" i="3"/>
  <c r="G226" i="3"/>
  <c r="G231" i="3"/>
  <c r="D242" i="3"/>
  <c r="N250" i="6" s="1"/>
  <c r="C264" i="3"/>
  <c r="M272" i="6" s="1"/>
  <c r="B264" i="3"/>
  <c r="L272" i="6" s="1"/>
  <c r="K264" i="3"/>
  <c r="Q272" i="6" s="1"/>
  <c r="J280" i="3"/>
  <c r="H280" i="3"/>
  <c r="C280" i="3"/>
  <c r="M288" i="6" s="1"/>
  <c r="L283" i="3"/>
  <c r="J283" i="3"/>
  <c r="B306" i="3"/>
  <c r="L314" i="6" s="1"/>
  <c r="L306" i="3"/>
  <c r="J306" i="3"/>
  <c r="Q306" i="5" s="1"/>
  <c r="I306" i="3"/>
  <c r="F306" i="3"/>
  <c r="P314" i="6" s="1"/>
  <c r="F327" i="3"/>
  <c r="P335" i="6" s="1"/>
  <c r="K335" i="3"/>
  <c r="Q343" i="6" s="1"/>
  <c r="I335" i="3"/>
  <c r="F376" i="3"/>
  <c r="P384" i="6" s="1"/>
  <c r="B376" i="3"/>
  <c r="L384" i="6" s="1"/>
  <c r="G376" i="3"/>
  <c r="E376" i="3"/>
  <c r="O384" i="6" s="1"/>
  <c r="L376" i="3"/>
  <c r="J376" i="3"/>
  <c r="I376" i="3"/>
  <c r="C376" i="3"/>
  <c r="M384" i="6" s="1"/>
  <c r="L383" i="3"/>
  <c r="N383" i="3"/>
  <c r="J383" i="3"/>
  <c r="E383" i="3"/>
  <c r="O391" i="6" s="1"/>
  <c r="H386" i="3"/>
  <c r="D386" i="3"/>
  <c r="N394" i="6" s="1"/>
  <c r="B386" i="3"/>
  <c r="L394" i="6" s="1"/>
  <c r="K386" i="3"/>
  <c r="M386" i="3" s="1"/>
  <c r="D427" i="3"/>
  <c r="N435" i="6" s="1"/>
  <c r="C427" i="3"/>
  <c r="M435" i="6" s="1"/>
  <c r="B427" i="3"/>
  <c r="L435" i="6" s="1"/>
  <c r="L427" i="3"/>
  <c r="I427" i="3"/>
  <c r="G427" i="3"/>
  <c r="F427" i="3"/>
  <c r="P435" i="6" s="1"/>
  <c r="N427" i="3"/>
  <c r="J427" i="3"/>
  <c r="Q427" i="5" s="1"/>
  <c r="H427" i="3"/>
  <c r="D448" i="3"/>
  <c r="N456" i="6" s="1"/>
  <c r="B466" i="3"/>
  <c r="L474" i="6" s="1"/>
  <c r="N255" i="3"/>
  <c r="H301" i="3"/>
  <c r="K345" i="3"/>
  <c r="Q353" i="6" s="1"/>
  <c r="G345" i="3"/>
  <c r="F345" i="3"/>
  <c r="P353" i="6" s="1"/>
  <c r="C357" i="3"/>
  <c r="M365" i="6" s="1"/>
  <c r="H357" i="3"/>
  <c r="G357" i="3"/>
  <c r="N359" i="3"/>
  <c r="K359" i="3"/>
  <c r="Q367" i="6" s="1"/>
  <c r="I359" i="3"/>
  <c r="C391" i="3"/>
  <c r="M399" i="6" s="1"/>
  <c r="B391" i="3"/>
  <c r="L399" i="6" s="1"/>
  <c r="K391" i="3"/>
  <c r="Q399" i="6" s="1"/>
  <c r="L398" i="3"/>
  <c r="D398" i="3"/>
  <c r="N406" i="6" s="1"/>
  <c r="K398" i="3"/>
  <c r="Q398" i="5" s="1"/>
  <c r="M402" i="3"/>
  <c r="J405" i="3"/>
  <c r="N405" i="3"/>
  <c r="L405" i="3"/>
  <c r="K405" i="3"/>
  <c r="O405" i="3" s="1"/>
  <c r="P405" i="3" s="1"/>
  <c r="F405" i="3"/>
  <c r="P413" i="6" s="1"/>
  <c r="I405" i="3"/>
  <c r="C411" i="3"/>
  <c r="M419" i="6" s="1"/>
  <c r="B411" i="3"/>
  <c r="L419" i="6" s="1"/>
  <c r="L411" i="3"/>
  <c r="J411" i="3"/>
  <c r="I411" i="3"/>
  <c r="F461" i="3"/>
  <c r="P469" i="6" s="1"/>
  <c r="C461" i="3"/>
  <c r="M469" i="6" s="1"/>
  <c r="F502" i="3"/>
  <c r="P510" i="6" s="1"/>
  <c r="E502" i="3"/>
  <c r="O510" i="6" s="1"/>
  <c r="D502" i="3"/>
  <c r="N510" i="6" s="1"/>
  <c r="C502" i="3"/>
  <c r="M510" i="6" s="1"/>
  <c r="K502" i="3"/>
  <c r="Q510" i="6" s="1"/>
  <c r="L502" i="3"/>
  <c r="J502" i="3"/>
  <c r="I502" i="3"/>
  <c r="H502" i="3"/>
  <c r="G502" i="3"/>
  <c r="B502" i="3"/>
  <c r="L510" i="6" s="1"/>
  <c r="L15" i="3"/>
  <c r="D255" i="3"/>
  <c r="N263" i="6" s="1"/>
  <c r="N261" i="3"/>
  <c r="N284" i="3"/>
  <c r="J284" i="3"/>
  <c r="L301" i="3"/>
  <c r="D340" i="3"/>
  <c r="N348" i="6" s="1"/>
  <c r="D345" i="3"/>
  <c r="N353" i="6" s="1"/>
  <c r="E357" i="3"/>
  <c r="O365" i="6" s="1"/>
  <c r="L359" i="3"/>
  <c r="J369" i="3"/>
  <c r="L369" i="3"/>
  <c r="G369" i="3"/>
  <c r="N369" i="3"/>
  <c r="K369" i="3"/>
  <c r="F391" i="3"/>
  <c r="P399" i="6" s="1"/>
  <c r="E398" i="3"/>
  <c r="O406" i="6" s="1"/>
  <c r="G405" i="3"/>
  <c r="H411" i="3"/>
  <c r="F415" i="3"/>
  <c r="P423" i="6" s="1"/>
  <c r="E415" i="3"/>
  <c r="O423" i="6" s="1"/>
  <c r="L415" i="3"/>
  <c r="H415" i="3"/>
  <c r="L425" i="3"/>
  <c r="C425" i="3"/>
  <c r="M433" i="6" s="1"/>
  <c r="N425" i="3"/>
  <c r="J425" i="3"/>
  <c r="J441" i="3"/>
  <c r="H441" i="3"/>
  <c r="G441" i="3"/>
  <c r="L441" i="3"/>
  <c r="F441" i="3"/>
  <c r="P449" i="6" s="1"/>
  <c r="C441" i="3"/>
  <c r="M449" i="6" s="1"/>
  <c r="N441" i="3"/>
  <c r="E199" i="3"/>
  <c r="O207" i="6" s="1"/>
  <c r="C284" i="3"/>
  <c r="M292" i="6" s="1"/>
  <c r="F309" i="3"/>
  <c r="P317" i="6" s="1"/>
  <c r="E309" i="3"/>
  <c r="O317" i="6" s="1"/>
  <c r="E310" i="3"/>
  <c r="O318" i="6" s="1"/>
  <c r="E340" i="3"/>
  <c r="O348" i="6" s="1"/>
  <c r="E345" i="3"/>
  <c r="O353" i="6" s="1"/>
  <c r="C348" i="3"/>
  <c r="M356" i="6" s="1"/>
  <c r="N348" i="3"/>
  <c r="L348" i="3"/>
  <c r="H351" i="3"/>
  <c r="I351" i="3"/>
  <c r="G351" i="3"/>
  <c r="F357" i="3"/>
  <c r="P365" i="6" s="1"/>
  <c r="E360" i="3"/>
  <c r="O368" i="6" s="1"/>
  <c r="L360" i="3"/>
  <c r="K360" i="3"/>
  <c r="Q368" i="6" s="1"/>
  <c r="B369" i="3"/>
  <c r="L377" i="6" s="1"/>
  <c r="G391" i="3"/>
  <c r="L397" i="3"/>
  <c r="D397" i="3"/>
  <c r="N405" i="6" s="1"/>
  <c r="N397" i="3"/>
  <c r="I397" i="3"/>
  <c r="H397" i="3"/>
  <c r="F398" i="3"/>
  <c r="P406" i="6" s="1"/>
  <c r="H405" i="3"/>
  <c r="N411" i="3"/>
  <c r="B415" i="3"/>
  <c r="L423" i="6" s="1"/>
  <c r="F425" i="3"/>
  <c r="P433" i="6" s="1"/>
  <c r="B441" i="3"/>
  <c r="E494" i="3"/>
  <c r="O502" i="6" s="1"/>
  <c r="D494" i="3"/>
  <c r="N502" i="6" s="1"/>
  <c r="C494" i="3"/>
  <c r="M502" i="6" s="1"/>
  <c r="B494" i="3"/>
  <c r="L502" i="6" s="1"/>
  <c r="K494" i="3"/>
  <c r="Q502" i="6" s="1"/>
  <c r="L494" i="3"/>
  <c r="J494" i="3"/>
  <c r="G494" i="3"/>
  <c r="N314" i="3"/>
  <c r="L314" i="3"/>
  <c r="N322" i="3"/>
  <c r="L322" i="3"/>
  <c r="N341" i="3"/>
  <c r="K341" i="3"/>
  <c r="Q349" i="6" s="1"/>
  <c r="G378" i="3"/>
  <c r="B378" i="3"/>
  <c r="L386" i="6" s="1"/>
  <c r="K378" i="3"/>
  <c r="J378" i="3"/>
  <c r="C426" i="3"/>
  <c r="M434" i="6" s="1"/>
  <c r="B426" i="3"/>
  <c r="L434" i="6" s="1"/>
  <c r="J426" i="3"/>
  <c r="D426" i="3"/>
  <c r="N434" i="6" s="1"/>
  <c r="I451" i="3"/>
  <c r="H451" i="3"/>
  <c r="D451" i="3"/>
  <c r="N459" i="6" s="1"/>
  <c r="K451" i="3"/>
  <c r="Q459" i="6" s="1"/>
  <c r="F451" i="3"/>
  <c r="P459" i="6" s="1"/>
  <c r="E451" i="3"/>
  <c r="O459" i="6" s="1"/>
  <c r="N497" i="3"/>
  <c r="G497" i="3"/>
  <c r="L497" i="3"/>
  <c r="F497" i="3"/>
  <c r="P505" i="6" s="1"/>
  <c r="C497" i="3"/>
  <c r="M505" i="6" s="1"/>
  <c r="L312" i="3"/>
  <c r="L318" i="3"/>
  <c r="N330" i="3"/>
  <c r="N344" i="3"/>
  <c r="K344" i="3"/>
  <c r="Q352" i="6" s="1"/>
  <c r="N354" i="3"/>
  <c r="G367" i="3"/>
  <c r="C367" i="3"/>
  <c r="M375" i="6" s="1"/>
  <c r="N381" i="3"/>
  <c r="H381" i="3"/>
  <c r="C392" i="3"/>
  <c r="M400" i="6" s="1"/>
  <c r="D392" i="3"/>
  <c r="N400" i="6" s="1"/>
  <c r="K396" i="3"/>
  <c r="Q404" i="6" s="1"/>
  <c r="C410" i="3"/>
  <c r="M418" i="6" s="1"/>
  <c r="B410" i="3"/>
  <c r="L410" i="3"/>
  <c r="G410" i="3"/>
  <c r="E413" i="3"/>
  <c r="O421" i="6" s="1"/>
  <c r="C413" i="3"/>
  <c r="M421" i="6" s="1"/>
  <c r="G413" i="3"/>
  <c r="E416" i="3"/>
  <c r="O424" i="6" s="1"/>
  <c r="D416" i="3"/>
  <c r="N424" i="6" s="1"/>
  <c r="L416" i="3"/>
  <c r="K452" i="3"/>
  <c r="Q460" i="6" s="1"/>
  <c r="J452" i="3"/>
  <c r="C452" i="3"/>
  <c r="M460" i="6" s="1"/>
  <c r="N452" i="3"/>
  <c r="L452" i="3"/>
  <c r="J475" i="3"/>
  <c r="Q475" i="5" s="1"/>
  <c r="I475" i="3"/>
  <c r="H475" i="3"/>
  <c r="D475" i="3"/>
  <c r="N483" i="6" s="1"/>
  <c r="K475" i="3"/>
  <c r="Q483" i="6" s="1"/>
  <c r="G475" i="3"/>
  <c r="N483" i="3"/>
  <c r="L483" i="3"/>
  <c r="F483" i="3"/>
  <c r="P491" i="6" s="1"/>
  <c r="I492" i="3"/>
  <c r="J497" i="3"/>
  <c r="K504" i="3"/>
  <c r="D504" i="3"/>
  <c r="N512" i="6" s="1"/>
  <c r="J504" i="3"/>
  <c r="I504" i="3"/>
  <c r="G504" i="3"/>
  <c r="N355" i="3"/>
  <c r="L355" i="3"/>
  <c r="N371" i="3"/>
  <c r="J371" i="3"/>
  <c r="K388" i="3"/>
  <c r="Q396" i="6" s="1"/>
  <c r="H388" i="3"/>
  <c r="D388" i="3"/>
  <c r="N396" i="6" s="1"/>
  <c r="I399" i="3"/>
  <c r="B399" i="3"/>
  <c r="L407" i="6" s="1"/>
  <c r="L406" i="3"/>
  <c r="K406" i="3"/>
  <c r="Q414" i="6" s="1"/>
  <c r="H406" i="3"/>
  <c r="G421" i="3"/>
  <c r="F421" i="3"/>
  <c r="P429" i="6" s="1"/>
  <c r="I421" i="3"/>
  <c r="C421" i="3"/>
  <c r="M429" i="6" s="1"/>
  <c r="H442" i="3"/>
  <c r="G442" i="3"/>
  <c r="N442" i="3"/>
  <c r="J442" i="3"/>
  <c r="I442" i="3"/>
  <c r="B452" i="3"/>
  <c r="L460" i="6" s="1"/>
  <c r="B475" i="3"/>
  <c r="L483" i="6" s="1"/>
  <c r="B483" i="3"/>
  <c r="L491" i="6" s="1"/>
  <c r="J492" i="3"/>
  <c r="B504" i="3"/>
  <c r="L512" i="6" s="1"/>
  <c r="H449" i="3"/>
  <c r="G449" i="3"/>
  <c r="B449" i="3"/>
  <c r="L457" i="6" s="1"/>
  <c r="N449" i="3"/>
  <c r="F493" i="3"/>
  <c r="P501" i="6" s="1"/>
  <c r="E493" i="3"/>
  <c r="O501" i="6" s="1"/>
  <c r="D493" i="3"/>
  <c r="N501" i="6" s="1"/>
  <c r="C493" i="3"/>
  <c r="M501" i="6" s="1"/>
  <c r="K493" i="3"/>
  <c r="Q501" i="6" s="1"/>
  <c r="J493" i="3"/>
  <c r="G493" i="3"/>
  <c r="B493" i="3"/>
  <c r="L501" i="6" s="1"/>
  <c r="L496" i="3"/>
  <c r="K496" i="3"/>
  <c r="Q504" i="6" s="1"/>
  <c r="J496" i="3"/>
  <c r="I496" i="3"/>
  <c r="E496" i="3"/>
  <c r="O504" i="6" s="1"/>
  <c r="B496" i="3"/>
  <c r="L504" i="6" s="1"/>
  <c r="L395" i="3"/>
  <c r="D395" i="3"/>
  <c r="N403" i="6" s="1"/>
  <c r="C408" i="3"/>
  <c r="M416" i="6" s="1"/>
  <c r="B408" i="3"/>
  <c r="L416" i="6" s="1"/>
  <c r="K424" i="3"/>
  <c r="Q432" i="6" s="1"/>
  <c r="J424" i="3"/>
  <c r="J474" i="3"/>
  <c r="I474" i="3"/>
  <c r="H474" i="3"/>
  <c r="C474" i="3"/>
  <c r="M482" i="6" s="1"/>
  <c r="I450" i="3"/>
  <c r="H450" i="3"/>
  <c r="C450" i="3"/>
  <c r="M458" i="6" s="1"/>
  <c r="I463" i="3"/>
  <c r="H463" i="3"/>
  <c r="D463" i="3"/>
  <c r="N471" i="6" s="1"/>
  <c r="L472" i="3"/>
  <c r="K472" i="3"/>
  <c r="Q480" i="6" s="1"/>
  <c r="J472" i="3"/>
  <c r="F472" i="3"/>
  <c r="P480" i="6" s="1"/>
  <c r="K481" i="3"/>
  <c r="Q489" i="6" s="1"/>
  <c r="J481" i="3"/>
  <c r="I481" i="3"/>
  <c r="E481" i="3"/>
  <c r="O489" i="6" s="1"/>
  <c r="N495" i="3"/>
  <c r="L495" i="3"/>
  <c r="I495" i="3"/>
  <c r="G495" i="3"/>
  <c r="F495" i="3"/>
  <c r="P503" i="6" s="1"/>
  <c r="F394" i="3"/>
  <c r="P402" i="6" s="1"/>
  <c r="H395" i="3"/>
  <c r="I408" i="3"/>
  <c r="L419" i="3"/>
  <c r="H419" i="3"/>
  <c r="E424" i="3"/>
  <c r="O432" i="6" s="1"/>
  <c r="G436" i="3"/>
  <c r="F436" i="3"/>
  <c r="P444" i="6" s="1"/>
  <c r="F450" i="3"/>
  <c r="P458" i="6" s="1"/>
  <c r="L460" i="3"/>
  <c r="K460" i="3"/>
  <c r="Q468" i="6" s="1"/>
  <c r="G460" i="3"/>
  <c r="E463" i="3"/>
  <c r="O471" i="6" s="1"/>
  <c r="D472" i="3"/>
  <c r="N480" i="6" s="1"/>
  <c r="G474" i="3"/>
  <c r="D481" i="3"/>
  <c r="N489" i="6" s="1"/>
  <c r="H490" i="3"/>
  <c r="G490" i="3"/>
  <c r="F490" i="3"/>
  <c r="P498" i="6" s="1"/>
  <c r="B490" i="3"/>
  <c r="L498" i="6" s="1"/>
  <c r="N445" i="3"/>
  <c r="N454" i="3"/>
  <c r="G470" i="3"/>
  <c r="G484" i="3"/>
  <c r="H486" i="3"/>
  <c r="L403" i="3"/>
  <c r="L430" i="3"/>
  <c r="L439" i="3"/>
  <c r="E445" i="3"/>
  <c r="O453" i="6" s="1"/>
  <c r="F447" i="3"/>
  <c r="P455" i="6" s="1"/>
  <c r="E454" i="3"/>
  <c r="O462" i="6" s="1"/>
  <c r="L457" i="3"/>
  <c r="L469" i="3"/>
  <c r="K484" i="3"/>
  <c r="Q492" i="6" s="1"/>
  <c r="L487" i="3"/>
  <c r="H491" i="3"/>
  <c r="N499" i="3"/>
  <c r="B477" i="3"/>
  <c r="L485" i="6" s="1"/>
  <c r="L484" i="3"/>
  <c r="J491" i="3"/>
  <c r="M476" i="3"/>
  <c r="J177" i="3"/>
  <c r="M214" i="3"/>
  <c r="L67" i="3"/>
  <c r="M200" i="3"/>
  <c r="K90" i="3"/>
  <c r="G162" i="3"/>
  <c r="J9" i="3"/>
  <c r="G76" i="3"/>
  <c r="K129" i="3"/>
  <c r="Q137" i="6" s="1"/>
  <c r="F160" i="3"/>
  <c r="P168" i="6" s="1"/>
  <c r="M238" i="3"/>
  <c r="Q351" i="5"/>
  <c r="M441" i="3"/>
  <c r="L162" i="3"/>
  <c r="M293" i="3"/>
  <c r="M305" i="3"/>
  <c r="M340" i="3"/>
  <c r="J37" i="3"/>
  <c r="K162" i="3"/>
  <c r="Q170" i="6" s="1"/>
  <c r="L76" i="3"/>
  <c r="K189" i="3"/>
  <c r="Q430" i="5"/>
  <c r="O434" i="3"/>
  <c r="P434" i="3" s="1"/>
  <c r="F76" i="3"/>
  <c r="P84" i="6" s="1"/>
  <c r="G17" i="3"/>
  <c r="J19" i="3"/>
  <c r="G98" i="3"/>
  <c r="AE221" i="4"/>
  <c r="O534" i="2"/>
  <c r="O548" i="2"/>
  <c r="V246" i="4"/>
  <c r="W246" i="4" s="1"/>
  <c r="O176" i="6"/>
  <c r="Q297" i="6"/>
  <c r="M289" i="3"/>
  <c r="L406" i="6"/>
  <c r="P483" i="6"/>
  <c r="Q433" i="5"/>
  <c r="F62" i="3"/>
  <c r="P70" i="6" s="1"/>
  <c r="L422" i="6"/>
  <c r="F187" i="3"/>
  <c r="P195" i="6" s="1"/>
  <c r="N184" i="6"/>
  <c r="K176" i="3"/>
  <c r="Q184" i="6" s="1"/>
  <c r="N191" i="6"/>
  <c r="K183" i="3"/>
  <c r="Q191" i="6" s="1"/>
  <c r="O231" i="3"/>
  <c r="P231" i="3" s="1"/>
  <c r="Q369" i="6"/>
  <c r="M361" i="3"/>
  <c r="L466" i="6"/>
  <c r="Q471" i="6"/>
  <c r="N21" i="6"/>
  <c r="K13" i="3"/>
  <c r="Q21" i="6" s="1"/>
  <c r="N182" i="6"/>
  <c r="O37" i="6"/>
  <c r="L29" i="3"/>
  <c r="G29" i="3"/>
  <c r="O62" i="6"/>
  <c r="L54" i="3"/>
  <c r="Q487" i="5"/>
  <c r="G54" i="3"/>
  <c r="N69" i="6"/>
  <c r="Q458" i="6"/>
  <c r="N83" i="6"/>
  <c r="K75" i="3"/>
  <c r="F100" i="3"/>
  <c r="P108" i="6" s="1"/>
  <c r="G100" i="3"/>
  <c r="N110" i="6"/>
  <c r="K102" i="3"/>
  <c r="O102" i="3" s="1"/>
  <c r="P102" i="3" s="1"/>
  <c r="Q314" i="6"/>
  <c r="L117" i="3"/>
  <c r="N22" i="6"/>
  <c r="K14" i="3"/>
  <c r="Q22" i="6" s="1"/>
  <c r="N143" i="6"/>
  <c r="K135" i="3"/>
  <c r="Q143" i="6" s="1"/>
  <c r="O98" i="6"/>
  <c r="L90" i="3"/>
  <c r="Q312" i="5"/>
  <c r="M326" i="3"/>
  <c r="Q255" i="5"/>
  <c r="Q469" i="5"/>
  <c r="F13" i="3"/>
  <c r="P21" i="6" s="1"/>
  <c r="F83" i="3"/>
  <c r="P91" i="6" s="1"/>
  <c r="G13" i="3"/>
  <c r="M350" i="3"/>
  <c r="Q410" i="5"/>
  <c r="M437" i="3"/>
  <c r="M438" i="3"/>
  <c r="G6" i="3"/>
  <c r="F67" i="3"/>
  <c r="P75" i="6" s="1"/>
  <c r="K68" i="3"/>
  <c r="M68" i="3" s="1"/>
  <c r="N68" i="3" s="1"/>
  <c r="K72" i="3"/>
  <c r="Q80" i="6" s="1"/>
  <c r="G83" i="3"/>
  <c r="L98" i="3"/>
  <c r="F109" i="3"/>
  <c r="P117" i="6" s="1"/>
  <c r="L159" i="3"/>
  <c r="M332" i="3"/>
  <c r="M408" i="3"/>
  <c r="M413" i="3"/>
  <c r="F97" i="3"/>
  <c r="P105" i="6" s="1"/>
  <c r="G159" i="3"/>
  <c r="G67" i="3"/>
  <c r="K81" i="3"/>
  <c r="Q89" i="6" s="1"/>
  <c r="L183" i="3"/>
  <c r="O204" i="3"/>
  <c r="P204" i="3" s="1"/>
  <c r="M501" i="3"/>
  <c r="Q413" i="5"/>
  <c r="L70" i="3"/>
  <c r="Q348" i="5"/>
  <c r="M474" i="3"/>
  <c r="J97" i="3"/>
  <c r="F98" i="3"/>
  <c r="P106" i="6" s="1"/>
  <c r="O340" i="3"/>
  <c r="P340" i="3" s="1"/>
  <c r="Q449" i="5"/>
  <c r="Q330" i="5"/>
  <c r="V354" i="4"/>
  <c r="W354" i="4" s="1"/>
  <c r="AC354" i="4" s="1"/>
  <c r="O428" i="2"/>
  <c r="O432" i="2"/>
  <c r="O456" i="2"/>
  <c r="O454" i="2"/>
  <c r="O486" i="2"/>
  <c r="O469" i="2"/>
  <c r="V295" i="4"/>
  <c r="W295" i="4" s="1"/>
  <c r="O473" i="2"/>
  <c r="O223" i="2"/>
  <c r="O282" i="2"/>
  <c r="O338" i="2"/>
  <c r="O77" i="2"/>
  <c r="O271" i="2"/>
  <c r="O400" i="2"/>
  <c r="O407" i="2"/>
  <c r="V78" i="4"/>
  <c r="W78" i="4" s="1"/>
  <c r="AB356" i="4"/>
  <c r="V87" i="4"/>
  <c r="W87" i="4" s="1"/>
  <c r="AC87" i="4" s="1"/>
  <c r="V351" i="4"/>
  <c r="W351" i="4" s="1"/>
  <c r="AC351" i="4" s="1"/>
  <c r="V307" i="4"/>
  <c r="W307" i="4" s="1"/>
  <c r="AC307" i="4" s="1"/>
  <c r="V353" i="4"/>
  <c r="W353" i="4" s="1"/>
  <c r="AC353" i="4" s="1"/>
  <c r="V363" i="4"/>
  <c r="W363" i="4" s="1"/>
  <c r="V156" i="4"/>
  <c r="W156" i="4" s="1"/>
  <c r="V81" i="4"/>
  <c r="W81" i="4" s="1"/>
  <c r="O373" i="2"/>
  <c r="V298" i="4"/>
  <c r="W298" i="4" s="1"/>
  <c r="V290" i="4"/>
  <c r="W290" i="4" s="1"/>
  <c r="AE344" i="4"/>
  <c r="V159" i="4"/>
  <c r="W159" i="4" s="1"/>
  <c r="V264" i="4"/>
  <c r="W264" i="4" s="1"/>
  <c r="V84" i="4"/>
  <c r="W84" i="4" s="1"/>
  <c r="V261" i="4"/>
  <c r="W261" i="4" s="1"/>
  <c r="O347" i="2"/>
  <c r="V88" i="4"/>
  <c r="W88" i="4" s="1"/>
  <c r="V338" i="4"/>
  <c r="W338" i="4" s="1"/>
  <c r="V360" i="4"/>
  <c r="W360" i="4" s="1"/>
  <c r="AB245" i="4"/>
  <c r="V292" i="4"/>
  <c r="W292" i="4" s="1"/>
  <c r="V409" i="4"/>
  <c r="W409" i="4" s="1"/>
  <c r="AC409" i="4" s="1"/>
  <c r="V357" i="4"/>
  <c r="W357" i="4" s="1"/>
  <c r="AC357" i="4" s="1"/>
  <c r="V82" i="4"/>
  <c r="W82" i="4" s="1"/>
  <c r="AB454" i="4"/>
  <c r="V90" i="4"/>
  <c r="W90" i="4" s="1"/>
  <c r="O235" i="2"/>
  <c r="V160" i="4"/>
  <c r="W160" i="4" s="1"/>
  <c r="V265" i="4"/>
  <c r="W265" i="4" s="1"/>
  <c r="AB359" i="4"/>
  <c r="V408" i="4"/>
  <c r="W408" i="4" s="1"/>
  <c r="V407" i="4"/>
  <c r="W407" i="4" s="1"/>
  <c r="V359" i="4"/>
  <c r="W359" i="4" s="1"/>
  <c r="V362" i="4"/>
  <c r="W362" i="4" s="1"/>
  <c r="V365" i="4"/>
  <c r="W365" i="4" s="1"/>
  <c r="AC365" i="4" s="1"/>
  <c r="V361" i="4"/>
  <c r="W361" i="4" s="1"/>
  <c r="V364" i="4"/>
  <c r="W364" i="4" s="1"/>
  <c r="V356" i="4"/>
  <c r="W356" i="4" s="1"/>
  <c r="AC356" i="4" s="1"/>
  <c r="V358" i="4"/>
  <c r="W358" i="4" s="1"/>
  <c r="V355" i="4"/>
  <c r="W355" i="4" s="1"/>
  <c r="AC355" i="4" s="1"/>
  <c r="AC350" i="4"/>
  <c r="AB352" i="4"/>
  <c r="V352" i="4"/>
  <c r="W352" i="4" s="1"/>
  <c r="AC352" i="4" s="1"/>
  <c r="V305" i="4"/>
  <c r="W305" i="4" s="1"/>
  <c r="V306" i="4"/>
  <c r="W306" i="4" s="1"/>
  <c r="V294" i="4"/>
  <c r="W294" i="4" s="1"/>
  <c r="V297" i="4"/>
  <c r="W297" i="4" s="1"/>
  <c r="V293" i="4"/>
  <c r="W293" i="4" s="1"/>
  <c r="V296" i="4"/>
  <c r="W296" i="4" s="1"/>
  <c r="V299" i="4"/>
  <c r="W299" i="4" s="1"/>
  <c r="AC299" i="4" s="1"/>
  <c r="V291" i="4"/>
  <c r="W291" i="4" s="1"/>
  <c r="V260" i="4"/>
  <c r="W260" i="4" s="1"/>
  <c r="V266" i="4"/>
  <c r="W266" i="4" s="1"/>
  <c r="AC266" i="4" s="1"/>
  <c r="V259" i="4"/>
  <c r="W259" i="4" s="1"/>
  <c r="V262" i="4"/>
  <c r="W262" i="4" s="1"/>
  <c r="V263" i="4"/>
  <c r="W263" i="4" s="1"/>
  <c r="V268" i="4"/>
  <c r="W268" i="4" s="1"/>
  <c r="V270" i="4"/>
  <c r="W270" i="4" s="1"/>
  <c r="V271" i="4"/>
  <c r="W271" i="4" s="1"/>
  <c r="V267" i="4"/>
  <c r="W267" i="4" s="1"/>
  <c r="V273" i="4"/>
  <c r="W273" i="4" s="1"/>
  <c r="V269" i="4"/>
  <c r="W269" i="4" s="1"/>
  <c r="V272" i="4"/>
  <c r="W272" i="4" s="1"/>
  <c r="V250" i="4"/>
  <c r="W250" i="4" s="1"/>
  <c r="V253" i="4"/>
  <c r="W253" i="4" s="1"/>
  <c r="V249" i="4"/>
  <c r="W249" i="4" s="1"/>
  <c r="V256" i="4"/>
  <c r="W256" i="4" s="1"/>
  <c r="V252" i="4"/>
  <c r="W252" i="4" s="1"/>
  <c r="V258" i="4"/>
  <c r="W258" i="4" s="1"/>
  <c r="AC258" i="4" s="1"/>
  <c r="V255" i="4"/>
  <c r="W255" i="4" s="1"/>
  <c r="V245" i="4"/>
  <c r="W245" i="4" s="1"/>
  <c r="V248" i="4"/>
  <c r="W248" i="4" s="1"/>
  <c r="V251" i="4"/>
  <c r="W251" i="4" s="1"/>
  <c r="V254" i="4"/>
  <c r="W254" i="4" s="1"/>
  <c r="V257" i="4"/>
  <c r="W257" i="4" s="1"/>
  <c r="V247" i="4"/>
  <c r="W247" i="4" s="1"/>
  <c r="V216" i="4"/>
  <c r="W216" i="4" s="1"/>
  <c r="V215" i="4"/>
  <c r="W215" i="4" s="1"/>
  <c r="V217" i="4"/>
  <c r="W217" i="4" s="1"/>
  <c r="AC217" i="4" s="1"/>
  <c r="V165" i="4"/>
  <c r="W165" i="4" s="1"/>
  <c r="V164" i="4"/>
  <c r="W164" i="4" s="1"/>
  <c r="V167" i="4"/>
  <c r="W167" i="4" s="1"/>
  <c r="AC167" i="4" s="1"/>
  <c r="V162" i="4"/>
  <c r="W162" i="4" s="1"/>
  <c r="V163" i="4"/>
  <c r="W163" i="4" s="1"/>
  <c r="V166" i="4"/>
  <c r="W166" i="4" s="1"/>
  <c r="V155" i="4"/>
  <c r="W155" i="4" s="1"/>
  <c r="V158" i="4"/>
  <c r="W158" i="4" s="1"/>
  <c r="V161" i="4"/>
  <c r="W161" i="4" s="1"/>
  <c r="AC161" i="4" s="1"/>
  <c r="V157" i="4"/>
  <c r="W157" i="4" s="1"/>
  <c r="V154" i="4"/>
  <c r="W154" i="4" s="1"/>
  <c r="M7" i="5"/>
  <c r="V89" i="4"/>
  <c r="W89" i="4" s="1"/>
  <c r="V91" i="4"/>
  <c r="W91" i="4" s="1"/>
  <c r="AC91" i="4" s="1"/>
  <c r="V77" i="4"/>
  <c r="W77" i="4" s="1"/>
  <c r="V83" i="4"/>
  <c r="W83" i="4" s="1"/>
  <c r="V80" i="4"/>
  <c r="W80" i="4" s="1"/>
  <c r="V86" i="4"/>
  <c r="W86" i="4" s="1"/>
  <c r="V85" i="4"/>
  <c r="W85" i="4" s="1"/>
  <c r="V79" i="4"/>
  <c r="W79" i="4" s="1"/>
  <c r="Q457" i="5"/>
  <c r="J76" i="3"/>
  <c r="O86" i="2"/>
  <c r="AE430" i="4"/>
  <c r="AB344" i="4"/>
  <c r="O268" i="2"/>
  <c r="O83" i="2"/>
  <c r="O325" i="2"/>
  <c r="O157" i="2"/>
  <c r="O128" i="2"/>
  <c r="O158" i="2"/>
  <c r="O161" i="2"/>
  <c r="AE371" i="4"/>
  <c r="O377" i="2"/>
  <c r="O135" i="2"/>
  <c r="AB66" i="4"/>
  <c r="AE224" i="4"/>
  <c r="O383" i="2"/>
  <c r="AB230" i="4"/>
  <c r="O150" i="2"/>
  <c r="O379" i="2"/>
  <c r="O301" i="2"/>
  <c r="AE59" i="4"/>
  <c r="O453" i="2"/>
  <c r="O226" i="2"/>
  <c r="AB312" i="4"/>
  <c r="AB531" i="4"/>
  <c r="AB541" i="4"/>
  <c r="AB148" i="4"/>
  <c r="O9" i="2"/>
  <c r="O159" i="2"/>
  <c r="O14" i="2"/>
  <c r="V61" i="4"/>
  <c r="W61" i="4" s="1"/>
  <c r="AB223" i="4"/>
  <c r="O297" i="2"/>
  <c r="AB291" i="4"/>
  <c r="AB381" i="4"/>
  <c r="AE531" i="4"/>
  <c r="O367" i="2"/>
  <c r="AE52" i="4"/>
  <c r="AB486" i="4"/>
  <c r="O543" i="2"/>
  <c r="O18" i="2"/>
  <c r="O109" i="2"/>
  <c r="O163" i="2"/>
  <c r="O300" i="2"/>
  <c r="O455" i="2"/>
  <c r="O488" i="2"/>
  <c r="O173" i="2"/>
  <c r="AB107" i="4"/>
  <c r="AB248" i="4"/>
  <c r="AE295" i="4"/>
  <c r="AE377" i="4"/>
  <c r="O27" i="2"/>
  <c r="O188" i="2"/>
  <c r="O250" i="2"/>
  <c r="O458" i="2"/>
  <c r="AE186" i="4"/>
  <c r="AE192" i="4"/>
  <c r="AE280" i="4"/>
  <c r="AB290" i="4"/>
  <c r="V376" i="4"/>
  <c r="W376" i="4" s="1"/>
  <c r="O293" i="2"/>
  <c r="AE16" i="4"/>
  <c r="O119" i="2"/>
  <c r="O306" i="2"/>
  <c r="O371" i="2"/>
  <c r="O54" i="2"/>
  <c r="O312" i="2"/>
  <c r="O461" i="2"/>
  <c r="AB84" i="4"/>
  <c r="O475" i="2"/>
  <c r="AE465" i="4"/>
  <c r="AB467" i="4"/>
  <c r="O13" i="2"/>
  <c r="O58" i="2"/>
  <c r="O98" i="2"/>
  <c r="O225" i="2"/>
  <c r="O255" i="2"/>
  <c r="O290" i="2"/>
  <c r="O426" i="2"/>
  <c r="O546" i="2"/>
  <c r="AE240" i="4"/>
  <c r="AB317" i="4"/>
  <c r="V404" i="4"/>
  <c r="W404" i="4" s="1"/>
  <c r="AB439" i="4"/>
  <c r="V475" i="4"/>
  <c r="W475" i="4" s="1"/>
  <c r="O127" i="2"/>
  <c r="O129" i="2"/>
  <c r="AB30" i="4"/>
  <c r="AE204" i="4"/>
  <c r="AE266" i="4"/>
  <c r="AB269" i="4"/>
  <c r="O162" i="2"/>
  <c r="O206" i="2"/>
  <c r="O85" i="2"/>
  <c r="O315" i="2"/>
  <c r="O350" i="2"/>
  <c r="AB18" i="4"/>
  <c r="AB83" i="4"/>
  <c r="AB181" i="4"/>
  <c r="AB253" i="4"/>
  <c r="AE160" i="4"/>
  <c r="AB163" i="4"/>
  <c r="V181" i="4"/>
  <c r="W181" i="4" s="1"/>
  <c r="AE181" i="4"/>
  <c r="V381" i="4"/>
  <c r="W381" i="4" s="1"/>
  <c r="AE398" i="4"/>
  <c r="AB400" i="4"/>
  <c r="AE545" i="4"/>
  <c r="O64" i="2"/>
  <c r="O105" i="2"/>
  <c r="O140" i="2"/>
  <c r="O231" i="2"/>
  <c r="O259" i="2"/>
  <c r="O326" i="2"/>
  <c r="O489" i="2"/>
  <c r="AB10" i="4"/>
  <c r="AB25" i="4"/>
  <c r="AE76" i="4"/>
  <c r="AB100" i="4"/>
  <c r="V206" i="4"/>
  <c r="W206" i="4" s="1"/>
  <c r="AB265" i="4"/>
  <c r="AB369" i="4"/>
  <c r="AB424" i="4"/>
  <c r="O32" i="2"/>
  <c r="O82" i="2"/>
  <c r="V344" i="4"/>
  <c r="W344" i="4" s="1"/>
  <c r="AC344" i="4" s="1"/>
  <c r="O277" i="2"/>
  <c r="O208" i="2"/>
  <c r="O279" i="2"/>
  <c r="O12" i="2"/>
  <c r="O166" i="2"/>
  <c r="O319" i="2"/>
  <c r="O382" i="2"/>
  <c r="AE11" i="4"/>
  <c r="AB13" i="4"/>
  <c r="AB40" i="4"/>
  <c r="AB49" i="4"/>
  <c r="O102" i="2"/>
  <c r="O66" i="2"/>
  <c r="O294" i="2"/>
  <c r="O329" i="2"/>
  <c r="O431" i="2"/>
  <c r="O491" i="2"/>
  <c r="AE62" i="4"/>
  <c r="AB64" i="4"/>
  <c r="AB126" i="4"/>
  <c r="AB156" i="4"/>
  <c r="AE163" i="4"/>
  <c r="AB166" i="4"/>
  <c r="AE233" i="4"/>
  <c r="AE239" i="4"/>
  <c r="AB292" i="4"/>
  <c r="AB310" i="4"/>
  <c r="O51" i="2"/>
  <c r="O459" i="2"/>
  <c r="AB38" i="4"/>
  <c r="AB56" i="4"/>
  <c r="AB277" i="4"/>
  <c r="O137" i="2"/>
  <c r="O256" i="2"/>
  <c r="O384" i="2"/>
  <c r="AB8" i="4"/>
  <c r="O112" i="2"/>
  <c r="O267" i="2"/>
  <c r="O331" i="2"/>
  <c r="O467" i="2"/>
  <c r="AB96" i="4"/>
  <c r="AB324" i="4"/>
  <c r="AE489" i="4"/>
  <c r="AB545" i="4"/>
  <c r="AB150" i="4"/>
  <c r="V315" i="4"/>
  <c r="W315" i="4" s="1"/>
  <c r="AC315" i="4" s="1"/>
  <c r="AB309" i="4"/>
  <c r="AB416" i="4"/>
  <c r="AE155" i="4"/>
  <c r="AB212" i="4"/>
  <c r="AE234" i="4"/>
  <c r="AB427" i="4"/>
  <c r="AE432" i="4"/>
  <c r="AB434" i="4"/>
  <c r="AE459" i="4"/>
  <c r="V541" i="4"/>
  <c r="W541" i="4" s="1"/>
  <c r="O418" i="2"/>
  <c r="O509" i="2"/>
  <c r="O15" i="2"/>
  <c r="O257" i="2"/>
  <c r="O436" i="2"/>
  <c r="AB75" i="4"/>
  <c r="O236" i="2"/>
  <c r="AE543" i="4"/>
  <c r="O88" i="2"/>
  <c r="O402" i="2"/>
  <c r="O438" i="2"/>
  <c r="O485" i="2"/>
  <c r="AB109" i="4"/>
  <c r="AB115" i="4"/>
  <c r="AE328" i="4"/>
  <c r="AB355" i="4"/>
  <c r="O42" i="2"/>
  <c r="O71" i="2"/>
  <c r="O147" i="2"/>
  <c r="O195" i="2"/>
  <c r="O217" i="2"/>
  <c r="O241" i="2"/>
  <c r="O263" i="2"/>
  <c r="O287" i="2"/>
  <c r="O424" i="2"/>
  <c r="O441" i="2"/>
  <c r="O464" i="2"/>
  <c r="AE26" i="4"/>
  <c r="AB28" i="4"/>
  <c r="AE33" i="4"/>
  <c r="AB35" i="4"/>
  <c r="AE198" i="4"/>
  <c r="AB209" i="4"/>
  <c r="AE546" i="4"/>
  <c r="V380" i="4"/>
  <c r="W380" i="4" s="1"/>
  <c r="O38" i="2"/>
  <c r="O214" i="2"/>
  <c r="O483" i="2"/>
  <c r="AB26" i="4"/>
  <c r="AE31" i="4"/>
  <c r="AB33" i="4"/>
  <c r="V44" i="4"/>
  <c r="W44" i="4" s="1"/>
  <c r="O40" i="2"/>
  <c r="O68" i="2"/>
  <c r="O143" i="2"/>
  <c r="O194" i="2"/>
  <c r="O311" i="2"/>
  <c r="O330" i="2"/>
  <c r="O463" i="2"/>
  <c r="AB21" i="4"/>
  <c r="O20" i="2"/>
  <c r="O73" i="2"/>
  <c r="O148" i="2"/>
  <c r="O168" i="2"/>
  <c r="O218" i="2"/>
  <c r="O242" i="2"/>
  <c r="O264" i="2"/>
  <c r="O314" i="2"/>
  <c r="O334" i="2"/>
  <c r="O404" i="2"/>
  <c r="O487" i="2"/>
  <c r="AE12" i="4"/>
  <c r="AE21" i="4"/>
  <c r="AB81" i="4"/>
  <c r="V114" i="4"/>
  <c r="W114" i="4" s="1"/>
  <c r="AB117" i="4"/>
  <c r="V175" i="4"/>
  <c r="W175" i="4" s="1"/>
  <c r="AE200" i="4"/>
  <c r="V208" i="4"/>
  <c r="W208" i="4" s="1"/>
  <c r="AC208" i="4" s="1"/>
  <c r="AB261" i="4"/>
  <c r="AE334" i="4"/>
  <c r="AB336" i="4"/>
  <c r="AB422" i="4"/>
  <c r="AE427" i="4"/>
  <c r="AB429" i="4"/>
  <c r="AE481" i="4"/>
  <c r="AB543" i="4"/>
  <c r="O37" i="2"/>
  <c r="O111" i="2"/>
  <c r="AB7" i="4"/>
  <c r="O46" i="2"/>
  <c r="O96" i="2"/>
  <c r="O117" i="2"/>
  <c r="O200" i="2"/>
  <c r="O336" i="2"/>
  <c r="O427" i="2"/>
  <c r="AE28" i="4"/>
  <c r="AE67" i="4"/>
  <c r="V93" i="4"/>
  <c r="W93" i="4" s="1"/>
  <c r="AE94" i="4"/>
  <c r="AB193" i="4"/>
  <c r="AB206" i="4"/>
  <c r="V347" i="4"/>
  <c r="W347" i="4" s="1"/>
  <c r="AB350" i="4"/>
  <c r="AB358" i="4"/>
  <c r="AE409" i="4"/>
  <c r="AB476" i="4"/>
  <c r="V483" i="4"/>
  <c r="W483" i="4" s="1"/>
  <c r="AE544" i="4"/>
  <c r="AE209" i="4"/>
  <c r="AB254" i="4"/>
  <c r="AB285" i="4"/>
  <c r="AE313" i="4"/>
  <c r="AB345" i="4"/>
  <c r="AB461" i="4"/>
  <c r="O152" i="2"/>
  <c r="O202" i="2"/>
  <c r="O99" i="2"/>
  <c r="O365" i="2"/>
  <c r="O490" i="2"/>
  <c r="V443" i="4"/>
  <c r="W443" i="4" s="1"/>
  <c r="AC443" i="4" s="1"/>
  <c r="O434" i="2"/>
  <c r="O53" i="2"/>
  <c r="O174" i="2"/>
  <c r="O10" i="2"/>
  <c r="O78" i="2"/>
  <c r="O100" i="2"/>
  <c r="O411" i="2"/>
  <c r="V314" i="4"/>
  <c r="W314" i="4" s="1"/>
  <c r="AB457" i="4"/>
  <c r="AE487" i="4"/>
  <c r="AB132" i="4"/>
  <c r="O288" i="2"/>
  <c r="AB286" i="4"/>
  <c r="O532" i="2"/>
  <c r="AE37" i="4"/>
  <c r="AB37" i="4"/>
  <c r="AB386" i="4"/>
  <c r="O388" i="2"/>
  <c r="AE440" i="4"/>
  <c r="AB440" i="4"/>
  <c r="O442" i="2"/>
  <c r="AE466" i="4"/>
  <c r="O468" i="2"/>
  <c r="AB466" i="4"/>
  <c r="AE470" i="4"/>
  <c r="AB470" i="4"/>
  <c r="AB58" i="4"/>
  <c r="AE58" i="4"/>
  <c r="V70" i="4"/>
  <c r="W70" i="4" s="1"/>
  <c r="V69" i="4"/>
  <c r="W69" i="4" s="1"/>
  <c r="AB70" i="4"/>
  <c r="O72" i="2"/>
  <c r="AE70" i="4"/>
  <c r="AE102" i="4"/>
  <c r="O104" i="2"/>
  <c r="AE104" i="4"/>
  <c r="O106" i="2"/>
  <c r="AE194" i="4"/>
  <c r="AB194" i="4"/>
  <c r="O196" i="2"/>
  <c r="AB259" i="4"/>
  <c r="V432" i="4"/>
  <c r="W432" i="4" s="1"/>
  <c r="AC432" i="4" s="1"/>
  <c r="V420" i="4"/>
  <c r="W420" i="4" s="1"/>
  <c r="V472" i="4"/>
  <c r="W472" i="4" s="1"/>
  <c r="AB134" i="4"/>
  <c r="O136" i="2"/>
  <c r="V180" i="4"/>
  <c r="W180" i="4" s="1"/>
  <c r="V194" i="4"/>
  <c r="W194" i="4" s="1"/>
  <c r="AE339" i="4"/>
  <c r="O341" i="2"/>
  <c r="O142" i="2"/>
  <c r="O472" i="2"/>
  <c r="AE128" i="4"/>
  <c r="AB128" i="4"/>
  <c r="AB137" i="4"/>
  <c r="O139" i="2"/>
  <c r="AE137" i="4"/>
  <c r="O243" i="2"/>
  <c r="AE241" i="4"/>
  <c r="AE306" i="4"/>
  <c r="AB306" i="4"/>
  <c r="O60" i="2"/>
  <c r="O351" i="2"/>
  <c r="V15" i="4"/>
  <c r="W15" i="4" s="1"/>
  <c r="O7" i="2"/>
  <c r="AE108" i="4"/>
  <c r="O110" i="2"/>
  <c r="AE119" i="4"/>
  <c r="O121" i="2"/>
  <c r="AB251" i="4"/>
  <c r="AE251" i="4"/>
  <c r="AE272" i="4"/>
  <c r="O274" i="2"/>
  <c r="AE421" i="4"/>
  <c r="AB421" i="4"/>
  <c r="O81" i="2"/>
  <c r="O313" i="2"/>
  <c r="AB82" i="4"/>
  <c r="O84" i="2"/>
  <c r="AE82" i="4"/>
  <c r="AE524" i="4"/>
  <c r="O526" i="2"/>
  <c r="AB524" i="4"/>
  <c r="O433" i="2"/>
  <c r="AE123" i="4"/>
  <c r="O125" i="2"/>
  <c r="AB169" i="4"/>
  <c r="AE169" i="4"/>
  <c r="AB187" i="4"/>
  <c r="AB214" i="4"/>
  <c r="AE226" i="4"/>
  <c r="O228" i="2"/>
  <c r="AB287" i="4"/>
  <c r="O289" i="2"/>
  <c r="AB339" i="4"/>
  <c r="AE385" i="4"/>
  <c r="AB385" i="4"/>
  <c r="O205" i="2"/>
  <c r="AB20" i="4"/>
  <c r="AE20" i="4"/>
  <c r="AB22" i="4"/>
  <c r="AE45" i="4"/>
  <c r="O47" i="2"/>
  <c r="V67" i="4"/>
  <c r="W67" i="4" s="1"/>
  <c r="AC67" i="4" s="1"/>
  <c r="V64" i="4"/>
  <c r="W64" i="4" s="1"/>
  <c r="AC64" i="4" s="1"/>
  <c r="AE89" i="4"/>
  <c r="AB89" i="4"/>
  <c r="O91" i="2"/>
  <c r="AB158" i="4"/>
  <c r="AE158" i="4"/>
  <c r="AB217" i="4"/>
  <c r="AE281" i="4"/>
  <c r="AB281" i="4"/>
  <c r="AE338" i="4"/>
  <c r="O340" i="2"/>
  <c r="AB338" i="4"/>
  <c r="AB373" i="4"/>
  <c r="O375" i="2"/>
  <c r="AE373" i="4"/>
  <c r="AE185" i="4"/>
  <c r="O187" i="2"/>
  <c r="O123" i="2"/>
  <c r="AE121" i="4"/>
  <c r="O189" i="2"/>
  <c r="O316" i="2"/>
  <c r="V473" i="4"/>
  <c r="W473" i="4" s="1"/>
  <c r="AB149" i="4"/>
  <c r="O151" i="2"/>
  <c r="AB222" i="4"/>
  <c r="O224" i="2"/>
  <c r="AE222" i="4"/>
  <c r="AB227" i="4"/>
  <c r="O229" i="2"/>
  <c r="AE227" i="4"/>
  <c r="AB311" i="4"/>
  <c r="AE311" i="4"/>
  <c r="AE34" i="4"/>
  <c r="AB34" i="4"/>
  <c r="AB29" i="4"/>
  <c r="AE29" i="4"/>
  <c r="O31" i="2"/>
  <c r="AE43" i="4"/>
  <c r="O45" i="2"/>
  <c r="AE279" i="4"/>
  <c r="O281" i="2"/>
  <c r="AB300" i="4"/>
  <c r="AB305" i="4"/>
  <c r="AE46" i="4"/>
  <c r="O21" i="2"/>
  <c r="AB19" i="4"/>
  <c r="AE24" i="4"/>
  <c r="AE168" i="4"/>
  <c r="AB168" i="4"/>
  <c r="AE173" i="4"/>
  <c r="AE197" i="4"/>
  <c r="O199" i="2"/>
  <c r="AE202" i="4"/>
  <c r="AB202" i="4"/>
  <c r="AB228" i="4"/>
  <c r="AE228" i="4"/>
  <c r="O230" i="2"/>
  <c r="O237" i="2"/>
  <c r="AE235" i="4"/>
  <c r="AB235" i="4"/>
  <c r="AB260" i="4"/>
  <c r="AE260" i="4"/>
  <c r="AB272" i="4"/>
  <c r="AE367" i="4"/>
  <c r="AB367" i="4"/>
  <c r="V434" i="4"/>
  <c r="W434" i="4" s="1"/>
  <c r="V506" i="4"/>
  <c r="W506" i="4" s="1"/>
  <c r="V503" i="4"/>
  <c r="W503" i="4" s="1"/>
  <c r="AE6" i="4"/>
  <c r="AB6" i="4"/>
  <c r="V58" i="4"/>
  <c r="W58" i="4" s="1"/>
  <c r="V189" i="4"/>
  <c r="W189" i="4" s="1"/>
  <c r="AE526" i="4"/>
  <c r="O528" i="2"/>
  <c r="AB526" i="4"/>
  <c r="O130" i="2"/>
  <c r="AE165" i="4"/>
  <c r="O167" i="2"/>
  <c r="V203" i="4"/>
  <c r="W203" i="4" s="1"/>
  <c r="O197" i="2"/>
  <c r="AE229" i="4"/>
  <c r="AB43" i="4"/>
  <c r="AB67" i="4"/>
  <c r="V118" i="4"/>
  <c r="W118" i="4" s="1"/>
  <c r="V112" i="4"/>
  <c r="W112" i="4" s="1"/>
  <c r="AE118" i="4"/>
  <c r="O120" i="2"/>
  <c r="AB130" i="4"/>
  <c r="AE147" i="4"/>
  <c r="O149" i="2"/>
  <c r="AB226" i="4"/>
  <c r="AE263" i="4"/>
  <c r="O265" i="2"/>
  <c r="AB263" i="4"/>
  <c r="AB267" i="4"/>
  <c r="AE319" i="4"/>
  <c r="O321" i="2"/>
  <c r="AB319" i="4"/>
  <c r="O503" i="2"/>
  <c r="AE501" i="4"/>
  <c r="AB501" i="4"/>
  <c r="AB252" i="4"/>
  <c r="AE252" i="4"/>
  <c r="AE297" i="4"/>
  <c r="AB297" i="4"/>
  <c r="AE314" i="4"/>
  <c r="AB314" i="4"/>
  <c r="AE472" i="4"/>
  <c r="AB472" i="4"/>
  <c r="AE144" i="4"/>
  <c r="AB144" i="4"/>
  <c r="AB176" i="4"/>
  <c r="O178" i="2"/>
  <c r="AB353" i="4"/>
  <c r="AB364" i="4"/>
  <c r="AE364" i="4"/>
  <c r="AB413" i="4"/>
  <c r="AE413" i="4"/>
  <c r="O415" i="2"/>
  <c r="O413" i="2"/>
  <c r="V25" i="4"/>
  <c r="W25" i="4" s="1"/>
  <c r="AE22" i="4"/>
  <c r="AB106" i="4"/>
  <c r="AE106" i="4"/>
  <c r="O108" i="2"/>
  <c r="V144" i="4"/>
  <c r="W144" i="4" s="1"/>
  <c r="AB151" i="4"/>
  <c r="AE151" i="4"/>
  <c r="O153" i="2"/>
  <c r="AE293" i="4"/>
  <c r="AB293" i="4"/>
  <c r="AE90" i="4"/>
  <c r="O92" i="2"/>
  <c r="V311" i="4"/>
  <c r="W311" i="4" s="1"/>
  <c r="AE407" i="4"/>
  <c r="AB407" i="4"/>
  <c r="O180" i="2"/>
  <c r="AE296" i="4"/>
  <c r="AB296" i="4"/>
  <c r="O39" i="2"/>
  <c r="O219" i="2"/>
  <c r="O474" i="2"/>
  <c r="AE60" i="4"/>
  <c r="AB60" i="4"/>
  <c r="O97" i="2"/>
  <c r="AE95" i="4"/>
  <c r="AB95" i="4"/>
  <c r="AB104" i="4"/>
  <c r="V205" i="4"/>
  <c r="W205" i="4" s="1"/>
  <c r="AE343" i="4"/>
  <c r="AB343" i="4"/>
  <c r="AB46" i="4"/>
  <c r="AB79" i="4"/>
  <c r="AE92" i="4"/>
  <c r="AB92" i="4"/>
  <c r="AB119" i="4"/>
  <c r="AB210" i="4"/>
  <c r="AE210" i="4"/>
  <c r="V212" i="4"/>
  <c r="W212" i="4" s="1"/>
  <c r="AB241" i="4"/>
  <c r="AB271" i="4"/>
  <c r="O273" i="2"/>
  <c r="AE271" i="4"/>
  <c r="AE283" i="4"/>
  <c r="AB283" i="4"/>
  <c r="O26" i="2"/>
  <c r="O423" i="2"/>
  <c r="AE73" i="4"/>
  <c r="AB73" i="4"/>
  <c r="AB121" i="4"/>
  <c r="AE129" i="4"/>
  <c r="AB129" i="4"/>
  <c r="O87" i="2"/>
  <c r="O132" i="2"/>
  <c r="O171" i="2"/>
  <c r="O285" i="2"/>
  <c r="AB31" i="4"/>
  <c r="AE36" i="4"/>
  <c r="O172" i="2"/>
  <c r="O192" i="2"/>
  <c r="O302" i="2"/>
  <c r="O345" i="2"/>
  <c r="AE42" i="4"/>
  <c r="AB42" i="4"/>
  <c r="AE61" i="4"/>
  <c r="O63" i="2"/>
  <c r="V111" i="4"/>
  <c r="W111" i="4" s="1"/>
  <c r="AB113" i="4"/>
  <c r="AE113" i="4"/>
  <c r="AE125" i="4"/>
  <c r="AE199" i="4"/>
  <c r="O201" i="2"/>
  <c r="AB199" i="4"/>
  <c r="AE307" i="4"/>
  <c r="O309" i="2"/>
  <c r="AE321" i="4"/>
  <c r="O323" i="2"/>
  <c r="AB534" i="4"/>
  <c r="AE534" i="4"/>
  <c r="O536" i="2"/>
  <c r="O61" i="2"/>
  <c r="O89" i="2"/>
  <c r="O134" i="2"/>
  <c r="AE136" i="4"/>
  <c r="O138" i="2"/>
  <c r="AB179" i="4"/>
  <c r="O181" i="2"/>
  <c r="AE250" i="4"/>
  <c r="O252" i="2"/>
  <c r="V316" i="4"/>
  <c r="W316" i="4" s="1"/>
  <c r="AE346" i="4"/>
  <c r="AB346" i="4"/>
  <c r="AB404" i="4"/>
  <c r="AE404" i="4"/>
  <c r="V439" i="4"/>
  <c r="W439" i="4" s="1"/>
  <c r="V423" i="4"/>
  <c r="W423" i="4" s="1"/>
  <c r="AE463" i="4"/>
  <c r="AB463" i="4"/>
  <c r="AE509" i="4"/>
  <c r="AB509" i="4"/>
  <c r="V220" i="4"/>
  <c r="W220" i="4" s="1"/>
  <c r="AB301" i="4"/>
  <c r="AE301" i="4"/>
  <c r="V313" i="4"/>
  <c r="W313" i="4" s="1"/>
  <c r="AB340" i="4"/>
  <c r="AE340" i="4"/>
  <c r="AB418" i="4"/>
  <c r="AE418" i="4"/>
  <c r="O480" i="2"/>
  <c r="AE478" i="4"/>
  <c r="AE242" i="4"/>
  <c r="AB242" i="4"/>
  <c r="AB326" i="4"/>
  <c r="AE326" i="4"/>
  <c r="AB331" i="4"/>
  <c r="AE342" i="4"/>
  <c r="AB342" i="4"/>
  <c r="AE420" i="4"/>
  <c r="AB420" i="4"/>
  <c r="AB41" i="4"/>
  <c r="O43" i="2"/>
  <c r="O169" i="2"/>
  <c r="O342" i="2"/>
  <c r="AE188" i="4"/>
  <c r="AB188" i="4"/>
  <c r="AB321" i="4"/>
  <c r="V326" i="4"/>
  <c r="W326" i="4" s="1"/>
  <c r="AB360" i="4"/>
  <c r="AE374" i="4"/>
  <c r="AB374" i="4"/>
  <c r="AB375" i="4"/>
  <c r="AE384" i="4"/>
  <c r="AB384" i="4"/>
  <c r="O386" i="2"/>
  <c r="AE480" i="4"/>
  <c r="AB480" i="4"/>
  <c r="AB483" i="4"/>
  <c r="V211" i="4"/>
  <c r="W211" i="4" s="1"/>
  <c r="V275" i="4"/>
  <c r="W275" i="4" s="1"/>
  <c r="V332" i="4"/>
  <c r="W332" i="4" s="1"/>
  <c r="AC332" i="4" s="1"/>
  <c r="V95" i="4"/>
  <c r="W95" i="4" s="1"/>
  <c r="AC95" i="4" s="1"/>
  <c r="V437" i="4"/>
  <c r="W437" i="4" s="1"/>
  <c r="V484" i="4"/>
  <c r="W484" i="4" s="1"/>
  <c r="V368" i="4"/>
  <c r="W368" i="4" s="1"/>
  <c r="V539" i="4"/>
  <c r="W539" i="4" s="1"/>
  <c r="AC539" i="4" s="1"/>
  <c r="V512" i="4"/>
  <c r="W512" i="4" s="1"/>
  <c r="AC512" i="4" s="1"/>
  <c r="O537" i="2"/>
  <c r="V540" i="4"/>
  <c r="W540" i="4" s="1"/>
  <c r="V543" i="4"/>
  <c r="W543" i="4" s="1"/>
  <c r="O523" i="2"/>
  <c r="V504" i="4"/>
  <c r="W504" i="4" s="1"/>
  <c r="AB528" i="4"/>
  <c r="O539" i="2"/>
  <c r="AB523" i="4"/>
  <c r="AB530" i="4"/>
  <c r="AB499" i="4"/>
  <c r="AB507" i="4"/>
  <c r="V509" i="4"/>
  <c r="W509" i="4" s="1"/>
  <c r="AB510" i="4"/>
  <c r="AE528" i="4"/>
  <c r="V534" i="4"/>
  <c r="W534" i="4" s="1"/>
  <c r="AE538" i="4"/>
  <c r="O525" i="2"/>
  <c r="V487" i="4"/>
  <c r="W487" i="4" s="1"/>
  <c r="AB488" i="4"/>
  <c r="AB537" i="4"/>
  <c r="AE510" i="4"/>
  <c r="V542" i="4"/>
  <c r="W542" i="4" s="1"/>
  <c r="AB521" i="4"/>
  <c r="AB538" i="4"/>
  <c r="O501" i="2"/>
  <c r="AE504" i="4"/>
  <c r="AE532" i="4"/>
  <c r="V485" i="4"/>
  <c r="W485" i="4" s="1"/>
  <c r="O506" i="2"/>
  <c r="V486" i="4"/>
  <c r="W486" i="4" s="1"/>
  <c r="O471" i="2"/>
  <c r="AB469" i="4"/>
  <c r="AB471" i="4"/>
  <c r="AB452" i="4"/>
  <c r="AE451" i="4"/>
  <c r="V440" i="4"/>
  <c r="W440" i="4" s="1"/>
  <c r="AC440" i="4" s="1"/>
  <c r="O412" i="2"/>
  <c r="AB406" i="4"/>
  <c r="V366" i="4"/>
  <c r="W366" i="4" s="1"/>
  <c r="V367" i="4"/>
  <c r="W367" i="4" s="1"/>
  <c r="AB362" i="4"/>
  <c r="AE362" i="4"/>
  <c r="O362" i="2"/>
  <c r="O363" i="2"/>
  <c r="AB357" i="4"/>
  <c r="V335" i="4"/>
  <c r="W335" i="4" s="1"/>
  <c r="O337" i="2"/>
  <c r="AB332" i="4"/>
  <c r="AE331" i="4"/>
  <c r="AB329" i="4"/>
  <c r="O304" i="2"/>
  <c r="O305" i="2"/>
  <c r="AB302" i="4"/>
  <c r="AB298" i="4"/>
  <c r="O298" i="2"/>
  <c r="V274" i="4"/>
  <c r="W274" i="4" s="1"/>
  <c r="V276" i="4"/>
  <c r="W276" i="4" s="1"/>
  <c r="AB276" i="4"/>
  <c r="O278" i="2"/>
  <c r="AB257" i="4"/>
  <c r="AE258" i="4"/>
  <c r="O260" i="2"/>
  <c r="AB247" i="4"/>
  <c r="AE246" i="4"/>
  <c r="AE247" i="4"/>
  <c r="O248" i="2"/>
  <c r="AE216" i="4"/>
  <c r="V218" i="4"/>
  <c r="W218" i="4" s="1"/>
  <c r="O186" i="2"/>
  <c r="O184" i="2"/>
  <c r="AB177" i="4"/>
  <c r="AE179" i="4"/>
  <c r="O179" i="2"/>
  <c r="O155" i="2"/>
  <c r="AE152" i="4"/>
  <c r="O154" i="2"/>
  <c r="AB153" i="4"/>
  <c r="G17" i="5"/>
  <c r="V151" i="4"/>
  <c r="W151" i="4" s="1"/>
  <c r="O122" i="2"/>
  <c r="O124" i="2"/>
  <c r="AE122" i="4"/>
  <c r="G20" i="5"/>
  <c r="G25" i="5"/>
  <c r="AB102" i="4"/>
  <c r="V109" i="4"/>
  <c r="W109" i="4" s="1"/>
  <c r="L6" i="5"/>
  <c r="AE86" i="4"/>
  <c r="L15" i="5"/>
  <c r="L74" i="6"/>
  <c r="N29" i="6"/>
  <c r="K21" i="3"/>
  <c r="L167" i="6"/>
  <c r="K247" i="6"/>
  <c r="R247" i="6" s="1"/>
  <c r="J239" i="3"/>
  <c r="F239" i="3"/>
  <c r="P247" i="6" s="1"/>
  <c r="E239" i="3"/>
  <c r="O247" i="6" s="1"/>
  <c r="G239" i="3"/>
  <c r="D239" i="3"/>
  <c r="N247" i="6" s="1"/>
  <c r="C239" i="3"/>
  <c r="M247" i="6" s="1"/>
  <c r="B239" i="3"/>
  <c r="N239" i="3"/>
  <c r="K239" i="3"/>
  <c r="Q247" i="6" s="1"/>
  <c r="L239" i="3"/>
  <c r="I239" i="3"/>
  <c r="H239" i="3"/>
  <c r="K94" i="6"/>
  <c r="I86" i="3"/>
  <c r="H86" i="3"/>
  <c r="D86" i="3"/>
  <c r="N94" i="6" s="1"/>
  <c r="C86" i="3"/>
  <c r="M94" i="6" s="1"/>
  <c r="E86" i="3"/>
  <c r="O94" i="6" s="1"/>
  <c r="B86" i="3"/>
  <c r="G94" i="6" s="1"/>
  <c r="L40" i="6"/>
  <c r="O57" i="6"/>
  <c r="L49" i="3"/>
  <c r="F49" i="3"/>
  <c r="P57" i="6" s="1"/>
  <c r="O114" i="6"/>
  <c r="L143" i="6"/>
  <c r="C145" i="3"/>
  <c r="M153" i="6" s="1"/>
  <c r="O173" i="6"/>
  <c r="L165" i="3"/>
  <c r="G165" i="3"/>
  <c r="K235" i="6"/>
  <c r="R235" i="6" s="1"/>
  <c r="J227" i="3"/>
  <c r="E227" i="3"/>
  <c r="O235" i="6" s="1"/>
  <c r="G227" i="3"/>
  <c r="F227" i="3"/>
  <c r="P235" i="6" s="1"/>
  <c r="D227" i="3"/>
  <c r="N235" i="6" s="1"/>
  <c r="C227" i="3"/>
  <c r="M235" i="6" s="1"/>
  <c r="N227" i="3"/>
  <c r="L227" i="3"/>
  <c r="K227" i="3"/>
  <c r="Q235" i="6" s="1"/>
  <c r="I227" i="3"/>
  <c r="H227" i="3"/>
  <c r="K476" i="6"/>
  <c r="R476" i="6" s="1"/>
  <c r="E468" i="3"/>
  <c r="O476" i="6" s="1"/>
  <c r="H468" i="3"/>
  <c r="N468" i="3"/>
  <c r="L468" i="3"/>
  <c r="F468" i="3"/>
  <c r="P476" i="6" s="1"/>
  <c r="K468" i="3"/>
  <c r="Q476" i="6" s="1"/>
  <c r="J468" i="3"/>
  <c r="I468" i="3"/>
  <c r="G468" i="3"/>
  <c r="D468" i="3"/>
  <c r="N476" i="6" s="1"/>
  <c r="C468" i="3"/>
  <c r="M476" i="6" s="1"/>
  <c r="B468" i="3"/>
  <c r="L28" i="6"/>
  <c r="O107" i="6"/>
  <c r="K127" i="6"/>
  <c r="E119" i="3"/>
  <c r="D119" i="3"/>
  <c r="N127" i="6" s="1"/>
  <c r="I119" i="3"/>
  <c r="H119" i="3"/>
  <c r="C119" i="3"/>
  <c r="M127" i="6" s="1"/>
  <c r="B119" i="3"/>
  <c r="G127" i="6" s="1"/>
  <c r="B227" i="3"/>
  <c r="K63" i="6"/>
  <c r="B55" i="3"/>
  <c r="I55" i="3"/>
  <c r="E55" i="3"/>
  <c r="O63" i="6" s="1"/>
  <c r="D55" i="3"/>
  <c r="N63" i="6" s="1"/>
  <c r="C55" i="3"/>
  <c r="M63" i="6" s="1"/>
  <c r="G78" i="3"/>
  <c r="K106" i="3"/>
  <c r="O17" i="6"/>
  <c r="G9" i="3"/>
  <c r="L9" i="3"/>
  <c r="K99" i="6"/>
  <c r="B91" i="3"/>
  <c r="E91" i="3"/>
  <c r="O99" i="6" s="1"/>
  <c r="D91" i="3"/>
  <c r="N99" i="6" s="1"/>
  <c r="I91" i="3"/>
  <c r="H91" i="3"/>
  <c r="C91" i="3"/>
  <c r="M99" i="6" s="1"/>
  <c r="G211" i="6"/>
  <c r="H210" i="6"/>
  <c r="I209" i="6"/>
  <c r="H198" i="6"/>
  <c r="I197" i="6"/>
  <c r="G187" i="6"/>
  <c r="I185" i="6"/>
  <c r="G175" i="6"/>
  <c r="I173" i="6"/>
  <c r="H150" i="6"/>
  <c r="I220" i="6"/>
  <c r="G210" i="6"/>
  <c r="H209" i="6"/>
  <c r="I208" i="6"/>
  <c r="H197" i="6"/>
  <c r="H185" i="6"/>
  <c r="I184" i="6"/>
  <c r="H173" i="6"/>
  <c r="I148" i="6"/>
  <c r="H220" i="6"/>
  <c r="I219" i="6"/>
  <c r="G209" i="6"/>
  <c r="H208" i="6"/>
  <c r="I207" i="6"/>
  <c r="G197" i="6"/>
  <c r="I195" i="6"/>
  <c r="G185" i="6"/>
  <c r="G161" i="6"/>
  <c r="H160" i="6"/>
  <c r="G149" i="6"/>
  <c r="G137" i="6"/>
  <c r="H216" i="6"/>
  <c r="I217" i="6"/>
  <c r="G216" i="6"/>
  <c r="I210" i="6"/>
  <c r="H217" i="6"/>
  <c r="I211" i="6"/>
  <c r="I218" i="6"/>
  <c r="G217" i="6"/>
  <c r="I212" i="6"/>
  <c r="H211" i="6"/>
  <c r="I206" i="6"/>
  <c r="I200" i="6"/>
  <c r="H219" i="6"/>
  <c r="H213" i="6"/>
  <c r="H207" i="6"/>
  <c r="H201" i="6"/>
  <c r="G218" i="6"/>
  <c r="H194" i="6"/>
  <c r="H188" i="6"/>
  <c r="H182" i="6"/>
  <c r="H170" i="6"/>
  <c r="H164" i="6"/>
  <c r="H152" i="6"/>
  <c r="H146" i="6"/>
  <c r="H122" i="6"/>
  <c r="H98" i="6"/>
  <c r="G220" i="6"/>
  <c r="I216" i="6"/>
  <c r="I214" i="6"/>
  <c r="G207" i="6"/>
  <c r="I189" i="6"/>
  <c r="G188" i="6"/>
  <c r="G176" i="6"/>
  <c r="G170" i="6"/>
  <c r="I165" i="6"/>
  <c r="G164" i="6"/>
  <c r="G152" i="6"/>
  <c r="G146" i="6"/>
  <c r="G110" i="6"/>
  <c r="I108" i="6"/>
  <c r="G98" i="6"/>
  <c r="H97" i="6"/>
  <c r="I96" i="6"/>
  <c r="G74" i="6"/>
  <c r="H73" i="6"/>
  <c r="I72" i="6"/>
  <c r="H214" i="6"/>
  <c r="H212" i="6"/>
  <c r="H189" i="6"/>
  <c r="H165" i="6"/>
  <c r="I131" i="6"/>
  <c r="H120" i="6"/>
  <c r="H108" i="6"/>
  <c r="I95" i="6"/>
  <c r="I83" i="6"/>
  <c r="I71" i="6"/>
  <c r="H60" i="6"/>
  <c r="I59" i="6"/>
  <c r="G49" i="6"/>
  <c r="H215" i="6"/>
  <c r="I141" i="6"/>
  <c r="G140" i="6"/>
  <c r="I134" i="6"/>
  <c r="G128" i="6"/>
  <c r="I122" i="6"/>
  <c r="I110" i="6"/>
  <c r="I98" i="6"/>
  <c r="I86" i="6"/>
  <c r="G68" i="6"/>
  <c r="I29" i="6"/>
  <c r="G219" i="6"/>
  <c r="G215" i="6"/>
  <c r="G172" i="6"/>
  <c r="I155" i="6"/>
  <c r="I152" i="6"/>
  <c r="I75" i="6"/>
  <c r="H69" i="6"/>
  <c r="G212" i="6"/>
  <c r="G208" i="6"/>
  <c r="H203" i="6"/>
  <c r="I176" i="6"/>
  <c r="G143" i="6"/>
  <c r="G136" i="6"/>
  <c r="I126" i="6"/>
  <c r="G112" i="6"/>
  <c r="G88" i="6"/>
  <c r="H71" i="6"/>
  <c r="I45" i="6"/>
  <c r="H167" i="6"/>
  <c r="I162" i="6"/>
  <c r="I158" i="6"/>
  <c r="I140" i="6"/>
  <c r="H126" i="6"/>
  <c r="G119" i="6"/>
  <c r="I116" i="6"/>
  <c r="H45" i="6"/>
  <c r="H29" i="6"/>
  <c r="I213" i="6"/>
  <c r="G167" i="6"/>
  <c r="H140" i="6"/>
  <c r="H116" i="6"/>
  <c r="I89" i="6"/>
  <c r="G29" i="6"/>
  <c r="I15" i="6"/>
  <c r="K13" i="6"/>
  <c r="G213" i="6"/>
  <c r="G202" i="6"/>
  <c r="H144" i="6"/>
  <c r="I137" i="6"/>
  <c r="G130" i="6"/>
  <c r="H89" i="6"/>
  <c r="H46" i="6"/>
  <c r="H33" i="6"/>
  <c r="I14" i="6"/>
  <c r="G200" i="6"/>
  <c r="I191" i="6"/>
  <c r="I138" i="6"/>
  <c r="H218" i="6"/>
  <c r="I188" i="6"/>
  <c r="I166" i="6"/>
  <c r="H128" i="6"/>
  <c r="I114" i="6"/>
  <c r="I112" i="6"/>
  <c r="I215" i="6"/>
  <c r="I80" i="6"/>
  <c r="G76" i="6"/>
  <c r="G20" i="6"/>
  <c r="G190" i="6"/>
  <c r="H80" i="6"/>
  <c r="H70" i="6"/>
  <c r="I21" i="6"/>
  <c r="I125" i="6"/>
  <c r="H49" i="6"/>
  <c r="H180" i="6"/>
  <c r="I143" i="6"/>
  <c r="H87" i="6"/>
  <c r="H206" i="6"/>
  <c r="I179" i="6"/>
  <c r="H143" i="6"/>
  <c r="J143" i="6" s="1"/>
  <c r="H53" i="6"/>
  <c r="G46" i="6"/>
  <c r="G206" i="6"/>
  <c r="H200" i="6"/>
  <c r="I150" i="6"/>
  <c r="I124" i="6"/>
  <c r="G53" i="6"/>
  <c r="H137" i="6"/>
  <c r="H91" i="6"/>
  <c r="I62" i="6"/>
  <c r="I22" i="6"/>
  <c r="G203" i="6"/>
  <c r="I182" i="6"/>
  <c r="I164" i="6"/>
  <c r="G55" i="6"/>
  <c r="H47" i="6"/>
  <c r="G40" i="6"/>
  <c r="H22" i="6"/>
  <c r="G214" i="6"/>
  <c r="G113" i="6"/>
  <c r="G89" i="6"/>
  <c r="I77" i="6"/>
  <c r="H54" i="6"/>
  <c r="H175" i="6"/>
  <c r="G131" i="6"/>
  <c r="I49" i="6"/>
  <c r="G26" i="6"/>
  <c r="I18" i="6"/>
  <c r="H77" i="6"/>
  <c r="H34" i="6"/>
  <c r="H155" i="6"/>
  <c r="G148" i="6"/>
  <c r="G83" i="6"/>
  <c r="G179" i="6"/>
  <c r="I61" i="6"/>
  <c r="H79" i="6"/>
  <c r="C5" i="3"/>
  <c r="M13" i="6" s="1"/>
  <c r="I5" i="3"/>
  <c r="H5" i="3"/>
  <c r="E5" i="3"/>
  <c r="D5" i="3"/>
  <c r="K92" i="6"/>
  <c r="E84" i="3"/>
  <c r="O92" i="6" s="1"/>
  <c r="I84" i="3"/>
  <c r="D84" i="3"/>
  <c r="C84" i="3"/>
  <c r="M92" i="6" s="1"/>
  <c r="H84" i="3"/>
  <c r="K145" i="6"/>
  <c r="E137" i="3"/>
  <c r="O145" i="6" s="1"/>
  <c r="I137" i="3"/>
  <c r="D137" i="3"/>
  <c r="N145" i="6" s="1"/>
  <c r="C137" i="3"/>
  <c r="M145" i="6" s="1"/>
  <c r="H137" i="3"/>
  <c r="B137" i="3"/>
  <c r="G145" i="6" s="1"/>
  <c r="Q185" i="6"/>
  <c r="B5" i="3"/>
  <c r="O28" i="6"/>
  <c r="L20" i="3"/>
  <c r="G20" i="3"/>
  <c r="K31" i="6"/>
  <c r="I23" i="3"/>
  <c r="H23" i="3"/>
  <c r="K82" i="6"/>
  <c r="H74" i="3"/>
  <c r="C74" i="3"/>
  <c r="M82" i="6" s="1"/>
  <c r="E74" i="3"/>
  <c r="D74" i="3"/>
  <c r="N82" i="6" s="1"/>
  <c r="B74" i="3"/>
  <c r="G82" i="6" s="1"/>
  <c r="B84" i="3"/>
  <c r="K129" i="6"/>
  <c r="B121" i="3"/>
  <c r="I121" i="3"/>
  <c r="E121" i="3"/>
  <c r="O129" i="6" s="1"/>
  <c r="H121" i="3"/>
  <c r="K163" i="6"/>
  <c r="E155" i="3"/>
  <c r="O163" i="6" s="1"/>
  <c r="D155" i="3"/>
  <c r="N163" i="6" s="1"/>
  <c r="K155" i="3"/>
  <c r="Q163" i="6" s="1"/>
  <c r="I155" i="3"/>
  <c r="C155" i="3"/>
  <c r="M163" i="6" s="1"/>
  <c r="H155" i="3"/>
  <c r="B155" i="3"/>
  <c r="L20" i="6"/>
  <c r="O118" i="6"/>
  <c r="L110" i="3"/>
  <c r="F110" i="3"/>
  <c r="P118" i="6" s="1"/>
  <c r="K54" i="6"/>
  <c r="B46" i="3"/>
  <c r="I46" i="3"/>
  <c r="H46" i="3"/>
  <c r="E46" i="3"/>
  <c r="O54" i="6" s="1"/>
  <c r="D46" i="3"/>
  <c r="N54" i="6" s="1"/>
  <c r="O132" i="6"/>
  <c r="L124" i="3"/>
  <c r="G124" i="3"/>
  <c r="F124" i="3"/>
  <c r="P132" i="6" s="1"/>
  <c r="L187" i="6"/>
  <c r="O68" i="6"/>
  <c r="K153" i="6"/>
  <c r="B145" i="3"/>
  <c r="G153" i="6" s="1"/>
  <c r="I145" i="3"/>
  <c r="E145" i="3"/>
  <c r="O153" i="6" s="1"/>
  <c r="H145" i="3"/>
  <c r="D145" i="3"/>
  <c r="N173" i="6"/>
  <c r="K165" i="3"/>
  <c r="K40" i="6"/>
  <c r="I32" i="3"/>
  <c r="E32" i="3"/>
  <c r="O40" i="6" s="1"/>
  <c r="D32" i="3"/>
  <c r="N40" i="6" s="1"/>
  <c r="C32" i="3"/>
  <c r="M40" i="6" s="1"/>
  <c r="H32" i="3"/>
  <c r="K20" i="3"/>
  <c r="K33" i="6"/>
  <c r="B25" i="3"/>
  <c r="G33" i="6" s="1"/>
  <c r="I25" i="3"/>
  <c r="E25" i="3"/>
  <c r="H25" i="3"/>
  <c r="D25" i="3"/>
  <c r="N33" i="6" s="1"/>
  <c r="K74" i="6"/>
  <c r="E66" i="3"/>
  <c r="C66" i="3"/>
  <c r="D66" i="3"/>
  <c r="N74" i="6" s="1"/>
  <c r="I66" i="3"/>
  <c r="F20" i="3"/>
  <c r="P28" i="6" s="1"/>
  <c r="B23" i="3"/>
  <c r="G31" i="6" s="1"/>
  <c r="K72" i="6"/>
  <c r="B64" i="3"/>
  <c r="K64" i="3"/>
  <c r="Q72" i="6" s="1"/>
  <c r="E64" i="3"/>
  <c r="O72" i="6" s="1"/>
  <c r="I64" i="3"/>
  <c r="H66" i="3"/>
  <c r="F77" i="3"/>
  <c r="P85" i="6" s="1"/>
  <c r="L89" i="6"/>
  <c r="G84" i="3"/>
  <c r="G101" i="3"/>
  <c r="K111" i="6"/>
  <c r="B103" i="3"/>
  <c r="G111" i="6" s="1"/>
  <c r="C103" i="3"/>
  <c r="M111" i="6" s="1"/>
  <c r="H103" i="3"/>
  <c r="I103" i="3"/>
  <c r="C121" i="3"/>
  <c r="N148" i="6"/>
  <c r="O25" i="6"/>
  <c r="L17" i="3"/>
  <c r="C23" i="3"/>
  <c r="M31" i="6" s="1"/>
  <c r="K38" i="6"/>
  <c r="E30" i="3"/>
  <c r="H30" i="3"/>
  <c r="J30" i="3" s="1"/>
  <c r="D30" i="3"/>
  <c r="N38" i="6" s="1"/>
  <c r="C30" i="3"/>
  <c r="M38" i="6" s="1"/>
  <c r="K51" i="6"/>
  <c r="B43" i="3"/>
  <c r="D43" i="3"/>
  <c r="N51" i="6" s="1"/>
  <c r="H43" i="3"/>
  <c r="I43" i="3"/>
  <c r="E43" i="3"/>
  <c r="C43" i="3"/>
  <c r="L51" i="3"/>
  <c r="C64" i="3"/>
  <c r="M72" i="6" s="1"/>
  <c r="I74" i="3"/>
  <c r="D103" i="3"/>
  <c r="N111" i="6" s="1"/>
  <c r="K124" i="6"/>
  <c r="E116" i="3"/>
  <c r="K116" i="3"/>
  <c r="C116" i="3"/>
  <c r="B116" i="3"/>
  <c r="I116" i="3"/>
  <c r="H116" i="3"/>
  <c r="D121" i="3"/>
  <c r="N129" i="6" s="1"/>
  <c r="O161" i="6"/>
  <c r="G153" i="3"/>
  <c r="L153" i="3"/>
  <c r="K219" i="6"/>
  <c r="R219" i="6" s="1"/>
  <c r="N211" i="3"/>
  <c r="B211" i="3"/>
  <c r="I211" i="3"/>
  <c r="J211" i="3"/>
  <c r="H211" i="3"/>
  <c r="G211" i="3"/>
  <c r="F211" i="3"/>
  <c r="P219" i="6" s="1"/>
  <c r="C211" i="3"/>
  <c r="M219" i="6" s="1"/>
  <c r="M211" i="3"/>
  <c r="L211" i="3"/>
  <c r="E211" i="3"/>
  <c r="O219" i="6" s="1"/>
  <c r="D211" i="3"/>
  <c r="N219" i="6" s="1"/>
  <c r="K16" i="6"/>
  <c r="D8" i="3"/>
  <c r="K8" i="3"/>
  <c r="I8" i="3"/>
  <c r="H8" i="3"/>
  <c r="E8" i="3"/>
  <c r="O16" i="6" s="1"/>
  <c r="C8" i="3"/>
  <c r="M16" i="6" s="1"/>
  <c r="B8" i="3"/>
  <c r="G16" i="6" s="1"/>
  <c r="D23" i="3"/>
  <c r="L49" i="6"/>
  <c r="K56" i="6"/>
  <c r="E48" i="3"/>
  <c r="I48" i="3"/>
  <c r="H48" i="3"/>
  <c r="C48" i="3"/>
  <c r="B48" i="3"/>
  <c r="G56" i="6" s="1"/>
  <c r="D48" i="3"/>
  <c r="N56" i="6" s="1"/>
  <c r="O69" i="6"/>
  <c r="L61" i="3"/>
  <c r="E103" i="3"/>
  <c r="K205" i="6"/>
  <c r="E197" i="3"/>
  <c r="F197" i="3" s="1"/>
  <c r="P205" i="6" s="1"/>
  <c r="I197" i="3"/>
  <c r="H197" i="3"/>
  <c r="B197" i="3"/>
  <c r="D197" i="3"/>
  <c r="N205" i="6" s="1"/>
  <c r="K268" i="6"/>
  <c r="R268" i="6" s="1"/>
  <c r="E260" i="3"/>
  <c r="O268" i="6" s="1"/>
  <c r="D260" i="3"/>
  <c r="N268" i="6" s="1"/>
  <c r="L260" i="3"/>
  <c r="N260" i="3"/>
  <c r="K260" i="3"/>
  <c r="H260" i="3"/>
  <c r="G260" i="3"/>
  <c r="F260" i="3"/>
  <c r="P268" i="6" s="1"/>
  <c r="J260" i="3"/>
  <c r="I260" i="3"/>
  <c r="C260" i="3"/>
  <c r="M268" i="6" s="1"/>
  <c r="B260" i="3"/>
  <c r="Q376" i="6"/>
  <c r="O368" i="3"/>
  <c r="P368" i="3" s="1"/>
  <c r="M368" i="3"/>
  <c r="N14" i="6"/>
  <c r="K6" i="3"/>
  <c r="E23" i="3"/>
  <c r="L23" i="3" s="1"/>
  <c r="L37" i="6"/>
  <c r="F61" i="3"/>
  <c r="P69" i="6" s="1"/>
  <c r="H64" i="3"/>
  <c r="O89" i="6"/>
  <c r="L81" i="3"/>
  <c r="M81" i="3" s="1"/>
  <c r="N81" i="3" s="1"/>
  <c r="G81" i="3"/>
  <c r="L101" i="3"/>
  <c r="O115" i="6"/>
  <c r="N141" i="6"/>
  <c r="K133" i="3"/>
  <c r="C197" i="3"/>
  <c r="M205" i="6" s="1"/>
  <c r="L152" i="6"/>
  <c r="N165" i="6"/>
  <c r="K157" i="3"/>
  <c r="L197" i="6"/>
  <c r="M221" i="3"/>
  <c r="Q245" i="6"/>
  <c r="O237" i="3"/>
  <c r="P237" i="3" s="1"/>
  <c r="K58" i="6"/>
  <c r="E50" i="3"/>
  <c r="O58" i="6" s="1"/>
  <c r="I50" i="3"/>
  <c r="H50" i="3"/>
  <c r="C50" i="3"/>
  <c r="B50" i="3"/>
  <c r="K101" i="6"/>
  <c r="E93" i="3"/>
  <c r="D93" i="3"/>
  <c r="C93" i="3"/>
  <c r="B93" i="3"/>
  <c r="N131" i="6"/>
  <c r="K123" i="3"/>
  <c r="K147" i="6"/>
  <c r="B139" i="3"/>
  <c r="I139" i="3"/>
  <c r="C139" i="3"/>
  <c r="H139" i="3"/>
  <c r="E139" i="3"/>
  <c r="O147" i="6" s="1"/>
  <c r="N150" i="6"/>
  <c r="K142" i="3"/>
  <c r="N142" i="3" s="1"/>
  <c r="O165" i="6"/>
  <c r="G157" i="3"/>
  <c r="F157" i="3"/>
  <c r="P165" i="6" s="1"/>
  <c r="K174" i="6"/>
  <c r="B166" i="3"/>
  <c r="I166" i="3"/>
  <c r="E166" i="3"/>
  <c r="K177" i="6"/>
  <c r="B169" i="3"/>
  <c r="G177" i="6" s="1"/>
  <c r="I169" i="3"/>
  <c r="E169" i="3"/>
  <c r="O177" i="6" s="1"/>
  <c r="D169" i="3"/>
  <c r="C169" i="3"/>
  <c r="M177" i="6" s="1"/>
  <c r="H169" i="3"/>
  <c r="N200" i="6"/>
  <c r="K192" i="3"/>
  <c r="K30" i="6"/>
  <c r="B22" i="3"/>
  <c r="C22" i="3"/>
  <c r="O113" i="6"/>
  <c r="L105" i="3"/>
  <c r="O49" i="6"/>
  <c r="L41" i="3"/>
  <c r="F41" i="3"/>
  <c r="P49" i="6" s="1"/>
  <c r="D50" i="3"/>
  <c r="N58" i="6" s="1"/>
  <c r="K81" i="6"/>
  <c r="B73" i="3"/>
  <c r="E73" i="3"/>
  <c r="O81" i="6" s="1"/>
  <c r="D73" i="3"/>
  <c r="C73" i="3"/>
  <c r="H93" i="3"/>
  <c r="K103" i="6"/>
  <c r="E95" i="3"/>
  <c r="F95" i="3" s="1"/>
  <c r="D95" i="3"/>
  <c r="C95" i="3"/>
  <c r="B95" i="3"/>
  <c r="L110" i="6"/>
  <c r="D139" i="3"/>
  <c r="N147" i="6" s="1"/>
  <c r="O150" i="6"/>
  <c r="G142" i="3"/>
  <c r="K154" i="6"/>
  <c r="E146" i="3"/>
  <c r="O154" i="6" s="1"/>
  <c r="H146" i="3"/>
  <c r="C146" i="3"/>
  <c r="M154" i="6" s="1"/>
  <c r="I146" i="3"/>
  <c r="D146" i="3"/>
  <c r="B146" i="3"/>
  <c r="C166" i="3"/>
  <c r="M174" i="6" s="1"/>
  <c r="O200" i="6"/>
  <c r="L192" i="3"/>
  <c r="K282" i="6"/>
  <c r="R282" i="6" s="1"/>
  <c r="I274" i="3"/>
  <c r="K274" i="3"/>
  <c r="Q282" i="6" s="1"/>
  <c r="F274" i="3"/>
  <c r="P282" i="6" s="1"/>
  <c r="E274" i="3"/>
  <c r="O282" i="6" s="1"/>
  <c r="N274" i="3"/>
  <c r="L274" i="3"/>
  <c r="G274" i="3"/>
  <c r="D274" i="3"/>
  <c r="N282" i="6" s="1"/>
  <c r="C274" i="3"/>
  <c r="M282" i="6" s="1"/>
  <c r="H274" i="3"/>
  <c r="B274" i="3"/>
  <c r="J274" i="3"/>
  <c r="AB9" i="4"/>
  <c r="D22" i="3"/>
  <c r="N30" i="6" s="1"/>
  <c r="O46" i="6"/>
  <c r="G38" i="3"/>
  <c r="K64" i="6"/>
  <c r="H56" i="3"/>
  <c r="J56" i="3" s="1"/>
  <c r="E56" i="3"/>
  <c r="G56" i="3" s="1"/>
  <c r="D56" i="3"/>
  <c r="C56" i="3"/>
  <c r="M64" i="6" s="1"/>
  <c r="B56" i="3"/>
  <c r="G64" i="6" s="1"/>
  <c r="N71" i="6"/>
  <c r="K63" i="3"/>
  <c r="K73" i="6"/>
  <c r="H65" i="3"/>
  <c r="E65" i="3"/>
  <c r="F65" i="3" s="1"/>
  <c r="P73" i="6" s="1"/>
  <c r="D65" i="3"/>
  <c r="N73" i="6" s="1"/>
  <c r="H73" i="3"/>
  <c r="I93" i="3"/>
  <c r="G105" i="3"/>
  <c r="L149" i="6"/>
  <c r="L157" i="3"/>
  <c r="D166" i="3"/>
  <c r="K183" i="6"/>
  <c r="B175" i="3"/>
  <c r="G183" i="6" s="1"/>
  <c r="I175" i="3"/>
  <c r="H175" i="3"/>
  <c r="C175" i="3"/>
  <c r="M183" i="6" s="1"/>
  <c r="E175" i="3"/>
  <c r="D175" i="3"/>
  <c r="G192" i="3"/>
  <c r="O363" i="3"/>
  <c r="P363" i="3" s="1"/>
  <c r="Q413" i="6"/>
  <c r="M405" i="3"/>
  <c r="E22" i="3"/>
  <c r="K32" i="6"/>
  <c r="I24" i="3"/>
  <c r="E24" i="3"/>
  <c r="K48" i="6"/>
  <c r="B40" i="3"/>
  <c r="G48" i="6" s="1"/>
  <c r="C40" i="3"/>
  <c r="M48" i="6" s="1"/>
  <c r="I40" i="3"/>
  <c r="H40" i="3"/>
  <c r="K41" i="3"/>
  <c r="Q49" i="6" s="1"/>
  <c r="L50" i="3"/>
  <c r="O71" i="6"/>
  <c r="L63" i="3"/>
  <c r="G63" i="3"/>
  <c r="I73" i="3"/>
  <c r="H95" i="3"/>
  <c r="O117" i="6"/>
  <c r="L109" i="3"/>
  <c r="L130" i="6"/>
  <c r="L136" i="6"/>
  <c r="K139" i="6"/>
  <c r="E131" i="3"/>
  <c r="G131" i="3" s="1"/>
  <c r="I131" i="3"/>
  <c r="D131" i="3"/>
  <c r="N139" i="6" s="1"/>
  <c r="H131" i="3"/>
  <c r="H166" i="3"/>
  <c r="K178" i="6"/>
  <c r="E170" i="3"/>
  <c r="D170" i="3"/>
  <c r="N178" i="6" s="1"/>
  <c r="C170" i="3"/>
  <c r="M178" i="6" s="1"/>
  <c r="B170" i="3"/>
  <c r="I170" i="3"/>
  <c r="H170" i="3"/>
  <c r="K180" i="6"/>
  <c r="B172" i="3"/>
  <c r="I172" i="3"/>
  <c r="H172" i="3"/>
  <c r="E172" i="3"/>
  <c r="O180" i="6" s="1"/>
  <c r="D172" i="3"/>
  <c r="I180" i="6" s="1"/>
  <c r="K213" i="6"/>
  <c r="R213" i="6" s="1"/>
  <c r="N205" i="3"/>
  <c r="B205" i="3"/>
  <c r="I205" i="3"/>
  <c r="G205" i="3"/>
  <c r="F205" i="3"/>
  <c r="P213" i="6" s="1"/>
  <c r="E205" i="3"/>
  <c r="O213" i="6" s="1"/>
  <c r="D205" i="3"/>
  <c r="N213" i="6" s="1"/>
  <c r="L205" i="3"/>
  <c r="K205" i="3"/>
  <c r="Q213" i="6" s="1"/>
  <c r="J205" i="3"/>
  <c r="H205" i="3"/>
  <c r="C205" i="3"/>
  <c r="M213" i="6" s="1"/>
  <c r="K255" i="6"/>
  <c r="R255" i="6" s="1"/>
  <c r="I247" i="3"/>
  <c r="G247" i="3"/>
  <c r="C247" i="3"/>
  <c r="M255" i="6" s="1"/>
  <c r="B247" i="3"/>
  <c r="L247" i="3"/>
  <c r="K247" i="3"/>
  <c r="Q255" i="6" s="1"/>
  <c r="J247" i="3"/>
  <c r="H247" i="3"/>
  <c r="D247" i="3"/>
  <c r="N255" i="6" s="1"/>
  <c r="N247" i="3"/>
  <c r="E247" i="3"/>
  <c r="O255" i="6" s="1"/>
  <c r="F247" i="3"/>
  <c r="P255" i="6" s="1"/>
  <c r="B24" i="3"/>
  <c r="G32" i="6" s="1"/>
  <c r="O36" i="6"/>
  <c r="F28" i="3"/>
  <c r="P36" i="6" s="1"/>
  <c r="F37" i="3"/>
  <c r="P45" i="6" s="1"/>
  <c r="D40" i="3"/>
  <c r="I48" i="6" s="1"/>
  <c r="K50" i="6"/>
  <c r="E42" i="3"/>
  <c r="H42" i="3"/>
  <c r="J42" i="3" s="1"/>
  <c r="K55" i="6"/>
  <c r="H47" i="3"/>
  <c r="I47" i="3"/>
  <c r="D47" i="3"/>
  <c r="N55" i="6" s="1"/>
  <c r="C47" i="3"/>
  <c r="M55" i="6" s="1"/>
  <c r="K69" i="3"/>
  <c r="K93" i="6"/>
  <c r="B85" i="3"/>
  <c r="C85" i="3"/>
  <c r="M93" i="6" s="1"/>
  <c r="I85" i="3"/>
  <c r="H85" i="3"/>
  <c r="E85" i="3"/>
  <c r="G85" i="3" s="1"/>
  <c r="D85" i="3"/>
  <c r="N93" i="6" s="1"/>
  <c r="K95" i="6"/>
  <c r="H87" i="3"/>
  <c r="K87" i="3"/>
  <c r="I87" i="3"/>
  <c r="C87" i="3"/>
  <c r="B87" i="3"/>
  <c r="G95" i="6" s="1"/>
  <c r="I95" i="3"/>
  <c r="O128" i="6"/>
  <c r="L120" i="3"/>
  <c r="K132" i="3"/>
  <c r="M132" i="3" s="1"/>
  <c r="N166" i="6"/>
  <c r="K158" i="3"/>
  <c r="Q166" i="6" s="1"/>
  <c r="K190" i="6"/>
  <c r="E182" i="3"/>
  <c r="O190" i="6" s="1"/>
  <c r="I182" i="3"/>
  <c r="H182" i="3"/>
  <c r="C182" i="3"/>
  <c r="M190" i="6" s="1"/>
  <c r="D182" i="3"/>
  <c r="K182" i="3" s="1"/>
  <c r="K214" i="6"/>
  <c r="R214" i="6" s="1"/>
  <c r="J206" i="3"/>
  <c r="E206" i="3"/>
  <c r="O214" i="6" s="1"/>
  <c r="F206" i="3"/>
  <c r="P214" i="6" s="1"/>
  <c r="D206" i="3"/>
  <c r="N214" i="6" s="1"/>
  <c r="C206" i="3"/>
  <c r="M214" i="6" s="1"/>
  <c r="B206" i="3"/>
  <c r="L206" i="3"/>
  <c r="K206" i="3"/>
  <c r="Q214" i="6" s="1"/>
  <c r="I206" i="3"/>
  <c r="H206" i="3"/>
  <c r="M215" i="3"/>
  <c r="K228" i="6"/>
  <c r="R228" i="6" s="1"/>
  <c r="N220" i="3"/>
  <c r="B220" i="3"/>
  <c r="I220" i="3"/>
  <c r="F220" i="3"/>
  <c r="P228" i="6" s="1"/>
  <c r="E220" i="3"/>
  <c r="O228" i="6" s="1"/>
  <c r="D220" i="3"/>
  <c r="N228" i="6" s="1"/>
  <c r="C220" i="3"/>
  <c r="M228" i="6" s="1"/>
  <c r="L220" i="3"/>
  <c r="K220" i="3"/>
  <c r="Q228" i="6" s="1"/>
  <c r="J220" i="3"/>
  <c r="H220" i="3"/>
  <c r="G220" i="3"/>
  <c r="L463" i="6"/>
  <c r="K15" i="6"/>
  <c r="B7" i="3"/>
  <c r="K7" i="3"/>
  <c r="Q15" i="6" s="1"/>
  <c r="I7" i="3"/>
  <c r="E7" i="3"/>
  <c r="L29" i="6"/>
  <c r="H22" i="3"/>
  <c r="C24" i="3"/>
  <c r="M32" i="6" s="1"/>
  <c r="K39" i="6"/>
  <c r="B31" i="3"/>
  <c r="G39" i="6" s="1"/>
  <c r="C31" i="3"/>
  <c r="M39" i="6" s="1"/>
  <c r="E31" i="3"/>
  <c r="D31" i="3"/>
  <c r="N39" i="6" s="1"/>
  <c r="K41" i="6"/>
  <c r="H33" i="3"/>
  <c r="E33" i="3"/>
  <c r="G33" i="3" s="1"/>
  <c r="D33" i="3"/>
  <c r="C33" i="3"/>
  <c r="B33" i="3"/>
  <c r="E40" i="3"/>
  <c r="O48" i="6" s="1"/>
  <c r="K52" i="6"/>
  <c r="D44" i="3"/>
  <c r="B44" i="3"/>
  <c r="L78" i="3"/>
  <c r="L80" i="3"/>
  <c r="K90" i="6"/>
  <c r="B82" i="3"/>
  <c r="G90" i="6" s="1"/>
  <c r="C82" i="3"/>
  <c r="M90" i="6" s="1"/>
  <c r="K100" i="6"/>
  <c r="H92" i="3"/>
  <c r="E92" i="3"/>
  <c r="D92" i="3"/>
  <c r="C92" i="3"/>
  <c r="M100" i="6" s="1"/>
  <c r="N112" i="6"/>
  <c r="N116" i="6"/>
  <c r="K108" i="3"/>
  <c r="L148" i="6"/>
  <c r="K156" i="6"/>
  <c r="B148" i="3"/>
  <c r="I148" i="3"/>
  <c r="D148" i="3"/>
  <c r="I156" i="6" s="1"/>
  <c r="H148" i="3"/>
  <c r="E148" i="3"/>
  <c r="F148" i="3" s="1"/>
  <c r="P156" i="6" s="1"/>
  <c r="N162" i="6"/>
  <c r="K154" i="3"/>
  <c r="N164" i="6"/>
  <c r="K156" i="3"/>
  <c r="L190" i="6"/>
  <c r="L310" i="6"/>
  <c r="C7" i="3"/>
  <c r="M15" i="6" s="1"/>
  <c r="K20" i="6"/>
  <c r="E12" i="3"/>
  <c r="C12" i="3"/>
  <c r="I12" i="3"/>
  <c r="H12" i="3"/>
  <c r="D12" i="3"/>
  <c r="I20" i="6" s="1"/>
  <c r="I22" i="3"/>
  <c r="D24" i="3"/>
  <c r="K34" i="6"/>
  <c r="D26" i="3"/>
  <c r="I26" i="3"/>
  <c r="J26" i="3" s="1"/>
  <c r="E26" i="3"/>
  <c r="F26" i="3" s="1"/>
  <c r="O35" i="6"/>
  <c r="G27" i="3"/>
  <c r="H31" i="3"/>
  <c r="C42" i="3"/>
  <c r="C44" i="3"/>
  <c r="E47" i="3"/>
  <c r="G47" i="3" s="1"/>
  <c r="D82" i="3"/>
  <c r="N90" i="6" s="1"/>
  <c r="E87" i="3"/>
  <c r="F87" i="3" s="1"/>
  <c r="B92" i="3"/>
  <c r="L155" i="6"/>
  <c r="C148" i="3"/>
  <c r="M156" i="6" s="1"/>
  <c r="G154" i="3"/>
  <c r="K196" i="6"/>
  <c r="E188" i="3"/>
  <c r="O196" i="6" s="1"/>
  <c r="I188" i="3"/>
  <c r="D188" i="3"/>
  <c r="C188" i="3"/>
  <c r="B188" i="3"/>
  <c r="K243" i="6"/>
  <c r="R243" i="6" s="1"/>
  <c r="N235" i="3"/>
  <c r="B235" i="3"/>
  <c r="J235" i="3"/>
  <c r="I235" i="3"/>
  <c r="K235" i="3"/>
  <c r="H235" i="3"/>
  <c r="G235" i="3"/>
  <c r="F235" i="3"/>
  <c r="P243" i="6" s="1"/>
  <c r="C235" i="3"/>
  <c r="M243" i="6" s="1"/>
  <c r="E235" i="3"/>
  <c r="O243" i="6" s="1"/>
  <c r="K57" i="6"/>
  <c r="B49" i="3"/>
  <c r="C49" i="3"/>
  <c r="G49" i="3"/>
  <c r="K59" i="6"/>
  <c r="F51" i="3"/>
  <c r="P59" i="6" s="1"/>
  <c r="C51" i="3"/>
  <c r="M59" i="6" s="1"/>
  <c r="L76" i="6"/>
  <c r="K77" i="6"/>
  <c r="K96" i="6"/>
  <c r="B88" i="3"/>
  <c r="K97" i="6"/>
  <c r="D89" i="3"/>
  <c r="K89" i="3" s="1"/>
  <c r="E89" i="3"/>
  <c r="K138" i="6"/>
  <c r="B130" i="3"/>
  <c r="I130" i="3"/>
  <c r="J130" i="3" s="1"/>
  <c r="K130" i="3"/>
  <c r="Q138" i="6" s="1"/>
  <c r="E130" i="3"/>
  <c r="K168" i="6"/>
  <c r="B160" i="3"/>
  <c r="G168" i="6" s="1"/>
  <c r="I160" i="3"/>
  <c r="H160" i="3"/>
  <c r="G160" i="3"/>
  <c r="D160" i="3"/>
  <c r="K160" i="3" s="1"/>
  <c r="K199" i="6"/>
  <c r="E191" i="3"/>
  <c r="F191" i="3" s="1"/>
  <c r="D191" i="3"/>
  <c r="N199" i="6" s="1"/>
  <c r="C191" i="3"/>
  <c r="M199" i="6" s="1"/>
  <c r="I191" i="3"/>
  <c r="K355" i="6"/>
  <c r="R355" i="6" s="1"/>
  <c r="E347" i="3"/>
  <c r="O355" i="6" s="1"/>
  <c r="K347" i="3"/>
  <c r="Q355" i="6" s="1"/>
  <c r="I347" i="3"/>
  <c r="H347" i="3"/>
  <c r="G347" i="3"/>
  <c r="F347" i="3"/>
  <c r="P355" i="6" s="1"/>
  <c r="J347" i="3"/>
  <c r="D347" i="3"/>
  <c r="N355" i="6" s="1"/>
  <c r="C347" i="3"/>
  <c r="M355" i="6" s="1"/>
  <c r="N347" i="3"/>
  <c r="L347" i="3"/>
  <c r="K18" i="6"/>
  <c r="B10" i="3"/>
  <c r="K10" i="3"/>
  <c r="K19" i="6"/>
  <c r="H11" i="3"/>
  <c r="E11" i="3"/>
  <c r="I20" i="3"/>
  <c r="K36" i="6"/>
  <c r="B28" i="3"/>
  <c r="K28" i="3"/>
  <c r="C28" i="3"/>
  <c r="I39" i="3"/>
  <c r="H41" i="3"/>
  <c r="D49" i="3"/>
  <c r="B51" i="3"/>
  <c r="G59" i="6" s="1"/>
  <c r="K61" i="6"/>
  <c r="D53" i="3"/>
  <c r="B69" i="3"/>
  <c r="G77" i="6" s="1"/>
  <c r="K78" i="6"/>
  <c r="B70" i="3"/>
  <c r="G70" i="3"/>
  <c r="K79" i="6"/>
  <c r="D71" i="3"/>
  <c r="I79" i="6" s="1"/>
  <c r="I71" i="3"/>
  <c r="C88" i="3"/>
  <c r="M96" i="6" s="1"/>
  <c r="B89" i="3"/>
  <c r="K126" i="6"/>
  <c r="B118" i="3"/>
  <c r="I118" i="3"/>
  <c r="F118" i="3"/>
  <c r="P126" i="6" s="1"/>
  <c r="C130" i="3"/>
  <c r="M138" i="6" s="1"/>
  <c r="K144" i="6"/>
  <c r="B136" i="3"/>
  <c r="I136" i="3"/>
  <c r="H136" i="3"/>
  <c r="G136" i="3"/>
  <c r="K160" i="6"/>
  <c r="E152" i="3"/>
  <c r="F152" i="3" s="1"/>
  <c r="P160" i="6" s="1"/>
  <c r="C160" i="3"/>
  <c r="M168" i="6" s="1"/>
  <c r="O182" i="6"/>
  <c r="G174" i="3"/>
  <c r="B191" i="3"/>
  <c r="L261" i="6"/>
  <c r="K310" i="6"/>
  <c r="R310" i="6" s="1"/>
  <c r="E302" i="3"/>
  <c r="O310" i="6" s="1"/>
  <c r="K302" i="3"/>
  <c r="Q310" i="6" s="1"/>
  <c r="G302" i="3"/>
  <c r="F302" i="3"/>
  <c r="P310" i="6" s="1"/>
  <c r="N302" i="3"/>
  <c r="I302" i="3"/>
  <c r="H302" i="3"/>
  <c r="D302" i="3"/>
  <c r="N310" i="6" s="1"/>
  <c r="L302" i="3"/>
  <c r="B347" i="3"/>
  <c r="L418" i="6"/>
  <c r="O410" i="3"/>
  <c r="P410" i="3" s="1"/>
  <c r="K23" i="6"/>
  <c r="F15" i="3"/>
  <c r="P23" i="6" s="1"/>
  <c r="K42" i="6"/>
  <c r="B34" i="3"/>
  <c r="G42" i="6" s="1"/>
  <c r="K43" i="6"/>
  <c r="J35" i="3"/>
  <c r="D35" i="3"/>
  <c r="I43" i="6" s="1"/>
  <c r="E35" i="3"/>
  <c r="H49" i="3"/>
  <c r="G51" i="3"/>
  <c r="K65" i="6"/>
  <c r="E57" i="3"/>
  <c r="G57" i="3" s="1"/>
  <c r="K67" i="6"/>
  <c r="C59" i="3"/>
  <c r="E69" i="3"/>
  <c r="K85" i="6"/>
  <c r="H88" i="3"/>
  <c r="K102" i="6"/>
  <c r="B94" i="3"/>
  <c r="C94" i="3"/>
  <c r="I94" i="3"/>
  <c r="J94" i="3" s="1"/>
  <c r="K104" i="6"/>
  <c r="E96" i="3"/>
  <c r="F96" i="3" s="1"/>
  <c r="P104" i="6" s="1"/>
  <c r="K123" i="6"/>
  <c r="B115" i="3"/>
  <c r="I115" i="3"/>
  <c r="D115" i="3"/>
  <c r="C115" i="3"/>
  <c r="M123" i="6" s="1"/>
  <c r="K133" i="6"/>
  <c r="E125" i="3"/>
  <c r="G125" i="3" s="1"/>
  <c r="I125" i="3"/>
  <c r="J125" i="3" s="1"/>
  <c r="K135" i="6"/>
  <c r="B127" i="3"/>
  <c r="I127" i="3"/>
  <c r="C127" i="3"/>
  <c r="M135" i="6" s="1"/>
  <c r="K142" i="6"/>
  <c r="E134" i="3"/>
  <c r="C134" i="3"/>
  <c r="M142" i="6" s="1"/>
  <c r="I134" i="3"/>
  <c r="H134" i="3"/>
  <c r="K151" i="6"/>
  <c r="E143" i="3"/>
  <c r="G143" i="3" s="1"/>
  <c r="I143" i="3"/>
  <c r="H143" i="3"/>
  <c r="K159" i="6"/>
  <c r="B151" i="3"/>
  <c r="G159" i="6" s="1"/>
  <c r="I151" i="3"/>
  <c r="K192" i="6"/>
  <c r="B184" i="3"/>
  <c r="I184" i="3"/>
  <c r="E184" i="3"/>
  <c r="O192" i="6" s="1"/>
  <c r="D184" i="3"/>
  <c r="C184" i="3"/>
  <c r="H184" i="3"/>
  <c r="K232" i="6"/>
  <c r="R232" i="6" s="1"/>
  <c r="J224" i="3"/>
  <c r="E224" i="3"/>
  <c r="O232" i="6" s="1"/>
  <c r="L224" i="3"/>
  <c r="K224" i="3"/>
  <c r="Q232" i="6" s="1"/>
  <c r="I224" i="3"/>
  <c r="F224" i="3"/>
  <c r="P232" i="6" s="1"/>
  <c r="N224" i="3"/>
  <c r="H224" i="3"/>
  <c r="G224" i="3"/>
  <c r="D224" i="3"/>
  <c r="N232" i="6" s="1"/>
  <c r="C224" i="3"/>
  <c r="M232" i="6" s="1"/>
  <c r="K241" i="6"/>
  <c r="R241" i="6" s="1"/>
  <c r="J233" i="3"/>
  <c r="F233" i="3"/>
  <c r="P241" i="6" s="1"/>
  <c r="E233" i="3"/>
  <c r="O241" i="6" s="1"/>
  <c r="N233" i="3"/>
  <c r="L233" i="3"/>
  <c r="K233" i="3"/>
  <c r="G233" i="3"/>
  <c r="I233" i="3"/>
  <c r="H233" i="3"/>
  <c r="D233" i="3"/>
  <c r="N241" i="6" s="1"/>
  <c r="C233" i="3"/>
  <c r="M241" i="6" s="1"/>
  <c r="K298" i="6"/>
  <c r="R298" i="6" s="1"/>
  <c r="E290" i="3"/>
  <c r="O298" i="6" s="1"/>
  <c r="K290" i="3"/>
  <c r="Q298" i="6" s="1"/>
  <c r="G290" i="3"/>
  <c r="F290" i="3"/>
  <c r="P298" i="6" s="1"/>
  <c r="N290" i="3"/>
  <c r="L290" i="3"/>
  <c r="J290" i="3"/>
  <c r="D290" i="3"/>
  <c r="N298" i="6" s="1"/>
  <c r="C290" i="3"/>
  <c r="M298" i="6" s="1"/>
  <c r="B290" i="3"/>
  <c r="K324" i="6"/>
  <c r="R324" i="6" s="1"/>
  <c r="I316" i="3"/>
  <c r="J316" i="3"/>
  <c r="B316" i="3"/>
  <c r="L316" i="3"/>
  <c r="K316" i="3"/>
  <c r="Q324" i="6" s="1"/>
  <c r="F316" i="3"/>
  <c r="P324" i="6" s="1"/>
  <c r="E316" i="3"/>
  <c r="O324" i="6" s="1"/>
  <c r="D316" i="3"/>
  <c r="N324" i="6" s="1"/>
  <c r="C316" i="3"/>
  <c r="M324" i="6" s="1"/>
  <c r="N316" i="3"/>
  <c r="H316" i="3"/>
  <c r="G316" i="3"/>
  <c r="Q493" i="6"/>
  <c r="M485" i="3"/>
  <c r="F11" i="3"/>
  <c r="P19" i="6" s="1"/>
  <c r="B15" i="3"/>
  <c r="K24" i="6"/>
  <c r="B16" i="3"/>
  <c r="K25" i="6"/>
  <c r="J17" i="3"/>
  <c r="D17" i="3"/>
  <c r="I17" i="3"/>
  <c r="G28" i="3"/>
  <c r="C34" i="3"/>
  <c r="M42" i="6" s="1"/>
  <c r="B35" i="3"/>
  <c r="I49" i="3"/>
  <c r="H51" i="3"/>
  <c r="B57" i="3"/>
  <c r="G65" i="6" s="1"/>
  <c r="K66" i="6"/>
  <c r="B58" i="3"/>
  <c r="C58" i="3"/>
  <c r="E58" i="3"/>
  <c r="L58" i="3" s="1"/>
  <c r="B59" i="3"/>
  <c r="G67" i="6" s="1"/>
  <c r="F70" i="3"/>
  <c r="P78" i="6" s="1"/>
  <c r="F71" i="3"/>
  <c r="P79" i="6" s="1"/>
  <c r="L83" i="6"/>
  <c r="K84" i="6"/>
  <c r="B76" i="3"/>
  <c r="C76" i="3"/>
  <c r="M84" i="6" s="1"/>
  <c r="B77" i="3"/>
  <c r="G85" i="6" s="1"/>
  <c r="K86" i="6"/>
  <c r="F78" i="3"/>
  <c r="P86" i="6" s="1"/>
  <c r="J78" i="3"/>
  <c r="K78" i="3"/>
  <c r="K83" i="3"/>
  <c r="I88" i="3"/>
  <c r="H89" i="3"/>
  <c r="D94" i="3"/>
  <c r="I102" i="6" s="1"/>
  <c r="B96" i="3"/>
  <c r="G104" i="6" s="1"/>
  <c r="K105" i="6"/>
  <c r="B97" i="3"/>
  <c r="G97" i="3"/>
  <c r="D97" i="3"/>
  <c r="I105" i="6" s="1"/>
  <c r="K106" i="6"/>
  <c r="D98" i="3"/>
  <c r="B98" i="3"/>
  <c r="G106" i="6" s="1"/>
  <c r="K118" i="6"/>
  <c r="H110" i="3"/>
  <c r="I110" i="3"/>
  <c r="G110" i="3"/>
  <c r="K121" i="6"/>
  <c r="E113" i="3"/>
  <c r="B113" i="3"/>
  <c r="G121" i="6" s="1"/>
  <c r="D113" i="3"/>
  <c r="I121" i="6" s="1"/>
  <c r="E115" i="3"/>
  <c r="O123" i="6" s="1"/>
  <c r="B125" i="3"/>
  <c r="D127" i="3"/>
  <c r="B134" i="3"/>
  <c r="F136" i="3"/>
  <c r="P144" i="6" s="1"/>
  <c r="B143" i="3"/>
  <c r="N152" i="6"/>
  <c r="K144" i="3"/>
  <c r="C151" i="3"/>
  <c r="M159" i="6" s="1"/>
  <c r="K166" i="6"/>
  <c r="E158" i="3"/>
  <c r="L158" i="3" s="1"/>
  <c r="H158" i="3"/>
  <c r="L160" i="3"/>
  <c r="O185" i="6"/>
  <c r="L177" i="3"/>
  <c r="G177" i="3"/>
  <c r="K194" i="3"/>
  <c r="K217" i="6"/>
  <c r="R217" i="6" s="1"/>
  <c r="J209" i="3"/>
  <c r="E209" i="3"/>
  <c r="O217" i="6" s="1"/>
  <c r="N209" i="3"/>
  <c r="L209" i="3"/>
  <c r="K209" i="3"/>
  <c r="Q217" i="6" s="1"/>
  <c r="G209" i="3"/>
  <c r="I209" i="3"/>
  <c r="H209" i="3"/>
  <c r="F209" i="3"/>
  <c r="P217" i="6" s="1"/>
  <c r="D209" i="3"/>
  <c r="N217" i="6" s="1"/>
  <c r="B224" i="3"/>
  <c r="B233" i="3"/>
  <c r="H290" i="3"/>
  <c r="L327" i="6"/>
  <c r="L6" i="3"/>
  <c r="C15" i="3"/>
  <c r="C16" i="3"/>
  <c r="B17" i="3"/>
  <c r="H28" i="3"/>
  <c r="J28" i="3" s="1"/>
  <c r="F29" i="3"/>
  <c r="P37" i="6" s="1"/>
  <c r="D34" i="3"/>
  <c r="I42" i="6" s="1"/>
  <c r="C35" i="3"/>
  <c r="M43" i="6" s="1"/>
  <c r="K45" i="6"/>
  <c r="B37" i="3"/>
  <c r="G45" i="6" s="1"/>
  <c r="K46" i="6"/>
  <c r="H38" i="3"/>
  <c r="I51" i="3"/>
  <c r="C57" i="3"/>
  <c r="M65" i="6" s="1"/>
  <c r="D58" i="3"/>
  <c r="D59" i="3"/>
  <c r="L68" i="6"/>
  <c r="K69" i="6"/>
  <c r="B61" i="3"/>
  <c r="G69" i="6" s="1"/>
  <c r="G61" i="3"/>
  <c r="K70" i="6"/>
  <c r="D62" i="3"/>
  <c r="L62" i="3"/>
  <c r="H69" i="3"/>
  <c r="H70" i="3"/>
  <c r="G71" i="3"/>
  <c r="O80" i="6"/>
  <c r="G72" i="3"/>
  <c r="D76" i="3"/>
  <c r="N84" i="6" s="1"/>
  <c r="C77" i="3"/>
  <c r="M85" i="6" s="1"/>
  <c r="B78" i="3"/>
  <c r="K87" i="6"/>
  <c r="B79" i="3"/>
  <c r="I79" i="3"/>
  <c r="J79" i="3" s="1"/>
  <c r="K88" i="6"/>
  <c r="J80" i="3"/>
  <c r="D80" i="3"/>
  <c r="I88" i="6" s="1"/>
  <c r="L83" i="3"/>
  <c r="I89" i="3"/>
  <c r="G90" i="3"/>
  <c r="E94" i="3"/>
  <c r="F94" i="3" s="1"/>
  <c r="P102" i="6" s="1"/>
  <c r="C96" i="3"/>
  <c r="C97" i="3"/>
  <c r="M105" i="6" s="1"/>
  <c r="C98" i="3"/>
  <c r="M106" i="6" s="1"/>
  <c r="K108" i="6"/>
  <c r="B100" i="3"/>
  <c r="K100" i="3"/>
  <c r="L100" i="3"/>
  <c r="K109" i="6"/>
  <c r="H101" i="3"/>
  <c r="K112" i="6"/>
  <c r="E104" i="3"/>
  <c r="F104" i="3" s="1"/>
  <c r="K113" i="6"/>
  <c r="F105" i="3"/>
  <c r="P113" i="6" s="1"/>
  <c r="D105" i="3"/>
  <c r="C105" i="3"/>
  <c r="M113" i="6" s="1"/>
  <c r="K117" i="6"/>
  <c r="B109" i="3"/>
  <c r="K109" i="3"/>
  <c r="I109" i="3"/>
  <c r="B110" i="3"/>
  <c r="C113" i="3"/>
  <c r="G117" i="3"/>
  <c r="H118" i="3"/>
  <c r="K132" i="6"/>
  <c r="B124" i="3"/>
  <c r="I124" i="3"/>
  <c r="H124" i="3"/>
  <c r="J124" i="3"/>
  <c r="C125" i="3"/>
  <c r="E127" i="3"/>
  <c r="D134" i="3"/>
  <c r="I142" i="6" s="1"/>
  <c r="O143" i="6"/>
  <c r="G135" i="3"/>
  <c r="L138" i="3"/>
  <c r="C143" i="3"/>
  <c r="M151" i="6" s="1"/>
  <c r="O152" i="6"/>
  <c r="K147" i="3"/>
  <c r="D151" i="3"/>
  <c r="H152" i="3"/>
  <c r="B158" i="3"/>
  <c r="G166" i="6" s="1"/>
  <c r="K180" i="3"/>
  <c r="N194" i="6"/>
  <c r="K186" i="3"/>
  <c r="O201" i="6"/>
  <c r="L193" i="3"/>
  <c r="K211" i="6"/>
  <c r="R211" i="6" s="1"/>
  <c r="J203" i="3"/>
  <c r="E203" i="3"/>
  <c r="O211" i="6" s="1"/>
  <c r="L203" i="3"/>
  <c r="K203" i="3"/>
  <c r="Q211" i="6" s="1"/>
  <c r="I203" i="3"/>
  <c r="H203" i="3"/>
  <c r="D203" i="3"/>
  <c r="N211" i="6" s="1"/>
  <c r="G203" i="3"/>
  <c r="F203" i="3"/>
  <c r="P211" i="6" s="1"/>
  <c r="C203" i="3"/>
  <c r="M211" i="6" s="1"/>
  <c r="B203" i="3"/>
  <c r="L217" i="6"/>
  <c r="K226" i="6"/>
  <c r="R226" i="6" s="1"/>
  <c r="J218" i="3"/>
  <c r="E218" i="3"/>
  <c r="O226" i="6" s="1"/>
  <c r="K218" i="3"/>
  <c r="Q226" i="6" s="1"/>
  <c r="I218" i="3"/>
  <c r="H218" i="3"/>
  <c r="G218" i="3"/>
  <c r="C218" i="3"/>
  <c r="M226" i="6" s="1"/>
  <c r="L218" i="3"/>
  <c r="F218" i="3"/>
  <c r="P226" i="6" s="1"/>
  <c r="D218" i="3"/>
  <c r="N226" i="6" s="1"/>
  <c r="B218" i="3"/>
  <c r="I290" i="3"/>
  <c r="K312" i="6"/>
  <c r="R312" i="6" s="1"/>
  <c r="I304" i="3"/>
  <c r="D304" i="3"/>
  <c r="N312" i="6" s="1"/>
  <c r="L304" i="3"/>
  <c r="N304" i="3"/>
  <c r="K304" i="3"/>
  <c r="Q312" i="6" s="1"/>
  <c r="J304" i="3"/>
  <c r="F304" i="3"/>
  <c r="P312" i="6" s="1"/>
  <c r="E304" i="3"/>
  <c r="O312" i="6" s="1"/>
  <c r="C304" i="3"/>
  <c r="M312" i="6" s="1"/>
  <c r="H304" i="3"/>
  <c r="G304" i="3"/>
  <c r="B304" i="3"/>
  <c r="D15" i="3"/>
  <c r="I23" i="6" s="1"/>
  <c r="K27" i="6"/>
  <c r="B19" i="3"/>
  <c r="G27" i="6" s="1"/>
  <c r="E19" i="3"/>
  <c r="K28" i="6"/>
  <c r="H20" i="3"/>
  <c r="C20" i="3"/>
  <c r="E34" i="3"/>
  <c r="F34" i="3" s="1"/>
  <c r="P42" i="6" s="1"/>
  <c r="K47" i="6"/>
  <c r="E39" i="3"/>
  <c r="K39" i="3"/>
  <c r="K49" i="6"/>
  <c r="G41" i="3"/>
  <c r="K51" i="3"/>
  <c r="D57" i="3"/>
  <c r="I65" i="6" s="1"/>
  <c r="E59" i="3"/>
  <c r="K67" i="3"/>
  <c r="I69" i="3"/>
  <c r="D77" i="3"/>
  <c r="N85" i="6" s="1"/>
  <c r="K88" i="3"/>
  <c r="D96" i="3"/>
  <c r="K110" i="6"/>
  <c r="E102" i="3"/>
  <c r="I102" i="3"/>
  <c r="C110" i="3"/>
  <c r="M118" i="6" s="1"/>
  <c r="K120" i="6"/>
  <c r="B112" i="3"/>
  <c r="I112" i="3"/>
  <c r="D112" i="3"/>
  <c r="I120" i="6" s="1"/>
  <c r="E112" i="3"/>
  <c r="K130" i="6"/>
  <c r="E122" i="3"/>
  <c r="L122" i="3" s="1"/>
  <c r="D125" i="3"/>
  <c r="N133" i="6" s="1"/>
  <c r="O134" i="6"/>
  <c r="G126" i="3"/>
  <c r="H127" i="3"/>
  <c r="K141" i="6"/>
  <c r="B133" i="3"/>
  <c r="I133" i="3"/>
  <c r="E133" i="3"/>
  <c r="G133" i="3" s="1"/>
  <c r="H133" i="3"/>
  <c r="L136" i="3"/>
  <c r="D143" i="3"/>
  <c r="I151" i="6" s="1"/>
  <c r="K157" i="6"/>
  <c r="E149" i="3"/>
  <c r="L149" i="3" s="1"/>
  <c r="B149" i="3"/>
  <c r="I149" i="3"/>
  <c r="E151" i="3"/>
  <c r="G151" i="3" s="1"/>
  <c r="I152" i="3"/>
  <c r="C158" i="3"/>
  <c r="M166" i="6" s="1"/>
  <c r="O194" i="6"/>
  <c r="L186" i="3"/>
  <c r="F193" i="3"/>
  <c r="P201" i="6" s="1"/>
  <c r="K204" i="6"/>
  <c r="B196" i="3"/>
  <c r="I196" i="3"/>
  <c r="H196" i="3"/>
  <c r="D196" i="3"/>
  <c r="E196" i="3"/>
  <c r="O204" i="6" s="1"/>
  <c r="C196" i="3"/>
  <c r="M204" i="6" s="1"/>
  <c r="N203" i="3"/>
  <c r="N218" i="3"/>
  <c r="K276" i="6"/>
  <c r="R276" i="6" s="1"/>
  <c r="I268" i="3"/>
  <c r="D268" i="3"/>
  <c r="N276" i="6" s="1"/>
  <c r="L268" i="3"/>
  <c r="F268" i="3"/>
  <c r="P276" i="6" s="1"/>
  <c r="E268" i="3"/>
  <c r="O276" i="6" s="1"/>
  <c r="C268" i="3"/>
  <c r="M276" i="6" s="1"/>
  <c r="B268" i="3"/>
  <c r="N268" i="3"/>
  <c r="K268" i="3"/>
  <c r="K412" i="6"/>
  <c r="R412" i="6" s="1"/>
  <c r="I404" i="3"/>
  <c r="G404" i="3"/>
  <c r="E404" i="3"/>
  <c r="O412" i="6" s="1"/>
  <c r="C404" i="3"/>
  <c r="M412" i="6" s="1"/>
  <c r="L404" i="3"/>
  <c r="J404" i="3"/>
  <c r="H404" i="3"/>
  <c r="F404" i="3"/>
  <c r="P412" i="6" s="1"/>
  <c r="D404" i="3"/>
  <c r="N412" i="6" s="1"/>
  <c r="N404" i="3"/>
  <c r="K404" i="3"/>
  <c r="Q412" i="6" s="1"/>
  <c r="M429" i="3"/>
  <c r="Q265" i="6"/>
  <c r="M257" i="3"/>
  <c r="G268" i="3"/>
  <c r="K327" i="6"/>
  <c r="R327" i="6" s="1"/>
  <c r="I319" i="3"/>
  <c r="H319" i="3"/>
  <c r="F319" i="3"/>
  <c r="P327" i="6" s="1"/>
  <c r="D319" i="3"/>
  <c r="N327" i="6" s="1"/>
  <c r="C319" i="3"/>
  <c r="M327" i="6" s="1"/>
  <c r="K319" i="3"/>
  <c r="Q327" i="6" s="1"/>
  <c r="J319" i="3"/>
  <c r="G319" i="3"/>
  <c r="E319" i="3"/>
  <c r="O327" i="6" s="1"/>
  <c r="L379" i="6"/>
  <c r="L412" i="6"/>
  <c r="Q440" i="6"/>
  <c r="M432" i="3"/>
  <c r="K463" i="6"/>
  <c r="R463" i="6" s="1"/>
  <c r="I455" i="3"/>
  <c r="K455" i="3"/>
  <c r="F455" i="3"/>
  <c r="P463" i="6" s="1"/>
  <c r="D455" i="3"/>
  <c r="N463" i="6" s="1"/>
  <c r="N455" i="3"/>
  <c r="L455" i="3"/>
  <c r="J455" i="3"/>
  <c r="H455" i="3"/>
  <c r="G455" i="3"/>
  <c r="E455" i="3"/>
  <c r="O463" i="6" s="1"/>
  <c r="C455" i="3"/>
  <c r="M463" i="6" s="1"/>
  <c r="K14" i="6"/>
  <c r="F6" i="3"/>
  <c r="P14" i="6" s="1"/>
  <c r="J6" i="3"/>
  <c r="K21" i="6"/>
  <c r="B13" i="3"/>
  <c r="G21" i="6" s="1"/>
  <c r="C13" i="3"/>
  <c r="K22" i="6"/>
  <c r="K29" i="6"/>
  <c r="E21" i="3"/>
  <c r="K37" i="6"/>
  <c r="H29" i="3"/>
  <c r="K60" i="6"/>
  <c r="B52" i="3"/>
  <c r="K68" i="6"/>
  <c r="K75" i="6"/>
  <c r="B67" i="3"/>
  <c r="C67" i="3"/>
  <c r="M75" i="6" s="1"/>
  <c r="K76" i="6"/>
  <c r="K83" i="6"/>
  <c r="E75" i="3"/>
  <c r="K91" i="6"/>
  <c r="H83" i="3"/>
  <c r="J83" i="3" s="1"/>
  <c r="K114" i="6"/>
  <c r="B106" i="3"/>
  <c r="G106" i="3"/>
  <c r="O137" i="6"/>
  <c r="L129" i="3"/>
  <c r="O140" i="6"/>
  <c r="G132" i="3"/>
  <c r="K169" i="6"/>
  <c r="E161" i="3"/>
  <c r="G161" i="3" s="1"/>
  <c r="H161" i="3"/>
  <c r="B161" i="3"/>
  <c r="G169" i="6" s="1"/>
  <c r="K181" i="6"/>
  <c r="E173" i="3"/>
  <c r="G173" i="3" s="1"/>
  <c r="K246" i="6"/>
  <c r="R246" i="6" s="1"/>
  <c r="N238" i="3"/>
  <c r="B238" i="3"/>
  <c r="J238" i="3"/>
  <c r="I238" i="3"/>
  <c r="F238" i="3"/>
  <c r="P246" i="6" s="1"/>
  <c r="E238" i="3"/>
  <c r="O246" i="6" s="1"/>
  <c r="D238" i="3"/>
  <c r="N246" i="6" s="1"/>
  <c r="C238" i="3"/>
  <c r="M246" i="6" s="1"/>
  <c r="L252" i="6"/>
  <c r="O244" i="3"/>
  <c r="P244" i="3" s="1"/>
  <c r="O261" i="3"/>
  <c r="P261" i="3" s="1"/>
  <c r="J268" i="3"/>
  <c r="L319" i="3"/>
  <c r="O424" i="3"/>
  <c r="P424" i="3" s="1"/>
  <c r="O433" i="3"/>
  <c r="P433" i="3" s="1"/>
  <c r="K464" i="6"/>
  <c r="R464" i="6" s="1"/>
  <c r="E456" i="3"/>
  <c r="O464" i="6" s="1"/>
  <c r="H456" i="3"/>
  <c r="D456" i="3"/>
  <c r="N464" i="6" s="1"/>
  <c r="B456" i="3"/>
  <c r="K456" i="3"/>
  <c r="Q464" i="6" s="1"/>
  <c r="N456" i="3"/>
  <c r="L456" i="3"/>
  <c r="J456" i="3"/>
  <c r="I456" i="3"/>
  <c r="G456" i="3"/>
  <c r="F456" i="3"/>
  <c r="P464" i="6" s="1"/>
  <c r="K115" i="6"/>
  <c r="D107" i="3"/>
  <c r="I115" i="6" s="1"/>
  <c r="K175" i="6"/>
  <c r="E167" i="3"/>
  <c r="I167" i="3"/>
  <c r="H167" i="3"/>
  <c r="D167" i="3"/>
  <c r="K189" i="6"/>
  <c r="B181" i="3"/>
  <c r="I181" i="3"/>
  <c r="K181" i="3"/>
  <c r="H181" i="3"/>
  <c r="E181" i="3"/>
  <c r="M208" i="3"/>
  <c r="K283" i="6"/>
  <c r="R283" i="6" s="1"/>
  <c r="E275" i="3"/>
  <c r="O283" i="6" s="1"/>
  <c r="H275" i="3"/>
  <c r="C275" i="3"/>
  <c r="M283" i="6" s="1"/>
  <c r="B275" i="3"/>
  <c r="N275" i="3"/>
  <c r="M275" i="3"/>
  <c r="L275" i="3"/>
  <c r="I275" i="3"/>
  <c r="G275" i="3"/>
  <c r="F275" i="3"/>
  <c r="P283" i="6" s="1"/>
  <c r="Q303" i="6"/>
  <c r="M295" i="3"/>
  <c r="N319" i="3"/>
  <c r="K333" i="6"/>
  <c r="R333" i="6" s="1"/>
  <c r="I325" i="3"/>
  <c r="F325" i="3"/>
  <c r="P333" i="6" s="1"/>
  <c r="H325" i="3"/>
  <c r="E325" i="3"/>
  <c r="O333" i="6" s="1"/>
  <c r="C325" i="3"/>
  <c r="M333" i="6" s="1"/>
  <c r="B325" i="3"/>
  <c r="L325" i="3"/>
  <c r="K325" i="3"/>
  <c r="J325" i="3"/>
  <c r="G325" i="3"/>
  <c r="Q457" i="6"/>
  <c r="M449" i="3"/>
  <c r="O469" i="3"/>
  <c r="P469" i="3" s="1"/>
  <c r="K195" i="6"/>
  <c r="B187" i="3"/>
  <c r="G195" i="6" s="1"/>
  <c r="I187" i="3"/>
  <c r="J187" i="3" s="1"/>
  <c r="L187" i="3"/>
  <c r="K187" i="3"/>
  <c r="Q195" i="6" s="1"/>
  <c r="G187" i="3"/>
  <c r="K231" i="6"/>
  <c r="R231" i="6" s="1"/>
  <c r="N223" i="3"/>
  <c r="B223" i="3"/>
  <c r="I223" i="3"/>
  <c r="L223" i="3"/>
  <c r="K223" i="3"/>
  <c r="G223" i="3"/>
  <c r="K256" i="6"/>
  <c r="R256" i="6" s="1"/>
  <c r="E248" i="3"/>
  <c r="O256" i="6" s="1"/>
  <c r="D248" i="3"/>
  <c r="N256" i="6" s="1"/>
  <c r="L248" i="3"/>
  <c r="N248" i="3"/>
  <c r="K248" i="3"/>
  <c r="Q256" i="6" s="1"/>
  <c r="J248" i="3"/>
  <c r="I248" i="3"/>
  <c r="F248" i="3"/>
  <c r="P256" i="6" s="1"/>
  <c r="B248" i="3"/>
  <c r="L289" i="6"/>
  <c r="K321" i="6"/>
  <c r="R321" i="6" s="1"/>
  <c r="I313" i="3"/>
  <c r="F313" i="3"/>
  <c r="P321" i="6" s="1"/>
  <c r="J313" i="3"/>
  <c r="D313" i="3"/>
  <c r="N321" i="6" s="1"/>
  <c r="C313" i="3"/>
  <c r="M321" i="6" s="1"/>
  <c r="K313" i="3"/>
  <c r="H313" i="3"/>
  <c r="G313" i="3"/>
  <c r="E313" i="3"/>
  <c r="O321" i="6" s="1"/>
  <c r="K361" i="6"/>
  <c r="R361" i="6" s="1"/>
  <c r="E353" i="3"/>
  <c r="O361" i="6" s="1"/>
  <c r="G353" i="3"/>
  <c r="K353" i="3"/>
  <c r="Q361" i="6" s="1"/>
  <c r="I353" i="3"/>
  <c r="H353" i="3"/>
  <c r="F353" i="3"/>
  <c r="P361" i="6" s="1"/>
  <c r="D353" i="3"/>
  <c r="N361" i="6" s="1"/>
  <c r="L353" i="3"/>
  <c r="J353" i="3"/>
  <c r="C353" i="3"/>
  <c r="M361" i="6" s="1"/>
  <c r="K395" i="6"/>
  <c r="R395" i="6" s="1"/>
  <c r="E387" i="3"/>
  <c r="O395" i="6" s="1"/>
  <c r="K387" i="3"/>
  <c r="Q395" i="6" s="1"/>
  <c r="J387" i="3"/>
  <c r="H387" i="3"/>
  <c r="B387" i="3"/>
  <c r="C387" i="3"/>
  <c r="M395" i="6" s="1"/>
  <c r="N387" i="3"/>
  <c r="G387" i="3"/>
  <c r="F387" i="3"/>
  <c r="P395" i="6" s="1"/>
  <c r="D387" i="3"/>
  <c r="N395" i="6" s="1"/>
  <c r="L449" i="6"/>
  <c r="O441" i="3"/>
  <c r="P441" i="3" s="1"/>
  <c r="C187" i="3"/>
  <c r="M195" i="6" s="1"/>
  <c r="L202" i="6"/>
  <c r="L209" i="6"/>
  <c r="K210" i="6"/>
  <c r="R210" i="6" s="1"/>
  <c r="N202" i="3"/>
  <c r="B202" i="3"/>
  <c r="I202" i="3"/>
  <c r="L202" i="3"/>
  <c r="K202" i="3"/>
  <c r="J202" i="3"/>
  <c r="F202" i="3"/>
  <c r="P210" i="6" s="1"/>
  <c r="K225" i="6"/>
  <c r="R225" i="6" s="1"/>
  <c r="N217" i="3"/>
  <c r="B217" i="3"/>
  <c r="I217" i="3"/>
  <c r="L217" i="3"/>
  <c r="K217" i="3"/>
  <c r="J217" i="3"/>
  <c r="H217" i="3"/>
  <c r="E217" i="3"/>
  <c r="O225" i="6" s="1"/>
  <c r="C223" i="3"/>
  <c r="M231" i="6" s="1"/>
  <c r="K240" i="6"/>
  <c r="R240" i="6" s="1"/>
  <c r="N232" i="3"/>
  <c r="B232" i="3"/>
  <c r="J232" i="3"/>
  <c r="I232" i="3"/>
  <c r="L232" i="3"/>
  <c r="K232" i="3"/>
  <c r="Q240" i="6" s="1"/>
  <c r="F232" i="3"/>
  <c r="P240" i="6" s="1"/>
  <c r="K244" i="6"/>
  <c r="R244" i="6" s="1"/>
  <c r="J236" i="3"/>
  <c r="F236" i="3"/>
  <c r="P244" i="6" s="1"/>
  <c r="E236" i="3"/>
  <c r="O244" i="6" s="1"/>
  <c r="K236" i="3"/>
  <c r="I236" i="3"/>
  <c r="H236" i="3"/>
  <c r="G236" i="3"/>
  <c r="B236" i="3"/>
  <c r="C248" i="3"/>
  <c r="M256" i="6" s="1"/>
  <c r="K267" i="6"/>
  <c r="R267" i="6" s="1"/>
  <c r="I259" i="3"/>
  <c r="G259" i="3"/>
  <c r="C259" i="3"/>
  <c r="M267" i="6" s="1"/>
  <c r="B259" i="3"/>
  <c r="N259" i="3"/>
  <c r="L259" i="3"/>
  <c r="K259" i="3"/>
  <c r="Q267" i="6" s="1"/>
  <c r="F259" i="3"/>
  <c r="E259" i="3"/>
  <c r="O267" i="6" s="1"/>
  <c r="D259" i="3"/>
  <c r="N267" i="6" s="1"/>
  <c r="K274" i="6"/>
  <c r="R274" i="6" s="1"/>
  <c r="E266" i="3"/>
  <c r="O274" i="6" s="1"/>
  <c r="K266" i="3"/>
  <c r="G266" i="3"/>
  <c r="F266" i="3"/>
  <c r="P274" i="6" s="1"/>
  <c r="I266" i="3"/>
  <c r="H266" i="3"/>
  <c r="D266" i="3"/>
  <c r="N274" i="6" s="1"/>
  <c r="C266" i="3"/>
  <c r="M274" i="6" s="1"/>
  <c r="N266" i="3"/>
  <c r="K304" i="6"/>
  <c r="R304" i="6" s="1"/>
  <c r="E296" i="3"/>
  <c r="O304" i="6" s="1"/>
  <c r="D296" i="3"/>
  <c r="N304" i="6" s="1"/>
  <c r="L296" i="3"/>
  <c r="H296" i="3"/>
  <c r="G296" i="3"/>
  <c r="F296" i="3"/>
  <c r="P304" i="6" s="1"/>
  <c r="C296" i="3"/>
  <c r="M304" i="6" s="1"/>
  <c r="N296" i="3"/>
  <c r="Q309" i="6"/>
  <c r="M301" i="3"/>
  <c r="B313" i="3"/>
  <c r="O342" i="3"/>
  <c r="P342" i="3" s="1"/>
  <c r="B353" i="3"/>
  <c r="O362" i="3"/>
  <c r="P362" i="3" s="1"/>
  <c r="I387" i="3"/>
  <c r="K508" i="6"/>
  <c r="R508" i="6" s="1"/>
  <c r="I500" i="3"/>
  <c r="G500" i="3"/>
  <c r="K500" i="3"/>
  <c r="Q508" i="6" s="1"/>
  <c r="H500" i="3"/>
  <c r="B500" i="3"/>
  <c r="N500" i="3"/>
  <c r="L500" i="3"/>
  <c r="J500" i="3"/>
  <c r="E500" i="3"/>
  <c r="O508" i="6" s="1"/>
  <c r="D500" i="3"/>
  <c r="N508" i="6" s="1"/>
  <c r="C500" i="3"/>
  <c r="M508" i="6" s="1"/>
  <c r="D223" i="3"/>
  <c r="N231" i="6" s="1"/>
  <c r="C232" i="3"/>
  <c r="M240" i="6" s="1"/>
  <c r="C236" i="3"/>
  <c r="M244" i="6" s="1"/>
  <c r="G248" i="3"/>
  <c r="K279" i="6"/>
  <c r="R279" i="6" s="1"/>
  <c r="I271" i="3"/>
  <c r="G271" i="3"/>
  <c r="C271" i="3"/>
  <c r="M279" i="6" s="1"/>
  <c r="B271" i="3"/>
  <c r="N271" i="3"/>
  <c r="M271" i="3"/>
  <c r="J271" i="3"/>
  <c r="H271" i="3"/>
  <c r="F271" i="3"/>
  <c r="P279" i="6" s="1"/>
  <c r="O296" i="3"/>
  <c r="P296" i="3" s="1"/>
  <c r="L313" i="3"/>
  <c r="M314" i="3"/>
  <c r="L330" i="6"/>
  <c r="K342" i="6"/>
  <c r="R342" i="6" s="1"/>
  <c r="I334" i="3"/>
  <c r="C334" i="3"/>
  <c r="M342" i="6" s="1"/>
  <c r="N334" i="3"/>
  <c r="L334" i="3"/>
  <c r="J334" i="3"/>
  <c r="H334" i="3"/>
  <c r="K334" i="3"/>
  <c r="Q342" i="6" s="1"/>
  <c r="E334" i="3"/>
  <c r="O342" i="6" s="1"/>
  <c r="D334" i="3"/>
  <c r="N342" i="6" s="1"/>
  <c r="B334" i="3"/>
  <c r="N353" i="3"/>
  <c r="L387" i="3"/>
  <c r="K409" i="6"/>
  <c r="R409" i="6" s="1"/>
  <c r="I401" i="3"/>
  <c r="D401" i="3"/>
  <c r="N409" i="6" s="1"/>
  <c r="N401" i="3"/>
  <c r="L401" i="3"/>
  <c r="F401" i="3"/>
  <c r="P409" i="6" s="1"/>
  <c r="K401" i="3"/>
  <c r="J401" i="3"/>
  <c r="E401" i="3"/>
  <c r="O409" i="6" s="1"/>
  <c r="C401" i="3"/>
  <c r="M409" i="6" s="1"/>
  <c r="B401" i="3"/>
  <c r="K467" i="6"/>
  <c r="R467" i="6" s="1"/>
  <c r="E459" i="3"/>
  <c r="O467" i="6" s="1"/>
  <c r="K459" i="3"/>
  <c r="Q467" i="6" s="1"/>
  <c r="J459" i="3"/>
  <c r="H459" i="3"/>
  <c r="B459" i="3"/>
  <c r="N459" i="3"/>
  <c r="L459" i="3"/>
  <c r="I459" i="3"/>
  <c r="G459" i="3"/>
  <c r="F459" i="3"/>
  <c r="P467" i="6" s="1"/>
  <c r="D459" i="3"/>
  <c r="N467" i="6" s="1"/>
  <c r="C459" i="3"/>
  <c r="M467" i="6" s="1"/>
  <c r="K270" i="6"/>
  <c r="R270" i="6" s="1"/>
  <c r="I262" i="3"/>
  <c r="K262" i="3"/>
  <c r="F262" i="3"/>
  <c r="P270" i="6" s="1"/>
  <c r="E262" i="3"/>
  <c r="O270" i="6" s="1"/>
  <c r="K271" i="6"/>
  <c r="R271" i="6" s="1"/>
  <c r="E263" i="3"/>
  <c r="O271" i="6" s="1"/>
  <c r="H263" i="3"/>
  <c r="C263" i="3"/>
  <c r="M271" i="6" s="1"/>
  <c r="B263" i="3"/>
  <c r="K300" i="6"/>
  <c r="R300" i="6" s="1"/>
  <c r="I292" i="3"/>
  <c r="D292" i="3"/>
  <c r="N300" i="6" s="1"/>
  <c r="L292" i="3"/>
  <c r="O293" i="3"/>
  <c r="P293" i="3" s="1"/>
  <c r="O306" i="3"/>
  <c r="P306" i="3" s="1"/>
  <c r="K316" i="6"/>
  <c r="R316" i="6" s="1"/>
  <c r="E308" i="3"/>
  <c r="O316" i="6" s="1"/>
  <c r="J308" i="3"/>
  <c r="H308" i="3"/>
  <c r="C308" i="3"/>
  <c r="M316" i="6" s="1"/>
  <c r="B308" i="3"/>
  <c r="L319" i="6"/>
  <c r="O330" i="3"/>
  <c r="P330" i="3" s="1"/>
  <c r="K366" i="6"/>
  <c r="R366" i="6" s="1"/>
  <c r="I358" i="3"/>
  <c r="C358" i="3"/>
  <c r="M366" i="6" s="1"/>
  <c r="L358" i="3"/>
  <c r="J358" i="3"/>
  <c r="H358" i="3"/>
  <c r="G358" i="3"/>
  <c r="F358" i="3"/>
  <c r="P366" i="6" s="1"/>
  <c r="K372" i="6"/>
  <c r="R372" i="6" s="1"/>
  <c r="I364" i="3"/>
  <c r="B364" i="3"/>
  <c r="J364" i="3"/>
  <c r="L364" i="3"/>
  <c r="K364" i="3"/>
  <c r="Q372" i="6" s="1"/>
  <c r="H364" i="3"/>
  <c r="K401" i="6"/>
  <c r="R401" i="6" s="1"/>
  <c r="E393" i="3"/>
  <c r="O401" i="6" s="1"/>
  <c r="D393" i="3"/>
  <c r="N401" i="6" s="1"/>
  <c r="I393" i="3"/>
  <c r="G393" i="3"/>
  <c r="N393" i="3"/>
  <c r="B393" i="3"/>
  <c r="K425" i="6"/>
  <c r="R425" i="6" s="1"/>
  <c r="E417" i="3"/>
  <c r="O425" i="6" s="1"/>
  <c r="D417" i="3"/>
  <c r="N425" i="6" s="1"/>
  <c r="K417" i="3"/>
  <c r="F417" i="3"/>
  <c r="P425" i="6" s="1"/>
  <c r="L417" i="3"/>
  <c r="I417" i="3"/>
  <c r="H417" i="3"/>
  <c r="G417" i="3"/>
  <c r="C417" i="3"/>
  <c r="M425" i="6" s="1"/>
  <c r="K475" i="6"/>
  <c r="R475" i="6" s="1"/>
  <c r="I467" i="3"/>
  <c r="K467" i="3"/>
  <c r="B467" i="3"/>
  <c r="N467" i="3"/>
  <c r="G467" i="3"/>
  <c r="L467" i="3"/>
  <c r="J467" i="3"/>
  <c r="H467" i="3"/>
  <c r="F467" i="3"/>
  <c r="P475" i="6" s="1"/>
  <c r="E467" i="3"/>
  <c r="O475" i="6" s="1"/>
  <c r="K479" i="6"/>
  <c r="R479" i="6" s="1"/>
  <c r="E471" i="3"/>
  <c r="O479" i="6" s="1"/>
  <c r="K471" i="3"/>
  <c r="F471" i="3"/>
  <c r="P479" i="6" s="1"/>
  <c r="C471" i="3"/>
  <c r="M479" i="6" s="1"/>
  <c r="L471" i="3"/>
  <c r="N471" i="3"/>
  <c r="J471" i="3"/>
  <c r="I471" i="3"/>
  <c r="H471" i="3"/>
  <c r="G471" i="3"/>
  <c r="K286" i="6"/>
  <c r="R286" i="6" s="1"/>
  <c r="E278" i="3"/>
  <c r="O286" i="6" s="1"/>
  <c r="K278" i="3"/>
  <c r="G278" i="3"/>
  <c r="F278" i="3"/>
  <c r="P286" i="6" s="1"/>
  <c r="K315" i="6"/>
  <c r="R315" i="6" s="1"/>
  <c r="I307" i="3"/>
  <c r="J307" i="3"/>
  <c r="E307" i="3"/>
  <c r="O315" i="6" s="1"/>
  <c r="D307" i="3"/>
  <c r="N315" i="6" s="1"/>
  <c r="K318" i="6"/>
  <c r="R318" i="6" s="1"/>
  <c r="I310" i="3"/>
  <c r="C310" i="3"/>
  <c r="M318" i="6" s="1"/>
  <c r="B310" i="3"/>
  <c r="L310" i="3"/>
  <c r="K310" i="3"/>
  <c r="K337" i="6"/>
  <c r="R337" i="6" s="1"/>
  <c r="E329" i="3"/>
  <c r="O337" i="6" s="1"/>
  <c r="G329" i="3"/>
  <c r="K329" i="3"/>
  <c r="I329" i="3"/>
  <c r="H329" i="3"/>
  <c r="K339" i="6"/>
  <c r="R339" i="6" s="1"/>
  <c r="I331" i="3"/>
  <c r="G331" i="3"/>
  <c r="E331" i="3"/>
  <c r="O339" i="6" s="1"/>
  <c r="C331" i="3"/>
  <c r="M339" i="6" s="1"/>
  <c r="B331" i="3"/>
  <c r="B358" i="3"/>
  <c r="C364" i="3"/>
  <c r="M372" i="6" s="1"/>
  <c r="L388" i="6"/>
  <c r="O380" i="3"/>
  <c r="P380" i="3" s="1"/>
  <c r="K472" i="6"/>
  <c r="R472" i="6" s="1"/>
  <c r="I464" i="3"/>
  <c r="G464" i="3"/>
  <c r="K464" i="3"/>
  <c r="Q472" i="6" s="1"/>
  <c r="H464" i="3"/>
  <c r="B464" i="3"/>
  <c r="L464" i="3"/>
  <c r="J464" i="3"/>
  <c r="F464" i="3"/>
  <c r="P472" i="6" s="1"/>
  <c r="E464" i="3"/>
  <c r="O472" i="6" s="1"/>
  <c r="D464" i="3"/>
  <c r="N472" i="6" s="1"/>
  <c r="Q512" i="6"/>
  <c r="M504" i="3"/>
  <c r="K148" i="6"/>
  <c r="E140" i="3"/>
  <c r="F140" i="3" s="1"/>
  <c r="P148" i="6" s="1"/>
  <c r="K162" i="6"/>
  <c r="B154" i="3"/>
  <c r="I154" i="3"/>
  <c r="K184" i="6"/>
  <c r="E176" i="3"/>
  <c r="F176" i="3" s="1"/>
  <c r="I179" i="3"/>
  <c r="K198" i="6"/>
  <c r="B190" i="3"/>
  <c r="G198" i="6" s="1"/>
  <c r="I190" i="3"/>
  <c r="H194" i="3"/>
  <c r="H208" i="3"/>
  <c r="K220" i="6"/>
  <c r="R220" i="6" s="1"/>
  <c r="J212" i="3"/>
  <c r="E212" i="3"/>
  <c r="O220" i="6" s="1"/>
  <c r="I215" i="3"/>
  <c r="K234" i="6"/>
  <c r="R234" i="6" s="1"/>
  <c r="N226" i="3"/>
  <c r="B226" i="3"/>
  <c r="I226" i="3"/>
  <c r="H244" i="3"/>
  <c r="K258" i="6"/>
  <c r="R258" i="6" s="1"/>
  <c r="I250" i="3"/>
  <c r="K250" i="3"/>
  <c r="F250" i="3"/>
  <c r="P258" i="6" s="1"/>
  <c r="E250" i="3"/>
  <c r="O258" i="6" s="1"/>
  <c r="K259" i="6"/>
  <c r="R259" i="6" s="1"/>
  <c r="E251" i="3"/>
  <c r="O259" i="6" s="1"/>
  <c r="H251" i="3"/>
  <c r="C251" i="3"/>
  <c r="M259" i="6" s="1"/>
  <c r="B251" i="3"/>
  <c r="C262" i="3"/>
  <c r="M270" i="6" s="1"/>
  <c r="F263" i="3"/>
  <c r="P271" i="6" s="1"/>
  <c r="B278" i="3"/>
  <c r="K288" i="6"/>
  <c r="R288" i="6" s="1"/>
  <c r="I280" i="3"/>
  <c r="D280" i="3"/>
  <c r="N288" i="6" s="1"/>
  <c r="L280" i="3"/>
  <c r="J286" i="3"/>
  <c r="K287" i="3"/>
  <c r="C292" i="3"/>
  <c r="M300" i="6" s="1"/>
  <c r="B307" i="3"/>
  <c r="F308" i="3"/>
  <c r="P316" i="6" s="1"/>
  <c r="D310" i="3"/>
  <c r="N318" i="6" s="1"/>
  <c r="K325" i="6"/>
  <c r="R325" i="6" s="1"/>
  <c r="E317" i="3"/>
  <c r="O325" i="6" s="1"/>
  <c r="G317" i="3"/>
  <c r="N317" i="3"/>
  <c r="J317" i="3"/>
  <c r="I317" i="3"/>
  <c r="K331" i="6"/>
  <c r="R331" i="6" s="1"/>
  <c r="E323" i="3"/>
  <c r="O331" i="6" s="1"/>
  <c r="N323" i="3"/>
  <c r="K323" i="3"/>
  <c r="M323" i="3" s="1"/>
  <c r="I323" i="3"/>
  <c r="H323" i="3"/>
  <c r="B329" i="3"/>
  <c r="D331" i="3"/>
  <c r="N339" i="6" s="1"/>
  <c r="K354" i="6"/>
  <c r="R354" i="6" s="1"/>
  <c r="I346" i="3"/>
  <c r="C346" i="3"/>
  <c r="M354" i="6" s="1"/>
  <c r="K346" i="3"/>
  <c r="J346" i="3"/>
  <c r="H346" i="3"/>
  <c r="G346" i="3"/>
  <c r="D358" i="3"/>
  <c r="N366" i="6" s="1"/>
  <c r="D364" i="3"/>
  <c r="N372" i="6" s="1"/>
  <c r="M366" i="3"/>
  <c r="F393" i="3"/>
  <c r="P401" i="6" s="1"/>
  <c r="J417" i="3"/>
  <c r="K428" i="6"/>
  <c r="R428" i="6" s="1"/>
  <c r="E420" i="3"/>
  <c r="O428" i="6" s="1"/>
  <c r="H420" i="3"/>
  <c r="D420" i="3"/>
  <c r="N428" i="6" s="1"/>
  <c r="B420" i="3"/>
  <c r="K420" i="3"/>
  <c r="Q428" i="6" s="1"/>
  <c r="M420" i="3"/>
  <c r="J420" i="3"/>
  <c r="I420" i="3"/>
  <c r="G420" i="3"/>
  <c r="F420" i="3"/>
  <c r="P428" i="6" s="1"/>
  <c r="K440" i="6"/>
  <c r="R440" i="6" s="1"/>
  <c r="E432" i="3"/>
  <c r="O440" i="6" s="1"/>
  <c r="H432" i="3"/>
  <c r="N432" i="3"/>
  <c r="L432" i="3"/>
  <c r="F432" i="3"/>
  <c r="P440" i="6" s="1"/>
  <c r="J432" i="3"/>
  <c r="G432" i="3"/>
  <c r="D432" i="3"/>
  <c r="N440" i="6" s="1"/>
  <c r="C432" i="3"/>
  <c r="M440" i="6" s="1"/>
  <c r="B432" i="3"/>
  <c r="K461" i="6"/>
  <c r="R461" i="6" s="1"/>
  <c r="E453" i="3"/>
  <c r="O461" i="6" s="1"/>
  <c r="D453" i="3"/>
  <c r="N461" i="6" s="1"/>
  <c r="K453" i="3"/>
  <c r="F453" i="3"/>
  <c r="P461" i="6" s="1"/>
  <c r="N453" i="3"/>
  <c r="L453" i="3"/>
  <c r="J453" i="3"/>
  <c r="C464" i="3"/>
  <c r="M472" i="6" s="1"/>
  <c r="D467" i="3"/>
  <c r="N475" i="6" s="1"/>
  <c r="D471" i="3"/>
  <c r="N479" i="6" s="1"/>
  <c r="K171" i="6"/>
  <c r="B163" i="3"/>
  <c r="I163" i="3"/>
  <c r="K193" i="6"/>
  <c r="E185" i="3"/>
  <c r="L185" i="3" s="1"/>
  <c r="K207" i="6"/>
  <c r="R207" i="6" s="1"/>
  <c r="N199" i="3"/>
  <c r="B199" i="3"/>
  <c r="I199" i="3"/>
  <c r="L208" i="3"/>
  <c r="K229" i="6"/>
  <c r="R229" i="6" s="1"/>
  <c r="J221" i="3"/>
  <c r="E221" i="3"/>
  <c r="O229" i="6" s="1"/>
  <c r="K262" i="6"/>
  <c r="R262" i="6" s="1"/>
  <c r="E254" i="3"/>
  <c r="O262" i="6" s="1"/>
  <c r="K254" i="3"/>
  <c r="G254" i="3"/>
  <c r="F254" i="3"/>
  <c r="P262" i="6" s="1"/>
  <c r="H262" i="3"/>
  <c r="J263" i="3"/>
  <c r="H278" i="3"/>
  <c r="O282" i="3"/>
  <c r="P282" i="3" s="1"/>
  <c r="K292" i="6"/>
  <c r="R292" i="6" s="1"/>
  <c r="E284" i="3"/>
  <c r="O292" i="6" s="1"/>
  <c r="D284" i="3"/>
  <c r="N292" i="6" s="1"/>
  <c r="M284" i="3"/>
  <c r="L284" i="3"/>
  <c r="G292" i="3"/>
  <c r="K303" i="6"/>
  <c r="R303" i="6" s="1"/>
  <c r="I295" i="3"/>
  <c r="G295" i="3"/>
  <c r="C295" i="3"/>
  <c r="M303" i="6" s="1"/>
  <c r="B295" i="3"/>
  <c r="O300" i="3"/>
  <c r="P300" i="3" s="1"/>
  <c r="G307" i="3"/>
  <c r="K308" i="3"/>
  <c r="Q316" i="6" s="1"/>
  <c r="G310" i="3"/>
  <c r="F329" i="3"/>
  <c r="P337" i="6" s="1"/>
  <c r="J331" i="3"/>
  <c r="K349" i="6"/>
  <c r="R349" i="6" s="1"/>
  <c r="E341" i="3"/>
  <c r="O349" i="6" s="1"/>
  <c r="G341" i="3"/>
  <c r="L341" i="3"/>
  <c r="J341" i="3"/>
  <c r="H341" i="3"/>
  <c r="F341" i="3"/>
  <c r="P349" i="6" s="1"/>
  <c r="G364" i="3"/>
  <c r="O391" i="3"/>
  <c r="P391" i="3" s="1"/>
  <c r="K393" i="3"/>
  <c r="Q401" i="6" s="1"/>
  <c r="L404" i="6"/>
  <c r="L413" i="6"/>
  <c r="Q434" i="6"/>
  <c r="M426" i="3"/>
  <c r="K451" i="6"/>
  <c r="R451" i="6" s="1"/>
  <c r="I443" i="3"/>
  <c r="K443" i="3"/>
  <c r="Q451" i="6" s="1"/>
  <c r="L443" i="3"/>
  <c r="H443" i="3"/>
  <c r="C443" i="3"/>
  <c r="M451" i="6" s="1"/>
  <c r="J443" i="3"/>
  <c r="G443" i="3"/>
  <c r="F443" i="3"/>
  <c r="P451" i="6" s="1"/>
  <c r="K473" i="6"/>
  <c r="R473" i="6" s="1"/>
  <c r="E465" i="3"/>
  <c r="O473" i="6" s="1"/>
  <c r="D465" i="3"/>
  <c r="N473" i="6" s="1"/>
  <c r="I465" i="3"/>
  <c r="G465" i="3"/>
  <c r="N465" i="3"/>
  <c r="L465" i="3"/>
  <c r="K465" i="3"/>
  <c r="J465" i="3"/>
  <c r="H465" i="3"/>
  <c r="AB540" i="4"/>
  <c r="AB518" i="4"/>
  <c r="AB449" i="4"/>
  <c r="AB513" i="4"/>
  <c r="AB492" i="4"/>
  <c r="AB447" i="4"/>
  <c r="AB482" i="4"/>
  <c r="AB446" i="4"/>
  <c r="AB520" i="4"/>
  <c r="AB503" i="4"/>
  <c r="AB493" i="4"/>
  <c r="AB444" i="4"/>
  <c r="AB490" i="4"/>
  <c r="AB437" i="4"/>
  <c r="AB442" i="4"/>
  <c r="AB423" i="4"/>
  <c r="AB412" i="4"/>
  <c r="AB391" i="4"/>
  <c r="AB394" i="4"/>
  <c r="AB396" i="4"/>
  <c r="AB387" i="4"/>
  <c r="AB333" i="4"/>
  <c r="AB403" i="4"/>
  <c r="AB347" i="4"/>
  <c r="AB325" i="4"/>
  <c r="AB379" i="4"/>
  <c r="AB341" i="4"/>
  <c r="AB415" i="4"/>
  <c r="AB450" i="4"/>
  <c r="AB205" i="4"/>
  <c r="AB211" i="4"/>
  <c r="AB316" i="4"/>
  <c r="AB278" i="4"/>
  <c r="AB441" i="4"/>
  <c r="AB124" i="4"/>
  <c r="AB236" i="4"/>
  <c r="AB218" i="4"/>
  <c r="AB274" i="4"/>
  <c r="AB174" i="4"/>
  <c r="AB139" i="4"/>
  <c r="AB111" i="4"/>
  <c r="V13" i="4"/>
  <c r="W13" i="4" s="1"/>
  <c r="V11" i="4"/>
  <c r="W11" i="4" s="1"/>
  <c r="V16" i="4"/>
  <c r="W16" i="4" s="1"/>
  <c r="AC16" i="4" s="1"/>
  <c r="AB5" i="4"/>
  <c r="V9" i="4"/>
  <c r="W9" i="4" s="1"/>
  <c r="AB47" i="4"/>
  <c r="AB68" i="4"/>
  <c r="V12" i="4"/>
  <c r="W12" i="4" s="1"/>
  <c r="V10" i="4"/>
  <c r="W10" i="4" s="1"/>
  <c r="AB54" i="4"/>
  <c r="AB57" i="4"/>
  <c r="AB23" i="4"/>
  <c r="AE5" i="4"/>
  <c r="V14" i="4"/>
  <c r="W14" i="4" s="1"/>
  <c r="K17" i="6"/>
  <c r="F9" i="3"/>
  <c r="P17" i="6" s="1"/>
  <c r="K26" i="6"/>
  <c r="K35" i="6"/>
  <c r="F27" i="3"/>
  <c r="K44" i="6"/>
  <c r="F36" i="3"/>
  <c r="K53" i="6"/>
  <c r="K62" i="6"/>
  <c r="F54" i="3"/>
  <c r="P62" i="6" s="1"/>
  <c r="K71" i="6"/>
  <c r="F63" i="3"/>
  <c r="K80" i="6"/>
  <c r="F72" i="3"/>
  <c r="K89" i="6"/>
  <c r="F81" i="3"/>
  <c r="P89" i="6" s="1"/>
  <c r="K98" i="6"/>
  <c r="F90" i="3"/>
  <c r="K107" i="6"/>
  <c r="K116" i="6"/>
  <c r="K136" i="6"/>
  <c r="E128" i="3"/>
  <c r="K150" i="6"/>
  <c r="B142" i="3"/>
  <c r="G150" i="6" s="1"/>
  <c r="I142" i="3"/>
  <c r="C163" i="3"/>
  <c r="K172" i="6"/>
  <c r="E164" i="3"/>
  <c r="G168" i="3"/>
  <c r="K186" i="6"/>
  <c r="B178" i="3"/>
  <c r="I178" i="3"/>
  <c r="B185" i="3"/>
  <c r="C199" i="3"/>
  <c r="M207" i="6" s="1"/>
  <c r="K208" i="6"/>
  <c r="R208" i="6" s="1"/>
  <c r="J200" i="3"/>
  <c r="E200" i="3"/>
  <c r="O208" i="6" s="1"/>
  <c r="O200" i="3"/>
  <c r="P200" i="3" s="1"/>
  <c r="F212" i="3"/>
  <c r="P220" i="6" s="1"/>
  <c r="K222" i="6"/>
  <c r="R222" i="6" s="1"/>
  <c r="N214" i="3"/>
  <c r="B214" i="3"/>
  <c r="I214" i="3"/>
  <c r="B221" i="3"/>
  <c r="F226" i="3"/>
  <c r="P234" i="6" s="1"/>
  <c r="G250" i="3"/>
  <c r="I251" i="3"/>
  <c r="B254" i="3"/>
  <c r="K264" i="6"/>
  <c r="R264" i="6" s="1"/>
  <c r="I256" i="3"/>
  <c r="D256" i="3"/>
  <c r="N264" i="6" s="1"/>
  <c r="L256" i="3"/>
  <c r="J262" i="3"/>
  <c r="K263" i="3"/>
  <c r="Q271" i="6" s="1"/>
  <c r="I278" i="3"/>
  <c r="F280" i="3"/>
  <c r="P288" i="6" s="1"/>
  <c r="B284" i="3"/>
  <c r="H292" i="3"/>
  <c r="D295" i="3"/>
  <c r="N303" i="6" s="1"/>
  <c r="K306" i="6"/>
  <c r="R306" i="6" s="1"/>
  <c r="I298" i="3"/>
  <c r="K298" i="3"/>
  <c r="F298" i="3"/>
  <c r="P306" i="6" s="1"/>
  <c r="E298" i="3"/>
  <c r="O306" i="6" s="1"/>
  <c r="K307" i="6"/>
  <c r="R307" i="6" s="1"/>
  <c r="E299" i="3"/>
  <c r="O307" i="6" s="1"/>
  <c r="H299" i="3"/>
  <c r="C299" i="3"/>
  <c r="M307" i="6" s="1"/>
  <c r="B299" i="3"/>
  <c r="H307" i="3"/>
  <c r="L308" i="3"/>
  <c r="H310" i="3"/>
  <c r="F317" i="3"/>
  <c r="P325" i="6" s="1"/>
  <c r="F323" i="3"/>
  <c r="P331" i="6" s="1"/>
  <c r="J329" i="3"/>
  <c r="K331" i="3"/>
  <c r="Q339" i="6" s="1"/>
  <c r="B341" i="3"/>
  <c r="F346" i="3"/>
  <c r="P354" i="6" s="1"/>
  <c r="K360" i="6"/>
  <c r="R360" i="6" s="1"/>
  <c r="I352" i="3"/>
  <c r="J352" i="3"/>
  <c r="K352" i="3"/>
  <c r="H352" i="3"/>
  <c r="G352" i="3"/>
  <c r="F352" i="3"/>
  <c r="P360" i="6" s="1"/>
  <c r="N358" i="3"/>
  <c r="N364" i="3"/>
  <c r="L380" i="6"/>
  <c r="O372" i="3"/>
  <c r="P372" i="3" s="1"/>
  <c r="K400" i="6"/>
  <c r="R400" i="6" s="1"/>
  <c r="I392" i="3"/>
  <c r="G392" i="3"/>
  <c r="K392" i="3"/>
  <c r="Q400" i="6" s="1"/>
  <c r="H392" i="3"/>
  <c r="B392" i="3"/>
  <c r="N392" i="3"/>
  <c r="L392" i="3"/>
  <c r="L393" i="3"/>
  <c r="B443" i="3"/>
  <c r="H453" i="3"/>
  <c r="K469" i="6"/>
  <c r="R469" i="6" s="1"/>
  <c r="I461" i="3"/>
  <c r="D461" i="3"/>
  <c r="N469" i="6" s="1"/>
  <c r="E461" i="3"/>
  <c r="O469" i="6" s="1"/>
  <c r="B461" i="3"/>
  <c r="K461" i="3"/>
  <c r="Q469" i="6" s="1"/>
  <c r="N461" i="3"/>
  <c r="L461" i="3"/>
  <c r="J461" i="3"/>
  <c r="H461" i="3"/>
  <c r="G461" i="3"/>
  <c r="B465" i="3"/>
  <c r="O472" i="3"/>
  <c r="P472" i="3" s="1"/>
  <c r="L490" i="6"/>
  <c r="AB14" i="4"/>
  <c r="AE14" i="4"/>
  <c r="K165" i="6"/>
  <c r="B157" i="3"/>
  <c r="I157" i="3"/>
  <c r="D163" i="3"/>
  <c r="K187" i="6"/>
  <c r="E179" i="3"/>
  <c r="C185" i="3"/>
  <c r="K201" i="6"/>
  <c r="B193" i="3"/>
  <c r="G201" i="6" s="1"/>
  <c r="I193" i="3"/>
  <c r="D199" i="3"/>
  <c r="N207" i="6" s="1"/>
  <c r="K223" i="6"/>
  <c r="R223" i="6" s="1"/>
  <c r="J215" i="3"/>
  <c r="E215" i="3"/>
  <c r="O223" i="6" s="1"/>
  <c r="C221" i="3"/>
  <c r="M229" i="6" s="1"/>
  <c r="K237" i="6"/>
  <c r="R237" i="6" s="1"/>
  <c r="N229" i="3"/>
  <c r="B229" i="3"/>
  <c r="J229" i="3"/>
  <c r="I229" i="3"/>
  <c r="K238" i="6"/>
  <c r="R238" i="6" s="1"/>
  <c r="J230" i="3"/>
  <c r="F230" i="3"/>
  <c r="P238" i="6" s="1"/>
  <c r="E230" i="3"/>
  <c r="O238" i="6" s="1"/>
  <c r="K249" i="6"/>
  <c r="R249" i="6" s="1"/>
  <c r="N241" i="3"/>
  <c r="B241" i="3"/>
  <c r="J241" i="3"/>
  <c r="I241" i="3"/>
  <c r="K250" i="6"/>
  <c r="R250" i="6" s="1"/>
  <c r="E242" i="3"/>
  <c r="O250" i="6" s="1"/>
  <c r="K242" i="3"/>
  <c r="O242" i="3" s="1"/>
  <c r="P242" i="3" s="1"/>
  <c r="G242" i="3"/>
  <c r="F242" i="3"/>
  <c r="P250" i="6" s="1"/>
  <c r="M245" i="3"/>
  <c r="C254" i="3"/>
  <c r="M262" i="6" s="1"/>
  <c r="L262" i="3"/>
  <c r="L263" i="3"/>
  <c r="O270" i="3"/>
  <c r="P270" i="3" s="1"/>
  <c r="K280" i="6"/>
  <c r="R280" i="6" s="1"/>
  <c r="E272" i="3"/>
  <c r="O280" i="6" s="1"/>
  <c r="D272" i="3"/>
  <c r="N280" i="6" s="1"/>
  <c r="M272" i="3"/>
  <c r="L272" i="3"/>
  <c r="J278" i="3"/>
  <c r="K291" i="6"/>
  <c r="R291" i="6" s="1"/>
  <c r="I283" i="3"/>
  <c r="G283" i="3"/>
  <c r="C283" i="3"/>
  <c r="M291" i="6" s="1"/>
  <c r="B283" i="3"/>
  <c r="J292" i="3"/>
  <c r="E295" i="3"/>
  <c r="O303" i="6" s="1"/>
  <c r="K307" i="3"/>
  <c r="J310" i="3"/>
  <c r="L329" i="3"/>
  <c r="L331" i="3"/>
  <c r="O336" i="3"/>
  <c r="P336" i="3" s="1"/>
  <c r="K348" i="6"/>
  <c r="R348" i="6" s="1"/>
  <c r="I340" i="3"/>
  <c r="J340" i="3"/>
  <c r="N340" i="3"/>
  <c r="L340" i="3"/>
  <c r="H340" i="3"/>
  <c r="G340" i="3"/>
  <c r="C341" i="3"/>
  <c r="M349" i="6" s="1"/>
  <c r="K373" i="6"/>
  <c r="R373" i="6" s="1"/>
  <c r="E365" i="3"/>
  <c r="O373" i="6" s="1"/>
  <c r="L365" i="3"/>
  <c r="G365" i="3"/>
  <c r="K365" i="3"/>
  <c r="Q373" i="6" s="1"/>
  <c r="J365" i="3"/>
  <c r="I365" i="3"/>
  <c r="L410" i="6"/>
  <c r="O402" i="3"/>
  <c r="P402" i="3" s="1"/>
  <c r="Q442" i="6"/>
  <c r="M434" i="3"/>
  <c r="K448" i="6"/>
  <c r="R448" i="6" s="1"/>
  <c r="I440" i="3"/>
  <c r="G440" i="3"/>
  <c r="E440" i="3"/>
  <c r="O448" i="6" s="1"/>
  <c r="C440" i="3"/>
  <c r="M448" i="6" s="1"/>
  <c r="L440" i="3"/>
  <c r="N440" i="3"/>
  <c r="K440" i="3"/>
  <c r="D443" i="3"/>
  <c r="N451" i="6" s="1"/>
  <c r="I453" i="3"/>
  <c r="C465" i="3"/>
  <c r="M473" i="6" s="1"/>
  <c r="K481" i="6"/>
  <c r="R481" i="6" s="1"/>
  <c r="I473" i="3"/>
  <c r="D473" i="3"/>
  <c r="N481" i="6" s="1"/>
  <c r="N473" i="3"/>
  <c r="L473" i="3"/>
  <c r="F473" i="3"/>
  <c r="P481" i="6" s="1"/>
  <c r="K473" i="3"/>
  <c r="J473" i="3"/>
  <c r="H473" i="3"/>
  <c r="G473" i="3"/>
  <c r="E473" i="3"/>
  <c r="O481" i="6" s="1"/>
  <c r="C473" i="3"/>
  <c r="M481" i="6" s="1"/>
  <c r="M477" i="3"/>
  <c r="K202" i="6"/>
  <c r="E194" i="3"/>
  <c r="L194" i="3" s="1"/>
  <c r="K216" i="6"/>
  <c r="R216" i="6" s="1"/>
  <c r="N208" i="3"/>
  <c r="B208" i="3"/>
  <c r="I208" i="3"/>
  <c r="K252" i="6"/>
  <c r="R252" i="6" s="1"/>
  <c r="I244" i="3"/>
  <c r="D244" i="3"/>
  <c r="N252" i="6" s="1"/>
  <c r="M244" i="3"/>
  <c r="L244" i="3"/>
  <c r="L278" i="3"/>
  <c r="K294" i="6"/>
  <c r="R294" i="6" s="1"/>
  <c r="I286" i="3"/>
  <c r="K286" i="3"/>
  <c r="F286" i="3"/>
  <c r="P294" i="6" s="1"/>
  <c r="E286" i="3"/>
  <c r="O294" i="6" s="1"/>
  <c r="K295" i="6"/>
  <c r="R295" i="6" s="1"/>
  <c r="E287" i="3"/>
  <c r="O295" i="6" s="1"/>
  <c r="H287" i="3"/>
  <c r="C287" i="3"/>
  <c r="M295" i="6" s="1"/>
  <c r="B287" i="3"/>
  <c r="K292" i="3"/>
  <c r="L307" i="3"/>
  <c r="N308" i="3"/>
  <c r="N329" i="3"/>
  <c r="N331" i="3"/>
  <c r="K343" i="6"/>
  <c r="R343" i="6" s="1"/>
  <c r="E335" i="3"/>
  <c r="O343" i="6" s="1"/>
  <c r="L335" i="3"/>
  <c r="J335" i="3"/>
  <c r="H335" i="3"/>
  <c r="G335" i="3"/>
  <c r="K346" i="6"/>
  <c r="R346" i="6" s="1"/>
  <c r="E338" i="3"/>
  <c r="O346" i="6" s="1"/>
  <c r="C338" i="3"/>
  <c r="M346" i="6" s="1"/>
  <c r="F338" i="3"/>
  <c r="P346" i="6" s="1"/>
  <c r="B338" i="3"/>
  <c r="N338" i="3"/>
  <c r="L358" i="6"/>
  <c r="O350" i="3"/>
  <c r="P350" i="3" s="1"/>
  <c r="K367" i="6"/>
  <c r="R367" i="6" s="1"/>
  <c r="E359" i="3"/>
  <c r="O367" i="6" s="1"/>
  <c r="J359" i="3"/>
  <c r="H359" i="3"/>
  <c r="G359" i="3"/>
  <c r="F359" i="3"/>
  <c r="P367" i="6" s="1"/>
  <c r="D359" i="3"/>
  <c r="N367" i="6" s="1"/>
  <c r="L373" i="6"/>
  <c r="L383" i="6"/>
  <c r="O375" i="3"/>
  <c r="P375" i="3" s="1"/>
  <c r="L391" i="6"/>
  <c r="O403" i="3"/>
  <c r="P403" i="3" s="1"/>
  <c r="K427" i="6"/>
  <c r="R427" i="6" s="1"/>
  <c r="I419" i="3"/>
  <c r="K419" i="3"/>
  <c r="Q427" i="6" s="1"/>
  <c r="F419" i="3"/>
  <c r="P427" i="6" s="1"/>
  <c r="D419" i="3"/>
  <c r="N427" i="6" s="1"/>
  <c r="J419" i="3"/>
  <c r="G419" i="3"/>
  <c r="E419" i="3"/>
  <c r="O427" i="6" s="1"/>
  <c r="C419" i="3"/>
  <c r="M427" i="6" s="1"/>
  <c r="B419" i="3"/>
  <c r="L448" i="6"/>
  <c r="E443" i="3"/>
  <c r="O451" i="6" s="1"/>
  <c r="F465" i="3"/>
  <c r="P473" i="6" s="1"/>
  <c r="AE27" i="4"/>
  <c r="AB27" i="4"/>
  <c r="V27" i="4"/>
  <c r="W27" i="4" s="1"/>
  <c r="AE48" i="4"/>
  <c r="AB48" i="4"/>
  <c r="K119" i="6"/>
  <c r="K122" i="6"/>
  <c r="K125" i="6"/>
  <c r="K128" i="6"/>
  <c r="K131" i="6"/>
  <c r="K134" i="6"/>
  <c r="K137" i="6"/>
  <c r="K140" i="6"/>
  <c r="K143" i="6"/>
  <c r="K146" i="6"/>
  <c r="K149" i="6"/>
  <c r="K152" i="6"/>
  <c r="K155" i="6"/>
  <c r="K158" i="6"/>
  <c r="K161" i="6"/>
  <c r="K164" i="6"/>
  <c r="K167" i="6"/>
  <c r="K170" i="6"/>
  <c r="K173" i="6"/>
  <c r="K176" i="6"/>
  <c r="K179" i="6"/>
  <c r="K182" i="6"/>
  <c r="K185" i="6"/>
  <c r="M177" i="3"/>
  <c r="K188" i="6"/>
  <c r="K191" i="6"/>
  <c r="K194" i="6"/>
  <c r="K197" i="6"/>
  <c r="K200" i="6"/>
  <c r="K203" i="6"/>
  <c r="K206" i="6"/>
  <c r="R206" i="6" s="1"/>
  <c r="K209" i="6"/>
  <c r="R209" i="6" s="1"/>
  <c r="M201" i="3"/>
  <c r="K212" i="6"/>
  <c r="R212" i="6" s="1"/>
  <c r="M204" i="3"/>
  <c r="K215" i="6"/>
  <c r="R215" i="6" s="1"/>
  <c r="M207" i="3"/>
  <c r="K218" i="6"/>
  <c r="R218" i="6" s="1"/>
  <c r="M210" i="3"/>
  <c r="K221" i="6"/>
  <c r="R221" i="6" s="1"/>
  <c r="K224" i="6"/>
  <c r="R224" i="6" s="1"/>
  <c r="K227" i="6"/>
  <c r="R227" i="6" s="1"/>
  <c r="K230" i="6"/>
  <c r="R230" i="6" s="1"/>
  <c r="M222" i="3"/>
  <c r="K233" i="6"/>
  <c r="R233" i="6" s="1"/>
  <c r="K236" i="6"/>
  <c r="R236" i="6" s="1"/>
  <c r="K239" i="6"/>
  <c r="R239" i="6" s="1"/>
  <c r="M231" i="3"/>
  <c r="K242" i="6"/>
  <c r="R242" i="6" s="1"/>
  <c r="K245" i="6"/>
  <c r="R245" i="6" s="1"/>
  <c r="M237" i="3"/>
  <c r="K248" i="6"/>
  <c r="R248" i="6" s="1"/>
  <c r="K322" i="6"/>
  <c r="R322" i="6" s="1"/>
  <c r="E314" i="3"/>
  <c r="O322" i="6" s="1"/>
  <c r="C314" i="3"/>
  <c r="M322" i="6" s="1"/>
  <c r="K328" i="6"/>
  <c r="R328" i="6" s="1"/>
  <c r="E320" i="3"/>
  <c r="O328" i="6" s="1"/>
  <c r="J320" i="3"/>
  <c r="K345" i="6"/>
  <c r="R345" i="6" s="1"/>
  <c r="I337" i="3"/>
  <c r="F337" i="3"/>
  <c r="P345" i="6" s="1"/>
  <c r="K351" i="6"/>
  <c r="R351" i="6" s="1"/>
  <c r="I343" i="3"/>
  <c r="M343" i="3"/>
  <c r="L350" i="3"/>
  <c r="O354" i="3"/>
  <c r="P354" i="3" s="1"/>
  <c r="L356" i="3"/>
  <c r="M362" i="3"/>
  <c r="K376" i="6"/>
  <c r="R376" i="6" s="1"/>
  <c r="I368" i="3"/>
  <c r="G368" i="3"/>
  <c r="C368" i="3"/>
  <c r="M376" i="6" s="1"/>
  <c r="L368" i="3"/>
  <c r="K415" i="6"/>
  <c r="R415" i="6" s="1"/>
  <c r="I407" i="3"/>
  <c r="K407" i="3"/>
  <c r="Q407" i="5" s="1"/>
  <c r="L407" i="3"/>
  <c r="H407" i="3"/>
  <c r="C407" i="3"/>
  <c r="M415" i="6" s="1"/>
  <c r="L424" i="6"/>
  <c r="O416" i="3"/>
  <c r="P416" i="3" s="1"/>
  <c r="K431" i="6"/>
  <c r="R431" i="6" s="1"/>
  <c r="E423" i="3"/>
  <c r="O431" i="6" s="1"/>
  <c r="K423" i="3"/>
  <c r="J423" i="3"/>
  <c r="H423" i="3"/>
  <c r="B423" i="3"/>
  <c r="K437" i="6"/>
  <c r="R437" i="6" s="1"/>
  <c r="E429" i="3"/>
  <c r="O437" i="6" s="1"/>
  <c r="D429" i="3"/>
  <c r="N437" i="6" s="1"/>
  <c r="I429" i="3"/>
  <c r="G429" i="3"/>
  <c r="N429" i="3"/>
  <c r="O430" i="3"/>
  <c r="P430" i="3" s="1"/>
  <c r="Q506" i="6"/>
  <c r="M498" i="3"/>
  <c r="V36" i="4"/>
  <c r="W36" i="4" s="1"/>
  <c r="K334" i="6"/>
  <c r="R334" i="6" s="1"/>
  <c r="E326" i="3"/>
  <c r="O334" i="6" s="1"/>
  <c r="C326" i="3"/>
  <c r="M334" i="6" s="1"/>
  <c r="K340" i="6"/>
  <c r="R340" i="6" s="1"/>
  <c r="E332" i="3"/>
  <c r="O340" i="6" s="1"/>
  <c r="J332" i="3"/>
  <c r="K357" i="6"/>
  <c r="R357" i="6" s="1"/>
  <c r="I349" i="3"/>
  <c r="F349" i="3"/>
  <c r="K363" i="6"/>
  <c r="R363" i="6" s="1"/>
  <c r="I355" i="3"/>
  <c r="M355" i="3"/>
  <c r="O355" i="3"/>
  <c r="P355" i="3" s="1"/>
  <c r="Q406" i="6"/>
  <c r="M398" i="3"/>
  <c r="K433" i="6"/>
  <c r="R433" i="6" s="1"/>
  <c r="I425" i="3"/>
  <c r="D425" i="3"/>
  <c r="N433" i="6" s="1"/>
  <c r="E425" i="3"/>
  <c r="O433" i="6" s="1"/>
  <c r="B425" i="3"/>
  <c r="K425" i="3"/>
  <c r="K439" i="6"/>
  <c r="R439" i="6" s="1"/>
  <c r="I431" i="3"/>
  <c r="K431" i="3"/>
  <c r="B431" i="3"/>
  <c r="N431" i="3"/>
  <c r="G431" i="3"/>
  <c r="K443" i="6"/>
  <c r="R443" i="6" s="1"/>
  <c r="E435" i="3"/>
  <c r="O443" i="6" s="1"/>
  <c r="K435" i="3"/>
  <c r="F435" i="3"/>
  <c r="P443" i="6" s="1"/>
  <c r="C435" i="3"/>
  <c r="M443" i="6" s="1"/>
  <c r="L435" i="3"/>
  <c r="L455" i="6"/>
  <c r="M480" i="3"/>
  <c r="V34" i="4"/>
  <c r="W34" i="4" s="1"/>
  <c r="K352" i="6"/>
  <c r="R352" i="6" s="1"/>
  <c r="E344" i="3"/>
  <c r="O352" i="6" s="1"/>
  <c r="J344" i="3"/>
  <c r="K369" i="6"/>
  <c r="R369" i="6" s="1"/>
  <c r="I361" i="3"/>
  <c r="L361" i="3"/>
  <c r="F361" i="3"/>
  <c r="K389" i="6"/>
  <c r="R389" i="6" s="1"/>
  <c r="E381" i="3"/>
  <c r="O389" i="6" s="1"/>
  <c r="D381" i="3"/>
  <c r="N389" i="6" s="1"/>
  <c r="K381" i="3"/>
  <c r="Q389" i="6" s="1"/>
  <c r="F381" i="3"/>
  <c r="P389" i="6" s="1"/>
  <c r="K392" i="6"/>
  <c r="R392" i="6" s="1"/>
  <c r="E384" i="3"/>
  <c r="O392" i="6" s="1"/>
  <c r="H384" i="3"/>
  <c r="D384" i="3"/>
  <c r="N392" i="6" s="1"/>
  <c r="B384" i="3"/>
  <c r="K384" i="3"/>
  <c r="K436" i="6"/>
  <c r="R436" i="6" s="1"/>
  <c r="I428" i="3"/>
  <c r="G428" i="3"/>
  <c r="K428" i="3"/>
  <c r="H428" i="3"/>
  <c r="B428" i="3"/>
  <c r="K445" i="6"/>
  <c r="R445" i="6" s="1"/>
  <c r="I437" i="3"/>
  <c r="D437" i="3"/>
  <c r="N445" i="6" s="1"/>
  <c r="N437" i="3"/>
  <c r="L437" i="3"/>
  <c r="F437" i="3"/>
  <c r="P445" i="6" s="1"/>
  <c r="K484" i="6"/>
  <c r="R484" i="6" s="1"/>
  <c r="I476" i="3"/>
  <c r="G476" i="3"/>
  <c r="E476" i="3"/>
  <c r="O484" i="6" s="1"/>
  <c r="C476" i="3"/>
  <c r="M484" i="6" s="1"/>
  <c r="L476" i="3"/>
  <c r="K497" i="6"/>
  <c r="R497" i="6" s="1"/>
  <c r="E489" i="3"/>
  <c r="O497" i="6" s="1"/>
  <c r="D489" i="3"/>
  <c r="N497" i="6" s="1"/>
  <c r="K489" i="3"/>
  <c r="Q497" i="6" s="1"/>
  <c r="F489" i="3"/>
  <c r="P497" i="6" s="1"/>
  <c r="K500" i="6"/>
  <c r="R500" i="6" s="1"/>
  <c r="E492" i="3"/>
  <c r="O500" i="6" s="1"/>
  <c r="H492" i="3"/>
  <c r="D492" i="3"/>
  <c r="N500" i="6" s="1"/>
  <c r="B492" i="3"/>
  <c r="K492" i="3"/>
  <c r="B344" i="3"/>
  <c r="K358" i="6"/>
  <c r="R358" i="6" s="1"/>
  <c r="E350" i="3"/>
  <c r="O358" i="6" s="1"/>
  <c r="C350" i="3"/>
  <c r="M358" i="6" s="1"/>
  <c r="K364" i="6"/>
  <c r="R364" i="6" s="1"/>
  <c r="E356" i="3"/>
  <c r="O364" i="6" s="1"/>
  <c r="J356" i="3"/>
  <c r="Q356" i="5" s="1"/>
  <c r="B361" i="3"/>
  <c r="K370" i="6"/>
  <c r="R370" i="6" s="1"/>
  <c r="E362" i="3"/>
  <c r="O370" i="6" s="1"/>
  <c r="I362" i="3"/>
  <c r="C362" i="3"/>
  <c r="M370" i="6" s="1"/>
  <c r="K379" i="6"/>
  <c r="R379" i="6" s="1"/>
  <c r="I371" i="3"/>
  <c r="K371" i="3"/>
  <c r="H371" i="3"/>
  <c r="C371" i="3"/>
  <c r="M379" i="6" s="1"/>
  <c r="B381" i="3"/>
  <c r="K391" i="6"/>
  <c r="R391" i="6" s="1"/>
  <c r="I383" i="3"/>
  <c r="K383" i="3"/>
  <c r="Q391" i="6" s="1"/>
  <c r="F383" i="3"/>
  <c r="P391" i="6" s="1"/>
  <c r="D383" i="3"/>
  <c r="N391" i="6" s="1"/>
  <c r="C384" i="3"/>
  <c r="M392" i="6" s="1"/>
  <c r="K404" i="6"/>
  <c r="R404" i="6" s="1"/>
  <c r="E396" i="3"/>
  <c r="O404" i="6" s="1"/>
  <c r="H396" i="3"/>
  <c r="N396" i="3"/>
  <c r="L396" i="3"/>
  <c r="F396" i="3"/>
  <c r="P404" i="6" s="1"/>
  <c r="O397" i="3"/>
  <c r="P397" i="3" s="1"/>
  <c r="C428" i="3"/>
  <c r="M436" i="6" s="1"/>
  <c r="B437" i="3"/>
  <c r="O450" i="3"/>
  <c r="P450" i="3" s="1"/>
  <c r="B476" i="3"/>
  <c r="M488" i="3"/>
  <c r="B489" i="3"/>
  <c r="K499" i="6"/>
  <c r="R499" i="6" s="1"/>
  <c r="I491" i="3"/>
  <c r="K491" i="3"/>
  <c r="Q499" i="6" s="1"/>
  <c r="F491" i="3"/>
  <c r="P499" i="6" s="1"/>
  <c r="D491" i="3"/>
  <c r="N499" i="6" s="1"/>
  <c r="C492" i="3"/>
  <c r="M500" i="6" s="1"/>
  <c r="K512" i="6"/>
  <c r="R512" i="6" s="1"/>
  <c r="E504" i="3"/>
  <c r="O512" i="6" s="1"/>
  <c r="H504" i="3"/>
  <c r="N504" i="3"/>
  <c r="L504" i="3"/>
  <c r="F504" i="3"/>
  <c r="AB17" i="4"/>
  <c r="AE17" i="4"/>
  <c r="K487" i="6"/>
  <c r="R487" i="6" s="1"/>
  <c r="I479" i="3"/>
  <c r="K479" i="3"/>
  <c r="L479" i="3"/>
  <c r="H479" i="3"/>
  <c r="C479" i="3"/>
  <c r="M487" i="6" s="1"/>
  <c r="L488" i="6"/>
  <c r="L496" i="6"/>
  <c r="K503" i="6"/>
  <c r="R503" i="6" s="1"/>
  <c r="E495" i="3"/>
  <c r="O503" i="6" s="1"/>
  <c r="K495" i="3"/>
  <c r="J495" i="3"/>
  <c r="H495" i="3"/>
  <c r="B495" i="3"/>
  <c r="K509" i="6"/>
  <c r="R509" i="6" s="1"/>
  <c r="E501" i="3"/>
  <c r="O509" i="6" s="1"/>
  <c r="D501" i="3"/>
  <c r="N509" i="6" s="1"/>
  <c r="I501" i="3"/>
  <c r="G501" i="3"/>
  <c r="N501" i="3"/>
  <c r="O502" i="3"/>
  <c r="P502" i="3" s="1"/>
  <c r="F117" i="3"/>
  <c r="P125" i="6" s="1"/>
  <c r="F126" i="3"/>
  <c r="F132" i="3"/>
  <c r="F135" i="3"/>
  <c r="F138" i="3"/>
  <c r="F144" i="3"/>
  <c r="F147" i="3"/>
  <c r="P155" i="6" s="1"/>
  <c r="F150" i="3"/>
  <c r="P158" i="6" s="1"/>
  <c r="F153" i="3"/>
  <c r="F159" i="3"/>
  <c r="P167" i="6" s="1"/>
  <c r="F162" i="3"/>
  <c r="F165" i="3"/>
  <c r="F168" i="3"/>
  <c r="P176" i="6" s="1"/>
  <c r="F174" i="3"/>
  <c r="P182" i="6" s="1"/>
  <c r="F177" i="3"/>
  <c r="P185" i="6" s="1"/>
  <c r="F192" i="3"/>
  <c r="F198" i="3"/>
  <c r="P206" i="6" s="1"/>
  <c r="F201" i="3"/>
  <c r="P209" i="6" s="1"/>
  <c r="F204" i="3"/>
  <c r="P212" i="6" s="1"/>
  <c r="F207" i="3"/>
  <c r="P215" i="6" s="1"/>
  <c r="F210" i="3"/>
  <c r="F213" i="3"/>
  <c r="P221" i="6" s="1"/>
  <c r="F216" i="3"/>
  <c r="P224" i="6" s="1"/>
  <c r="F219" i="3"/>
  <c r="P227" i="6" s="1"/>
  <c r="F222" i="3"/>
  <c r="F225" i="3"/>
  <c r="P233" i="6" s="1"/>
  <c r="F228" i="3"/>
  <c r="P236" i="6" s="1"/>
  <c r="F231" i="3"/>
  <c r="P239" i="6" s="1"/>
  <c r="F234" i="3"/>
  <c r="F237" i="3"/>
  <c r="P245" i="6" s="1"/>
  <c r="F240" i="3"/>
  <c r="P248" i="6" s="1"/>
  <c r="K253" i="6"/>
  <c r="R253" i="6" s="1"/>
  <c r="E245" i="3"/>
  <c r="O253" i="6" s="1"/>
  <c r="N245" i="3"/>
  <c r="K261" i="6"/>
  <c r="R261" i="6" s="1"/>
  <c r="I253" i="3"/>
  <c r="N253" i="3"/>
  <c r="K265" i="6"/>
  <c r="R265" i="6" s="1"/>
  <c r="E257" i="3"/>
  <c r="O265" i="6" s="1"/>
  <c r="N257" i="3"/>
  <c r="K273" i="6"/>
  <c r="R273" i="6" s="1"/>
  <c r="I265" i="3"/>
  <c r="N265" i="3"/>
  <c r="K277" i="6"/>
  <c r="R277" i="6" s="1"/>
  <c r="E269" i="3"/>
  <c r="O277" i="6" s="1"/>
  <c r="N269" i="3"/>
  <c r="K285" i="6"/>
  <c r="R285" i="6" s="1"/>
  <c r="I277" i="3"/>
  <c r="N277" i="3"/>
  <c r="K289" i="6"/>
  <c r="R289" i="6" s="1"/>
  <c r="E281" i="3"/>
  <c r="O289" i="6" s="1"/>
  <c r="N281" i="3"/>
  <c r="K297" i="6"/>
  <c r="R297" i="6" s="1"/>
  <c r="I289" i="3"/>
  <c r="N289" i="3"/>
  <c r="K301" i="6"/>
  <c r="R301" i="6" s="1"/>
  <c r="E293" i="3"/>
  <c r="O301" i="6" s="1"/>
  <c r="N293" i="3"/>
  <c r="K309" i="6"/>
  <c r="R309" i="6" s="1"/>
  <c r="I301" i="3"/>
  <c r="N301" i="3"/>
  <c r="K313" i="6"/>
  <c r="R313" i="6" s="1"/>
  <c r="E305" i="3"/>
  <c r="O313" i="6" s="1"/>
  <c r="G305" i="3"/>
  <c r="K319" i="6"/>
  <c r="R319" i="6" s="1"/>
  <c r="E311" i="3"/>
  <c r="O319" i="6" s="1"/>
  <c r="M311" i="3"/>
  <c r="H314" i="3"/>
  <c r="G320" i="3"/>
  <c r="K330" i="6"/>
  <c r="R330" i="6" s="1"/>
  <c r="I322" i="3"/>
  <c r="C322" i="3"/>
  <c r="M330" i="6" s="1"/>
  <c r="G326" i="3"/>
  <c r="K336" i="6"/>
  <c r="R336" i="6" s="1"/>
  <c r="I328" i="3"/>
  <c r="J328" i="3"/>
  <c r="Q328" i="5" s="1"/>
  <c r="F332" i="3"/>
  <c r="P340" i="6" s="1"/>
  <c r="G337" i="3"/>
  <c r="F343" i="3"/>
  <c r="D344" i="3"/>
  <c r="N352" i="6" s="1"/>
  <c r="O345" i="3"/>
  <c r="P345" i="3" s="1"/>
  <c r="E349" i="3"/>
  <c r="O357" i="6" s="1"/>
  <c r="D350" i="3"/>
  <c r="N358" i="6" s="1"/>
  <c r="O351" i="3"/>
  <c r="P351" i="3" s="1"/>
  <c r="E355" i="3"/>
  <c r="O363" i="6" s="1"/>
  <c r="C356" i="3"/>
  <c r="M364" i="6" s="1"/>
  <c r="D361" i="3"/>
  <c r="N369" i="6" s="1"/>
  <c r="D362" i="3"/>
  <c r="N370" i="6" s="1"/>
  <c r="D371" i="3"/>
  <c r="N379" i="6" s="1"/>
  <c r="G381" i="3"/>
  <c r="C383" i="3"/>
  <c r="M391" i="6" s="1"/>
  <c r="G384" i="3"/>
  <c r="K397" i="6"/>
  <c r="R397" i="6" s="1"/>
  <c r="I389" i="3"/>
  <c r="D389" i="3"/>
  <c r="N397" i="6" s="1"/>
  <c r="E389" i="3"/>
  <c r="O397" i="6" s="1"/>
  <c r="B389" i="3"/>
  <c r="K389" i="3"/>
  <c r="K403" i="6"/>
  <c r="R403" i="6" s="1"/>
  <c r="I395" i="3"/>
  <c r="K395" i="3"/>
  <c r="B395" i="3"/>
  <c r="N395" i="3"/>
  <c r="G395" i="3"/>
  <c r="C396" i="3"/>
  <c r="M404" i="6" s="1"/>
  <c r="K407" i="6"/>
  <c r="R407" i="6" s="1"/>
  <c r="E399" i="3"/>
  <c r="O407" i="6" s="1"/>
  <c r="K399" i="3"/>
  <c r="Q407" i="6" s="1"/>
  <c r="F399" i="3"/>
  <c r="P407" i="6" s="1"/>
  <c r="C399" i="3"/>
  <c r="M407" i="6" s="1"/>
  <c r="L399" i="3"/>
  <c r="H425" i="3"/>
  <c r="E428" i="3"/>
  <c r="O436" i="6" s="1"/>
  <c r="F431" i="3"/>
  <c r="P439" i="6" s="1"/>
  <c r="H435" i="3"/>
  <c r="E437" i="3"/>
  <c r="O445" i="6" s="1"/>
  <c r="M470" i="3"/>
  <c r="F476" i="3"/>
  <c r="P484" i="6" s="1"/>
  <c r="B479" i="3"/>
  <c r="G489" i="3"/>
  <c r="C491" i="3"/>
  <c r="M499" i="6" s="1"/>
  <c r="G492" i="3"/>
  <c r="C495" i="3"/>
  <c r="M503" i="6" s="1"/>
  <c r="K505" i="6"/>
  <c r="R505" i="6" s="1"/>
  <c r="I497" i="3"/>
  <c r="D497" i="3"/>
  <c r="N505" i="6" s="1"/>
  <c r="E497" i="3"/>
  <c r="O505" i="6" s="1"/>
  <c r="B497" i="3"/>
  <c r="K497" i="3"/>
  <c r="Q505" i="6" s="1"/>
  <c r="B501" i="3"/>
  <c r="K511" i="6"/>
  <c r="R511" i="6" s="1"/>
  <c r="I503" i="3"/>
  <c r="K503" i="3"/>
  <c r="B503" i="3"/>
  <c r="N503" i="3"/>
  <c r="G503" i="3"/>
  <c r="C504" i="3"/>
  <c r="M512" i="6" s="1"/>
  <c r="V24" i="4"/>
  <c r="W24" i="4" s="1"/>
  <c r="AE50" i="4"/>
  <c r="AB50" i="4"/>
  <c r="V47" i="4"/>
  <c r="W47" i="4" s="1"/>
  <c r="V42" i="4"/>
  <c r="W42" i="4" s="1"/>
  <c r="V40" i="4"/>
  <c r="W40" i="4" s="1"/>
  <c r="V49" i="4"/>
  <c r="W49" i="4" s="1"/>
  <c r="V45" i="4"/>
  <c r="W45" i="4" s="1"/>
  <c r="AB39" i="4"/>
  <c r="V51" i="4"/>
  <c r="W51" i="4" s="1"/>
  <c r="V43" i="4"/>
  <c r="W43" i="4" s="1"/>
  <c r="V50" i="4"/>
  <c r="W50" i="4" s="1"/>
  <c r="V48" i="4"/>
  <c r="W48" i="4" s="1"/>
  <c r="V46" i="4"/>
  <c r="W46" i="4" s="1"/>
  <c r="AC46" i="4" s="1"/>
  <c r="V39" i="4"/>
  <c r="W39" i="4" s="1"/>
  <c r="AE32" i="4"/>
  <c r="AB32" i="4"/>
  <c r="V55" i="4"/>
  <c r="W55" i="4" s="1"/>
  <c r="AE53" i="4"/>
  <c r="AB53" i="4"/>
  <c r="V56" i="4"/>
  <c r="W56" i="4" s="1"/>
  <c r="AC56" i="4" s="1"/>
  <c r="K380" i="6"/>
  <c r="R380" i="6" s="1"/>
  <c r="E372" i="3"/>
  <c r="O380" i="6" s="1"/>
  <c r="H372" i="3"/>
  <c r="G375" i="3"/>
  <c r="K385" i="6"/>
  <c r="R385" i="6" s="1"/>
  <c r="I377" i="3"/>
  <c r="D377" i="3"/>
  <c r="N385" i="6" s="1"/>
  <c r="F380" i="3"/>
  <c r="P388" i="6" s="1"/>
  <c r="K416" i="6"/>
  <c r="R416" i="6" s="1"/>
  <c r="E408" i="3"/>
  <c r="O416" i="6" s="1"/>
  <c r="H408" i="3"/>
  <c r="G411" i="3"/>
  <c r="K421" i="6"/>
  <c r="R421" i="6" s="1"/>
  <c r="I413" i="3"/>
  <c r="D413" i="3"/>
  <c r="N421" i="6" s="1"/>
  <c r="F416" i="3"/>
  <c r="P424" i="6" s="1"/>
  <c r="K452" i="6"/>
  <c r="R452" i="6" s="1"/>
  <c r="E444" i="3"/>
  <c r="O452" i="6" s="1"/>
  <c r="H444" i="3"/>
  <c r="G447" i="3"/>
  <c r="K457" i="6"/>
  <c r="R457" i="6" s="1"/>
  <c r="I449" i="3"/>
  <c r="D449" i="3"/>
  <c r="N457" i="6" s="1"/>
  <c r="F452" i="3"/>
  <c r="P460" i="6" s="1"/>
  <c r="K488" i="6"/>
  <c r="R488" i="6" s="1"/>
  <c r="E480" i="3"/>
  <c r="O488" i="6" s="1"/>
  <c r="H480" i="3"/>
  <c r="G483" i="3"/>
  <c r="K493" i="6"/>
  <c r="R493" i="6" s="1"/>
  <c r="I485" i="3"/>
  <c r="D485" i="3"/>
  <c r="N493" i="6" s="1"/>
  <c r="F488" i="3"/>
  <c r="P496" i="6" s="1"/>
  <c r="M13" i="5"/>
  <c r="V32" i="4"/>
  <c r="W32" i="4" s="1"/>
  <c r="AE15" i="4"/>
  <c r="AB15" i="4"/>
  <c r="V37" i="4"/>
  <c r="W37" i="4" s="1"/>
  <c r="V30" i="4"/>
  <c r="W30" i="4" s="1"/>
  <c r="V35" i="4"/>
  <c r="W35" i="4" s="1"/>
  <c r="V23" i="4"/>
  <c r="W23" i="4" s="1"/>
  <c r="V33" i="4"/>
  <c r="W33" i="4" s="1"/>
  <c r="V38" i="4"/>
  <c r="W38" i="4" s="1"/>
  <c r="AC38" i="4" s="1"/>
  <c r="V26" i="4"/>
  <c r="W26" i="4" s="1"/>
  <c r="V31" i="4"/>
  <c r="W31" i="4" s="1"/>
  <c r="V28" i="4"/>
  <c r="W28" i="4" s="1"/>
  <c r="K377" i="6"/>
  <c r="R377" i="6" s="1"/>
  <c r="E369" i="3"/>
  <c r="O377" i="6" s="1"/>
  <c r="D369" i="3"/>
  <c r="N377" i="6" s="1"/>
  <c r="K413" i="6"/>
  <c r="R413" i="6" s="1"/>
  <c r="E405" i="3"/>
  <c r="O413" i="6" s="1"/>
  <c r="D405" i="3"/>
  <c r="N413" i="6" s="1"/>
  <c r="K449" i="6"/>
  <c r="R449" i="6" s="1"/>
  <c r="E441" i="3"/>
  <c r="O449" i="6" s="1"/>
  <c r="D441" i="3"/>
  <c r="N449" i="6" s="1"/>
  <c r="K485" i="6"/>
  <c r="R485" i="6" s="1"/>
  <c r="E477" i="3"/>
  <c r="O485" i="6" s="1"/>
  <c r="D477" i="3"/>
  <c r="N485" i="6" s="1"/>
  <c r="O487" i="3"/>
  <c r="P487" i="3" s="1"/>
  <c r="V41" i="4"/>
  <c r="W41" i="4" s="1"/>
  <c r="K383" i="6"/>
  <c r="R383" i="6" s="1"/>
  <c r="E375" i="3"/>
  <c r="O383" i="6" s="1"/>
  <c r="K375" i="3"/>
  <c r="Q383" i="6" s="1"/>
  <c r="K388" i="6"/>
  <c r="R388" i="6" s="1"/>
  <c r="I380" i="3"/>
  <c r="G380" i="3"/>
  <c r="O385" i="3"/>
  <c r="P385" i="3" s="1"/>
  <c r="K419" i="6"/>
  <c r="R419" i="6" s="1"/>
  <c r="E411" i="3"/>
  <c r="O419" i="6" s="1"/>
  <c r="K411" i="3"/>
  <c r="Q419" i="6" s="1"/>
  <c r="K424" i="6"/>
  <c r="R424" i="6" s="1"/>
  <c r="I416" i="3"/>
  <c r="G416" i="3"/>
  <c r="K455" i="6"/>
  <c r="R455" i="6" s="1"/>
  <c r="E447" i="3"/>
  <c r="O455" i="6" s="1"/>
  <c r="K447" i="3"/>
  <c r="Q455" i="6" s="1"/>
  <c r="K460" i="6"/>
  <c r="R460" i="6" s="1"/>
  <c r="I452" i="3"/>
  <c r="G452" i="3"/>
  <c r="K491" i="6"/>
  <c r="R491" i="6" s="1"/>
  <c r="E483" i="3"/>
  <c r="O491" i="6" s="1"/>
  <c r="K483" i="3"/>
  <c r="Q491" i="6" s="1"/>
  <c r="K496" i="6"/>
  <c r="R496" i="6" s="1"/>
  <c r="I488" i="3"/>
  <c r="G488" i="3"/>
  <c r="V29" i="4"/>
  <c r="W29" i="4" s="1"/>
  <c r="AE78" i="4"/>
  <c r="AB78" i="4"/>
  <c r="AE142" i="4"/>
  <c r="AB142" i="4"/>
  <c r="AB71" i="4"/>
  <c r="AE114" i="4"/>
  <c r="AB114" i="4"/>
  <c r="AE116" i="4"/>
  <c r="AB116" i="4"/>
  <c r="AE256" i="4"/>
  <c r="AB256" i="4"/>
  <c r="AB219" i="4"/>
  <c r="V226" i="4"/>
  <c r="W226" i="4" s="1"/>
  <c r="V219" i="4"/>
  <c r="W219" i="4" s="1"/>
  <c r="V224" i="4"/>
  <c r="W224" i="4" s="1"/>
  <c r="V222" i="4"/>
  <c r="W222" i="4" s="1"/>
  <c r="AE219" i="4"/>
  <c r="V227" i="4"/>
  <c r="W227" i="4" s="1"/>
  <c r="V232" i="4"/>
  <c r="W232" i="4" s="1"/>
  <c r="V230" i="4"/>
  <c r="W230" i="4" s="1"/>
  <c r="AC230" i="4" s="1"/>
  <c r="V225" i="4"/>
  <c r="W225" i="4" s="1"/>
  <c r="AB77" i="4"/>
  <c r="AB87" i="4"/>
  <c r="AE91" i="4"/>
  <c r="AB91" i="4"/>
  <c r="AE99" i="4"/>
  <c r="AB99" i="4"/>
  <c r="V59" i="4"/>
  <c r="W59" i="4" s="1"/>
  <c r="V94" i="4"/>
  <c r="W94" i="4" s="1"/>
  <c r="V125" i="4"/>
  <c r="W125" i="4" s="1"/>
  <c r="V123" i="4"/>
  <c r="W123" i="4" s="1"/>
  <c r="AC123" i="4" s="1"/>
  <c r="V121" i="4"/>
  <c r="W121" i="4" s="1"/>
  <c r="V119" i="4"/>
  <c r="W119" i="4" s="1"/>
  <c r="AE112" i="4"/>
  <c r="V113" i="4"/>
  <c r="W113" i="4" s="1"/>
  <c r="V128" i="4"/>
  <c r="W128" i="4" s="1"/>
  <c r="AC128" i="4" s="1"/>
  <c r="V122" i="4"/>
  <c r="W122" i="4" s="1"/>
  <c r="V116" i="4"/>
  <c r="W116" i="4" s="1"/>
  <c r="M8" i="5"/>
  <c r="D11" i="5"/>
  <c r="AB65" i="4"/>
  <c r="AB69" i="4"/>
  <c r="AB85" i="4"/>
  <c r="AB90" i="4"/>
  <c r="AB93" i="4"/>
  <c r="AB97" i="4"/>
  <c r="AE103" i="4"/>
  <c r="AB207" i="4"/>
  <c r="V207" i="4"/>
  <c r="W207" i="4" s="1"/>
  <c r="AE207" i="4"/>
  <c r="AB44" i="4"/>
  <c r="D21" i="5"/>
  <c r="D9" i="5"/>
  <c r="V62" i="4"/>
  <c r="W62" i="4" s="1"/>
  <c r="V65" i="4"/>
  <c r="W65" i="4" s="1"/>
  <c r="D14" i="5"/>
  <c r="V71" i="4"/>
  <c r="W71" i="4" s="1"/>
  <c r="AC71" i="4" s="1"/>
  <c r="AB80" i="4"/>
  <c r="V110" i="4"/>
  <c r="W110" i="4" s="1"/>
  <c r="AC110" i="4" s="1"/>
  <c r="AE175" i="4"/>
  <c r="AB175" i="4"/>
  <c r="V178" i="4"/>
  <c r="W178" i="4" s="1"/>
  <c r="K251" i="6"/>
  <c r="R251" i="6" s="1"/>
  <c r="M243" i="3"/>
  <c r="K254" i="6"/>
  <c r="R254" i="6" s="1"/>
  <c r="M246" i="3"/>
  <c r="K257" i="6"/>
  <c r="R257" i="6" s="1"/>
  <c r="M249" i="3"/>
  <c r="K260" i="6"/>
  <c r="R260" i="6" s="1"/>
  <c r="K263" i="6"/>
  <c r="R263" i="6" s="1"/>
  <c r="K266" i="6"/>
  <c r="R266" i="6" s="1"/>
  <c r="M258" i="3"/>
  <c r="K269" i="6"/>
  <c r="R269" i="6" s="1"/>
  <c r="M261" i="3"/>
  <c r="K272" i="6"/>
  <c r="R272" i="6" s="1"/>
  <c r="M264" i="3"/>
  <c r="K275" i="6"/>
  <c r="R275" i="6" s="1"/>
  <c r="M267" i="3"/>
  <c r="K278" i="6"/>
  <c r="R278" i="6" s="1"/>
  <c r="M270" i="3"/>
  <c r="K281" i="6"/>
  <c r="R281" i="6" s="1"/>
  <c r="K284" i="6"/>
  <c r="R284" i="6" s="1"/>
  <c r="K287" i="6"/>
  <c r="R287" i="6" s="1"/>
  <c r="K290" i="6"/>
  <c r="R290" i="6" s="1"/>
  <c r="M282" i="3"/>
  <c r="K293" i="6"/>
  <c r="R293" i="6" s="1"/>
  <c r="K296" i="6"/>
  <c r="R296" i="6" s="1"/>
  <c r="K299" i="6"/>
  <c r="R299" i="6" s="1"/>
  <c r="K302" i="6"/>
  <c r="R302" i="6" s="1"/>
  <c r="M294" i="3"/>
  <c r="K305" i="6"/>
  <c r="R305" i="6" s="1"/>
  <c r="M297" i="3"/>
  <c r="K308" i="6"/>
  <c r="R308" i="6" s="1"/>
  <c r="M300" i="3"/>
  <c r="K311" i="6"/>
  <c r="R311" i="6" s="1"/>
  <c r="K314" i="6"/>
  <c r="R314" i="6" s="1"/>
  <c r="M306" i="3"/>
  <c r="K317" i="6"/>
  <c r="R317" i="6" s="1"/>
  <c r="M309" i="3"/>
  <c r="K320" i="6"/>
  <c r="R320" i="6" s="1"/>
  <c r="M312" i="3"/>
  <c r="K323" i="6"/>
  <c r="R323" i="6" s="1"/>
  <c r="K326" i="6"/>
  <c r="R326" i="6" s="1"/>
  <c r="M318" i="3"/>
  <c r="K329" i="6"/>
  <c r="R329" i="6" s="1"/>
  <c r="M321" i="3"/>
  <c r="K332" i="6"/>
  <c r="R332" i="6" s="1"/>
  <c r="M324" i="3"/>
  <c r="K335" i="6"/>
  <c r="R335" i="6" s="1"/>
  <c r="K338" i="6"/>
  <c r="R338" i="6" s="1"/>
  <c r="M330" i="3"/>
  <c r="K341" i="6"/>
  <c r="R341" i="6" s="1"/>
  <c r="M333" i="3"/>
  <c r="K344" i="6"/>
  <c r="R344" i="6" s="1"/>
  <c r="M336" i="3"/>
  <c r="K347" i="6"/>
  <c r="R347" i="6" s="1"/>
  <c r="K350" i="6"/>
  <c r="R350" i="6" s="1"/>
  <c r="K353" i="6"/>
  <c r="R353" i="6" s="1"/>
  <c r="K356" i="6"/>
  <c r="R356" i="6" s="1"/>
  <c r="M348" i="3"/>
  <c r="K359" i="6"/>
  <c r="R359" i="6" s="1"/>
  <c r="M351" i="3"/>
  <c r="K362" i="6"/>
  <c r="R362" i="6" s="1"/>
  <c r="M354" i="3"/>
  <c r="K365" i="6"/>
  <c r="R365" i="6" s="1"/>
  <c r="K368" i="6"/>
  <c r="R368" i="6" s="1"/>
  <c r="K371" i="6"/>
  <c r="R371" i="6" s="1"/>
  <c r="M363" i="3"/>
  <c r="K374" i="6"/>
  <c r="R374" i="6" s="1"/>
  <c r="E366" i="3"/>
  <c r="O374" i="6" s="1"/>
  <c r="N366" i="3"/>
  <c r="K382" i="6"/>
  <c r="R382" i="6" s="1"/>
  <c r="I374" i="3"/>
  <c r="N374" i="3"/>
  <c r="K386" i="6"/>
  <c r="R386" i="6" s="1"/>
  <c r="E378" i="3"/>
  <c r="O386" i="6" s="1"/>
  <c r="N378" i="3"/>
  <c r="K394" i="6"/>
  <c r="R394" i="6" s="1"/>
  <c r="I386" i="3"/>
  <c r="N386" i="3"/>
  <c r="K398" i="6"/>
  <c r="R398" i="6" s="1"/>
  <c r="E390" i="3"/>
  <c r="O398" i="6" s="1"/>
  <c r="N390" i="3"/>
  <c r="K406" i="6"/>
  <c r="R406" i="6" s="1"/>
  <c r="I398" i="3"/>
  <c r="N398" i="3"/>
  <c r="K410" i="6"/>
  <c r="R410" i="6" s="1"/>
  <c r="E402" i="3"/>
  <c r="O410" i="6" s="1"/>
  <c r="N402" i="3"/>
  <c r="K418" i="6"/>
  <c r="R418" i="6" s="1"/>
  <c r="I410" i="3"/>
  <c r="N410" i="3"/>
  <c r="K422" i="6"/>
  <c r="R422" i="6" s="1"/>
  <c r="E414" i="3"/>
  <c r="O422" i="6" s="1"/>
  <c r="N414" i="3"/>
  <c r="K430" i="6"/>
  <c r="R430" i="6" s="1"/>
  <c r="I422" i="3"/>
  <c r="N422" i="3"/>
  <c r="K434" i="6"/>
  <c r="R434" i="6" s="1"/>
  <c r="E426" i="3"/>
  <c r="N426" i="3"/>
  <c r="K442" i="6"/>
  <c r="R442" i="6" s="1"/>
  <c r="I434" i="3"/>
  <c r="N434" i="3"/>
  <c r="K446" i="6"/>
  <c r="R446" i="6" s="1"/>
  <c r="E438" i="3"/>
  <c r="O446" i="6" s="1"/>
  <c r="N438" i="3"/>
  <c r="K454" i="6"/>
  <c r="R454" i="6" s="1"/>
  <c r="I446" i="3"/>
  <c r="N446" i="3"/>
  <c r="K458" i="6"/>
  <c r="R458" i="6" s="1"/>
  <c r="E450" i="3"/>
  <c r="O458" i="6" s="1"/>
  <c r="N450" i="3"/>
  <c r="K466" i="6"/>
  <c r="R466" i="6" s="1"/>
  <c r="I458" i="3"/>
  <c r="N458" i="3"/>
  <c r="K470" i="6"/>
  <c r="R470" i="6" s="1"/>
  <c r="E462" i="3"/>
  <c r="O470" i="6" s="1"/>
  <c r="N462" i="3"/>
  <c r="K478" i="6"/>
  <c r="R478" i="6" s="1"/>
  <c r="I470" i="3"/>
  <c r="N470" i="3"/>
  <c r="K482" i="6"/>
  <c r="R482" i="6" s="1"/>
  <c r="E474" i="3"/>
  <c r="O482" i="6" s="1"/>
  <c r="N474" i="3"/>
  <c r="K490" i="6"/>
  <c r="R490" i="6" s="1"/>
  <c r="I482" i="3"/>
  <c r="N482" i="3"/>
  <c r="K494" i="6"/>
  <c r="R494" i="6" s="1"/>
  <c r="E486" i="3"/>
  <c r="O494" i="6" s="1"/>
  <c r="N486" i="3"/>
  <c r="K502" i="6"/>
  <c r="R502" i="6" s="1"/>
  <c r="I494" i="3"/>
  <c r="N494" i="3"/>
  <c r="K506" i="6"/>
  <c r="R506" i="6" s="1"/>
  <c r="E498" i="3"/>
  <c r="O506" i="6" s="1"/>
  <c r="N498" i="3"/>
  <c r="V57" i="4"/>
  <c r="W57" i="4" s="1"/>
  <c r="AB61" i="4"/>
  <c r="V68" i="4"/>
  <c r="W68" i="4" s="1"/>
  <c r="AB88" i="4"/>
  <c r="AB98" i="4"/>
  <c r="AE63" i="4"/>
  <c r="AB63" i="4"/>
  <c r="AE74" i="4"/>
  <c r="AB74" i="4"/>
  <c r="D16" i="5"/>
  <c r="V108" i="4"/>
  <c r="W108" i="4" s="1"/>
  <c r="V106" i="4"/>
  <c r="W106" i="4" s="1"/>
  <c r="V104" i="4"/>
  <c r="W104" i="4" s="1"/>
  <c r="V102" i="4"/>
  <c r="W102" i="4" s="1"/>
  <c r="AB101" i="4"/>
  <c r="V107" i="4"/>
  <c r="W107" i="4" s="1"/>
  <c r="V105" i="4"/>
  <c r="W105" i="4" s="1"/>
  <c r="V103" i="4"/>
  <c r="W103" i="4" s="1"/>
  <c r="V120" i="4"/>
  <c r="W120" i="4" s="1"/>
  <c r="V127" i="4"/>
  <c r="W127" i="4" s="1"/>
  <c r="AE131" i="4"/>
  <c r="AB131" i="4"/>
  <c r="V54" i="4"/>
  <c r="W54" i="4" s="1"/>
  <c r="V60" i="4"/>
  <c r="W60" i="4" s="1"/>
  <c r="V63" i="4"/>
  <c r="W63" i="4" s="1"/>
  <c r="L11" i="5"/>
  <c r="V101" i="4"/>
  <c r="W101" i="4" s="1"/>
  <c r="AB112" i="4"/>
  <c r="AB162" i="4"/>
  <c r="AE273" i="4"/>
  <c r="AB273" i="4"/>
  <c r="AE55" i="4"/>
  <c r="AB55" i="4"/>
  <c r="M11" i="5"/>
  <c r="V66" i="4"/>
  <c r="W66" i="4" s="1"/>
  <c r="L14" i="5"/>
  <c r="AE105" i="4"/>
  <c r="AB105" i="4"/>
  <c r="AB51" i="4"/>
  <c r="M14" i="5"/>
  <c r="AE72" i="4"/>
  <c r="AB72" i="4"/>
  <c r="AB141" i="4"/>
  <c r="V142" i="4"/>
  <c r="W142" i="4" s="1"/>
  <c r="AC142" i="4" s="1"/>
  <c r="AB171" i="4"/>
  <c r="AE176" i="4"/>
  <c r="AB189" i="4"/>
  <c r="AE189" i="4"/>
  <c r="AB225" i="4"/>
  <c r="AE225" i="4"/>
  <c r="AE134" i="4"/>
  <c r="V147" i="4"/>
  <c r="W147" i="4" s="1"/>
  <c r="V149" i="4"/>
  <c r="W149" i="4" s="1"/>
  <c r="V140" i="4"/>
  <c r="W140" i="4" s="1"/>
  <c r="V187" i="4"/>
  <c r="W187" i="4" s="1"/>
  <c r="V185" i="4"/>
  <c r="W185" i="4" s="1"/>
  <c r="AE182" i="4"/>
  <c r="AE264" i="4"/>
  <c r="AB264" i="4"/>
  <c r="AB123" i="4"/>
  <c r="V145" i="4"/>
  <c r="W145" i="4" s="1"/>
  <c r="AB173" i="4"/>
  <c r="V179" i="4"/>
  <c r="W179" i="4" s="1"/>
  <c r="AC179" i="4" s="1"/>
  <c r="V176" i="4"/>
  <c r="W176" i="4" s="1"/>
  <c r="V182" i="4"/>
  <c r="W182" i="4" s="1"/>
  <c r="V190" i="4"/>
  <c r="W190" i="4" s="1"/>
  <c r="AC190" i="4" s="1"/>
  <c r="AE203" i="4"/>
  <c r="AB249" i="4"/>
  <c r="AE249" i="4"/>
  <c r="AB108" i="4"/>
  <c r="AB110" i="4"/>
  <c r="V124" i="4"/>
  <c r="W124" i="4" s="1"/>
  <c r="V126" i="4"/>
  <c r="W126" i="4" s="1"/>
  <c r="AB127" i="4"/>
  <c r="AB135" i="4"/>
  <c r="D18" i="5"/>
  <c r="AB143" i="4"/>
  <c r="V152" i="4"/>
  <c r="W152" i="4" s="1"/>
  <c r="AE146" i="4"/>
  <c r="AB154" i="4"/>
  <c r="AB159" i="4"/>
  <c r="AE161" i="4"/>
  <c r="AB172" i="4"/>
  <c r="AB184" i="4"/>
  <c r="V204" i="4"/>
  <c r="W204" i="4" s="1"/>
  <c r="AC204" i="4" s="1"/>
  <c r="V199" i="4"/>
  <c r="W199" i="4" s="1"/>
  <c r="V192" i="4"/>
  <c r="W192" i="4" s="1"/>
  <c r="V197" i="4"/>
  <c r="W197" i="4" s="1"/>
  <c r="AB191" i="4"/>
  <c r="V202" i="4"/>
  <c r="W202" i="4" s="1"/>
  <c r="V195" i="4"/>
  <c r="W195" i="4" s="1"/>
  <c r="V198" i="4"/>
  <c r="W198" i="4" s="1"/>
  <c r="V193" i="4"/>
  <c r="W193" i="4" s="1"/>
  <c r="V200" i="4"/>
  <c r="W200" i="4" s="1"/>
  <c r="AB243" i="4"/>
  <c r="AE243" i="4"/>
  <c r="AE244" i="4"/>
  <c r="AB244" i="4"/>
  <c r="V150" i="4"/>
  <c r="W150" i="4" s="1"/>
  <c r="AB201" i="4"/>
  <c r="AE201" i="4"/>
  <c r="AE215" i="4"/>
  <c r="AE232" i="4"/>
  <c r="AB232" i="4"/>
  <c r="AB133" i="4"/>
  <c r="V141" i="4"/>
  <c r="W141" i="4" s="1"/>
  <c r="V153" i="4"/>
  <c r="W153" i="4" s="1"/>
  <c r="AC153" i="4" s="1"/>
  <c r="AB157" i="4"/>
  <c r="AE164" i="4"/>
  <c r="AB178" i="4"/>
  <c r="V201" i="4"/>
  <c r="W201" i="4" s="1"/>
  <c r="AB213" i="4"/>
  <c r="AE213" i="4"/>
  <c r="AE270" i="4"/>
  <c r="AB270" i="4"/>
  <c r="K375" i="6"/>
  <c r="R375" i="6" s="1"/>
  <c r="M367" i="3"/>
  <c r="K378" i="6"/>
  <c r="R378" i="6" s="1"/>
  <c r="M370" i="3"/>
  <c r="K381" i="6"/>
  <c r="R381" i="6" s="1"/>
  <c r="M373" i="3"/>
  <c r="K384" i="6"/>
  <c r="R384" i="6" s="1"/>
  <c r="M376" i="3"/>
  <c r="K387" i="6"/>
  <c r="R387" i="6" s="1"/>
  <c r="K390" i="6"/>
  <c r="R390" i="6" s="1"/>
  <c r="M382" i="3"/>
  <c r="K393" i="6"/>
  <c r="R393" i="6" s="1"/>
  <c r="K396" i="6"/>
  <c r="R396" i="6" s="1"/>
  <c r="K399" i="6"/>
  <c r="R399" i="6" s="1"/>
  <c r="K402" i="6"/>
  <c r="R402" i="6" s="1"/>
  <c r="M394" i="3"/>
  <c r="K405" i="6"/>
  <c r="R405" i="6" s="1"/>
  <c r="M397" i="3"/>
  <c r="K408" i="6"/>
  <c r="R408" i="6" s="1"/>
  <c r="M400" i="3"/>
  <c r="K411" i="6"/>
  <c r="R411" i="6" s="1"/>
  <c r="M403" i="3"/>
  <c r="K414" i="6"/>
  <c r="R414" i="6" s="1"/>
  <c r="K417" i="6"/>
  <c r="R417" i="6" s="1"/>
  <c r="M409" i="3"/>
  <c r="K420" i="6"/>
  <c r="R420" i="6" s="1"/>
  <c r="K423" i="6"/>
  <c r="R423" i="6" s="1"/>
  <c r="M415" i="3"/>
  <c r="K426" i="6"/>
  <c r="R426" i="6" s="1"/>
  <c r="M418" i="3"/>
  <c r="K429" i="6"/>
  <c r="R429" i="6" s="1"/>
  <c r="K432" i="6"/>
  <c r="R432" i="6" s="1"/>
  <c r="M424" i="3"/>
  <c r="K435" i="6"/>
  <c r="R435" i="6" s="1"/>
  <c r="M427" i="3"/>
  <c r="K438" i="6"/>
  <c r="R438" i="6" s="1"/>
  <c r="M430" i="3"/>
  <c r="K441" i="6"/>
  <c r="R441" i="6" s="1"/>
  <c r="M433" i="3"/>
  <c r="K444" i="6"/>
  <c r="R444" i="6" s="1"/>
  <c r="M436" i="3"/>
  <c r="K447" i="6"/>
  <c r="R447" i="6" s="1"/>
  <c r="M439" i="3"/>
  <c r="K450" i="6"/>
  <c r="R450" i="6" s="1"/>
  <c r="K453" i="6"/>
  <c r="R453" i="6" s="1"/>
  <c r="K456" i="6"/>
  <c r="R456" i="6" s="1"/>
  <c r="K459" i="6"/>
  <c r="R459" i="6" s="1"/>
  <c r="K462" i="6"/>
  <c r="R462" i="6" s="1"/>
  <c r="K465" i="6"/>
  <c r="R465" i="6" s="1"/>
  <c r="M457" i="3"/>
  <c r="K468" i="6"/>
  <c r="R468" i="6" s="1"/>
  <c r="K471" i="6"/>
  <c r="R471" i="6" s="1"/>
  <c r="K474" i="6"/>
  <c r="R474" i="6" s="1"/>
  <c r="M466" i="3"/>
  <c r="K477" i="6"/>
  <c r="R477" i="6" s="1"/>
  <c r="M469" i="3"/>
  <c r="K480" i="6"/>
  <c r="R480" i="6" s="1"/>
  <c r="M472" i="3"/>
  <c r="K483" i="6"/>
  <c r="R483" i="6" s="1"/>
  <c r="M475" i="3"/>
  <c r="K486" i="6"/>
  <c r="R486" i="6" s="1"/>
  <c r="K489" i="6"/>
  <c r="R489" i="6" s="1"/>
  <c r="K492" i="6"/>
  <c r="R492" i="6" s="1"/>
  <c r="K495" i="6"/>
  <c r="R495" i="6" s="1"/>
  <c r="M487" i="3"/>
  <c r="K498" i="6"/>
  <c r="R498" i="6" s="1"/>
  <c r="M490" i="3"/>
  <c r="K501" i="6"/>
  <c r="R501" i="6" s="1"/>
  <c r="K504" i="6"/>
  <c r="R504" i="6" s="1"/>
  <c r="K507" i="6"/>
  <c r="R507" i="6" s="1"/>
  <c r="K510" i="6"/>
  <c r="R510" i="6" s="1"/>
  <c r="V115" i="4"/>
  <c r="W115" i="4" s="1"/>
  <c r="V117" i="4"/>
  <c r="W117" i="4" s="1"/>
  <c r="AB118" i="4"/>
  <c r="AB147" i="4"/>
  <c r="V148" i="4"/>
  <c r="W148" i="4" s="1"/>
  <c r="V174" i="4"/>
  <c r="W174" i="4" s="1"/>
  <c r="AB183" i="4"/>
  <c r="AE183" i="4"/>
  <c r="AB185" i="4"/>
  <c r="V186" i="4"/>
  <c r="W186" i="4" s="1"/>
  <c r="V213" i="4"/>
  <c r="W213" i="4" s="1"/>
  <c r="AC213" i="4" s="1"/>
  <c r="AB231" i="4"/>
  <c r="AB120" i="4"/>
  <c r="AB138" i="4"/>
  <c r="L18" i="5"/>
  <c r="AB145" i="4"/>
  <c r="AE149" i="4"/>
  <c r="AB165" i="4"/>
  <c r="AE167" i="4"/>
  <c r="V177" i="4"/>
  <c r="W177" i="4" s="1"/>
  <c r="V183" i="4"/>
  <c r="W183" i="4" s="1"/>
  <c r="AB190" i="4"/>
  <c r="AE238" i="4"/>
  <c r="AB238" i="4"/>
  <c r="AE140" i="4"/>
  <c r="V146" i="4"/>
  <c r="W146" i="4" s="1"/>
  <c r="AB182" i="4"/>
  <c r="AE196" i="4"/>
  <c r="AB196" i="4"/>
  <c r="AE170" i="4"/>
  <c r="V184" i="4"/>
  <c r="W184" i="4" s="1"/>
  <c r="V188" i="4"/>
  <c r="W188" i="4" s="1"/>
  <c r="AB195" i="4"/>
  <c r="AE195" i="4"/>
  <c r="V196" i="4"/>
  <c r="W196" i="4" s="1"/>
  <c r="AE208" i="4"/>
  <c r="AB208" i="4"/>
  <c r="V235" i="4"/>
  <c r="W235" i="4" s="1"/>
  <c r="AC235" i="4" s="1"/>
  <c r="AE220" i="4"/>
  <c r="AB220" i="4"/>
  <c r="AB237" i="4"/>
  <c r="AE237" i="4"/>
  <c r="V238" i="4"/>
  <c r="W238" i="4" s="1"/>
  <c r="V239" i="4"/>
  <c r="W239" i="4" s="1"/>
  <c r="AC239" i="4" s="1"/>
  <c r="V237" i="4"/>
  <c r="W237" i="4" s="1"/>
  <c r="AE268" i="4"/>
  <c r="AB268" i="4"/>
  <c r="AB250" i="4"/>
  <c r="AB284" i="4"/>
  <c r="AE284" i="4"/>
  <c r="AE294" i="4"/>
  <c r="AB294" i="4"/>
  <c r="V284" i="4"/>
  <c r="W284" i="4" s="1"/>
  <c r="AC284" i="4" s="1"/>
  <c r="AE304" i="4"/>
  <c r="D6" i="5"/>
  <c r="V317" i="4"/>
  <c r="W317" i="4" s="1"/>
  <c r="V318" i="4"/>
  <c r="W318" i="4" s="1"/>
  <c r="V309" i="4"/>
  <c r="W309" i="4" s="1"/>
  <c r="AB308" i="4"/>
  <c r="V319" i="4"/>
  <c r="W319" i="4" s="1"/>
  <c r="AC319" i="4" s="1"/>
  <c r="V310" i="4"/>
  <c r="W310" i="4" s="1"/>
  <c r="V495" i="4"/>
  <c r="W495" i="4" s="1"/>
  <c r="AC495" i="4" s="1"/>
  <c r="V494" i="4"/>
  <c r="W494" i="4" s="1"/>
  <c r="AC494" i="4" s="1"/>
  <c r="AB491" i="4"/>
  <c r="V491" i="4"/>
  <c r="W491" i="4" s="1"/>
  <c r="AC491" i="4" s="1"/>
  <c r="AE255" i="4"/>
  <c r="AE289" i="4"/>
  <c r="AB289" i="4"/>
  <c r="V308" i="4"/>
  <c r="W308" i="4" s="1"/>
  <c r="AE323" i="4"/>
  <c r="V229" i="4"/>
  <c r="W229" i="4" s="1"/>
  <c r="AC229" i="4" s="1"/>
  <c r="V234" i="4"/>
  <c r="W234" i="4" s="1"/>
  <c r="D12" i="5"/>
  <c r="AB279" i="4"/>
  <c r="V280" i="4"/>
  <c r="W280" i="4" s="1"/>
  <c r="AE383" i="4"/>
  <c r="AB383" i="4"/>
  <c r="V386" i="4"/>
  <c r="W386" i="4" s="1"/>
  <c r="AC386" i="4" s="1"/>
  <c r="V231" i="4"/>
  <c r="W231" i="4" s="1"/>
  <c r="AB262" i="4"/>
  <c r="V221" i="4"/>
  <c r="W221" i="4" s="1"/>
  <c r="V233" i="4"/>
  <c r="W233" i="4" s="1"/>
  <c r="L12" i="5"/>
  <c r="V312" i="4"/>
  <c r="W312" i="4" s="1"/>
  <c r="AB180" i="4"/>
  <c r="V281" i="4"/>
  <c r="W281" i="4" s="1"/>
  <c r="V279" i="4"/>
  <c r="W279" i="4" s="1"/>
  <c r="V283" i="4"/>
  <c r="W283" i="4" s="1"/>
  <c r="AE282" i="4"/>
  <c r="AB282" i="4"/>
  <c r="AB303" i="4"/>
  <c r="AE330" i="4"/>
  <c r="AB330" i="4"/>
  <c r="V223" i="4"/>
  <c r="W223" i="4" s="1"/>
  <c r="V228" i="4"/>
  <c r="W228" i="4" s="1"/>
  <c r="AB275" i="4"/>
  <c r="V277" i="4"/>
  <c r="W277" i="4" s="1"/>
  <c r="AC277" i="4" s="1"/>
  <c r="V282" i="4"/>
  <c r="W282" i="4" s="1"/>
  <c r="AB299" i="4"/>
  <c r="AE315" i="4"/>
  <c r="AB315" i="4"/>
  <c r="AB320" i="4"/>
  <c r="AE320" i="4"/>
  <c r="AE322" i="4"/>
  <c r="AB322" i="4"/>
  <c r="V330" i="4"/>
  <c r="W330" i="4" s="1"/>
  <c r="V336" i="4"/>
  <c r="W336" i="4" s="1"/>
  <c r="AC336" i="4" s="1"/>
  <c r="V334" i="4"/>
  <c r="W334" i="4" s="1"/>
  <c r="AE368" i="4"/>
  <c r="AB368" i="4"/>
  <c r="V383" i="4"/>
  <c r="W383" i="4" s="1"/>
  <c r="AE414" i="4"/>
  <c r="AB414" i="4"/>
  <c r="AB351" i="4"/>
  <c r="D15" i="5"/>
  <c r="AB388" i="4"/>
  <c r="AB395" i="4"/>
  <c r="AE397" i="4"/>
  <c r="AB397" i="4"/>
  <c r="AE402" i="4"/>
  <c r="AB402" i="4"/>
  <c r="V342" i="4"/>
  <c r="W342" i="4" s="1"/>
  <c r="AB349" i="4"/>
  <c r="AE361" i="4"/>
  <c r="V395" i="4"/>
  <c r="W395" i="4" s="1"/>
  <c r="AB327" i="4"/>
  <c r="V328" i="4"/>
  <c r="W328" i="4" s="1"/>
  <c r="AB335" i="4"/>
  <c r="V348" i="4"/>
  <c r="W348" i="4" s="1"/>
  <c r="AE370" i="4"/>
  <c r="AB370" i="4"/>
  <c r="AB393" i="4"/>
  <c r="V405" i="4"/>
  <c r="W405" i="4" s="1"/>
  <c r="AC405" i="4" s="1"/>
  <c r="AE417" i="4"/>
  <c r="AB417" i="4"/>
  <c r="AB382" i="4"/>
  <c r="V331" i="4"/>
  <c r="W331" i="4" s="1"/>
  <c r="AB363" i="4"/>
  <c r="AE372" i="4"/>
  <c r="AB372" i="4"/>
  <c r="V392" i="4"/>
  <c r="W392" i="4" s="1"/>
  <c r="AC392" i="4" s="1"/>
  <c r="AB337" i="4"/>
  <c r="V339" i="4"/>
  <c r="W339" i="4" s="1"/>
  <c r="V337" i="4"/>
  <c r="W337" i="4" s="1"/>
  <c r="V340" i="4"/>
  <c r="W340" i="4" s="1"/>
  <c r="AC340" i="4" s="1"/>
  <c r="V343" i="4"/>
  <c r="W343" i="4" s="1"/>
  <c r="V369" i="4"/>
  <c r="W369" i="4" s="1"/>
  <c r="AC369" i="4" s="1"/>
  <c r="AB366" i="4"/>
  <c r="AB433" i="4"/>
  <c r="AB390" i="4"/>
  <c r="AE399" i="4"/>
  <c r="AB399" i="4"/>
  <c r="AB448" i="4"/>
  <c r="V329" i="4"/>
  <c r="W329" i="4" s="1"/>
  <c r="AB354" i="4"/>
  <c r="AE386" i="4"/>
  <c r="AE408" i="4"/>
  <c r="AB408" i="4"/>
  <c r="V414" i="4"/>
  <c r="W414" i="4" s="1"/>
  <c r="AC414" i="4" s="1"/>
  <c r="AB288" i="4"/>
  <c r="AE318" i="4"/>
  <c r="AB318" i="4"/>
  <c r="V327" i="4"/>
  <c r="W327" i="4" s="1"/>
  <c r="AB348" i="4"/>
  <c r="V349" i="4"/>
  <c r="W349" i="4" s="1"/>
  <c r="AC349" i="4" s="1"/>
  <c r="AE378" i="4"/>
  <c r="AB378" i="4"/>
  <c r="V398" i="4"/>
  <c r="W398" i="4" s="1"/>
  <c r="AB365" i="4"/>
  <c r="AB376" i="4"/>
  <c r="V378" i="4"/>
  <c r="W378" i="4" s="1"/>
  <c r="AC378" i="4" s="1"/>
  <c r="AB380" i="4"/>
  <c r="V389" i="4"/>
  <c r="W389" i="4" s="1"/>
  <c r="AC389" i="4" s="1"/>
  <c r="V393" i="4"/>
  <c r="W393" i="4" s="1"/>
  <c r="AC393" i="4" s="1"/>
  <c r="V384" i="4"/>
  <c r="W384" i="4" s="1"/>
  <c r="V382" i="4"/>
  <c r="W382" i="4" s="1"/>
  <c r="AB389" i="4"/>
  <c r="AE419" i="4"/>
  <c r="AB419" i="4"/>
  <c r="AE435" i="4"/>
  <c r="AB435" i="4"/>
  <c r="AB392" i="4"/>
  <c r="AB401" i="4"/>
  <c r="AE425" i="4"/>
  <c r="AE426" i="4"/>
  <c r="V430" i="4"/>
  <c r="W430" i="4" s="1"/>
  <c r="V431" i="4"/>
  <c r="W431" i="4" s="1"/>
  <c r="AE438" i="4"/>
  <c r="AB438" i="4"/>
  <c r="M15" i="5"/>
  <c r="AB456" i="4"/>
  <c r="AE462" i="4"/>
  <c r="V429" i="4"/>
  <c r="W429" i="4" s="1"/>
  <c r="V426" i="4"/>
  <c r="W426" i="4" s="1"/>
  <c r="V436" i="4"/>
  <c r="W436" i="4" s="1"/>
  <c r="AC436" i="4" s="1"/>
  <c r="V421" i="4"/>
  <c r="W421" i="4" s="1"/>
  <c r="V418" i="4"/>
  <c r="W418" i="4" s="1"/>
  <c r="V415" i="4"/>
  <c r="W415" i="4" s="1"/>
  <c r="V433" i="4"/>
  <c r="W433" i="4" s="1"/>
  <c r="V435" i="4"/>
  <c r="W435" i="4" s="1"/>
  <c r="V422" i="4"/>
  <c r="W422" i="4" s="1"/>
  <c r="AC422" i="4" s="1"/>
  <c r="V419" i="4"/>
  <c r="W419" i="4" s="1"/>
  <c r="V416" i="4"/>
  <c r="W416" i="4" s="1"/>
  <c r="V427" i="4"/>
  <c r="W427" i="4" s="1"/>
  <c r="V425" i="4"/>
  <c r="W425" i="4" s="1"/>
  <c r="V424" i="4"/>
  <c r="W424" i="4" s="1"/>
  <c r="AE401" i="4"/>
  <c r="V413" i="4"/>
  <c r="W413" i="4" s="1"/>
  <c r="V377" i="4"/>
  <c r="W377" i="4" s="1"/>
  <c r="V400" i="4"/>
  <c r="W400" i="4" s="1"/>
  <c r="AC400" i="4" s="1"/>
  <c r="V397" i="4"/>
  <c r="W397" i="4" s="1"/>
  <c r="V394" i="4"/>
  <c r="W394" i="4" s="1"/>
  <c r="AC394" i="4" s="1"/>
  <c r="V391" i="4"/>
  <c r="W391" i="4" s="1"/>
  <c r="V388" i="4"/>
  <c r="W388" i="4" s="1"/>
  <c r="AC388" i="4" s="1"/>
  <c r="V385" i="4"/>
  <c r="W385" i="4" s="1"/>
  <c r="D5" i="5"/>
  <c r="V387" i="4"/>
  <c r="W387" i="4" s="1"/>
  <c r="V396" i="4"/>
  <c r="W396" i="4" s="1"/>
  <c r="AB410" i="4"/>
  <c r="V448" i="4"/>
  <c r="W448" i="4" s="1"/>
  <c r="V446" i="4"/>
  <c r="W446" i="4" s="1"/>
  <c r="AC446" i="4" s="1"/>
  <c r="V444" i="4"/>
  <c r="W444" i="4" s="1"/>
  <c r="AC444" i="4" s="1"/>
  <c r="V442" i="4"/>
  <c r="W442" i="4" s="1"/>
  <c r="AC442" i="4" s="1"/>
  <c r="V445" i="4"/>
  <c r="W445" i="4" s="1"/>
  <c r="AC445" i="4" s="1"/>
  <c r="V452" i="4"/>
  <c r="W452" i="4" s="1"/>
  <c r="V451" i="4"/>
  <c r="W451" i="4" s="1"/>
  <c r="V450" i="4"/>
  <c r="W450" i="4" s="1"/>
  <c r="V453" i="4"/>
  <c r="W453" i="4" s="1"/>
  <c r="AC453" i="4" s="1"/>
  <c r="V447" i="4"/>
  <c r="W447" i="4" s="1"/>
  <c r="AC447" i="4" s="1"/>
  <c r="AB453" i="4"/>
  <c r="V467" i="4"/>
  <c r="W467" i="4" s="1"/>
  <c r="AC467" i="4" s="1"/>
  <c r="V465" i="4"/>
  <c r="W465" i="4" s="1"/>
  <c r="AB464" i="4"/>
  <c r="V464" i="4"/>
  <c r="W464" i="4" s="1"/>
  <c r="V466" i="4"/>
  <c r="W466" i="4" s="1"/>
  <c r="AB519" i="4"/>
  <c r="V403" i="4"/>
  <c r="W403" i="4" s="1"/>
  <c r="AB502" i="4"/>
  <c r="AE502" i="4"/>
  <c r="AE428" i="4"/>
  <c r="AB428" i="4"/>
  <c r="AE460" i="4"/>
  <c r="AB460" i="4"/>
  <c r="V502" i="4"/>
  <c r="W502" i="4" s="1"/>
  <c r="AC502" i="4" s="1"/>
  <c r="V510" i="4"/>
  <c r="W510" i="4" s="1"/>
  <c r="AC510" i="4" s="1"/>
  <c r="AE505" i="4"/>
  <c r="V508" i="4"/>
  <c r="W508" i="4" s="1"/>
  <c r="AB505" i="4"/>
  <c r="M5" i="5"/>
  <c r="V390" i="4"/>
  <c r="W390" i="4" s="1"/>
  <c r="AC390" i="4" s="1"/>
  <c r="V399" i="4"/>
  <c r="W399" i="4" s="1"/>
  <c r="V428" i="4"/>
  <c r="W428" i="4" s="1"/>
  <c r="V449" i="4"/>
  <c r="W449" i="4" s="1"/>
  <c r="AC449" i="4" s="1"/>
  <c r="AE455" i="4"/>
  <c r="AB455" i="4"/>
  <c r="AB475" i="4"/>
  <c r="AB514" i="4"/>
  <c r="AB494" i="4"/>
  <c r="AB495" i="4"/>
  <c r="AB516" i="4"/>
  <c r="AB405" i="4"/>
  <c r="V412" i="4"/>
  <c r="W412" i="4" s="1"/>
  <c r="AB411" i="4"/>
  <c r="V417" i="4"/>
  <c r="W417" i="4" s="1"/>
  <c r="AB436" i="4"/>
  <c r="AC441" i="4"/>
  <c r="AB468" i="4"/>
  <c r="V480" i="4"/>
  <c r="W480" i="4" s="1"/>
  <c r="V478" i="4"/>
  <c r="W478" i="4" s="1"/>
  <c r="V476" i="4"/>
  <c r="W476" i="4" s="1"/>
  <c r="V474" i="4"/>
  <c r="W474" i="4" s="1"/>
  <c r="AC474" i="4" s="1"/>
  <c r="V481" i="4"/>
  <c r="W481" i="4" s="1"/>
  <c r="AC481" i="4" s="1"/>
  <c r="V479" i="4"/>
  <c r="W479" i="4" s="1"/>
  <c r="V477" i="4"/>
  <c r="W477" i="4" s="1"/>
  <c r="V469" i="4"/>
  <c r="W469" i="4" s="1"/>
  <c r="AE498" i="4"/>
  <c r="V501" i="4"/>
  <c r="W501" i="4" s="1"/>
  <c r="V500" i="4"/>
  <c r="W500" i="4" s="1"/>
  <c r="AB508" i="4"/>
  <c r="AE508" i="4"/>
  <c r="AE522" i="4"/>
  <c r="AB522" i="4"/>
  <c r="V468" i="4"/>
  <c r="W468" i="4" s="1"/>
  <c r="V470" i="4"/>
  <c r="W470" i="4" s="1"/>
  <c r="V471" i="4"/>
  <c r="W471" i="4" s="1"/>
  <c r="AB517" i="4"/>
  <c r="AB431" i="4"/>
  <c r="V438" i="4"/>
  <c r="W438" i="4" s="1"/>
  <c r="AB443" i="4"/>
  <c r="AB496" i="4"/>
  <c r="V520" i="4"/>
  <c r="W520" i="4" s="1"/>
  <c r="V527" i="4"/>
  <c r="W527" i="4" s="1"/>
  <c r="V514" i="4"/>
  <c r="W514" i="4" s="1"/>
  <c r="AC514" i="4" s="1"/>
  <c r="V513" i="4"/>
  <c r="W513" i="4" s="1"/>
  <c r="AC513" i="4" s="1"/>
  <c r="V517" i="4"/>
  <c r="W517" i="4" s="1"/>
  <c r="AC517" i="4" s="1"/>
  <c r="V525" i="4"/>
  <c r="W525" i="4" s="1"/>
  <c r="V496" i="4"/>
  <c r="W496" i="4" s="1"/>
  <c r="AB498" i="4"/>
  <c r="V519" i="4"/>
  <c r="W519" i="4" s="1"/>
  <c r="AC519" i="4" s="1"/>
  <c r="V530" i="4"/>
  <c r="W530" i="4" s="1"/>
  <c r="AB529" i="4"/>
  <c r="V532" i="4"/>
  <c r="W532" i="4" s="1"/>
  <c r="AC532" i="4" s="1"/>
  <c r="V529" i="4"/>
  <c r="W529" i="4" s="1"/>
  <c r="V531" i="4"/>
  <c r="W531" i="4" s="1"/>
  <c r="V497" i="4"/>
  <c r="W497" i="4" s="1"/>
  <c r="AC497" i="4" s="1"/>
  <c r="AB473" i="4"/>
  <c r="AB474" i="4"/>
  <c r="AE477" i="4"/>
  <c r="AB477" i="4"/>
  <c r="AB512" i="4"/>
  <c r="AB445" i="4"/>
  <c r="AE458" i="4"/>
  <c r="AB458" i="4"/>
  <c r="AE479" i="4"/>
  <c r="AB479" i="4"/>
  <c r="V523" i="4"/>
  <c r="W523" i="4" s="1"/>
  <c r="AB500" i="4"/>
  <c r="AB484" i="4"/>
  <c r="M9" i="5"/>
  <c r="L9" i="5"/>
  <c r="M18" i="5"/>
  <c r="V489" i="4"/>
  <c r="W489" i="4" s="1"/>
  <c r="AC489" i="4" s="1"/>
  <c r="V492" i="4"/>
  <c r="W492" i="4" s="1"/>
  <c r="AE506" i="4"/>
  <c r="AB506" i="4"/>
  <c r="V488" i="4"/>
  <c r="W488" i="4" s="1"/>
  <c r="V490" i="4"/>
  <c r="W490" i="4" s="1"/>
  <c r="V493" i="4"/>
  <c r="W493" i="4" s="1"/>
  <c r="AB497" i="4"/>
  <c r="AB485" i="4"/>
  <c r="V505" i="4"/>
  <c r="W505" i="4" s="1"/>
  <c r="V507" i="4"/>
  <c r="W507" i="4" s="1"/>
  <c r="V528" i="4"/>
  <c r="W528" i="4" s="1"/>
  <c r="AC528" i="4" s="1"/>
  <c r="V524" i="4"/>
  <c r="W524" i="4" s="1"/>
  <c r="AC524" i="4" s="1"/>
  <c r="V522" i="4"/>
  <c r="W522" i="4" s="1"/>
  <c r="V518" i="4"/>
  <c r="W518" i="4" s="1"/>
  <c r="AC518" i="4" s="1"/>
  <c r="V516" i="4"/>
  <c r="W516" i="4" s="1"/>
  <c r="V511" i="4"/>
  <c r="W511" i="4" s="1"/>
  <c r="V526" i="4"/>
  <c r="W526" i="4" s="1"/>
  <c r="V515" i="4"/>
  <c r="W515" i="4" s="1"/>
  <c r="AC515" i="4" s="1"/>
  <c r="AB511" i="4"/>
  <c r="V521" i="4"/>
  <c r="W521" i="4" s="1"/>
  <c r="AB525" i="4"/>
  <c r="L7" i="5"/>
  <c r="D7" i="5"/>
  <c r="D13" i="5"/>
  <c r="L13" i="5"/>
  <c r="G24" i="5"/>
  <c r="M10" i="5"/>
  <c r="L10" i="5"/>
  <c r="M21" i="5"/>
  <c r="V536" i="4"/>
  <c r="W536" i="4" s="1"/>
  <c r="AB535" i="4"/>
  <c r="V538" i="4"/>
  <c r="W538" i="4" s="1"/>
  <c r="V535" i="4"/>
  <c r="W535" i="4" s="1"/>
  <c r="V537" i="4"/>
  <c r="W537" i="4" s="1"/>
  <c r="L8" i="5"/>
  <c r="D8" i="5"/>
  <c r="AB515" i="4"/>
  <c r="AE527" i="4"/>
  <c r="AB527" i="4"/>
  <c r="AE542" i="4"/>
  <c r="AB542" i="4"/>
  <c r="V545" i="4"/>
  <c r="W545" i="4" s="1"/>
  <c r="D10" i="5"/>
  <c r="G19" i="5"/>
  <c r="V546" i="4"/>
  <c r="W546" i="4" s="1"/>
  <c r="AC546" i="4" s="1"/>
  <c r="M6" i="5"/>
  <c r="M12" i="5"/>
  <c r="M16" i="5"/>
  <c r="AB533" i="4"/>
  <c r="V544" i="4"/>
  <c r="W544" i="4" s="1"/>
  <c r="AE536" i="4"/>
  <c r="AB536" i="4"/>
  <c r="L5" i="5"/>
  <c r="AE539" i="4"/>
  <c r="AB539" i="4"/>
  <c r="L16" i="5"/>
  <c r="L20" i="5"/>
  <c r="L21" i="5"/>
  <c r="L22" i="5"/>
  <c r="L23" i="5"/>
  <c r="L25" i="5"/>
  <c r="L19" i="5"/>
  <c r="F22" i="5"/>
  <c r="E22" i="5"/>
  <c r="D23" i="5"/>
  <c r="Q182" i="6" l="1"/>
  <c r="M174" i="3"/>
  <c r="N174" i="3" s="1"/>
  <c r="J96" i="3"/>
  <c r="M339" i="3"/>
  <c r="M444" i="3"/>
  <c r="F111" i="3"/>
  <c r="P119" i="6" s="1"/>
  <c r="Q470" i="6"/>
  <c r="M461" i="3"/>
  <c r="O207" i="3"/>
  <c r="P207" i="3" s="1"/>
  <c r="N201" i="6"/>
  <c r="N169" i="6"/>
  <c r="L60" i="3"/>
  <c r="G111" i="3"/>
  <c r="K61" i="3"/>
  <c r="Q69" i="6" s="1"/>
  <c r="J62" i="3"/>
  <c r="O429" i="3"/>
  <c r="P429" i="3" s="1"/>
  <c r="G182" i="6"/>
  <c r="Q327" i="5"/>
  <c r="Q445" i="5"/>
  <c r="Q301" i="5"/>
  <c r="Q265" i="5"/>
  <c r="M374" i="3"/>
  <c r="I167" i="6"/>
  <c r="Q256" i="5"/>
  <c r="M357" i="3"/>
  <c r="F154" i="3"/>
  <c r="K136" i="3"/>
  <c r="Q144" i="6" s="1"/>
  <c r="K120" i="3"/>
  <c r="Q324" i="5"/>
  <c r="O369" i="3"/>
  <c r="P369" i="3" s="1"/>
  <c r="Q382" i="5"/>
  <c r="M273" i="3"/>
  <c r="L154" i="3"/>
  <c r="Q395" i="5"/>
  <c r="M144" i="3"/>
  <c r="O386" i="3"/>
  <c r="P386" i="3" s="1"/>
  <c r="N128" i="6"/>
  <c r="O327" i="3"/>
  <c r="P327" i="3" s="1"/>
  <c r="M344" i="3"/>
  <c r="Q394" i="6"/>
  <c r="K159" i="3"/>
  <c r="Q344" i="5"/>
  <c r="L288" i="6"/>
  <c r="M454" i="3"/>
  <c r="O454" i="3"/>
  <c r="P454" i="3" s="1"/>
  <c r="I144" i="6"/>
  <c r="Q498" i="5"/>
  <c r="J201" i="6"/>
  <c r="O312" i="3"/>
  <c r="P312" i="3" s="1"/>
  <c r="F60" i="3"/>
  <c r="P68" i="6" s="1"/>
  <c r="I146" i="6"/>
  <c r="G194" i="6"/>
  <c r="H172" i="6"/>
  <c r="K9" i="3"/>
  <c r="L190" i="3"/>
  <c r="Q470" i="5"/>
  <c r="Q394" i="5"/>
  <c r="N44" i="6"/>
  <c r="Q403" i="5"/>
  <c r="Q496" i="5"/>
  <c r="J168" i="3"/>
  <c r="M451" i="3"/>
  <c r="M385" i="3"/>
  <c r="F186" i="3"/>
  <c r="P194" i="6" s="1"/>
  <c r="Q492" i="5"/>
  <c r="O343" i="3"/>
  <c r="P343" i="3" s="1"/>
  <c r="M198" i="3"/>
  <c r="O273" i="3"/>
  <c r="P273" i="3" s="1"/>
  <c r="F190" i="3"/>
  <c r="P198" i="6" s="1"/>
  <c r="O272" i="3"/>
  <c r="P272" i="3" s="1"/>
  <c r="M446" i="3"/>
  <c r="O466" i="3"/>
  <c r="P466" i="3" s="1"/>
  <c r="J109" i="3"/>
  <c r="K45" i="3"/>
  <c r="G118" i="3"/>
  <c r="L77" i="3"/>
  <c r="F82" i="3"/>
  <c r="P90" i="6" s="1"/>
  <c r="G37" i="3"/>
  <c r="L145" i="3"/>
  <c r="H35" i="6"/>
  <c r="I17" i="6"/>
  <c r="H14" i="6"/>
  <c r="H88" i="6"/>
  <c r="G38" i="6"/>
  <c r="I169" i="6"/>
  <c r="G173" i="6"/>
  <c r="K126" i="3"/>
  <c r="Q134" i="6" s="1"/>
  <c r="G147" i="3"/>
  <c r="L45" i="3"/>
  <c r="K27" i="3"/>
  <c r="K150" i="3"/>
  <c r="Q158" i="6" s="1"/>
  <c r="Q434" i="5"/>
  <c r="O301" i="3"/>
  <c r="P301" i="3" s="1"/>
  <c r="G190" i="3"/>
  <c r="Q454" i="6"/>
  <c r="M296" i="3"/>
  <c r="M353" i="3"/>
  <c r="M341" i="3"/>
  <c r="F88" i="3"/>
  <c r="G82" i="3"/>
  <c r="L91" i="6"/>
  <c r="K60" i="3"/>
  <c r="I53" i="6"/>
  <c r="G34" i="6"/>
  <c r="G122" i="6"/>
  <c r="I198" i="6"/>
  <c r="L111" i="3"/>
  <c r="K190" i="3"/>
  <c r="Q198" i="6" s="1"/>
  <c r="K118" i="3"/>
  <c r="Q126" i="6" s="1"/>
  <c r="Q377" i="5"/>
  <c r="M226" i="3"/>
  <c r="O53" i="6"/>
  <c r="K138" i="3"/>
  <c r="Q146" i="6" s="1"/>
  <c r="Q499" i="5"/>
  <c r="O337" i="3"/>
  <c r="P337" i="3" s="1"/>
  <c r="O257" i="3"/>
  <c r="P257" i="3" s="1"/>
  <c r="O377" i="3"/>
  <c r="P377" i="3" s="1"/>
  <c r="O201" i="3"/>
  <c r="P201" i="3" s="1"/>
  <c r="K195" i="3"/>
  <c r="M265" i="3"/>
  <c r="G138" i="3"/>
  <c r="G88" i="3"/>
  <c r="L82" i="3"/>
  <c r="O332" i="3"/>
  <c r="P332" i="3" s="1"/>
  <c r="L71" i="6"/>
  <c r="G77" i="3"/>
  <c r="H83" i="6"/>
  <c r="G70" i="6"/>
  <c r="I76" i="6"/>
  <c r="I35" i="6"/>
  <c r="I201" i="6"/>
  <c r="K171" i="3"/>
  <c r="M251" i="3"/>
  <c r="O414" i="3"/>
  <c r="P414" i="3" s="1"/>
  <c r="Q354" i="5"/>
  <c r="M280" i="3"/>
  <c r="O357" i="3"/>
  <c r="P357" i="3" s="1"/>
  <c r="O333" i="3"/>
  <c r="P333" i="3" s="1"/>
  <c r="N203" i="6"/>
  <c r="O265" i="3"/>
  <c r="P265" i="3" s="1"/>
  <c r="O309" i="3"/>
  <c r="P309" i="3" s="1"/>
  <c r="K54" i="3"/>
  <c r="F68" i="3"/>
  <c r="P76" i="6" s="1"/>
  <c r="I44" i="6"/>
  <c r="M165" i="3"/>
  <c r="L118" i="3"/>
  <c r="O256" i="3"/>
  <c r="P256" i="3" s="1"/>
  <c r="Q453" i="6"/>
  <c r="Q446" i="5"/>
  <c r="Q277" i="6"/>
  <c r="L97" i="3"/>
  <c r="J81" i="3"/>
  <c r="J108" i="3"/>
  <c r="O374" i="3"/>
  <c r="P374" i="3" s="1"/>
  <c r="M377" i="3"/>
  <c r="O222" i="3"/>
  <c r="P222" i="3" s="1"/>
  <c r="O474" i="3"/>
  <c r="P474" i="3" s="1"/>
  <c r="G68" i="3"/>
  <c r="I170" i="6"/>
  <c r="H62" i="6"/>
  <c r="H179" i="6"/>
  <c r="H78" i="6"/>
  <c r="H117" i="6"/>
  <c r="L55" i="3"/>
  <c r="L79" i="3"/>
  <c r="Q373" i="5"/>
  <c r="O289" i="3"/>
  <c r="P289" i="3" s="1"/>
  <c r="Q368" i="5"/>
  <c r="M502" i="3"/>
  <c r="M499" i="3"/>
  <c r="M219" i="3"/>
  <c r="M288" i="3"/>
  <c r="O457" i="3"/>
  <c r="P457" i="3" s="1"/>
  <c r="O490" i="3"/>
  <c r="P490" i="3" s="1"/>
  <c r="Q389" i="5"/>
  <c r="M327" i="3"/>
  <c r="O451" i="3"/>
  <c r="P451" i="3" s="1"/>
  <c r="O499" i="3"/>
  <c r="P499" i="3" s="1"/>
  <c r="O438" i="3"/>
  <c r="P438" i="3" s="1"/>
  <c r="M213" i="3"/>
  <c r="O382" i="3"/>
  <c r="P382" i="3" s="1"/>
  <c r="F120" i="3"/>
  <c r="P128" i="6" s="1"/>
  <c r="O496" i="3"/>
  <c r="P496" i="3" s="1"/>
  <c r="M359" i="3"/>
  <c r="O288" i="3"/>
  <c r="P288" i="3" s="1"/>
  <c r="M256" i="3"/>
  <c r="O198" i="3"/>
  <c r="P198" i="3" s="1"/>
  <c r="Q273" i="6"/>
  <c r="F114" i="3"/>
  <c r="P122" i="6" s="1"/>
  <c r="Q340" i="5"/>
  <c r="G144" i="3"/>
  <c r="L22" i="6"/>
  <c r="O76" i="6"/>
  <c r="I91" i="6"/>
  <c r="H26" i="6"/>
  <c r="H125" i="6"/>
  <c r="H141" i="6"/>
  <c r="I117" i="6"/>
  <c r="J91" i="3"/>
  <c r="Q466" i="5"/>
  <c r="M416" i="3"/>
  <c r="Q339" i="5"/>
  <c r="Q270" i="5"/>
  <c r="J116" i="3"/>
  <c r="O314" i="3"/>
  <c r="P314" i="3" s="1"/>
  <c r="M126" i="3"/>
  <c r="N126" i="3" s="1"/>
  <c r="K101" i="3"/>
  <c r="Q109" i="6" s="1"/>
  <c r="G62" i="6"/>
  <c r="G73" i="6"/>
  <c r="K111" i="3"/>
  <c r="J100" i="3"/>
  <c r="Q421" i="5"/>
  <c r="Q436" i="5"/>
  <c r="Q376" i="5"/>
  <c r="Q258" i="5"/>
  <c r="Q322" i="5"/>
  <c r="Q253" i="5"/>
  <c r="H145" i="6"/>
  <c r="F123" i="3"/>
  <c r="P131" i="6" s="1"/>
  <c r="M489" i="3"/>
  <c r="M349" i="3"/>
  <c r="O109" i="6"/>
  <c r="N28" i="6"/>
  <c r="I187" i="6"/>
  <c r="L364" i="6"/>
  <c r="F163" i="3"/>
  <c r="P171" i="6" s="1"/>
  <c r="G191" i="6"/>
  <c r="H136" i="6"/>
  <c r="O460" i="3"/>
  <c r="P460" i="3" s="1"/>
  <c r="N119" i="6"/>
  <c r="Q493" i="5"/>
  <c r="Q363" i="5"/>
  <c r="K18" i="3"/>
  <c r="Q26" i="6" s="1"/>
  <c r="M322" i="3"/>
  <c r="M283" i="3"/>
  <c r="Q261" i="6"/>
  <c r="Q451" i="5"/>
  <c r="K29" i="3"/>
  <c r="Q37" i="6" s="1"/>
  <c r="H134" i="6"/>
  <c r="M279" i="3"/>
  <c r="I186" i="6"/>
  <c r="M445" i="3"/>
  <c r="O373" i="3"/>
  <c r="P373" i="3" s="1"/>
  <c r="Q398" i="6"/>
  <c r="O486" i="3"/>
  <c r="P486" i="3" s="1"/>
  <c r="M337" i="3"/>
  <c r="J101" i="3"/>
  <c r="M212" i="3"/>
  <c r="G18" i="3"/>
  <c r="O210" i="3"/>
  <c r="P210" i="3" s="1"/>
  <c r="G79" i="6"/>
  <c r="J79" i="6" s="1"/>
  <c r="M484" i="3"/>
  <c r="M406" i="3"/>
  <c r="M276" i="3"/>
  <c r="Q479" i="5"/>
  <c r="O449" i="3"/>
  <c r="P449" i="3" s="1"/>
  <c r="O321" i="3"/>
  <c r="P321" i="3" s="1"/>
  <c r="O394" i="3"/>
  <c r="P394" i="3" s="1"/>
  <c r="Q494" i="6"/>
  <c r="F99" i="3"/>
  <c r="P107" i="6" s="1"/>
  <c r="F45" i="3"/>
  <c r="P53" i="6" s="1"/>
  <c r="M299" i="3"/>
  <c r="M253" i="3"/>
  <c r="M372" i="3"/>
  <c r="O444" i="3"/>
  <c r="P444" i="3" s="1"/>
  <c r="O258" i="3"/>
  <c r="P258" i="3" s="1"/>
  <c r="Q345" i="6"/>
  <c r="O219" i="3"/>
  <c r="P219" i="3" s="1"/>
  <c r="G163" i="3"/>
  <c r="K170" i="3"/>
  <c r="J64" i="3"/>
  <c r="G197" i="3"/>
  <c r="L14" i="6"/>
  <c r="O26" i="6"/>
  <c r="N68" i="6"/>
  <c r="I130" i="6"/>
  <c r="I78" i="6"/>
  <c r="G134" i="6"/>
  <c r="G99" i="3"/>
  <c r="Q279" i="5"/>
  <c r="Q261" i="5"/>
  <c r="O213" i="3"/>
  <c r="P213" i="3" s="1"/>
  <c r="L37" i="3"/>
  <c r="N37" i="6"/>
  <c r="Q442" i="5"/>
  <c r="Q283" i="5"/>
  <c r="O462" i="3"/>
  <c r="P462" i="3" s="1"/>
  <c r="Q374" i="5"/>
  <c r="Q244" i="5"/>
  <c r="Q246" i="5"/>
  <c r="G10" i="3"/>
  <c r="H109" i="6"/>
  <c r="Q397" i="5"/>
  <c r="Q460" i="5"/>
  <c r="M391" i="3"/>
  <c r="J71" i="3"/>
  <c r="L123" i="3"/>
  <c r="N87" i="6"/>
  <c r="G123" i="3"/>
  <c r="H130" i="6"/>
  <c r="J130" i="6" s="1"/>
  <c r="O445" i="3"/>
  <c r="P445" i="3" s="1"/>
  <c r="H112" i="6"/>
  <c r="J112" i="6" s="1"/>
  <c r="M442" i="3"/>
  <c r="F195" i="3"/>
  <c r="P203" i="6" s="1"/>
  <c r="O494" i="3"/>
  <c r="P494" i="3" s="1"/>
  <c r="O216" i="3"/>
  <c r="P216" i="3" s="1"/>
  <c r="M186" i="3"/>
  <c r="K122" i="3"/>
  <c r="J70" i="3"/>
  <c r="F10" i="3"/>
  <c r="P18" i="6" s="1"/>
  <c r="K70" i="3"/>
  <c r="Q70" i="5" s="1"/>
  <c r="K38" i="3"/>
  <c r="M38" i="3" s="1"/>
  <c r="O171" i="6"/>
  <c r="L88" i="3"/>
  <c r="H107" i="6"/>
  <c r="H139" i="6"/>
  <c r="H19" i="6"/>
  <c r="H76" i="6"/>
  <c r="H181" i="6"/>
  <c r="I107" i="6"/>
  <c r="H148" i="6"/>
  <c r="I149" i="6"/>
  <c r="L106" i="3"/>
  <c r="M106" i="3" s="1"/>
  <c r="N106" i="3" s="1"/>
  <c r="Q267" i="5"/>
  <c r="M328" i="3"/>
  <c r="Q273" i="5"/>
  <c r="M460" i="3"/>
  <c r="O255" i="3"/>
  <c r="P255" i="3" s="1"/>
  <c r="Q440" i="5"/>
  <c r="O285" i="3"/>
  <c r="P285" i="3" s="1"/>
  <c r="O318" i="3"/>
  <c r="P318" i="3" s="1"/>
  <c r="H37" i="6"/>
  <c r="Q409" i="5"/>
  <c r="M421" i="3"/>
  <c r="M494" i="3"/>
  <c r="O408" i="3"/>
  <c r="P408" i="3" s="1"/>
  <c r="O406" i="3"/>
  <c r="P406" i="3" s="1"/>
  <c r="G180" i="3"/>
  <c r="L151" i="3"/>
  <c r="O302" i="3"/>
  <c r="P302" i="3" s="1"/>
  <c r="M199" i="3"/>
  <c r="I36" i="6"/>
  <c r="K99" i="3"/>
  <c r="Q288" i="5"/>
  <c r="M216" i="3"/>
  <c r="M338" i="3"/>
  <c r="L382" i="6"/>
  <c r="O453" i="3"/>
  <c r="P453" i="3" s="1"/>
  <c r="O326" i="3"/>
  <c r="P326" i="3" s="1"/>
  <c r="O197" i="6"/>
  <c r="L180" i="3"/>
  <c r="M180" i="3" s="1"/>
  <c r="N180" i="3" s="1"/>
  <c r="O212" i="3"/>
  <c r="P212" i="3" s="1"/>
  <c r="O305" i="3"/>
  <c r="P305" i="3" s="1"/>
  <c r="H86" i="6"/>
  <c r="H149" i="6"/>
  <c r="M345" i="3"/>
  <c r="O418" i="3"/>
  <c r="P418" i="3" s="1"/>
  <c r="Q478" i="6"/>
  <c r="F183" i="3"/>
  <c r="P191" i="6" s="1"/>
  <c r="F141" i="3"/>
  <c r="M380" i="3"/>
  <c r="O230" i="3"/>
  <c r="P230" i="3" s="1"/>
  <c r="O413" i="3"/>
  <c r="P413" i="3" s="1"/>
  <c r="O188" i="6"/>
  <c r="K128" i="3"/>
  <c r="G141" i="3"/>
  <c r="F44" i="3"/>
  <c r="P52" i="6" s="1"/>
  <c r="L139" i="6"/>
  <c r="G107" i="6"/>
  <c r="J107" i="6" s="1"/>
  <c r="I136" i="6"/>
  <c r="I26" i="6"/>
  <c r="J26" i="6" s="1"/>
  <c r="H187" i="6"/>
  <c r="I47" i="6"/>
  <c r="J47" i="6" s="1"/>
  <c r="O276" i="3"/>
  <c r="P276" i="3" s="1"/>
  <c r="G55" i="3"/>
  <c r="Q439" i="5"/>
  <c r="Q370" i="5"/>
  <c r="L195" i="3"/>
  <c r="M195" i="3" s="1"/>
  <c r="N195" i="3" s="1"/>
  <c r="F107" i="3"/>
  <c r="P115" i="6" s="1"/>
  <c r="Q277" i="5"/>
  <c r="K168" i="3"/>
  <c r="Q176" i="6" s="1"/>
  <c r="M189" i="3"/>
  <c r="N189" i="3" s="1"/>
  <c r="Q454" i="5"/>
  <c r="Q282" i="5"/>
  <c r="Q386" i="5"/>
  <c r="F189" i="3"/>
  <c r="P197" i="6" s="1"/>
  <c r="G158" i="6"/>
  <c r="H162" i="6"/>
  <c r="G183" i="3"/>
  <c r="M252" i="3"/>
  <c r="O421" i="3"/>
  <c r="P421" i="3" s="1"/>
  <c r="O277" i="3"/>
  <c r="P277" i="3" s="1"/>
  <c r="Q367" i="5"/>
  <c r="M162" i="3"/>
  <c r="N162" i="3" s="1"/>
  <c r="M493" i="3"/>
  <c r="M285" i="3"/>
  <c r="O379" i="3"/>
  <c r="P379" i="3" s="1"/>
  <c r="O427" i="3"/>
  <c r="P427" i="3" s="1"/>
  <c r="O320" i="3"/>
  <c r="P320" i="3" s="1"/>
  <c r="M234" i="3"/>
  <c r="M135" i="3"/>
  <c r="N135" i="3" s="1"/>
  <c r="J157" i="3"/>
  <c r="O439" i="3"/>
  <c r="P439" i="3" s="1"/>
  <c r="O367" i="3"/>
  <c r="P367" i="3" s="1"/>
  <c r="O339" i="3"/>
  <c r="P339" i="3" s="1"/>
  <c r="F18" i="3"/>
  <c r="P26" i="6" s="1"/>
  <c r="O324" i="3"/>
  <c r="P324" i="3" s="1"/>
  <c r="O359" i="3"/>
  <c r="P359" i="3" s="1"/>
  <c r="O463" i="3"/>
  <c r="P463" i="3" s="1"/>
  <c r="K37" i="3"/>
  <c r="Q37" i="5" s="1"/>
  <c r="L141" i="3"/>
  <c r="G44" i="3"/>
  <c r="L107" i="3"/>
  <c r="G35" i="6"/>
  <c r="I202" i="6"/>
  <c r="I109" i="6"/>
  <c r="K179" i="3"/>
  <c r="Q391" i="5"/>
  <c r="O203" i="6"/>
  <c r="M277" i="3"/>
  <c r="O234" i="3"/>
  <c r="P234" i="3" s="1"/>
  <c r="L147" i="3"/>
  <c r="M147" i="3" s="1"/>
  <c r="M422" i="3"/>
  <c r="Q424" i="5"/>
  <c r="O398" i="3"/>
  <c r="P398" i="3" s="1"/>
  <c r="M255" i="3"/>
  <c r="O348" i="3"/>
  <c r="P348" i="3" s="1"/>
  <c r="G189" i="3"/>
  <c r="G181" i="6"/>
  <c r="G109" i="6"/>
  <c r="J109" i="6" s="1"/>
  <c r="M342" i="3"/>
  <c r="O436" i="3"/>
  <c r="P436" i="3" s="1"/>
  <c r="O442" i="3"/>
  <c r="P442" i="3" s="1"/>
  <c r="G62" i="3"/>
  <c r="L44" i="3"/>
  <c r="F73" i="3"/>
  <c r="P81" i="6" s="1"/>
  <c r="H61" i="6"/>
  <c r="H25" i="6"/>
  <c r="I46" i="6"/>
  <c r="H18" i="6"/>
  <c r="H132" i="6"/>
  <c r="H110" i="6"/>
  <c r="L13" i="3"/>
  <c r="Q490" i="5"/>
  <c r="Q333" i="5"/>
  <c r="M230" i="3"/>
  <c r="Q485" i="5"/>
  <c r="M410" i="3"/>
  <c r="F80" i="3"/>
  <c r="P88" i="6" s="1"/>
  <c r="O478" i="3"/>
  <c r="P478" i="3" s="1"/>
  <c r="Q435" i="5"/>
  <c r="O504" i="3"/>
  <c r="P504" i="3" s="1"/>
  <c r="O303" i="3"/>
  <c r="P303" i="3" s="1"/>
  <c r="Q335" i="5"/>
  <c r="O426" i="3"/>
  <c r="P426" i="3" s="1"/>
  <c r="Q364" i="5"/>
  <c r="J107" i="3"/>
  <c r="G52" i="3"/>
  <c r="G53" i="3"/>
  <c r="L156" i="3"/>
  <c r="M156" i="3" s="1"/>
  <c r="N156" i="3" s="1"/>
  <c r="O294" i="3"/>
  <c r="P294" i="3" s="1"/>
  <c r="M369" i="3"/>
  <c r="K191" i="3"/>
  <c r="O366" i="3"/>
  <c r="P366" i="3" s="1"/>
  <c r="L65" i="3"/>
  <c r="N161" i="6"/>
  <c r="H94" i="6"/>
  <c r="G19" i="6"/>
  <c r="H119" i="6"/>
  <c r="I160" i="6"/>
  <c r="K141" i="3"/>
  <c r="O141" i="3" s="1"/>
  <c r="P141" i="3" s="1"/>
  <c r="Q264" i="5"/>
  <c r="Q388" i="5"/>
  <c r="Q484" i="5"/>
  <c r="Q482" i="5"/>
  <c r="M320" i="3"/>
  <c r="G14" i="3"/>
  <c r="Q272" i="5"/>
  <c r="Q463" i="5"/>
  <c r="M317" i="3"/>
  <c r="K114" i="3"/>
  <c r="M458" i="3"/>
  <c r="O215" i="3"/>
  <c r="P215" i="3" s="1"/>
  <c r="G80" i="3"/>
  <c r="O452" i="3"/>
  <c r="P452" i="3" s="1"/>
  <c r="F16" i="3"/>
  <c r="P24" i="6" s="1"/>
  <c r="O477" i="3"/>
  <c r="P477" i="3" s="1"/>
  <c r="O349" i="3"/>
  <c r="P349" i="3" s="1"/>
  <c r="O291" i="3"/>
  <c r="P291" i="3" s="1"/>
  <c r="O412" i="3"/>
  <c r="P412" i="3" s="1"/>
  <c r="O252" i="3"/>
  <c r="P252" i="3" s="1"/>
  <c r="O264" i="3"/>
  <c r="P264" i="3" s="1"/>
  <c r="M241" i="3"/>
  <c r="L184" i="6"/>
  <c r="Q377" i="6"/>
  <c r="Q197" i="6"/>
  <c r="L160" i="6"/>
  <c r="G47" i="6"/>
  <c r="I19" i="6"/>
  <c r="H44" i="6"/>
  <c r="H27" i="6"/>
  <c r="H184" i="6"/>
  <c r="H161" i="6"/>
  <c r="I161" i="6"/>
  <c r="M414" i="3"/>
  <c r="O225" i="3"/>
  <c r="P225" i="3" s="1"/>
  <c r="Q208" i="5"/>
  <c r="L53" i="3"/>
  <c r="M117" i="3"/>
  <c r="N117" i="3" s="1"/>
  <c r="O22" i="6"/>
  <c r="O240" i="3"/>
  <c r="P240" i="3" s="1"/>
  <c r="Q415" i="5"/>
  <c r="K11" i="3"/>
  <c r="L325" i="6"/>
  <c r="O317" i="3"/>
  <c r="P317" i="3" s="1"/>
  <c r="M315" i="3"/>
  <c r="G156" i="3"/>
  <c r="O24" i="6"/>
  <c r="H191" i="6"/>
  <c r="G115" i="6"/>
  <c r="Q303" i="5"/>
  <c r="F14" i="3"/>
  <c r="P22" i="6" s="1"/>
  <c r="L52" i="3"/>
  <c r="Q503" i="5"/>
  <c r="F171" i="3"/>
  <c r="O279" i="3"/>
  <c r="P279" i="3" s="1"/>
  <c r="M228" i="3"/>
  <c r="M335" i="3"/>
  <c r="O396" i="3"/>
  <c r="P396" i="3" s="1"/>
  <c r="K19" i="3"/>
  <c r="K16" i="3"/>
  <c r="I50" i="6"/>
  <c r="I181" i="6"/>
  <c r="G44" i="6"/>
  <c r="I172" i="6"/>
  <c r="M111" i="3"/>
  <c r="Q378" i="5"/>
  <c r="Q478" i="5"/>
  <c r="G114" i="3"/>
  <c r="Q412" i="5"/>
  <c r="Q315" i="5"/>
  <c r="O458" i="3"/>
  <c r="P458" i="3" s="1"/>
  <c r="K42" i="3"/>
  <c r="Q50" i="6" s="1"/>
  <c r="Q481" i="5"/>
  <c r="K52" i="3"/>
  <c r="Q472" i="5"/>
  <c r="Q386" i="6"/>
  <c r="M378" i="3"/>
  <c r="Q276" i="5"/>
  <c r="O493" i="3"/>
  <c r="P493" i="3" s="1"/>
  <c r="O409" i="3"/>
  <c r="P409" i="3" s="1"/>
  <c r="O475" i="3"/>
  <c r="P475" i="3" s="1"/>
  <c r="O360" i="3"/>
  <c r="P360" i="3" s="1"/>
  <c r="O267" i="3"/>
  <c r="P267" i="3" s="1"/>
  <c r="M129" i="3"/>
  <c r="Q229" i="5"/>
  <c r="J178" i="3"/>
  <c r="O328" i="3"/>
  <c r="P328" i="3" s="1"/>
  <c r="O249" i="3"/>
  <c r="P249" i="3" s="1"/>
  <c r="J29" i="3"/>
  <c r="O297" i="3"/>
  <c r="P297" i="3" s="1"/>
  <c r="J38" i="3"/>
  <c r="K164" i="3"/>
  <c r="Q172" i="6" s="1"/>
  <c r="R172" i="6" s="1"/>
  <c r="F53" i="3"/>
  <c r="P61" i="6" s="1"/>
  <c r="G16" i="3"/>
  <c r="L114" i="3"/>
  <c r="O116" i="6"/>
  <c r="M123" i="3"/>
  <c r="M247" i="3"/>
  <c r="O246" i="3"/>
  <c r="P246" i="3" s="1"/>
  <c r="J146" i="3"/>
  <c r="N193" i="6"/>
  <c r="G145" i="3"/>
  <c r="G121" i="3"/>
  <c r="I24" i="6"/>
  <c r="G17" i="6"/>
  <c r="H202" i="6"/>
  <c r="J202" i="6" s="1"/>
  <c r="G80" i="6"/>
  <c r="J80" i="6" s="1"/>
  <c r="I132" i="6"/>
  <c r="Q76" i="6"/>
  <c r="Q400" i="5"/>
  <c r="Q297" i="5"/>
  <c r="Q309" i="5"/>
  <c r="Q360" i="5"/>
  <c r="L36" i="3"/>
  <c r="M36" i="3" s="1"/>
  <c r="Q342" i="5"/>
  <c r="O378" i="3"/>
  <c r="P378" i="3" s="1"/>
  <c r="K173" i="3"/>
  <c r="M379" i="3"/>
  <c r="O422" i="3"/>
  <c r="P422" i="3" s="1"/>
  <c r="L108" i="3"/>
  <c r="G125" i="6"/>
  <c r="J125" i="6" s="1"/>
  <c r="I87" i="6"/>
  <c r="O415" i="3"/>
  <c r="P415" i="3" s="1"/>
  <c r="O481" i="3"/>
  <c r="P481" i="3" s="1"/>
  <c r="O448" i="3"/>
  <c r="P448" i="3" s="1"/>
  <c r="M419" i="3"/>
  <c r="F52" i="3"/>
  <c r="P60" i="6" s="1"/>
  <c r="Q290" i="5"/>
  <c r="K32" i="3"/>
  <c r="Q40" i="6" s="1"/>
  <c r="I157" i="6"/>
  <c r="I27" i="6"/>
  <c r="J27" i="6" s="1"/>
  <c r="G50" i="6"/>
  <c r="H158" i="6"/>
  <c r="L150" i="3"/>
  <c r="M150" i="3" s="1"/>
  <c r="Q418" i="5"/>
  <c r="Q285" i="5"/>
  <c r="M482" i="3"/>
  <c r="Q300" i="5"/>
  <c r="M396" i="3"/>
  <c r="Q157" i="5"/>
  <c r="Q385" i="5"/>
  <c r="Q336" i="5"/>
  <c r="K124" i="3"/>
  <c r="Q124" i="5" s="1"/>
  <c r="K152" i="3"/>
  <c r="H65" i="6"/>
  <c r="J65" i="6" s="1"/>
  <c r="Q448" i="5"/>
  <c r="M448" i="3"/>
  <c r="M412" i="3"/>
  <c r="M291" i="3"/>
  <c r="Q310" i="5"/>
  <c r="K149" i="3"/>
  <c r="Q157" i="6" s="1"/>
  <c r="G79" i="3"/>
  <c r="M41" i="3"/>
  <c r="K185" i="3"/>
  <c r="H114" i="6"/>
  <c r="M481" i="3"/>
  <c r="M360" i="3"/>
  <c r="F129" i="3"/>
  <c r="J129" i="3" s="1"/>
  <c r="Q129" i="5" s="1"/>
  <c r="M225" i="3"/>
  <c r="O335" i="3"/>
  <c r="P335" i="3" s="1"/>
  <c r="O245" i="3"/>
  <c r="P245" i="3" s="1"/>
  <c r="G171" i="3"/>
  <c r="O400" i="3"/>
  <c r="P400" i="3" s="1"/>
  <c r="Q320" i="5"/>
  <c r="O243" i="3"/>
  <c r="P243" i="3" s="1"/>
  <c r="O376" i="3"/>
  <c r="P376" i="3" s="1"/>
  <c r="O484" i="3"/>
  <c r="P484" i="3" s="1"/>
  <c r="F108" i="3"/>
  <c r="P116" i="6" s="1"/>
  <c r="G184" i="3"/>
  <c r="J51" i="3"/>
  <c r="L184" i="3"/>
  <c r="K178" i="3"/>
  <c r="G188" i="3"/>
  <c r="G178" i="3"/>
  <c r="M229" i="3"/>
  <c r="L32" i="3"/>
  <c r="H131" i="6"/>
  <c r="H157" i="6"/>
  <c r="J29" i="6"/>
  <c r="H17" i="6"/>
  <c r="J17" i="6" s="1"/>
  <c r="O158" i="6"/>
  <c r="K110" i="3"/>
  <c r="Q118" i="6" s="1"/>
  <c r="Q406" i="5"/>
  <c r="Q214" i="5"/>
  <c r="Q291" i="5"/>
  <c r="Q357" i="5"/>
  <c r="L10" i="3"/>
  <c r="M10" i="3" s="1"/>
  <c r="N10" i="3" s="1"/>
  <c r="Q294" i="5"/>
  <c r="M452" i="3"/>
  <c r="Q199" i="5"/>
  <c r="Q252" i="5"/>
  <c r="G61" i="6"/>
  <c r="J61" i="6" s="1"/>
  <c r="M496" i="3"/>
  <c r="M478" i="3"/>
  <c r="M388" i="3"/>
  <c r="M303" i="3"/>
  <c r="Q371" i="5"/>
  <c r="O370" i="3"/>
  <c r="P370" i="3" s="1"/>
  <c r="M240" i="3"/>
  <c r="O485" i="3"/>
  <c r="P485" i="3" s="1"/>
  <c r="Q241" i="5"/>
  <c r="O482" i="3"/>
  <c r="P482" i="3" s="1"/>
  <c r="M281" i="3"/>
  <c r="M290" i="3"/>
  <c r="L178" i="3"/>
  <c r="M178" i="3" s="1"/>
  <c r="N178" i="3" s="1"/>
  <c r="L142" i="3"/>
  <c r="L169" i="3"/>
  <c r="L171" i="3"/>
  <c r="J25" i="3"/>
  <c r="H115" i="6"/>
  <c r="J115" i="6" s="1"/>
  <c r="I118" i="6"/>
  <c r="J176" i="6"/>
  <c r="H186" i="6"/>
  <c r="O228" i="3"/>
  <c r="P228" i="3" s="1"/>
  <c r="Q355" i="5"/>
  <c r="Q458" i="5"/>
  <c r="Q249" i="5"/>
  <c r="Q502" i="5"/>
  <c r="O390" i="3"/>
  <c r="P390" i="3" s="1"/>
  <c r="J198" i="6"/>
  <c r="J73" i="3"/>
  <c r="F156" i="3"/>
  <c r="J156" i="3" s="1"/>
  <c r="O388" i="3"/>
  <c r="P388" i="3" s="1"/>
  <c r="M358" i="3"/>
  <c r="O315" i="3"/>
  <c r="P315" i="3" s="1"/>
  <c r="O250" i="3"/>
  <c r="P250" i="3" s="1"/>
  <c r="O281" i="3"/>
  <c r="P281" i="3" s="1"/>
  <c r="M302" i="3"/>
  <c r="J160" i="3"/>
  <c r="Q160" i="5" s="1"/>
  <c r="F79" i="3"/>
  <c r="P87" i="6" s="1"/>
  <c r="O186" i="6"/>
  <c r="J8" i="3"/>
  <c r="I60" i="6"/>
  <c r="H68" i="6"/>
  <c r="J68" i="6" s="1"/>
  <c r="H169" i="6"/>
  <c r="G116" i="6"/>
  <c r="H176" i="6"/>
  <c r="Q345" i="5"/>
  <c r="Q379" i="5"/>
  <c r="Q243" i="5"/>
  <c r="O269" i="3"/>
  <c r="P269" i="3" s="1"/>
  <c r="Q321" i="5"/>
  <c r="Q494" i="5"/>
  <c r="J159" i="3"/>
  <c r="Q159" i="5" s="1"/>
  <c r="N90" i="3"/>
  <c r="H166" i="6"/>
  <c r="J166" i="6" s="1"/>
  <c r="M118" i="3"/>
  <c r="Q419" i="5"/>
  <c r="J181" i="3"/>
  <c r="M90" i="3"/>
  <c r="M308" i="3"/>
  <c r="Q98" i="6"/>
  <c r="J173" i="6"/>
  <c r="Q429" i="5"/>
  <c r="Q341" i="5"/>
  <c r="M192" i="3"/>
  <c r="N192" i="3" s="1"/>
  <c r="K77" i="3"/>
  <c r="O78" i="3" s="1"/>
  <c r="P78" i="3" s="1"/>
  <c r="J37" i="6"/>
  <c r="Q408" i="5"/>
  <c r="J15" i="3"/>
  <c r="F172" i="3"/>
  <c r="P180" i="6" s="1"/>
  <c r="K30" i="3"/>
  <c r="Q38" i="6" s="1"/>
  <c r="J121" i="3"/>
  <c r="J152" i="6"/>
  <c r="Q438" i="5"/>
  <c r="Q293" i="5"/>
  <c r="O319" i="3"/>
  <c r="P319" i="3" s="1"/>
  <c r="M194" i="3"/>
  <c r="N194" i="3" s="1"/>
  <c r="F182" i="3"/>
  <c r="P190" i="6" s="1"/>
  <c r="G155" i="3"/>
  <c r="H85" i="6"/>
  <c r="Q302" i="5"/>
  <c r="Q245" i="5"/>
  <c r="Q83" i="5"/>
  <c r="L182" i="3"/>
  <c r="M182" i="3" s="1"/>
  <c r="N182" i="3" s="1"/>
  <c r="F50" i="3"/>
  <c r="P58" i="6" s="1"/>
  <c r="G50" i="3"/>
  <c r="H142" i="6"/>
  <c r="H113" i="6"/>
  <c r="H105" i="6"/>
  <c r="H72" i="6"/>
  <c r="Q251" i="5"/>
  <c r="Q462" i="5"/>
  <c r="Q428" i="5"/>
  <c r="J35" i="6"/>
  <c r="M447" i="3"/>
  <c r="Q187" i="5"/>
  <c r="Q423" i="5"/>
  <c r="Q500" i="5"/>
  <c r="M456" i="3"/>
  <c r="F188" i="3"/>
  <c r="P196" i="6" s="1"/>
  <c r="M102" i="3"/>
  <c r="M274" i="3"/>
  <c r="J155" i="3"/>
  <c r="M443" i="3"/>
  <c r="Q287" i="5"/>
  <c r="Q266" i="5"/>
  <c r="M218" i="3"/>
  <c r="Q110" i="6"/>
  <c r="F131" i="3"/>
  <c r="P139" i="6" s="1"/>
  <c r="F146" i="3"/>
  <c r="P154" i="6" s="1"/>
  <c r="G73" i="3"/>
  <c r="G169" i="3"/>
  <c r="I63" i="6"/>
  <c r="Q311" i="5"/>
  <c r="Q221" i="5"/>
  <c r="M383" i="3"/>
  <c r="M263" i="3"/>
  <c r="M500" i="3"/>
  <c r="M387" i="3"/>
  <c r="M136" i="3"/>
  <c r="L188" i="3"/>
  <c r="G182" i="3"/>
  <c r="K131" i="3"/>
  <c r="O131" i="3" s="1"/>
  <c r="P131" i="3" s="1"/>
  <c r="J106" i="3"/>
  <c r="Q106" i="5" s="1"/>
  <c r="F8" i="3"/>
  <c r="P16" i="6" s="1"/>
  <c r="F155" i="3"/>
  <c r="P163" i="6" s="1"/>
  <c r="Q480" i="5"/>
  <c r="M331" i="3"/>
  <c r="M491" i="3"/>
  <c r="Q384" i="5"/>
  <c r="Q425" i="5"/>
  <c r="M393" i="3"/>
  <c r="M404" i="3"/>
  <c r="R110" i="6"/>
  <c r="M203" i="3"/>
  <c r="J118" i="3"/>
  <c r="Q118" i="5" s="1"/>
  <c r="J49" i="3"/>
  <c r="F145" i="3"/>
  <c r="P153" i="6" s="1"/>
  <c r="L155" i="3"/>
  <c r="L137" i="3"/>
  <c r="J71" i="6"/>
  <c r="H195" i="6"/>
  <c r="J195" i="6" s="1"/>
  <c r="I199" i="6"/>
  <c r="Q281" i="5"/>
  <c r="M365" i="3"/>
  <c r="Q203" i="5"/>
  <c r="M183" i="3"/>
  <c r="N183" i="3" s="1"/>
  <c r="M187" i="3"/>
  <c r="N187" i="3" s="1"/>
  <c r="R195" i="6" s="1"/>
  <c r="Q83" i="6"/>
  <c r="R83" i="6" s="1"/>
  <c r="M75" i="3"/>
  <c r="N75" i="3"/>
  <c r="K125" i="3"/>
  <c r="Q217" i="5"/>
  <c r="I33" i="6"/>
  <c r="J33" i="6" s="1"/>
  <c r="L46" i="3"/>
  <c r="F121" i="3"/>
  <c r="P129" i="6" s="1"/>
  <c r="J182" i="6"/>
  <c r="J14" i="6"/>
  <c r="I40" i="6"/>
  <c r="H183" i="6"/>
  <c r="Q497" i="5"/>
  <c r="Q314" i="5"/>
  <c r="Q501" i="5"/>
  <c r="J200" i="6"/>
  <c r="J146" i="6"/>
  <c r="Q443" i="5"/>
  <c r="Q346" i="5"/>
  <c r="Q461" i="5"/>
  <c r="Q334" i="5"/>
  <c r="Q248" i="5"/>
  <c r="Q238" i="5"/>
  <c r="Q68" i="5"/>
  <c r="M138" i="3"/>
  <c r="N138" i="3" s="1"/>
  <c r="J105" i="3"/>
  <c r="M158" i="3"/>
  <c r="K139" i="3"/>
  <c r="Q147" i="6" s="1"/>
  <c r="J66" i="3"/>
  <c r="K25" i="3"/>
  <c r="Q33" i="6" s="1"/>
  <c r="K46" i="3"/>
  <c r="Q54" i="6" s="1"/>
  <c r="J22" i="6"/>
  <c r="H127" i="6"/>
  <c r="J49" i="6"/>
  <c r="I94" i="6"/>
  <c r="I39" i="6"/>
  <c r="J155" i="6"/>
  <c r="G91" i="3"/>
  <c r="Q366" i="5"/>
  <c r="Q441" i="5"/>
  <c r="Q362" i="5"/>
  <c r="Q13" i="5"/>
  <c r="Q402" i="5"/>
  <c r="O75" i="3"/>
  <c r="P75" i="3" s="1"/>
  <c r="G139" i="3"/>
  <c r="Q414" i="5"/>
  <c r="Q411" i="5"/>
  <c r="Q231" i="6"/>
  <c r="Q223" i="5"/>
  <c r="J110" i="3"/>
  <c r="M206" i="3"/>
  <c r="H174" i="6"/>
  <c r="Q486" i="5"/>
  <c r="G26" i="3"/>
  <c r="K31" i="3"/>
  <c r="N31" i="3" s="1"/>
  <c r="Q372" i="5"/>
  <c r="Q200" i="5"/>
  <c r="G196" i="3"/>
  <c r="J139" i="3"/>
  <c r="K48" i="3"/>
  <c r="Q56" i="6" s="1"/>
  <c r="M14" i="3"/>
  <c r="N14" i="3" s="1"/>
  <c r="J182" i="3"/>
  <c r="AA482" i="4" s="1"/>
  <c r="L8" i="3"/>
  <c r="M8" i="3" s="1"/>
  <c r="N8" i="3" s="1"/>
  <c r="Q468" i="5"/>
  <c r="Q317" i="5"/>
  <c r="M224" i="3"/>
  <c r="H38" i="6"/>
  <c r="H135" i="6"/>
  <c r="I56" i="6"/>
  <c r="H92" i="6"/>
  <c r="I30" i="6"/>
  <c r="K86" i="3"/>
  <c r="Q94" i="6" s="1"/>
  <c r="Q237" i="5"/>
  <c r="Q369" i="5"/>
  <c r="Q474" i="5"/>
  <c r="Q483" i="5"/>
  <c r="Q450" i="5"/>
  <c r="M347" i="3"/>
  <c r="Q456" i="5"/>
  <c r="Q209" i="5"/>
  <c r="M159" i="3"/>
  <c r="N159" i="3" s="1"/>
  <c r="Q331" i="5"/>
  <c r="Q358" i="5"/>
  <c r="K103" i="3"/>
  <c r="O103" i="3" s="1"/>
  <c r="P103" i="3" s="1"/>
  <c r="Q308" i="5"/>
  <c r="Q232" i="5"/>
  <c r="Q268" i="5"/>
  <c r="M304" i="3"/>
  <c r="L115" i="3"/>
  <c r="M205" i="3"/>
  <c r="G172" i="3"/>
  <c r="Q211" i="5"/>
  <c r="J67" i="3"/>
  <c r="Q67" i="5" s="1"/>
  <c r="H205" i="6"/>
  <c r="Q375" i="5"/>
  <c r="Q477" i="5"/>
  <c r="N102" i="3"/>
  <c r="Q392" i="5"/>
  <c r="O434" i="6"/>
  <c r="Q426" i="5"/>
  <c r="O491" i="3"/>
  <c r="P491" i="3" s="1"/>
  <c r="M392" i="3"/>
  <c r="Q329" i="5"/>
  <c r="Q286" i="5"/>
  <c r="Q387" i="5"/>
  <c r="Q313" i="5"/>
  <c r="F115" i="3"/>
  <c r="P123" i="6" s="1"/>
  <c r="L191" i="3"/>
  <c r="M191" i="3" s="1"/>
  <c r="N191" i="3" s="1"/>
  <c r="F40" i="3"/>
  <c r="P48" i="6" s="1"/>
  <c r="L146" i="3"/>
  <c r="H13" i="6"/>
  <c r="Q359" i="5"/>
  <c r="M459" i="3"/>
  <c r="M248" i="3"/>
  <c r="Q233" i="5"/>
  <c r="G34" i="3"/>
  <c r="L47" i="3"/>
  <c r="L172" i="3"/>
  <c r="G40" i="3"/>
  <c r="F169" i="3"/>
  <c r="P177" i="6" s="1"/>
  <c r="K74" i="3"/>
  <c r="Q82" i="6" s="1"/>
  <c r="R82" i="6" s="1"/>
  <c r="L64" i="3"/>
  <c r="J137" i="3"/>
  <c r="I38" i="6"/>
  <c r="H55" i="6"/>
  <c r="M72" i="3"/>
  <c r="N72" i="3" s="1"/>
  <c r="F55" i="3"/>
  <c r="M468" i="3"/>
  <c r="M227" i="3"/>
  <c r="L86" i="3"/>
  <c r="Q228" i="5"/>
  <c r="Q284" i="5"/>
  <c r="Q390" i="5"/>
  <c r="Q405" i="5"/>
  <c r="Q447" i="5"/>
  <c r="Q444" i="5"/>
  <c r="Q51" i="5"/>
  <c r="J184" i="6"/>
  <c r="O365" i="3"/>
  <c r="P365" i="3" s="1"/>
  <c r="Q215" i="5"/>
  <c r="Q230" i="5"/>
  <c r="M223" i="3"/>
  <c r="Q28" i="5"/>
  <c r="J84" i="3"/>
  <c r="I55" i="6"/>
  <c r="K91" i="3"/>
  <c r="Q99" i="6" s="1"/>
  <c r="Q262" i="5"/>
  <c r="Q193" i="5"/>
  <c r="Q437" i="5"/>
  <c r="M411" i="3"/>
  <c r="Q455" i="5"/>
  <c r="O404" i="3"/>
  <c r="P404" i="3" s="1"/>
  <c r="F184" i="3"/>
  <c r="P192" i="6" s="1"/>
  <c r="O447" i="3"/>
  <c r="P447" i="3" s="1"/>
  <c r="Q332" i="5"/>
  <c r="Q292" i="5"/>
  <c r="M483" i="3"/>
  <c r="Q178" i="5"/>
  <c r="M464" i="3"/>
  <c r="M364" i="3"/>
  <c r="M259" i="3"/>
  <c r="K47" i="3"/>
  <c r="G146" i="3"/>
  <c r="J40" i="3"/>
  <c r="G64" i="3"/>
  <c r="F46" i="3"/>
  <c r="P54" i="6" s="1"/>
  <c r="K137" i="3"/>
  <c r="Q145" i="6" s="1"/>
  <c r="H43" i="6"/>
  <c r="I139" i="6"/>
  <c r="H138" i="6"/>
  <c r="H16" i="6"/>
  <c r="H93" i="6"/>
  <c r="Q383" i="5"/>
  <c r="Q299" i="5"/>
  <c r="Q305" i="5"/>
  <c r="Q350" i="5"/>
  <c r="J167" i="6"/>
  <c r="I82" i="6"/>
  <c r="I111" i="6"/>
  <c r="Q307" i="5"/>
  <c r="M334" i="3"/>
  <c r="O266" i="3"/>
  <c r="P266" i="3" s="1"/>
  <c r="Q495" i="5"/>
  <c r="O383" i="3"/>
  <c r="P383" i="3" s="1"/>
  <c r="Q365" i="5"/>
  <c r="Q109" i="5"/>
  <c r="L139" i="3"/>
  <c r="G46" i="3"/>
  <c r="G137" i="3"/>
  <c r="H59" i="6"/>
  <c r="J59" i="6" s="1"/>
  <c r="I99" i="6"/>
  <c r="Q239" i="5"/>
  <c r="Q295" i="5"/>
  <c r="Q257" i="5"/>
  <c r="Q326" i="5"/>
  <c r="Q35" i="6"/>
  <c r="M27" i="3"/>
  <c r="N27" i="3" s="1"/>
  <c r="Q269" i="5"/>
  <c r="AE406" i="4"/>
  <c r="AE359" i="4"/>
  <c r="AE356" i="4"/>
  <c r="AE358" i="4"/>
  <c r="AE357" i="4"/>
  <c r="AC358" i="4"/>
  <c r="AE350" i="4"/>
  <c r="AE353" i="4"/>
  <c r="AE352" i="4"/>
  <c r="AE355" i="4"/>
  <c r="AE354" i="4"/>
  <c r="AE351" i="4"/>
  <c r="AE305" i="4"/>
  <c r="AE290" i="4"/>
  <c r="AE259" i="4"/>
  <c r="AE267" i="4"/>
  <c r="AE245" i="4"/>
  <c r="AC273" i="4"/>
  <c r="AE230" i="4"/>
  <c r="AE214" i="4"/>
  <c r="AE162" i="4"/>
  <c r="AE154" i="4"/>
  <c r="AE88" i="4"/>
  <c r="AE77" i="4"/>
  <c r="Q304" i="5"/>
  <c r="Q393" i="5"/>
  <c r="Q225" i="5"/>
  <c r="Q296" i="5"/>
  <c r="J148" i="6"/>
  <c r="J197" i="6"/>
  <c r="J185" i="6"/>
  <c r="Q227" i="5"/>
  <c r="J114" i="3"/>
  <c r="Q254" i="5"/>
  <c r="Q198" i="5"/>
  <c r="Q219" i="5"/>
  <c r="Q240" i="5"/>
  <c r="J98" i="6"/>
  <c r="J170" i="6"/>
  <c r="J194" i="6"/>
  <c r="Q242" i="5"/>
  <c r="Q108" i="5"/>
  <c r="Q231" i="5"/>
  <c r="P267" i="6"/>
  <c r="Q259" i="5"/>
  <c r="Q212" i="5"/>
  <c r="Q401" i="5"/>
  <c r="Q202" i="5"/>
  <c r="Q235" i="5"/>
  <c r="Q205" i="5"/>
  <c r="J65" i="3"/>
  <c r="J99" i="3"/>
  <c r="Q99" i="5" s="1"/>
  <c r="J131" i="6"/>
  <c r="Q396" i="5"/>
  <c r="Q204" i="5"/>
  <c r="Q147" i="5"/>
  <c r="Q207" i="5"/>
  <c r="Q352" i="5"/>
  <c r="J60" i="3"/>
  <c r="Q60" i="5" s="1"/>
  <c r="Q78" i="5"/>
  <c r="Q260" i="5"/>
  <c r="J89" i="6"/>
  <c r="J119" i="6"/>
  <c r="Q380" i="5"/>
  <c r="Q120" i="5"/>
  <c r="Q226" i="5"/>
  <c r="Q201" i="5"/>
  <c r="P369" i="6"/>
  <c r="Q361" i="5"/>
  <c r="J150" i="3"/>
  <c r="Q150" i="5" s="1"/>
  <c r="P218" i="6"/>
  <c r="Q210" i="5"/>
  <c r="P351" i="6"/>
  <c r="Q343" i="5"/>
  <c r="Q247" i="5"/>
  <c r="J174" i="3"/>
  <c r="Q174" i="5" s="1"/>
  <c r="J54" i="3"/>
  <c r="J186" i="3"/>
  <c r="Q186" i="5" s="1"/>
  <c r="Q298" i="5"/>
  <c r="Q488" i="5"/>
  <c r="Q9" i="5"/>
  <c r="Q489" i="5"/>
  <c r="Q417" i="5"/>
  <c r="Q263" i="5"/>
  <c r="J140" i="3"/>
  <c r="Q459" i="5"/>
  <c r="Q236" i="5"/>
  <c r="Q325" i="5"/>
  <c r="Q347" i="5"/>
  <c r="J45" i="3"/>
  <c r="Q220" i="5"/>
  <c r="Q491" i="5"/>
  <c r="Q280" i="5"/>
  <c r="Q275" i="5"/>
  <c r="Q476" i="5"/>
  <c r="Q452" i="5"/>
  <c r="P512" i="6"/>
  <c r="Q504" i="5"/>
  <c r="Q420" i="5"/>
  <c r="J190" i="3"/>
  <c r="Q316" i="5"/>
  <c r="P242" i="6"/>
  <c r="Q234" i="5"/>
  <c r="P134" i="6"/>
  <c r="R134" i="6" s="1"/>
  <c r="Q126" i="5"/>
  <c r="P357" i="6"/>
  <c r="Q349" i="5"/>
  <c r="Q465" i="5"/>
  <c r="Q453" i="5"/>
  <c r="Q432" i="5"/>
  <c r="Q467" i="5"/>
  <c r="Q404" i="5"/>
  <c r="J20" i="3"/>
  <c r="Q206" i="5"/>
  <c r="Q274" i="5"/>
  <c r="J91" i="6"/>
  <c r="J62" i="6"/>
  <c r="J137" i="6"/>
  <c r="Q416" i="5"/>
  <c r="Q250" i="5"/>
  <c r="Q431" i="5"/>
  <c r="Q213" i="5"/>
  <c r="J53" i="6"/>
  <c r="Q338" i="5"/>
  <c r="Q271" i="5"/>
  <c r="J41" i="3"/>
  <c r="Q464" i="5"/>
  <c r="Q473" i="5"/>
  <c r="Q278" i="5"/>
  <c r="Q471" i="5"/>
  <c r="Q353" i="5"/>
  <c r="Q6" i="5"/>
  <c r="Q319" i="5"/>
  <c r="Q218" i="5"/>
  <c r="Q224" i="5"/>
  <c r="J11" i="3"/>
  <c r="Q11" i="5" s="1"/>
  <c r="Q399" i="5"/>
  <c r="Q381" i="5"/>
  <c r="Q323" i="5"/>
  <c r="Q111" i="5"/>
  <c r="P230" i="6"/>
  <c r="Q222" i="5"/>
  <c r="Q101" i="5"/>
  <c r="J46" i="6"/>
  <c r="J61" i="3"/>
  <c r="Q61" i="5" s="1"/>
  <c r="Q216" i="5"/>
  <c r="Q337" i="5"/>
  <c r="Q117" i="5"/>
  <c r="Q177" i="5"/>
  <c r="Q81" i="5"/>
  <c r="J116" i="6"/>
  <c r="J188" i="6"/>
  <c r="J77" i="6"/>
  <c r="J169" i="6"/>
  <c r="J181" i="6"/>
  <c r="J140" i="6"/>
  <c r="J45" i="6"/>
  <c r="J187" i="6"/>
  <c r="J164" i="6"/>
  <c r="J76" i="6"/>
  <c r="J69" i="6"/>
  <c r="J128" i="6"/>
  <c r="J203" i="6"/>
  <c r="O11" i="2"/>
  <c r="O25" i="2" s="1"/>
  <c r="O41" i="2" s="1"/>
  <c r="AE533" i="4"/>
  <c r="AE511" i="4"/>
  <c r="AE500" i="4"/>
  <c r="AE403" i="4"/>
  <c r="AE464" i="4"/>
  <c r="AE415" i="4"/>
  <c r="AE495" i="4"/>
  <c r="AE392" i="4"/>
  <c r="AE308" i="4"/>
  <c r="AE379" i="4"/>
  <c r="AE54" i="4"/>
  <c r="AE512" i="4"/>
  <c r="AE492" i="4"/>
  <c r="AE514" i="4"/>
  <c r="AE497" i="4"/>
  <c r="AE443" i="4"/>
  <c r="AE513" i="4"/>
  <c r="AE139" i="4"/>
  <c r="AC511" i="4"/>
  <c r="AE494" i="4"/>
  <c r="AE341" i="4"/>
  <c r="AE515" i="4"/>
  <c r="P103" i="6"/>
  <c r="J95" i="3"/>
  <c r="P95" i="6"/>
  <c r="J87" i="3"/>
  <c r="Q87" i="5" s="1"/>
  <c r="AE449" i="4"/>
  <c r="AE437" i="4"/>
  <c r="AE468" i="4"/>
  <c r="AE445" i="4"/>
  <c r="AE391" i="4"/>
  <c r="AC391" i="4"/>
  <c r="AE174" i="4"/>
  <c r="AE143" i="4"/>
  <c r="P173" i="6"/>
  <c r="J165" i="3"/>
  <c r="Q165" i="5" s="1"/>
  <c r="L216" i="6"/>
  <c r="O208" i="3"/>
  <c r="P208" i="3" s="1"/>
  <c r="P184" i="6"/>
  <c r="J176" i="3"/>
  <c r="L361" i="6"/>
  <c r="O353" i="3"/>
  <c r="P353" i="3" s="1"/>
  <c r="Q274" i="6"/>
  <c r="M266" i="3"/>
  <c r="L114" i="6"/>
  <c r="G114" i="6"/>
  <c r="J114" i="6" s="1"/>
  <c r="M121" i="6"/>
  <c r="H121" i="6"/>
  <c r="N32" i="6"/>
  <c r="K24" i="3"/>
  <c r="O24" i="3" s="1"/>
  <c r="P24" i="3" s="1"/>
  <c r="I32" i="6"/>
  <c r="L156" i="6"/>
  <c r="G156" i="6"/>
  <c r="Q112" i="6"/>
  <c r="O104" i="3"/>
  <c r="P104" i="3" s="1"/>
  <c r="L41" i="6"/>
  <c r="G41" i="6"/>
  <c r="O399" i="3"/>
  <c r="P399" i="3" s="1"/>
  <c r="J172" i="3"/>
  <c r="O178" i="6"/>
  <c r="L170" i="3"/>
  <c r="M170" i="3" s="1"/>
  <c r="F170" i="3"/>
  <c r="P178" i="6" s="1"/>
  <c r="G170" i="3"/>
  <c r="N103" i="6"/>
  <c r="K95" i="3"/>
  <c r="I103" i="6"/>
  <c r="M101" i="6"/>
  <c r="H101" i="6"/>
  <c r="M56" i="6"/>
  <c r="H56" i="6"/>
  <c r="M51" i="6"/>
  <c r="H51" i="6"/>
  <c r="O74" i="6"/>
  <c r="L66" i="3"/>
  <c r="G66" i="3"/>
  <c r="F66" i="3"/>
  <c r="P74" i="6" s="1"/>
  <c r="Q28" i="6"/>
  <c r="M20" i="3"/>
  <c r="N20" i="3" s="1"/>
  <c r="L163" i="6"/>
  <c r="O155" i="3"/>
  <c r="P155" i="3" s="1"/>
  <c r="G163" i="6"/>
  <c r="AE516" i="4"/>
  <c r="AC493" i="4"/>
  <c r="AE493" i="4"/>
  <c r="Q397" i="6"/>
  <c r="M389" i="3"/>
  <c r="P170" i="6"/>
  <c r="J162" i="3"/>
  <c r="L436" i="6"/>
  <c r="O428" i="3"/>
  <c r="P428" i="3" s="1"/>
  <c r="Q448" i="6"/>
  <c r="M440" i="3"/>
  <c r="M193" i="6"/>
  <c r="H193" i="6"/>
  <c r="P71" i="6"/>
  <c r="J63" i="3"/>
  <c r="Q63" i="5" s="1"/>
  <c r="Q210" i="6"/>
  <c r="M202" i="3"/>
  <c r="Q463" i="6"/>
  <c r="M455" i="3"/>
  <c r="O135" i="6"/>
  <c r="L127" i="3"/>
  <c r="G127" i="3"/>
  <c r="F127" i="3"/>
  <c r="P135" i="6" s="1"/>
  <c r="L118" i="6"/>
  <c r="G118" i="6"/>
  <c r="P112" i="6"/>
  <c r="J104" i="3"/>
  <c r="Q104" i="5" s="1"/>
  <c r="L151" i="6"/>
  <c r="G151" i="6"/>
  <c r="L105" i="6"/>
  <c r="G105" i="6"/>
  <c r="M66" i="6"/>
  <c r="H66" i="6"/>
  <c r="L43" i="6"/>
  <c r="G43" i="6"/>
  <c r="M102" i="6"/>
  <c r="H102" i="6"/>
  <c r="L355" i="6"/>
  <c r="O347" i="3"/>
  <c r="P347" i="3" s="1"/>
  <c r="Q160" i="6"/>
  <c r="N152" i="3"/>
  <c r="O152" i="3"/>
  <c r="P152" i="3" s="1"/>
  <c r="Q128" i="6"/>
  <c r="M120" i="3"/>
  <c r="N120" i="3" s="1"/>
  <c r="Q199" i="6"/>
  <c r="O97" i="6"/>
  <c r="F89" i="3"/>
  <c r="P97" i="6" s="1"/>
  <c r="L89" i="3"/>
  <c r="M89" i="3" s="1"/>
  <c r="N89" i="3" s="1"/>
  <c r="M41" i="6"/>
  <c r="H41" i="6"/>
  <c r="O50" i="6"/>
  <c r="L42" i="3"/>
  <c r="G42" i="3"/>
  <c r="F42" i="3"/>
  <c r="P50" i="6" s="1"/>
  <c r="O32" i="6"/>
  <c r="G24" i="3"/>
  <c r="F24" i="3"/>
  <c r="L24" i="3"/>
  <c r="O103" i="6"/>
  <c r="L95" i="3"/>
  <c r="G95" i="3"/>
  <c r="N177" i="6"/>
  <c r="I177" i="6"/>
  <c r="M147" i="6"/>
  <c r="H147" i="6"/>
  <c r="N101" i="6"/>
  <c r="I101" i="6"/>
  <c r="K93" i="3"/>
  <c r="O51" i="6"/>
  <c r="G43" i="3"/>
  <c r="L43" i="3"/>
  <c r="F43" i="3"/>
  <c r="P51" i="6" s="1"/>
  <c r="M129" i="6"/>
  <c r="H129" i="6"/>
  <c r="O82" i="6"/>
  <c r="L74" i="3"/>
  <c r="G74" i="3"/>
  <c r="AE490" i="4"/>
  <c r="AC490" i="4"/>
  <c r="AE444" i="4"/>
  <c r="AE390" i="4"/>
  <c r="AE394" i="4"/>
  <c r="L511" i="6"/>
  <c r="O503" i="3"/>
  <c r="P503" i="3" s="1"/>
  <c r="L397" i="6"/>
  <c r="O389" i="3"/>
  <c r="P389" i="3" s="1"/>
  <c r="Q300" i="6"/>
  <c r="O292" i="3"/>
  <c r="P292" i="3" s="1"/>
  <c r="O187" i="6"/>
  <c r="L179" i="3"/>
  <c r="G179" i="3"/>
  <c r="F179" i="3"/>
  <c r="O136" i="6"/>
  <c r="G128" i="3"/>
  <c r="F128" i="3"/>
  <c r="L128" i="3"/>
  <c r="M128" i="3" s="1"/>
  <c r="N128" i="3" s="1"/>
  <c r="P98" i="6"/>
  <c r="J90" i="3"/>
  <c r="Q90" i="5" s="1"/>
  <c r="L428" i="6"/>
  <c r="O420" i="3"/>
  <c r="P420" i="3" s="1"/>
  <c r="L508" i="6"/>
  <c r="O500" i="3"/>
  <c r="P500" i="3" s="1"/>
  <c r="Q203" i="6"/>
  <c r="O195" i="3"/>
  <c r="P195" i="3" s="1"/>
  <c r="L283" i="6"/>
  <c r="O275" i="3"/>
  <c r="P275" i="3" s="1"/>
  <c r="Q27" i="6"/>
  <c r="J152" i="3"/>
  <c r="Q152" i="5" s="1"/>
  <c r="M133" i="6"/>
  <c r="H133" i="6"/>
  <c r="M104" i="6"/>
  <c r="H104" i="6"/>
  <c r="L87" i="6"/>
  <c r="G87" i="6"/>
  <c r="N70" i="6"/>
  <c r="K62" i="3"/>
  <c r="Q62" i="5" s="1"/>
  <c r="I70" i="6"/>
  <c r="J70" i="6" s="1"/>
  <c r="L66" i="6"/>
  <c r="G66" i="6"/>
  <c r="Q241" i="6"/>
  <c r="M233" i="3"/>
  <c r="L102" i="6"/>
  <c r="G102" i="6"/>
  <c r="O160" i="6"/>
  <c r="G152" i="3"/>
  <c r="L152" i="3"/>
  <c r="N57" i="6"/>
  <c r="K49" i="3"/>
  <c r="O49" i="3" s="1"/>
  <c r="P49" i="3" s="1"/>
  <c r="I57" i="6"/>
  <c r="N97" i="6"/>
  <c r="I97" i="6"/>
  <c r="L52" i="6"/>
  <c r="G52" i="6"/>
  <c r="N41" i="6"/>
  <c r="K33" i="3"/>
  <c r="O33" i="3" s="1"/>
  <c r="P33" i="3" s="1"/>
  <c r="I41" i="6"/>
  <c r="O455" i="3"/>
  <c r="P455" i="3" s="1"/>
  <c r="L228" i="6"/>
  <c r="O220" i="3"/>
  <c r="P220" i="3" s="1"/>
  <c r="N190" i="6"/>
  <c r="I190" i="6"/>
  <c r="M95" i="6"/>
  <c r="H95" i="6"/>
  <c r="O101" i="6"/>
  <c r="F93" i="3"/>
  <c r="G93" i="3"/>
  <c r="L93" i="3"/>
  <c r="L124" i="6"/>
  <c r="G124" i="6"/>
  <c r="O38" i="6"/>
  <c r="G30" i="3"/>
  <c r="L30" i="3"/>
  <c r="M30" i="3" s="1"/>
  <c r="F74" i="3"/>
  <c r="P82" i="6" s="1"/>
  <c r="AE503" i="4"/>
  <c r="AC516" i="4"/>
  <c r="AC492" i="4"/>
  <c r="AE191" i="4"/>
  <c r="Q511" i="6"/>
  <c r="M503" i="3"/>
  <c r="Q436" i="6"/>
  <c r="M428" i="3"/>
  <c r="Q415" i="6"/>
  <c r="M407" i="3"/>
  <c r="O407" i="3"/>
  <c r="P407" i="3" s="1"/>
  <c r="R125" i="6"/>
  <c r="L295" i="6"/>
  <c r="O287" i="3"/>
  <c r="P287" i="3" s="1"/>
  <c r="L469" i="6"/>
  <c r="O461" i="3"/>
  <c r="P461" i="3" s="1"/>
  <c r="O172" i="6"/>
  <c r="G164" i="3"/>
  <c r="F164" i="3"/>
  <c r="L164" i="3"/>
  <c r="O193" i="6"/>
  <c r="G185" i="3"/>
  <c r="F185" i="3"/>
  <c r="L409" i="6"/>
  <c r="O401" i="3"/>
  <c r="P401" i="3" s="1"/>
  <c r="L157" i="6"/>
  <c r="G157" i="6"/>
  <c r="J157" i="6" s="1"/>
  <c r="N104" i="6"/>
  <c r="K96" i="3"/>
  <c r="Q96" i="5" s="1"/>
  <c r="I104" i="6"/>
  <c r="N159" i="6"/>
  <c r="I159" i="6"/>
  <c r="K151" i="3"/>
  <c r="O151" i="3" s="1"/>
  <c r="P151" i="3" s="1"/>
  <c r="O102" i="6"/>
  <c r="L94" i="3"/>
  <c r="G94" i="3"/>
  <c r="Q202" i="6"/>
  <c r="O194" i="3"/>
  <c r="P194" i="3" s="1"/>
  <c r="N158" i="3"/>
  <c r="L142" i="6"/>
  <c r="G142" i="6"/>
  <c r="L84" i="6"/>
  <c r="G84" i="6"/>
  <c r="Q168" i="6"/>
  <c r="M160" i="3"/>
  <c r="N160" i="3" s="1"/>
  <c r="N123" i="6"/>
  <c r="K115" i="3"/>
  <c r="I123" i="6"/>
  <c r="J195" i="3"/>
  <c r="R160" i="6"/>
  <c r="L196" i="6"/>
  <c r="G196" i="6"/>
  <c r="Q164" i="6"/>
  <c r="O156" i="3"/>
  <c r="P156" i="3" s="1"/>
  <c r="N52" i="6"/>
  <c r="K44" i="3"/>
  <c r="Q44" i="5" s="1"/>
  <c r="I52" i="6"/>
  <c r="L214" i="6"/>
  <c r="O206" i="3"/>
  <c r="P206" i="3" s="1"/>
  <c r="L93" i="6"/>
  <c r="G93" i="6"/>
  <c r="L180" i="6"/>
  <c r="G180" i="6"/>
  <c r="O128" i="3"/>
  <c r="P128" i="3" s="1"/>
  <c r="Q169" i="6"/>
  <c r="Q165" i="6"/>
  <c r="M157" i="3"/>
  <c r="N157" i="3" s="1"/>
  <c r="M124" i="6"/>
  <c r="H124" i="6"/>
  <c r="F30" i="3"/>
  <c r="P38" i="6" s="1"/>
  <c r="J88" i="6"/>
  <c r="AE446" i="4"/>
  <c r="AE529" i="4"/>
  <c r="AE441" i="4"/>
  <c r="AE347" i="4"/>
  <c r="AE57" i="4"/>
  <c r="AE68" i="4"/>
  <c r="P161" i="6"/>
  <c r="J153" i="3"/>
  <c r="Q153" i="5" s="1"/>
  <c r="L503" i="6"/>
  <c r="O495" i="3"/>
  <c r="P495" i="3" s="1"/>
  <c r="L497" i="6"/>
  <c r="O489" i="3"/>
  <c r="P489" i="3" s="1"/>
  <c r="Q431" i="6"/>
  <c r="M423" i="3"/>
  <c r="O169" i="6"/>
  <c r="L161" i="3"/>
  <c r="F161" i="3"/>
  <c r="L211" i="6"/>
  <c r="O203" i="3"/>
  <c r="P203" i="3" s="1"/>
  <c r="Q155" i="6"/>
  <c r="Q132" i="6"/>
  <c r="M124" i="3"/>
  <c r="N124" i="3" s="1"/>
  <c r="L117" i="6"/>
  <c r="G117" i="6"/>
  <c r="J117" i="6" s="1"/>
  <c r="Q201" i="6"/>
  <c r="M193" i="3"/>
  <c r="N193" i="3" s="1"/>
  <c r="L324" i="6"/>
  <c r="O316" i="3"/>
  <c r="P316" i="3" s="1"/>
  <c r="O138" i="6"/>
  <c r="L130" i="3"/>
  <c r="M130" i="3" s="1"/>
  <c r="N130" i="3" s="1"/>
  <c r="M196" i="6"/>
  <c r="H196" i="6"/>
  <c r="Q190" i="6"/>
  <c r="L213" i="6"/>
  <c r="O205" i="3"/>
  <c r="P205" i="3" s="1"/>
  <c r="N174" i="6"/>
  <c r="I174" i="6"/>
  <c r="L154" i="6"/>
  <c r="G154" i="6"/>
  <c r="Q124" i="6"/>
  <c r="N13" i="6"/>
  <c r="I13" i="6"/>
  <c r="K5" i="3"/>
  <c r="O5" i="3" s="1"/>
  <c r="P5" i="3" s="1"/>
  <c r="AE540" i="4"/>
  <c r="AE520" i="4"/>
  <c r="AE517" i="4"/>
  <c r="AE448" i="4"/>
  <c r="AC448" i="4"/>
  <c r="AE337" i="4"/>
  <c r="AE231" i="4"/>
  <c r="AE211" i="4"/>
  <c r="AE23" i="4"/>
  <c r="Q487" i="6"/>
  <c r="M479" i="3"/>
  <c r="L303" i="6"/>
  <c r="O295" i="3"/>
  <c r="P295" i="3" s="1"/>
  <c r="Q461" i="6"/>
  <c r="M453" i="3"/>
  <c r="L315" i="6"/>
  <c r="O307" i="3"/>
  <c r="P307" i="3" s="1"/>
  <c r="Q318" i="6"/>
  <c r="M292" i="3"/>
  <c r="L120" i="6"/>
  <c r="G120" i="6"/>
  <c r="J120" i="6" s="1"/>
  <c r="Q97" i="6"/>
  <c r="L86" i="6"/>
  <c r="G86" i="6"/>
  <c r="J86" i="6" s="1"/>
  <c r="L25" i="6"/>
  <c r="G25" i="6"/>
  <c r="L133" i="6"/>
  <c r="G133" i="6"/>
  <c r="N25" i="6"/>
  <c r="K17" i="3"/>
  <c r="O17" i="3" s="1"/>
  <c r="P17" i="3" s="1"/>
  <c r="I25" i="6"/>
  <c r="L135" i="6"/>
  <c r="G135" i="6"/>
  <c r="G89" i="3"/>
  <c r="L78" i="6"/>
  <c r="G78" i="6"/>
  <c r="J78" i="6" s="1"/>
  <c r="M36" i="6"/>
  <c r="H36" i="6"/>
  <c r="G130" i="3"/>
  <c r="P96" i="6"/>
  <c r="J88" i="3"/>
  <c r="Q88" i="5" s="1"/>
  <c r="N196" i="6"/>
  <c r="K188" i="3"/>
  <c r="I196" i="6"/>
  <c r="M20" i="6"/>
  <c r="H20" i="6"/>
  <c r="J20" i="6" s="1"/>
  <c r="Q162" i="6"/>
  <c r="M154" i="3"/>
  <c r="N154" i="3" s="1"/>
  <c r="N154" i="6"/>
  <c r="K146" i="3"/>
  <c r="I154" i="6"/>
  <c r="M81" i="6"/>
  <c r="H81" i="6"/>
  <c r="O111" i="6"/>
  <c r="G103" i="3"/>
  <c r="F103" i="3"/>
  <c r="L103" i="3"/>
  <c r="O56" i="6"/>
  <c r="G48" i="3"/>
  <c r="F48" i="3"/>
  <c r="P56" i="6" s="1"/>
  <c r="L48" i="3"/>
  <c r="L51" i="6"/>
  <c r="G51" i="6"/>
  <c r="O165" i="3"/>
  <c r="P165" i="3" s="1"/>
  <c r="L129" i="6"/>
  <c r="G129" i="6"/>
  <c r="L13" i="6"/>
  <c r="AA529" i="4"/>
  <c r="H529" i="4"/>
  <c r="H482" i="4"/>
  <c r="H214" i="4"/>
  <c r="AA214" i="4"/>
  <c r="AA52" i="4"/>
  <c r="O150" i="3"/>
  <c r="P150" i="3" s="1"/>
  <c r="O90" i="3"/>
  <c r="P90" i="3" s="1"/>
  <c r="O162" i="3"/>
  <c r="P162" i="3" s="1"/>
  <c r="O174" i="3"/>
  <c r="P174" i="3" s="1"/>
  <c r="O183" i="3"/>
  <c r="P183" i="3" s="1"/>
  <c r="G13" i="6"/>
  <c r="O129" i="3"/>
  <c r="P129" i="3" s="1"/>
  <c r="O135" i="3"/>
  <c r="P135" i="3" s="1"/>
  <c r="O18" i="3"/>
  <c r="P18" i="3" s="1"/>
  <c r="O159" i="3"/>
  <c r="P159" i="3" s="1"/>
  <c r="O13" i="6"/>
  <c r="L5" i="3"/>
  <c r="G5" i="3"/>
  <c r="F5" i="3"/>
  <c r="AE93" i="4"/>
  <c r="AC51" i="4"/>
  <c r="J183" i="3"/>
  <c r="Q183" i="5" s="1"/>
  <c r="O440" i="3"/>
  <c r="P440" i="3" s="1"/>
  <c r="M375" i="3"/>
  <c r="Q315" i="6"/>
  <c r="M307" i="3"/>
  <c r="L162" i="6"/>
  <c r="O154" i="3"/>
  <c r="P154" i="3" s="1"/>
  <c r="G162" i="6"/>
  <c r="J162" i="6" s="1"/>
  <c r="L256" i="6"/>
  <c r="O248" i="3"/>
  <c r="P248" i="3" s="1"/>
  <c r="N204" i="6"/>
  <c r="I204" i="6"/>
  <c r="K196" i="3"/>
  <c r="O196" i="3" s="1"/>
  <c r="P196" i="3" s="1"/>
  <c r="O47" i="6"/>
  <c r="L39" i="3"/>
  <c r="G39" i="3"/>
  <c r="F39" i="3"/>
  <c r="M24" i="6"/>
  <c r="H24" i="6"/>
  <c r="Q62" i="6"/>
  <c r="M54" i="3"/>
  <c r="N54" i="3" s="1"/>
  <c r="M192" i="6"/>
  <c r="H192" i="6"/>
  <c r="L123" i="6"/>
  <c r="G123" i="6"/>
  <c r="O43" i="6"/>
  <c r="L35" i="3"/>
  <c r="G35" i="3"/>
  <c r="F35" i="3"/>
  <c r="P43" i="6" s="1"/>
  <c r="J136" i="3"/>
  <c r="Q136" i="5" s="1"/>
  <c r="P199" i="6"/>
  <c r="J191" i="3"/>
  <c r="F130" i="3"/>
  <c r="P138" i="6" s="1"/>
  <c r="Q243" i="6"/>
  <c r="M235" i="3"/>
  <c r="O20" i="6"/>
  <c r="L12" i="3"/>
  <c r="G12" i="3"/>
  <c r="O30" i="6"/>
  <c r="L22" i="3"/>
  <c r="G22" i="3"/>
  <c r="N81" i="6"/>
  <c r="I81" i="6"/>
  <c r="K73" i="3"/>
  <c r="O73" i="3" s="1"/>
  <c r="P73" i="3" s="1"/>
  <c r="Q16" i="6"/>
  <c r="M64" i="3"/>
  <c r="N64" i="3" s="1"/>
  <c r="AE518" i="4"/>
  <c r="AE433" i="4"/>
  <c r="AE366" i="4"/>
  <c r="L509" i="6"/>
  <c r="O501" i="3"/>
  <c r="P501" i="3" s="1"/>
  <c r="O411" i="3"/>
  <c r="P411" i="3" s="1"/>
  <c r="L500" i="6"/>
  <c r="O492" i="3"/>
  <c r="P492" i="3" s="1"/>
  <c r="Q392" i="6"/>
  <c r="M384" i="3"/>
  <c r="L346" i="6"/>
  <c r="O338" i="3"/>
  <c r="P338" i="3" s="1"/>
  <c r="Q250" i="6"/>
  <c r="M242" i="3"/>
  <c r="L222" i="6"/>
  <c r="O214" i="3"/>
  <c r="P214" i="3" s="1"/>
  <c r="M171" i="6"/>
  <c r="H171" i="6"/>
  <c r="Q337" i="6"/>
  <c r="M329" i="3"/>
  <c r="Q409" i="6"/>
  <c r="M401" i="3"/>
  <c r="L225" i="6"/>
  <c r="O217" i="3"/>
  <c r="P217" i="3" s="1"/>
  <c r="L132" i="6"/>
  <c r="G132" i="6"/>
  <c r="N113" i="6"/>
  <c r="K105" i="3"/>
  <c r="I113" i="6"/>
  <c r="M23" i="6"/>
  <c r="H23" i="6"/>
  <c r="N106" i="6"/>
  <c r="K98" i="3"/>
  <c r="I106" i="6"/>
  <c r="Q91" i="6"/>
  <c r="M83" i="3"/>
  <c r="N83" i="3" s="1"/>
  <c r="N192" i="6"/>
  <c r="K184" i="3"/>
  <c r="O187" i="3" s="1"/>
  <c r="P187" i="3" s="1"/>
  <c r="I192" i="6"/>
  <c r="N43" i="6"/>
  <c r="K35" i="3"/>
  <c r="L18" i="6"/>
  <c r="O10" i="3"/>
  <c r="P10" i="3" s="1"/>
  <c r="G18" i="6"/>
  <c r="J18" i="6" s="1"/>
  <c r="M57" i="6"/>
  <c r="H57" i="6"/>
  <c r="F12" i="3"/>
  <c r="P20" i="6" s="1"/>
  <c r="O15" i="6"/>
  <c r="F7" i="3"/>
  <c r="G7" i="3"/>
  <c r="L7" i="3"/>
  <c r="M7" i="3" s="1"/>
  <c r="Q178" i="6"/>
  <c r="Q139" i="6"/>
  <c r="N183" i="6"/>
  <c r="K175" i="3"/>
  <c r="O181" i="3" s="1"/>
  <c r="P181" i="3" s="1"/>
  <c r="I183" i="6"/>
  <c r="L282" i="6"/>
  <c r="O274" i="3"/>
  <c r="P274" i="3" s="1"/>
  <c r="L58" i="6"/>
  <c r="G58" i="6"/>
  <c r="O33" i="6"/>
  <c r="F25" i="3"/>
  <c r="G25" i="3"/>
  <c r="L25" i="3"/>
  <c r="N153" i="6"/>
  <c r="K145" i="3"/>
  <c r="O145" i="3" s="1"/>
  <c r="P145" i="3" s="1"/>
  <c r="I153" i="6"/>
  <c r="AE475" i="4"/>
  <c r="AC387" i="4"/>
  <c r="AE387" i="4"/>
  <c r="AE124" i="4"/>
  <c r="AE236" i="4"/>
  <c r="Q379" i="6"/>
  <c r="M371" i="3"/>
  <c r="O371" i="3"/>
  <c r="P371" i="3" s="1"/>
  <c r="L392" i="6"/>
  <c r="O384" i="3"/>
  <c r="P384" i="3" s="1"/>
  <c r="L439" i="6"/>
  <c r="O431" i="3"/>
  <c r="P431" i="3" s="1"/>
  <c r="L427" i="6"/>
  <c r="O419" i="3"/>
  <c r="P419" i="3" s="1"/>
  <c r="L193" i="6"/>
  <c r="O185" i="3"/>
  <c r="P185" i="3" s="1"/>
  <c r="G193" i="6"/>
  <c r="AE101" i="4"/>
  <c r="AE423" i="4"/>
  <c r="AE491" i="4"/>
  <c r="AE9" i="4"/>
  <c r="AE205" i="4"/>
  <c r="AE393" i="4"/>
  <c r="AE218" i="4"/>
  <c r="AE278" i="4"/>
  <c r="AE325" i="4"/>
  <c r="AE482" i="4"/>
  <c r="AE39" i="4"/>
  <c r="AE376" i="4"/>
  <c r="Q473" i="6"/>
  <c r="L171" i="6"/>
  <c r="G171" i="6"/>
  <c r="M399" i="3"/>
  <c r="Q295" i="6"/>
  <c r="M287" i="3"/>
  <c r="L259" i="6"/>
  <c r="O251" i="3"/>
  <c r="P251" i="3" s="1"/>
  <c r="L475" i="6"/>
  <c r="O467" i="3"/>
  <c r="P467" i="3" s="1"/>
  <c r="L240" i="6"/>
  <c r="O232" i="3"/>
  <c r="P232" i="3" s="1"/>
  <c r="L60" i="6"/>
  <c r="O52" i="3"/>
  <c r="P52" i="3" s="1"/>
  <c r="G60" i="6"/>
  <c r="M21" i="6"/>
  <c r="M13" i="3"/>
  <c r="N13" i="3" s="1"/>
  <c r="R21" i="6" s="1"/>
  <c r="H21" i="6"/>
  <c r="J21" i="6" s="1"/>
  <c r="Q130" i="6"/>
  <c r="O60" i="3"/>
  <c r="P60" i="3" s="1"/>
  <c r="N177" i="3"/>
  <c r="R185" i="6" s="1"/>
  <c r="O142" i="6"/>
  <c r="L134" i="3"/>
  <c r="G134" i="3"/>
  <c r="F134" i="3"/>
  <c r="L144" i="6"/>
  <c r="O136" i="3"/>
  <c r="P136" i="3" s="1"/>
  <c r="G144" i="6"/>
  <c r="J144" i="6" s="1"/>
  <c r="L57" i="6"/>
  <c r="G57" i="6"/>
  <c r="O39" i="6"/>
  <c r="L31" i="3"/>
  <c r="O183" i="6"/>
  <c r="L175" i="3"/>
  <c r="G175" i="3"/>
  <c r="M30" i="6"/>
  <c r="H30" i="6"/>
  <c r="O174" i="6"/>
  <c r="L166" i="3"/>
  <c r="F166" i="3"/>
  <c r="Q150" i="6"/>
  <c r="M142" i="3"/>
  <c r="M58" i="6"/>
  <c r="H58" i="6"/>
  <c r="L205" i="6"/>
  <c r="G205" i="6"/>
  <c r="AE412" i="4"/>
  <c r="AE450" i="4"/>
  <c r="AE396" i="4"/>
  <c r="AE389" i="4"/>
  <c r="AE388" i="4"/>
  <c r="AE333" i="4"/>
  <c r="AE111" i="4"/>
  <c r="L451" i="6"/>
  <c r="O443" i="3"/>
  <c r="P443" i="3" s="1"/>
  <c r="L307" i="6"/>
  <c r="O299" i="3"/>
  <c r="P299" i="3" s="1"/>
  <c r="L440" i="6"/>
  <c r="O432" i="3"/>
  <c r="P432" i="3" s="1"/>
  <c r="Q479" i="6"/>
  <c r="O471" i="3"/>
  <c r="P471" i="3" s="1"/>
  <c r="M471" i="3"/>
  <c r="Q475" i="6"/>
  <c r="M467" i="3"/>
  <c r="Q425" i="6"/>
  <c r="O417" i="3"/>
  <c r="P417" i="3" s="1"/>
  <c r="M417" i="3"/>
  <c r="N129" i="3"/>
  <c r="M28" i="6"/>
  <c r="H28" i="6"/>
  <c r="J28" i="6" s="1"/>
  <c r="L298" i="6"/>
  <c r="O290" i="3"/>
  <c r="P290" i="3" s="1"/>
  <c r="O77" i="6"/>
  <c r="L69" i="3"/>
  <c r="M69" i="3" s="1"/>
  <c r="G69" i="3"/>
  <c r="N136" i="3"/>
  <c r="R144" i="6" s="1"/>
  <c r="N168" i="6"/>
  <c r="I168" i="6"/>
  <c r="L138" i="6"/>
  <c r="O130" i="3"/>
  <c r="P130" i="3" s="1"/>
  <c r="G138" i="6"/>
  <c r="O55" i="6"/>
  <c r="F47" i="3"/>
  <c r="N34" i="6"/>
  <c r="K26" i="3"/>
  <c r="Q26" i="5" s="1"/>
  <c r="I34" i="6"/>
  <c r="J34" i="6" s="1"/>
  <c r="J148" i="3"/>
  <c r="F31" i="3"/>
  <c r="P39" i="6" s="1"/>
  <c r="L178" i="6"/>
  <c r="O170" i="3"/>
  <c r="P170" i="3" s="1"/>
  <c r="G178" i="6"/>
  <c r="J131" i="3"/>
  <c r="L30" i="6"/>
  <c r="G30" i="6"/>
  <c r="K169" i="3"/>
  <c r="G166" i="3"/>
  <c r="N16" i="6"/>
  <c r="I16" i="6"/>
  <c r="O9" i="3"/>
  <c r="P9" i="3" s="1"/>
  <c r="H42" i="6"/>
  <c r="J42" i="6" s="1"/>
  <c r="G23" i="5"/>
  <c r="AE496" i="4"/>
  <c r="AC496" i="4"/>
  <c r="AE519" i="4"/>
  <c r="P179" i="6"/>
  <c r="J171" i="3"/>
  <c r="P143" i="6"/>
  <c r="R143" i="6" s="1"/>
  <c r="J135" i="3"/>
  <c r="Q135" i="5" s="1"/>
  <c r="L445" i="6"/>
  <c r="O437" i="3"/>
  <c r="P437" i="3" s="1"/>
  <c r="Q294" i="6"/>
  <c r="M286" i="3"/>
  <c r="L237" i="6"/>
  <c r="O229" i="3"/>
  <c r="P229" i="3" s="1"/>
  <c r="L186" i="6"/>
  <c r="G186" i="6"/>
  <c r="J186" i="6" s="1"/>
  <c r="P44" i="6"/>
  <c r="J36" i="3"/>
  <c r="M465" i="3"/>
  <c r="Q244" i="6"/>
  <c r="M236" i="3"/>
  <c r="Q181" i="6"/>
  <c r="O173" i="3"/>
  <c r="P173" i="3" s="1"/>
  <c r="Q276" i="6"/>
  <c r="M268" i="3"/>
  <c r="M122" i="3"/>
  <c r="N122" i="3" s="1"/>
  <c r="L108" i="6"/>
  <c r="G108" i="6"/>
  <c r="J108" i="6" s="1"/>
  <c r="N67" i="6"/>
  <c r="K59" i="3"/>
  <c r="I67" i="6"/>
  <c r="O121" i="6"/>
  <c r="L113" i="3"/>
  <c r="F113" i="3"/>
  <c r="G113" i="3"/>
  <c r="L24" i="6"/>
  <c r="G24" i="6"/>
  <c r="L192" i="6"/>
  <c r="G192" i="6"/>
  <c r="M67" i="6"/>
  <c r="H67" i="6"/>
  <c r="O286" i="3"/>
  <c r="P286" i="3" s="1"/>
  <c r="L100" i="6"/>
  <c r="G100" i="6"/>
  <c r="M52" i="6"/>
  <c r="H52" i="6"/>
  <c r="Q116" i="6"/>
  <c r="M108" i="3"/>
  <c r="N108" i="3" s="1"/>
  <c r="R116" i="6" s="1"/>
  <c r="G31" i="3"/>
  <c r="F22" i="3"/>
  <c r="F175" i="3"/>
  <c r="P183" i="6" s="1"/>
  <c r="L103" i="6"/>
  <c r="G103" i="6"/>
  <c r="L81" i="6"/>
  <c r="G81" i="6"/>
  <c r="K166" i="3"/>
  <c r="O166" i="3" s="1"/>
  <c r="P166" i="3" s="1"/>
  <c r="N31" i="6"/>
  <c r="K23" i="3"/>
  <c r="O23" i="3" s="1"/>
  <c r="P23" i="3" s="1"/>
  <c r="I31" i="6"/>
  <c r="AE525" i="4"/>
  <c r="AE442" i="4"/>
  <c r="AC395" i="4"/>
  <c r="AE395" i="4"/>
  <c r="AE274" i="4"/>
  <c r="AE316" i="4"/>
  <c r="AE180" i="4"/>
  <c r="P140" i="6"/>
  <c r="J132" i="3"/>
  <c r="Q132" i="5" s="1"/>
  <c r="M310" i="3"/>
  <c r="L267" i="6"/>
  <c r="O259" i="3"/>
  <c r="P259" i="3" s="1"/>
  <c r="N175" i="6"/>
  <c r="I175" i="6"/>
  <c r="K167" i="3"/>
  <c r="O181" i="6"/>
  <c r="F173" i="3"/>
  <c r="L173" i="3"/>
  <c r="M173" i="3" s="1"/>
  <c r="R76" i="6"/>
  <c r="O141" i="6"/>
  <c r="F133" i="3"/>
  <c r="L133" i="3"/>
  <c r="M133" i="3" s="1"/>
  <c r="O130" i="6"/>
  <c r="G122" i="3"/>
  <c r="F122" i="3"/>
  <c r="P130" i="6" s="1"/>
  <c r="M152" i="3"/>
  <c r="F69" i="3"/>
  <c r="O95" i="6"/>
  <c r="L87" i="3"/>
  <c r="G87" i="3"/>
  <c r="M50" i="6"/>
  <c r="H50" i="6"/>
  <c r="J50" i="6" s="1"/>
  <c r="Q39" i="6"/>
  <c r="R39" i="6" s="1"/>
  <c r="M31" i="3"/>
  <c r="M42" i="3"/>
  <c r="L255" i="6"/>
  <c r="O247" i="3"/>
  <c r="P247" i="3" s="1"/>
  <c r="M103" i="6"/>
  <c r="H103" i="6"/>
  <c r="L101" i="6"/>
  <c r="G101" i="6"/>
  <c r="Q268" i="6"/>
  <c r="M260" i="3"/>
  <c r="J197" i="3"/>
  <c r="M18" i="3"/>
  <c r="N18" i="3" s="1"/>
  <c r="M74" i="6"/>
  <c r="H74" i="6"/>
  <c r="N92" i="6"/>
  <c r="I92" i="6"/>
  <c r="K84" i="3"/>
  <c r="H75" i="6"/>
  <c r="H177" i="6"/>
  <c r="J177" i="6" s="1"/>
  <c r="L63" i="6"/>
  <c r="H204" i="6"/>
  <c r="Q114" i="6"/>
  <c r="L476" i="6"/>
  <c r="O468" i="3"/>
  <c r="P468" i="3" s="1"/>
  <c r="M239" i="3"/>
  <c r="Q68" i="6"/>
  <c r="M60" i="3"/>
  <c r="N60" i="3" s="1"/>
  <c r="L54" i="6"/>
  <c r="H82" i="6"/>
  <c r="H163" i="6"/>
  <c r="L99" i="6"/>
  <c r="L235" i="6"/>
  <c r="O227" i="3"/>
  <c r="P227" i="3" s="1"/>
  <c r="O127" i="6"/>
  <c r="G119" i="3"/>
  <c r="F119" i="3"/>
  <c r="J16" i="3"/>
  <c r="G54" i="6"/>
  <c r="Q179" i="6"/>
  <c r="R179" i="6" s="1"/>
  <c r="N171" i="3"/>
  <c r="L247" i="6"/>
  <c r="O239" i="3"/>
  <c r="P239" i="3" s="1"/>
  <c r="L337" i="6"/>
  <c r="O329" i="3"/>
  <c r="P329" i="3" s="1"/>
  <c r="Q270" i="6"/>
  <c r="O262" i="3"/>
  <c r="P262" i="3" s="1"/>
  <c r="L395" i="6"/>
  <c r="O387" i="3"/>
  <c r="P387" i="3" s="1"/>
  <c r="O189" i="6"/>
  <c r="L181" i="3"/>
  <c r="M181" i="3" s="1"/>
  <c r="G181" i="3"/>
  <c r="F181" i="3"/>
  <c r="P189" i="6" s="1"/>
  <c r="L276" i="6"/>
  <c r="O268" i="3"/>
  <c r="P268" i="3" s="1"/>
  <c r="O157" i="6"/>
  <c r="G149" i="3"/>
  <c r="F149" i="3"/>
  <c r="L141" i="6"/>
  <c r="O133" i="3"/>
  <c r="P133" i="3" s="1"/>
  <c r="Q96" i="6"/>
  <c r="M88" i="3"/>
  <c r="N88" i="3" s="1"/>
  <c r="L312" i="6"/>
  <c r="O304" i="3"/>
  <c r="P304" i="3" s="1"/>
  <c r="Q194" i="6"/>
  <c r="N186" i="3"/>
  <c r="R194" i="6" s="1"/>
  <c r="N66" i="6"/>
  <c r="K58" i="3"/>
  <c r="L45" i="6"/>
  <c r="N105" i="6"/>
  <c r="K97" i="3"/>
  <c r="Q86" i="6"/>
  <c r="M78" i="3"/>
  <c r="N78" i="3" s="1"/>
  <c r="L23" i="6"/>
  <c r="O151" i="6"/>
  <c r="F143" i="3"/>
  <c r="P151" i="6" s="1"/>
  <c r="L143" i="3"/>
  <c r="L199" i="6"/>
  <c r="L97" i="6"/>
  <c r="O89" i="3"/>
  <c r="P89" i="3" s="1"/>
  <c r="Q36" i="6"/>
  <c r="M28" i="3"/>
  <c r="N28" i="3" s="1"/>
  <c r="O41" i="6"/>
  <c r="L33" i="3"/>
  <c r="Q87" i="6"/>
  <c r="M79" i="3"/>
  <c r="N79" i="3" s="1"/>
  <c r="Q55" i="6"/>
  <c r="O47" i="3"/>
  <c r="P47" i="3" s="1"/>
  <c r="Q71" i="6"/>
  <c r="M63" i="3"/>
  <c r="N63" i="3" s="1"/>
  <c r="L147" i="6"/>
  <c r="O139" i="3"/>
  <c r="P139" i="3" s="1"/>
  <c r="O31" i="6"/>
  <c r="G23" i="3"/>
  <c r="L16" i="6"/>
  <c r="O8" i="3"/>
  <c r="P8" i="3" s="1"/>
  <c r="O124" i="6"/>
  <c r="L116" i="3"/>
  <c r="N41" i="3"/>
  <c r="R49" i="6" s="1"/>
  <c r="L84" i="3"/>
  <c r="I74" i="6"/>
  <c r="G99" i="6"/>
  <c r="Q29" i="6"/>
  <c r="P200" i="6"/>
  <c r="J192" i="3"/>
  <c r="Q192" i="5" s="1"/>
  <c r="P164" i="6"/>
  <c r="Q439" i="6"/>
  <c r="M431" i="3"/>
  <c r="R182" i="6"/>
  <c r="L349" i="6"/>
  <c r="O341" i="3"/>
  <c r="P341" i="3" s="1"/>
  <c r="L292" i="6"/>
  <c r="O284" i="3"/>
  <c r="P284" i="3" s="1"/>
  <c r="L262" i="6"/>
  <c r="O254" i="3"/>
  <c r="P254" i="3" s="1"/>
  <c r="P162" i="6"/>
  <c r="J154" i="3"/>
  <c r="Q154" i="5" s="1"/>
  <c r="P35" i="6"/>
  <c r="J27" i="3"/>
  <c r="L234" i="6"/>
  <c r="O226" i="3"/>
  <c r="P226" i="3" s="1"/>
  <c r="L198" i="6"/>
  <c r="L316" i="6"/>
  <c r="O308" i="3"/>
  <c r="P308" i="3" s="1"/>
  <c r="L467" i="6"/>
  <c r="O459" i="3"/>
  <c r="P459" i="3" s="1"/>
  <c r="L321" i="6"/>
  <c r="O313" i="3"/>
  <c r="P313" i="3" s="1"/>
  <c r="Q321" i="6"/>
  <c r="M313" i="3"/>
  <c r="O175" i="6"/>
  <c r="F167" i="3"/>
  <c r="L167" i="3"/>
  <c r="G167" i="3"/>
  <c r="L75" i="6"/>
  <c r="Q47" i="6"/>
  <c r="O27" i="6"/>
  <c r="G19" i="3"/>
  <c r="F19" i="3"/>
  <c r="L19" i="3"/>
  <c r="Q117" i="6"/>
  <c r="M109" i="3"/>
  <c r="N109" i="3" s="1"/>
  <c r="O112" i="6"/>
  <c r="G104" i="3"/>
  <c r="L104" i="3"/>
  <c r="Q108" i="6"/>
  <c r="M100" i="3"/>
  <c r="N100" i="3" s="1"/>
  <c r="O166" i="6"/>
  <c r="G158" i="3"/>
  <c r="F158" i="3"/>
  <c r="N135" i="6"/>
  <c r="K127" i="3"/>
  <c r="L65" i="6"/>
  <c r="Q136" i="6"/>
  <c r="Q133" i="6"/>
  <c r="Q186" i="6"/>
  <c r="L77" i="6"/>
  <c r="L36" i="6"/>
  <c r="Q18" i="6"/>
  <c r="L243" i="6"/>
  <c r="O235" i="3"/>
  <c r="P235" i="3" s="1"/>
  <c r="O156" i="6"/>
  <c r="G148" i="3"/>
  <c r="L73" i="3"/>
  <c r="L39" i="6"/>
  <c r="O31" i="3"/>
  <c r="P31" i="3" s="1"/>
  <c r="L95" i="6"/>
  <c r="O87" i="3"/>
  <c r="P87" i="3" s="1"/>
  <c r="O93" i="6"/>
  <c r="F85" i="3"/>
  <c r="J142" i="3"/>
  <c r="Q142" i="5" s="1"/>
  <c r="Q14" i="6"/>
  <c r="M6" i="3"/>
  <c r="N6" i="3" s="1"/>
  <c r="L72" i="6"/>
  <c r="L92" i="6"/>
  <c r="I54" i="6"/>
  <c r="H156" i="6"/>
  <c r="H99" i="6"/>
  <c r="H178" i="6"/>
  <c r="H84" i="6"/>
  <c r="H199" i="6"/>
  <c r="I147" i="6"/>
  <c r="L94" i="6"/>
  <c r="Q161" i="6"/>
  <c r="R161" i="6" s="1"/>
  <c r="O153" i="3"/>
  <c r="P153" i="3" s="1"/>
  <c r="N153" i="3"/>
  <c r="M155" i="3"/>
  <c r="N155" i="3" s="1"/>
  <c r="L145" i="6"/>
  <c r="H39" i="6"/>
  <c r="L127" i="6"/>
  <c r="Q119" i="6"/>
  <c r="N111" i="3"/>
  <c r="G22" i="5"/>
  <c r="AE447" i="4"/>
  <c r="AE47" i="4"/>
  <c r="L352" i="6"/>
  <c r="O344" i="3"/>
  <c r="P344" i="3" s="1"/>
  <c r="M262" i="3"/>
  <c r="O202" i="6"/>
  <c r="G194" i="3"/>
  <c r="F194" i="3"/>
  <c r="Q481" i="6"/>
  <c r="M473" i="3"/>
  <c r="O473" i="3"/>
  <c r="P473" i="3" s="1"/>
  <c r="L291" i="6"/>
  <c r="O283" i="3"/>
  <c r="P283" i="3" s="1"/>
  <c r="N171" i="6"/>
  <c r="K163" i="3"/>
  <c r="O163" i="3" s="1"/>
  <c r="P163" i="3" s="1"/>
  <c r="L400" i="6"/>
  <c r="O392" i="3"/>
  <c r="P392" i="3" s="1"/>
  <c r="L150" i="6"/>
  <c r="O142" i="3"/>
  <c r="P142" i="3" s="1"/>
  <c r="R89" i="6"/>
  <c r="Q331" i="6"/>
  <c r="O323" i="3"/>
  <c r="P323" i="3" s="1"/>
  <c r="O148" i="6"/>
  <c r="L140" i="3"/>
  <c r="G140" i="3"/>
  <c r="L472" i="6"/>
  <c r="O464" i="3"/>
  <c r="P464" i="3" s="1"/>
  <c r="L366" i="6"/>
  <c r="O358" i="3"/>
  <c r="P358" i="3" s="1"/>
  <c r="Q333" i="6"/>
  <c r="M325" i="3"/>
  <c r="Q189" i="6"/>
  <c r="L21" i="6"/>
  <c r="L204" i="6"/>
  <c r="G115" i="3"/>
  <c r="Q75" i="6"/>
  <c r="M67" i="3"/>
  <c r="N67" i="3" s="1"/>
  <c r="L27" i="6"/>
  <c r="Q188" i="6"/>
  <c r="M61" i="3"/>
  <c r="N61" i="3" s="1"/>
  <c r="R69" i="6" s="1"/>
  <c r="M209" i="3"/>
  <c r="O133" i="6"/>
  <c r="L125" i="3"/>
  <c r="F125" i="3"/>
  <c r="P133" i="6" s="1"/>
  <c r="O104" i="6"/>
  <c r="L96" i="3"/>
  <c r="G96" i="3"/>
  <c r="N79" i="6"/>
  <c r="K71" i="3"/>
  <c r="Q71" i="5" s="1"/>
  <c r="N61" i="6"/>
  <c r="K53" i="3"/>
  <c r="L168" i="6"/>
  <c r="O160" i="3"/>
  <c r="P160" i="3" s="1"/>
  <c r="L148" i="3"/>
  <c r="F33" i="3"/>
  <c r="M220" i="3"/>
  <c r="Q77" i="6"/>
  <c r="N48" i="6"/>
  <c r="K40" i="3"/>
  <c r="L40" i="3"/>
  <c r="K65" i="3"/>
  <c r="Q200" i="6"/>
  <c r="K50" i="3"/>
  <c r="O50" i="3" s="1"/>
  <c r="P50" i="3" s="1"/>
  <c r="L268" i="6"/>
  <c r="O260" i="3"/>
  <c r="P260" i="3" s="1"/>
  <c r="O205" i="6"/>
  <c r="L197" i="3"/>
  <c r="G8" i="3"/>
  <c r="K43" i="3"/>
  <c r="F137" i="3"/>
  <c r="F84" i="3"/>
  <c r="P92" i="6" s="1"/>
  <c r="I66" i="6"/>
  <c r="H168" i="6"/>
  <c r="H100" i="6"/>
  <c r="H40" i="6"/>
  <c r="G147" i="6"/>
  <c r="H106" i="6"/>
  <c r="I51" i="6"/>
  <c r="I163" i="6"/>
  <c r="G204" i="6"/>
  <c r="L91" i="3"/>
  <c r="Q187" i="6"/>
  <c r="F86" i="3"/>
  <c r="P94" i="6" s="1"/>
  <c r="L207" i="6"/>
  <c r="O199" i="3"/>
  <c r="P199" i="3" s="1"/>
  <c r="L339" i="6"/>
  <c r="O331" i="3"/>
  <c r="P331" i="3" s="1"/>
  <c r="L318" i="6"/>
  <c r="O310" i="3"/>
  <c r="P310" i="3" s="1"/>
  <c r="L271" i="6"/>
  <c r="O263" i="3"/>
  <c r="P263" i="3" s="1"/>
  <c r="L342" i="6"/>
  <c r="O334" i="3"/>
  <c r="P334" i="3" s="1"/>
  <c r="L279" i="6"/>
  <c r="O271" i="3"/>
  <c r="P271" i="3" s="1"/>
  <c r="L231" i="6"/>
  <c r="O223" i="3"/>
  <c r="P223" i="3" s="1"/>
  <c r="L195" i="6"/>
  <c r="O83" i="6"/>
  <c r="L75" i="3"/>
  <c r="G75" i="3"/>
  <c r="N151" i="6"/>
  <c r="K143" i="3"/>
  <c r="O67" i="6"/>
  <c r="G59" i="3"/>
  <c r="F59" i="3"/>
  <c r="L226" i="6"/>
  <c r="O218" i="3"/>
  <c r="P218" i="3" s="1"/>
  <c r="N88" i="6"/>
  <c r="K80" i="3"/>
  <c r="Q80" i="5" s="1"/>
  <c r="M316" i="3"/>
  <c r="L159" i="6"/>
  <c r="O65" i="6"/>
  <c r="L57" i="3"/>
  <c r="L96" i="6"/>
  <c r="O88" i="3"/>
  <c r="P88" i="3" s="1"/>
  <c r="O34" i="6"/>
  <c r="P34" i="6"/>
  <c r="N20" i="6"/>
  <c r="K12" i="3"/>
  <c r="O13" i="3" s="1"/>
  <c r="P13" i="3" s="1"/>
  <c r="N100" i="6"/>
  <c r="K92" i="3"/>
  <c r="L15" i="6"/>
  <c r="O7" i="3"/>
  <c r="P7" i="3" s="1"/>
  <c r="L64" i="6"/>
  <c r="Q131" i="6"/>
  <c r="N123" i="3"/>
  <c r="L33" i="6"/>
  <c r="H111" i="6"/>
  <c r="G36" i="6"/>
  <c r="J36" i="6" s="1"/>
  <c r="G141" i="6"/>
  <c r="J141" i="6" s="1"/>
  <c r="G72" i="6"/>
  <c r="I90" i="6"/>
  <c r="H151" i="6"/>
  <c r="I58" i="6"/>
  <c r="H48" i="6"/>
  <c r="J48" i="6" s="1"/>
  <c r="H96" i="6"/>
  <c r="H153" i="6"/>
  <c r="I73" i="6"/>
  <c r="J73" i="6" s="1"/>
  <c r="I205" i="6"/>
  <c r="Q17" i="6"/>
  <c r="M9" i="3"/>
  <c r="N9" i="3" s="1"/>
  <c r="O32" i="3"/>
  <c r="P32" i="3" s="1"/>
  <c r="L487" i="6"/>
  <c r="O479" i="3"/>
  <c r="P479" i="3" s="1"/>
  <c r="L403" i="6"/>
  <c r="O395" i="3"/>
  <c r="P395" i="3" s="1"/>
  <c r="P152" i="6"/>
  <c r="J144" i="3"/>
  <c r="Q144" i="5" s="1"/>
  <c r="Q503" i="6"/>
  <c r="M495" i="3"/>
  <c r="L389" i="6"/>
  <c r="O381" i="3"/>
  <c r="P381" i="3" s="1"/>
  <c r="Q433" i="6"/>
  <c r="M425" i="3"/>
  <c r="L249" i="6"/>
  <c r="O241" i="3"/>
  <c r="P241" i="3" s="1"/>
  <c r="L201" i="6"/>
  <c r="O193" i="3"/>
  <c r="P193" i="3" s="1"/>
  <c r="L165" i="6"/>
  <c r="O157" i="3"/>
  <c r="P157" i="3" s="1"/>
  <c r="R150" i="6"/>
  <c r="P80" i="6"/>
  <c r="J72" i="3"/>
  <c r="Q262" i="6"/>
  <c r="M254" i="3"/>
  <c r="Q354" i="6"/>
  <c r="O346" i="3"/>
  <c r="P346" i="3" s="1"/>
  <c r="L244" i="6"/>
  <c r="O236" i="3"/>
  <c r="P236" i="3" s="1"/>
  <c r="Q225" i="6"/>
  <c r="M217" i="3"/>
  <c r="L333" i="6"/>
  <c r="O325" i="3"/>
  <c r="P325" i="3" s="1"/>
  <c r="L189" i="6"/>
  <c r="F75" i="3"/>
  <c r="M319" i="3"/>
  <c r="O120" i="6"/>
  <c r="G112" i="3"/>
  <c r="O110" i="6"/>
  <c r="G102" i="3"/>
  <c r="L102" i="3"/>
  <c r="N65" i="6"/>
  <c r="K57" i="3"/>
  <c r="L69" i="6"/>
  <c r="O61" i="3"/>
  <c r="P61" i="3" s="1"/>
  <c r="Q53" i="6"/>
  <c r="M45" i="3"/>
  <c r="N45" i="3" s="1"/>
  <c r="N42" i="6"/>
  <c r="K34" i="3"/>
  <c r="Q34" i="5" s="1"/>
  <c r="N121" i="6"/>
  <c r="K113" i="3"/>
  <c r="L85" i="6"/>
  <c r="F57" i="3"/>
  <c r="L42" i="6"/>
  <c r="O100" i="6"/>
  <c r="L92" i="3"/>
  <c r="G92" i="3"/>
  <c r="Q46" i="6"/>
  <c r="N38" i="3"/>
  <c r="Q95" i="6"/>
  <c r="R95" i="6" s="1"/>
  <c r="N87" i="3"/>
  <c r="M87" i="3"/>
  <c r="L85" i="3"/>
  <c r="O139" i="6"/>
  <c r="L131" i="3"/>
  <c r="K22" i="3"/>
  <c r="Q193" i="6"/>
  <c r="R193" i="6" s="1"/>
  <c r="N185" i="3"/>
  <c r="M185" i="3"/>
  <c r="L174" i="6"/>
  <c r="F139" i="3"/>
  <c r="P147" i="6" s="1"/>
  <c r="J180" i="3"/>
  <c r="L219" i="6"/>
  <c r="O211" i="3"/>
  <c r="P211" i="3" s="1"/>
  <c r="F116" i="3"/>
  <c r="P124" i="6" s="1"/>
  <c r="L111" i="6"/>
  <c r="L59" i="3"/>
  <c r="K66" i="3"/>
  <c r="G32" i="3"/>
  <c r="F32" i="3"/>
  <c r="Q173" i="6"/>
  <c r="N165" i="3"/>
  <c r="L153" i="6"/>
  <c r="K121" i="3"/>
  <c r="F23" i="3"/>
  <c r="I100" i="6"/>
  <c r="I127" i="6"/>
  <c r="G15" i="6"/>
  <c r="G165" i="6"/>
  <c r="J165" i="6" s="1"/>
  <c r="G63" i="6"/>
  <c r="G97" i="6"/>
  <c r="J97" i="6" s="1"/>
  <c r="H159" i="6"/>
  <c r="G174" i="6"/>
  <c r="L505" i="6"/>
  <c r="O497" i="3"/>
  <c r="P497" i="3" s="1"/>
  <c r="Q403" i="6"/>
  <c r="M395" i="3"/>
  <c r="P149" i="6"/>
  <c r="J141" i="3"/>
  <c r="L484" i="6"/>
  <c r="O476" i="3"/>
  <c r="P476" i="3" s="1"/>
  <c r="L369" i="6"/>
  <c r="O361" i="3"/>
  <c r="P361" i="3" s="1"/>
  <c r="M381" i="3"/>
  <c r="Q443" i="6"/>
  <c r="O435" i="3"/>
  <c r="P435" i="3" s="1"/>
  <c r="M435" i="3"/>
  <c r="L433" i="6"/>
  <c r="O425" i="3"/>
  <c r="P425" i="3" s="1"/>
  <c r="L473" i="6"/>
  <c r="O465" i="3"/>
  <c r="P465" i="3" s="1"/>
  <c r="Q360" i="6"/>
  <c r="O352" i="3"/>
  <c r="P352" i="3" s="1"/>
  <c r="Q306" i="6"/>
  <c r="M298" i="3"/>
  <c r="O298" i="3"/>
  <c r="P298" i="3" s="1"/>
  <c r="L229" i="6"/>
  <c r="O221" i="3"/>
  <c r="P221" i="3" s="1"/>
  <c r="M497" i="3"/>
  <c r="M346" i="3"/>
  <c r="O184" i="6"/>
  <c r="G176" i="3"/>
  <c r="L176" i="3"/>
  <c r="Q286" i="6"/>
  <c r="M278" i="3"/>
  <c r="L401" i="6"/>
  <c r="O393" i="3"/>
  <c r="P393" i="3" s="1"/>
  <c r="M232" i="3"/>
  <c r="L210" i="6"/>
  <c r="O202" i="3"/>
  <c r="P202" i="3" s="1"/>
  <c r="N115" i="6"/>
  <c r="K107" i="3"/>
  <c r="Q107" i="5" s="1"/>
  <c r="L246" i="6"/>
  <c r="O238" i="3"/>
  <c r="P238" i="3" s="1"/>
  <c r="L169" i="6"/>
  <c r="O161" i="3"/>
  <c r="P161" i="3" s="1"/>
  <c r="O29" i="6"/>
  <c r="L21" i="3"/>
  <c r="G21" i="3"/>
  <c r="F196" i="3"/>
  <c r="P204" i="6" s="1"/>
  <c r="F112" i="3"/>
  <c r="F102" i="3"/>
  <c r="Q59" i="6"/>
  <c r="M51" i="3"/>
  <c r="N51" i="3" s="1"/>
  <c r="O209" i="3"/>
  <c r="P209" i="3" s="1"/>
  <c r="N142" i="6"/>
  <c r="K134" i="3"/>
  <c r="L241" i="6"/>
  <c r="O233" i="3"/>
  <c r="P233" i="3" s="1"/>
  <c r="L104" i="6"/>
  <c r="L67" i="6"/>
  <c r="Q24" i="6"/>
  <c r="M16" i="3"/>
  <c r="N16" i="3" s="1"/>
  <c r="J77" i="3"/>
  <c r="L126" i="6"/>
  <c r="O199" i="6"/>
  <c r="G191" i="3"/>
  <c r="J188" i="3"/>
  <c r="J12" i="3"/>
  <c r="F92" i="3"/>
  <c r="P100" i="6" s="1"/>
  <c r="K82" i="3"/>
  <c r="Q140" i="6"/>
  <c r="O132" i="3"/>
  <c r="P132" i="3" s="1"/>
  <c r="N132" i="3"/>
  <c r="K85" i="3"/>
  <c r="N180" i="6"/>
  <c r="K172" i="3"/>
  <c r="L183" i="6"/>
  <c r="L112" i="3"/>
  <c r="N64" i="6"/>
  <c r="K56" i="3"/>
  <c r="K76" i="3"/>
  <c r="Q76" i="5" s="1"/>
  <c r="L177" i="6"/>
  <c r="M139" i="3"/>
  <c r="N139" i="3" s="1"/>
  <c r="G116" i="3"/>
  <c r="Q148" i="6"/>
  <c r="L121" i="3"/>
  <c r="L82" i="6"/>
  <c r="I145" i="6"/>
  <c r="J145" i="6" s="1"/>
  <c r="G189" i="6"/>
  <c r="J189" i="6" s="1"/>
  <c r="G96" i="6"/>
  <c r="H31" i="6"/>
  <c r="I64" i="6"/>
  <c r="H123" i="6"/>
  <c r="H63" i="6"/>
  <c r="I135" i="6"/>
  <c r="G92" i="6"/>
  <c r="I178" i="6"/>
  <c r="G75" i="6"/>
  <c r="G199" i="6"/>
  <c r="K119" i="3"/>
  <c r="Q107" i="6"/>
  <c r="M99" i="3"/>
  <c r="N99" i="3" s="1"/>
  <c r="AE65" i="4"/>
  <c r="P146" i="6"/>
  <c r="J138" i="3"/>
  <c r="Q500" i="6"/>
  <c r="M492" i="3"/>
  <c r="L431" i="6"/>
  <c r="O423" i="3"/>
  <c r="P423" i="3" s="1"/>
  <c r="O483" i="3"/>
  <c r="P483" i="3" s="1"/>
  <c r="M352" i="3"/>
  <c r="O164" i="3"/>
  <c r="P164" i="3" s="1"/>
  <c r="L286" i="6"/>
  <c r="O278" i="3"/>
  <c r="P278" i="3" s="1"/>
  <c r="Q258" i="6"/>
  <c r="M250" i="3"/>
  <c r="L372" i="6"/>
  <c r="O364" i="3"/>
  <c r="P364" i="3" s="1"/>
  <c r="L464" i="6"/>
  <c r="O456" i="3"/>
  <c r="P456" i="3" s="1"/>
  <c r="F21" i="3"/>
  <c r="L196" i="3"/>
  <c r="O159" i="6"/>
  <c r="F151" i="3"/>
  <c r="N120" i="6"/>
  <c r="K112" i="3"/>
  <c r="O42" i="6"/>
  <c r="L34" i="3"/>
  <c r="N23" i="6"/>
  <c r="K15" i="3"/>
  <c r="L166" i="6"/>
  <c r="O158" i="3"/>
  <c r="P158" i="3" s="1"/>
  <c r="M101" i="3"/>
  <c r="N101" i="3" s="1"/>
  <c r="L232" i="6"/>
  <c r="O224" i="3"/>
  <c r="P224" i="3" s="1"/>
  <c r="Q167" i="6"/>
  <c r="Q152" i="6"/>
  <c r="N144" i="3"/>
  <c r="L121" i="6"/>
  <c r="L106" i="6"/>
  <c r="N102" i="6"/>
  <c r="K94" i="3"/>
  <c r="O66" i="6"/>
  <c r="F58" i="3"/>
  <c r="G58" i="3"/>
  <c r="N118" i="3"/>
  <c r="R126" i="6" s="1"/>
  <c r="L59" i="6"/>
  <c r="O51" i="3"/>
  <c r="P51" i="3" s="1"/>
  <c r="O19" i="6"/>
  <c r="G11" i="3"/>
  <c r="L11" i="3"/>
  <c r="L26" i="3"/>
  <c r="N156" i="6"/>
  <c r="K148" i="3"/>
  <c r="L90" i="6"/>
  <c r="O21" i="3"/>
  <c r="P21" i="3" s="1"/>
  <c r="L32" i="6"/>
  <c r="L48" i="6"/>
  <c r="O73" i="6"/>
  <c r="G65" i="3"/>
  <c r="O64" i="6"/>
  <c r="L56" i="3"/>
  <c r="F56" i="3"/>
  <c r="P64" i="6" s="1"/>
  <c r="Q141" i="6"/>
  <c r="K197" i="3"/>
  <c r="L56" i="6"/>
  <c r="O48" i="3"/>
  <c r="P48" i="3" s="1"/>
  <c r="F64" i="3"/>
  <c r="P72" i="6" s="1"/>
  <c r="L31" i="6"/>
  <c r="M32" i="3"/>
  <c r="N32" i="3" s="1"/>
  <c r="G23" i="6"/>
  <c r="H154" i="6"/>
  <c r="H90" i="6"/>
  <c r="H118" i="6"/>
  <c r="H15" i="6"/>
  <c r="H64" i="6"/>
  <c r="H190" i="6"/>
  <c r="H32" i="6"/>
  <c r="G126" i="6"/>
  <c r="J126" i="6" s="1"/>
  <c r="I93" i="6"/>
  <c r="I129" i="6"/>
  <c r="I84" i="6"/>
  <c r="I85" i="6"/>
  <c r="J85" i="6" s="1"/>
  <c r="I133" i="6"/>
  <c r="I171" i="6"/>
  <c r="F91" i="3"/>
  <c r="P99" i="6" s="1"/>
  <c r="K55" i="3"/>
  <c r="L119" i="3"/>
  <c r="G86" i="3"/>
  <c r="J94" i="6" l="1"/>
  <c r="R170" i="6"/>
  <c r="J136" i="6"/>
  <c r="J134" i="6"/>
  <c r="J191" i="6"/>
  <c r="O74" i="3"/>
  <c r="P74" i="3" s="1"/>
  <c r="N74" i="3"/>
  <c r="J105" i="6"/>
  <c r="O171" i="3"/>
  <c r="P171" i="3" s="1"/>
  <c r="M171" i="3"/>
  <c r="O175" i="3"/>
  <c r="P175" i="3" s="1"/>
  <c r="M190" i="3"/>
  <c r="N190" i="3" s="1"/>
  <c r="M74" i="3"/>
  <c r="Q171" i="5"/>
  <c r="Q191" i="5"/>
  <c r="J158" i="6"/>
  <c r="R36" i="6"/>
  <c r="N36" i="3"/>
  <c r="R197" i="6"/>
  <c r="Q190" i="5"/>
  <c r="J44" i="6"/>
  <c r="H168" i="4"/>
  <c r="H169" i="4" s="1"/>
  <c r="H170" i="4" s="1"/>
  <c r="H171" i="4" s="1"/>
  <c r="H172" i="4" s="1"/>
  <c r="P137" i="6"/>
  <c r="J139" i="6"/>
  <c r="Q146" i="5"/>
  <c r="J38" i="6"/>
  <c r="M110" i="3"/>
  <c r="N110" i="3" s="1"/>
  <c r="R118" i="6" s="1"/>
  <c r="J153" i="6"/>
  <c r="J87" i="6"/>
  <c r="Q168" i="5"/>
  <c r="O180" i="3"/>
  <c r="P180" i="3" s="1"/>
  <c r="M70" i="3"/>
  <c r="N70" i="3" s="1"/>
  <c r="R117" i="6"/>
  <c r="J113" i="6"/>
  <c r="N147" i="3"/>
  <c r="M179" i="3"/>
  <c r="M29" i="3"/>
  <c r="N29" i="3" s="1"/>
  <c r="R37" i="6" s="1"/>
  <c r="J74" i="3"/>
  <c r="Q74" i="5" s="1"/>
  <c r="R165" i="6"/>
  <c r="Q189" i="5"/>
  <c r="Q79" i="5"/>
  <c r="Q78" i="6"/>
  <c r="R78" i="6" s="1"/>
  <c r="J18" i="3"/>
  <c r="Q18" i="5" s="1"/>
  <c r="R22" i="6"/>
  <c r="R26" i="6"/>
  <c r="J132" i="6"/>
  <c r="J190" i="6"/>
  <c r="M37" i="3"/>
  <c r="N37" i="3" s="1"/>
  <c r="R45" i="6" s="1"/>
  <c r="J10" i="3"/>
  <c r="N150" i="3"/>
  <c r="R158" i="6" s="1"/>
  <c r="Q25" i="5"/>
  <c r="O39" i="3"/>
  <c r="P39" i="3" s="1"/>
  <c r="J163" i="3"/>
  <c r="Q163" i="5" s="1"/>
  <c r="J138" i="6"/>
  <c r="Q45" i="6"/>
  <c r="J123" i="3"/>
  <c r="M168" i="3"/>
  <c r="N168" i="3" s="1"/>
  <c r="R176" i="6" s="1"/>
  <c r="J199" i="6"/>
  <c r="J101" i="6"/>
  <c r="R44" i="6"/>
  <c r="J13" i="6"/>
  <c r="O79" i="3"/>
  <c r="P79" i="3" s="1"/>
  <c r="R190" i="6"/>
  <c r="Q121" i="5"/>
  <c r="Q172" i="5"/>
  <c r="J50" i="3"/>
  <c r="Q50" i="5" s="1"/>
  <c r="Q114" i="5"/>
  <c r="M47" i="3"/>
  <c r="M164" i="3"/>
  <c r="Q155" i="5"/>
  <c r="Q19" i="6"/>
  <c r="R19" i="6" s="1"/>
  <c r="N11" i="3"/>
  <c r="M11" i="3"/>
  <c r="M77" i="3"/>
  <c r="N77" i="3" s="1"/>
  <c r="Q149" i="6"/>
  <c r="R149" i="6" s="1"/>
  <c r="O77" i="3"/>
  <c r="P77" i="3" s="1"/>
  <c r="Q85" i="6"/>
  <c r="Q52" i="5"/>
  <c r="J159" i="6"/>
  <c r="J72" i="6"/>
  <c r="N164" i="3"/>
  <c r="J106" i="6"/>
  <c r="R62" i="6"/>
  <c r="O11" i="3"/>
  <c r="P11" i="3" s="1"/>
  <c r="O114" i="3"/>
  <c r="P114" i="3" s="1"/>
  <c r="Q122" i="6"/>
  <c r="R122" i="6" s="1"/>
  <c r="N114" i="3"/>
  <c r="M114" i="3"/>
  <c r="Q77" i="5"/>
  <c r="J145" i="3"/>
  <c r="Q145" i="5" s="1"/>
  <c r="O84" i="3"/>
  <c r="P84" i="3" s="1"/>
  <c r="J40" i="6"/>
  <c r="M149" i="3"/>
  <c r="N149" i="3" s="1"/>
  <c r="Q60" i="6"/>
  <c r="M52" i="3"/>
  <c r="N52" i="3" s="1"/>
  <c r="N141" i="3"/>
  <c r="Q53" i="5"/>
  <c r="H52" i="4"/>
  <c r="H53" i="4" s="1"/>
  <c r="H54" i="4" s="1"/>
  <c r="M141" i="3"/>
  <c r="J14" i="3"/>
  <c r="H39" i="4" s="1"/>
  <c r="N39" i="4" s="1"/>
  <c r="R107" i="6"/>
  <c r="Q141" i="5"/>
  <c r="O119" i="3"/>
  <c r="P119" i="3" s="1"/>
  <c r="O169" i="3"/>
  <c r="P169" i="3" s="1"/>
  <c r="J60" i="6"/>
  <c r="N170" i="3"/>
  <c r="R178" i="6" s="1"/>
  <c r="O137" i="3"/>
  <c r="P137" i="3" s="1"/>
  <c r="O63" i="3"/>
  <c r="P63" i="3" s="1"/>
  <c r="J111" i="6"/>
  <c r="Q8" i="5"/>
  <c r="O99" i="3"/>
  <c r="P99" i="3" s="1"/>
  <c r="O57" i="3"/>
  <c r="P57" i="3" s="1"/>
  <c r="O190" i="3"/>
  <c r="P190" i="3" s="1"/>
  <c r="J16" i="6"/>
  <c r="R191" i="6"/>
  <c r="AA168" i="4"/>
  <c r="J56" i="6"/>
  <c r="Q40" i="5"/>
  <c r="Q49" i="5"/>
  <c r="O100" i="3"/>
  <c r="P100" i="3" s="1"/>
  <c r="O59" i="3"/>
  <c r="P59" i="3" s="1"/>
  <c r="O67" i="3"/>
  <c r="P67" i="3" s="1"/>
  <c r="J43" i="6"/>
  <c r="R138" i="6"/>
  <c r="O140" i="3"/>
  <c r="P140" i="3" s="1"/>
  <c r="J23" i="6"/>
  <c r="N30" i="3"/>
  <c r="R38" i="6" s="1"/>
  <c r="M25" i="3"/>
  <c r="N25" i="3" s="1"/>
  <c r="O91" i="3"/>
  <c r="P91" i="3" s="1"/>
  <c r="H401" i="4"/>
  <c r="H402" i="4" s="1"/>
  <c r="H403" i="4" s="1"/>
  <c r="N403" i="4" s="1"/>
  <c r="O93" i="3"/>
  <c r="P93" i="3" s="1"/>
  <c r="R198" i="6"/>
  <c r="J55" i="6"/>
  <c r="M137" i="3"/>
  <c r="N137" i="3" s="1"/>
  <c r="O72" i="3"/>
  <c r="P72" i="3" s="1"/>
  <c r="O19" i="3"/>
  <c r="P19" i="3" s="1"/>
  <c r="O64" i="3"/>
  <c r="P64" i="3" s="1"/>
  <c r="O92" i="3"/>
  <c r="P92" i="3" s="1"/>
  <c r="AA401" i="4"/>
  <c r="R128" i="6"/>
  <c r="Q54" i="5"/>
  <c r="Q188" i="5"/>
  <c r="R28" i="6"/>
  <c r="J90" i="6"/>
  <c r="O25" i="3"/>
  <c r="P25" i="3" s="1"/>
  <c r="R140" i="6"/>
  <c r="R96" i="6"/>
  <c r="R163" i="6"/>
  <c r="O117" i="3"/>
  <c r="P117" i="3" s="1"/>
  <c r="R75" i="6"/>
  <c r="J31" i="3"/>
  <c r="Q31" i="5" s="1"/>
  <c r="Q36" i="5"/>
  <c r="R132" i="6"/>
  <c r="R98" i="6"/>
  <c r="M46" i="3"/>
  <c r="N46" i="3" s="1"/>
  <c r="R54" i="6" s="1"/>
  <c r="Q140" i="5"/>
  <c r="M91" i="3"/>
  <c r="N91" i="3" s="1"/>
  <c r="R99" i="6" s="1"/>
  <c r="O138" i="3"/>
  <c r="P138" i="3" s="1"/>
  <c r="J32" i="6"/>
  <c r="Q156" i="5"/>
  <c r="R155" i="6"/>
  <c r="Q73" i="5"/>
  <c r="R35" i="6"/>
  <c r="M103" i="3"/>
  <c r="N103" i="3" s="1"/>
  <c r="O98" i="3"/>
  <c r="P98" i="3" s="1"/>
  <c r="O188" i="3"/>
  <c r="P188" i="3" s="1"/>
  <c r="H173" i="4"/>
  <c r="H174" i="4" s="1"/>
  <c r="Q17" i="5"/>
  <c r="O186" i="3"/>
  <c r="P186" i="3" s="1"/>
  <c r="Q27" i="5"/>
  <c r="J115" i="3"/>
  <c r="Q115" i="5" s="1"/>
  <c r="J183" i="6"/>
  <c r="Q110" i="5"/>
  <c r="N7" i="3"/>
  <c r="H259" i="4"/>
  <c r="H260" i="4" s="1"/>
  <c r="O113" i="3"/>
  <c r="P113" i="3" s="1"/>
  <c r="R18" i="6"/>
  <c r="R86" i="6"/>
  <c r="O184" i="3"/>
  <c r="P184" i="3" s="1"/>
  <c r="AA173" i="4"/>
  <c r="J169" i="3"/>
  <c r="Q169" i="5" s="1"/>
  <c r="O96" i="3"/>
  <c r="P96" i="3" s="1"/>
  <c r="O86" i="3"/>
  <c r="P86" i="3" s="1"/>
  <c r="J46" i="3"/>
  <c r="Q46" i="5" s="1"/>
  <c r="O95" i="3"/>
  <c r="P95" i="3" s="1"/>
  <c r="Q94" i="5"/>
  <c r="O189" i="3"/>
  <c r="P189" i="3" s="1"/>
  <c r="R188" i="6"/>
  <c r="O178" i="3"/>
  <c r="P178" i="3" s="1"/>
  <c r="O27" i="3"/>
  <c r="P27" i="3" s="1"/>
  <c r="AA437" i="4"/>
  <c r="AA438" i="4" s="1"/>
  <c r="AA439" i="4" s="1"/>
  <c r="AA440" i="4" s="1"/>
  <c r="Q148" i="5"/>
  <c r="J143" i="3"/>
  <c r="Q143" i="5" s="1"/>
  <c r="O192" i="3"/>
  <c r="P192" i="3" s="1"/>
  <c r="J127" i="6"/>
  <c r="O6" i="3"/>
  <c r="P6" i="3" s="1"/>
  <c r="O41" i="3"/>
  <c r="P41" i="3" s="1"/>
  <c r="J184" i="3"/>
  <c r="Q184" i="5" s="1"/>
  <c r="R53" i="6"/>
  <c r="J127" i="3"/>
  <c r="Q127" i="5" s="1"/>
  <c r="Q137" i="5"/>
  <c r="O28" i="3"/>
  <c r="P28" i="3" s="1"/>
  <c r="O97" i="3"/>
  <c r="P97" i="3" s="1"/>
  <c r="Q97" i="5"/>
  <c r="O29" i="3"/>
  <c r="P29" i="3" s="1"/>
  <c r="H437" i="4"/>
  <c r="H438" i="4" s="1"/>
  <c r="R168" i="6"/>
  <c r="Q111" i="6"/>
  <c r="Q100" i="5"/>
  <c r="Q98" i="5"/>
  <c r="Q65" i="5"/>
  <c r="P63" i="6"/>
  <c r="J55" i="3"/>
  <c r="Q55" i="5" s="1"/>
  <c r="O40" i="3"/>
  <c r="P40" i="3" s="1"/>
  <c r="M161" i="3"/>
  <c r="N161" i="3" s="1"/>
  <c r="Q82" i="5"/>
  <c r="R137" i="6"/>
  <c r="R201" i="6"/>
  <c r="R203" i="6"/>
  <c r="N47" i="3"/>
  <c r="R80" i="6"/>
  <c r="M86" i="3"/>
  <c r="N86" i="3" s="1"/>
  <c r="R94" i="6" s="1"/>
  <c r="J104" i="6"/>
  <c r="R97" i="6"/>
  <c r="Q105" i="5"/>
  <c r="H215" i="4"/>
  <c r="N214" i="4"/>
  <c r="F7" i="5"/>
  <c r="G7" i="5" s="1"/>
  <c r="E7" i="5"/>
  <c r="Q91" i="5"/>
  <c r="Q29" i="5"/>
  <c r="Q180" i="5"/>
  <c r="J89" i="3"/>
  <c r="Q139" i="5"/>
  <c r="J43" i="3"/>
  <c r="R199" i="6"/>
  <c r="Q125" i="5"/>
  <c r="Q38" i="5"/>
  <c r="Q130" i="5"/>
  <c r="N69" i="3"/>
  <c r="J92" i="6"/>
  <c r="J147" i="6"/>
  <c r="Q20" i="5"/>
  <c r="Q35" i="5"/>
  <c r="H143" i="4"/>
  <c r="N143" i="4" s="1"/>
  <c r="AA464" i="4"/>
  <c r="AA465" i="4" s="1"/>
  <c r="AA466" i="4" s="1"/>
  <c r="AA467" i="4" s="1"/>
  <c r="Q195" i="5"/>
  <c r="Q182" i="5"/>
  <c r="P27" i="6"/>
  <c r="Q19" i="5"/>
  <c r="R152" i="6"/>
  <c r="Q138" i="5"/>
  <c r="R200" i="6"/>
  <c r="M125" i="3"/>
  <c r="N125" i="3" s="1"/>
  <c r="R133" i="6" s="1"/>
  <c r="Q16" i="5"/>
  <c r="J86" i="3"/>
  <c r="Q86" i="5" s="1"/>
  <c r="H325" i="4"/>
  <c r="N325" i="4" s="1"/>
  <c r="Q131" i="5"/>
  <c r="AA143" i="4"/>
  <c r="AA144" i="4" s="1"/>
  <c r="AA145" i="4" s="1"/>
  <c r="AA146" i="4" s="1"/>
  <c r="AA147" i="4" s="1"/>
  <c r="AA148" i="4" s="1"/>
  <c r="AA149" i="4" s="1"/>
  <c r="AA150" i="4" s="1"/>
  <c r="AA151" i="4" s="1"/>
  <c r="AA152" i="4" s="1"/>
  <c r="AA153" i="4" s="1"/>
  <c r="H464" i="4"/>
  <c r="H465" i="4" s="1"/>
  <c r="Q84" i="5"/>
  <c r="J175" i="3"/>
  <c r="Q175" i="5" s="1"/>
  <c r="J170" i="3"/>
  <c r="Q45" i="5"/>
  <c r="Q66" i="5"/>
  <c r="Q122" i="5"/>
  <c r="Q15" i="5"/>
  <c r="Q12" i="5"/>
  <c r="Q162" i="5"/>
  <c r="Q30" i="5"/>
  <c r="Q64" i="5"/>
  <c r="Q116" i="5"/>
  <c r="J96" i="6"/>
  <c r="R164" i="6"/>
  <c r="Q176" i="5"/>
  <c r="Q42" i="5"/>
  <c r="Q56" i="5"/>
  <c r="Q181" i="5"/>
  <c r="J75" i="6"/>
  <c r="J67" i="6"/>
  <c r="J102" i="6"/>
  <c r="J24" i="6"/>
  <c r="J25" i="6"/>
  <c r="J31" i="6"/>
  <c r="J204" i="6"/>
  <c r="R162" i="6"/>
  <c r="R72" i="6"/>
  <c r="F21" i="5"/>
  <c r="G21" i="5" s="1"/>
  <c r="R59" i="6"/>
  <c r="R186" i="6"/>
  <c r="R147" i="6"/>
  <c r="R46" i="6"/>
  <c r="R146" i="6"/>
  <c r="R71" i="6"/>
  <c r="R17" i="6"/>
  <c r="R173" i="6"/>
  <c r="R167" i="6"/>
  <c r="R87" i="6"/>
  <c r="R131" i="6"/>
  <c r="R68" i="6"/>
  <c r="F11" i="5"/>
  <c r="E11" i="5"/>
  <c r="P141" i="6"/>
  <c r="J133" i="3"/>
  <c r="Q133" i="5" s="1"/>
  <c r="J103" i="6"/>
  <c r="Q177" i="6"/>
  <c r="M169" i="3"/>
  <c r="N169" i="3" s="1"/>
  <c r="F13" i="5"/>
  <c r="E13" i="5"/>
  <c r="P15" i="6"/>
  <c r="J7" i="3"/>
  <c r="Q7" i="5" s="1"/>
  <c r="O115" i="3"/>
  <c r="P115" i="3" s="1"/>
  <c r="AA53" i="4"/>
  <c r="AA54" i="4" s="1"/>
  <c r="AA55" i="4" s="1"/>
  <c r="AA56" i="4" s="1"/>
  <c r="M52" i="4"/>
  <c r="P40" i="6"/>
  <c r="R40" i="6" s="1"/>
  <c r="J32" i="3"/>
  <c r="Q32" i="5" s="1"/>
  <c r="Q115" i="6"/>
  <c r="M107" i="3"/>
  <c r="N107" i="3" s="1"/>
  <c r="O107" i="3"/>
  <c r="P107" i="3" s="1"/>
  <c r="M104" i="3"/>
  <c r="N104" i="3" s="1"/>
  <c r="R112" i="6" s="1"/>
  <c r="R109" i="6"/>
  <c r="Q74" i="6"/>
  <c r="M66" i="3"/>
  <c r="N66" i="3" s="1"/>
  <c r="O66" i="3"/>
  <c r="P66" i="3" s="1"/>
  <c r="M140" i="3"/>
  <c r="N140" i="3" s="1"/>
  <c r="R148" i="6" s="1"/>
  <c r="O118" i="3"/>
  <c r="P118" i="3" s="1"/>
  <c r="Q129" i="6"/>
  <c r="M121" i="3"/>
  <c r="N121" i="3" s="1"/>
  <c r="O121" i="3"/>
  <c r="P121" i="3" s="1"/>
  <c r="M131" i="3"/>
  <c r="N131" i="3" s="1"/>
  <c r="R139" i="6" s="1"/>
  <c r="Q58" i="6"/>
  <c r="M50" i="3"/>
  <c r="N50" i="3" s="1"/>
  <c r="AA139" i="4"/>
  <c r="P127" i="6"/>
  <c r="J119" i="3"/>
  <c r="N173" i="3"/>
  <c r="Q153" i="6"/>
  <c r="M145" i="3"/>
  <c r="N145" i="3" s="1"/>
  <c r="O149" i="3"/>
  <c r="P149" i="3" s="1"/>
  <c r="O147" i="3"/>
  <c r="P147" i="3" s="1"/>
  <c r="O146" i="3"/>
  <c r="P146" i="3" s="1"/>
  <c r="P159" i="6"/>
  <c r="J151" i="3"/>
  <c r="Q151" i="5" s="1"/>
  <c r="Q205" i="6"/>
  <c r="M197" i="3"/>
  <c r="N197" i="3" s="1"/>
  <c r="Q84" i="6"/>
  <c r="M76" i="3"/>
  <c r="N76" i="3" s="1"/>
  <c r="H205" i="4"/>
  <c r="AA205" i="4"/>
  <c r="O76" i="3"/>
  <c r="P76" i="3" s="1"/>
  <c r="P83" i="6"/>
  <c r="J75" i="3"/>
  <c r="Q75" i="5" s="1"/>
  <c r="P41" i="6"/>
  <c r="J33" i="3"/>
  <c r="O69" i="3"/>
  <c r="P69" i="3" s="1"/>
  <c r="P175" i="6"/>
  <c r="J167" i="3"/>
  <c r="Q167" i="5" s="1"/>
  <c r="C15" i="5"/>
  <c r="J15" i="5" s="1"/>
  <c r="C20" i="5"/>
  <c r="C16" i="5"/>
  <c r="J16" i="5" s="1"/>
  <c r="P13" i="6"/>
  <c r="C25" i="5"/>
  <c r="C22" i="5"/>
  <c r="C19" i="5"/>
  <c r="C17" i="5"/>
  <c r="C13" i="5"/>
  <c r="J13" i="5" s="1"/>
  <c r="C7" i="5"/>
  <c r="J5" i="3"/>
  <c r="Q5" i="5" s="1"/>
  <c r="Q42" i="6"/>
  <c r="M34" i="3"/>
  <c r="N34" i="3" s="1"/>
  <c r="O44" i="3"/>
  <c r="P44" i="3" s="1"/>
  <c r="O45" i="3"/>
  <c r="P45" i="3" s="1"/>
  <c r="P29" i="6"/>
  <c r="J21" i="3"/>
  <c r="Q21" i="5" s="1"/>
  <c r="J63" i="6"/>
  <c r="Q151" i="6"/>
  <c r="M143" i="3"/>
  <c r="N143" i="3" s="1"/>
  <c r="O143" i="3"/>
  <c r="P143" i="3" s="1"/>
  <c r="Q51" i="6"/>
  <c r="M43" i="3"/>
  <c r="N43" i="3" s="1"/>
  <c r="O43" i="3"/>
  <c r="P43" i="3" s="1"/>
  <c r="M19" i="3"/>
  <c r="N19" i="3" s="1"/>
  <c r="J54" i="6"/>
  <c r="F16" i="5"/>
  <c r="E16" i="5"/>
  <c r="Q183" i="6"/>
  <c r="M175" i="3"/>
  <c r="N175" i="3" s="1"/>
  <c r="O179" i="3"/>
  <c r="P179" i="3" s="1"/>
  <c r="O176" i="3"/>
  <c r="P176" i="3" s="1"/>
  <c r="O182" i="3"/>
  <c r="P182" i="3" s="1"/>
  <c r="O177" i="3"/>
  <c r="P177" i="3" s="1"/>
  <c r="Q113" i="6"/>
  <c r="O105" i="3"/>
  <c r="P105" i="3" s="1"/>
  <c r="M105" i="3"/>
  <c r="N105" i="3" s="1"/>
  <c r="O106" i="3"/>
  <c r="P106" i="3" s="1"/>
  <c r="O110" i="3"/>
  <c r="P110" i="3" s="1"/>
  <c r="AA278" i="4"/>
  <c r="H278" i="4"/>
  <c r="O109" i="3"/>
  <c r="P109" i="3" s="1"/>
  <c r="Q63" i="6"/>
  <c r="M55" i="3"/>
  <c r="N55" i="3" s="1"/>
  <c r="Q64" i="6"/>
  <c r="M56" i="3"/>
  <c r="N56" i="3" s="1"/>
  <c r="Q90" i="6"/>
  <c r="M82" i="3"/>
  <c r="N82" i="3" s="1"/>
  <c r="O82" i="3"/>
  <c r="P82" i="3" s="1"/>
  <c r="AA209" i="4"/>
  <c r="H209" i="4"/>
  <c r="H210" i="4" s="1"/>
  <c r="H211" i="4" s="1"/>
  <c r="J64" i="6"/>
  <c r="Q23" i="6"/>
  <c r="M15" i="3"/>
  <c r="N15" i="3" s="1"/>
  <c r="O15" i="3"/>
  <c r="P15" i="3" s="1"/>
  <c r="Q88" i="6"/>
  <c r="M80" i="3"/>
  <c r="N80" i="3" s="1"/>
  <c r="O80" i="3"/>
  <c r="P80" i="3" s="1"/>
  <c r="P145" i="6"/>
  <c r="Q171" i="6"/>
  <c r="R171" i="6" s="1"/>
  <c r="M163" i="3"/>
  <c r="N163" i="3"/>
  <c r="R14" i="6"/>
  <c r="M21" i="3"/>
  <c r="N21" i="3" s="1"/>
  <c r="P181" i="6"/>
  <c r="J173" i="3"/>
  <c r="Q173" i="5" s="1"/>
  <c r="P30" i="6"/>
  <c r="J22" i="3"/>
  <c r="Q22" i="5" s="1"/>
  <c r="J178" i="6"/>
  <c r="AA511" i="4"/>
  <c r="H511" i="4"/>
  <c r="J15" i="6"/>
  <c r="P166" i="6"/>
  <c r="R166" i="6" s="1"/>
  <c r="J158" i="3"/>
  <c r="Q158" i="5" s="1"/>
  <c r="AA77" i="4"/>
  <c r="H77" i="4"/>
  <c r="J99" i="6"/>
  <c r="O55" i="3"/>
  <c r="P55" i="3" s="1"/>
  <c r="H375" i="4"/>
  <c r="H376" i="4" s="1"/>
  <c r="AA375" i="4"/>
  <c r="R130" i="6"/>
  <c r="E8" i="5"/>
  <c r="F8" i="5"/>
  <c r="F12" i="5"/>
  <c r="E12" i="5"/>
  <c r="P33" i="6"/>
  <c r="O83" i="3"/>
  <c r="P83" i="3" s="1"/>
  <c r="P66" i="6"/>
  <c r="J58" i="3"/>
  <c r="Q127" i="6"/>
  <c r="M119" i="3"/>
  <c r="N119" i="3" s="1"/>
  <c r="H503" i="4"/>
  <c r="AA503" i="4"/>
  <c r="Q121" i="6"/>
  <c r="R121" i="6" s="1"/>
  <c r="M113" i="3"/>
  <c r="N113" i="3"/>
  <c r="O120" i="3"/>
  <c r="P120" i="3" s="1"/>
  <c r="O122" i="3"/>
  <c r="P122" i="3" s="1"/>
  <c r="O125" i="3"/>
  <c r="P125" i="3" s="1"/>
  <c r="O116" i="3"/>
  <c r="P116" i="3" s="1"/>
  <c r="Q65" i="6"/>
  <c r="M57" i="3"/>
  <c r="N57" i="3" s="1"/>
  <c r="J74" i="6"/>
  <c r="J205" i="6"/>
  <c r="J196" i="3"/>
  <c r="Q196" i="5" s="1"/>
  <c r="F5" i="5"/>
  <c r="E5" i="5"/>
  <c r="O124" i="3"/>
  <c r="P124" i="3" s="1"/>
  <c r="AA345" i="4"/>
  <c r="H345" i="4"/>
  <c r="H346" i="4" s="1"/>
  <c r="H347" i="4" s="1"/>
  <c r="R24" i="6"/>
  <c r="O34" i="3"/>
  <c r="P34" i="3" s="1"/>
  <c r="Q73" i="6"/>
  <c r="O65" i="3"/>
  <c r="P65" i="3" s="1"/>
  <c r="M65" i="3"/>
  <c r="N65" i="3" s="1"/>
  <c r="O70" i="3"/>
  <c r="P70" i="3" s="1"/>
  <c r="H180" i="4"/>
  <c r="AA180" i="4"/>
  <c r="O68" i="3"/>
  <c r="P68" i="3" s="1"/>
  <c r="P93" i="6"/>
  <c r="J85" i="3"/>
  <c r="Q85" i="5" s="1"/>
  <c r="AA410" i="4"/>
  <c r="H410" i="4"/>
  <c r="H411" i="4" s="1"/>
  <c r="H412" i="4" s="1"/>
  <c r="O49" i="2"/>
  <c r="O108" i="3"/>
  <c r="P108" i="3" s="1"/>
  <c r="O197" i="3"/>
  <c r="P197" i="3" s="1"/>
  <c r="P142" i="6"/>
  <c r="J134" i="3"/>
  <c r="Q134" i="5" s="1"/>
  <c r="F6" i="5"/>
  <c r="O123" i="3"/>
  <c r="P123" i="3" s="1"/>
  <c r="Q20" i="6"/>
  <c r="M12" i="3"/>
  <c r="N12" i="3" s="1"/>
  <c r="O12" i="3"/>
  <c r="P12" i="3" s="1"/>
  <c r="O14" i="3"/>
  <c r="P14" i="3" s="1"/>
  <c r="O16" i="3"/>
  <c r="P16" i="3" s="1"/>
  <c r="M116" i="3"/>
  <c r="N116" i="3" s="1"/>
  <c r="R124" i="6" s="1"/>
  <c r="R85" i="6"/>
  <c r="J58" i="6"/>
  <c r="R91" i="6"/>
  <c r="O42" i="3"/>
  <c r="P42" i="3" s="1"/>
  <c r="O81" i="3"/>
  <c r="P81" i="3" s="1"/>
  <c r="Q48" i="6"/>
  <c r="M40" i="3"/>
  <c r="N40" i="3" s="1"/>
  <c r="Q61" i="6"/>
  <c r="M53" i="3"/>
  <c r="N53" i="3" s="1"/>
  <c r="O53" i="3"/>
  <c r="P53" i="3" s="1"/>
  <c r="O54" i="3"/>
  <c r="P54" i="3" s="1"/>
  <c r="R108" i="6"/>
  <c r="O37" i="3"/>
  <c r="P37" i="3" s="1"/>
  <c r="Q174" i="6"/>
  <c r="R174" i="6" s="1"/>
  <c r="N166" i="3"/>
  <c r="M166" i="3"/>
  <c r="O168" i="3"/>
  <c r="P168" i="3" s="1"/>
  <c r="AA101" i="4"/>
  <c r="H101" i="4"/>
  <c r="AA341" i="4"/>
  <c r="H341" i="4"/>
  <c r="Q43" i="6"/>
  <c r="M35" i="3"/>
  <c r="N35" i="3" s="1"/>
  <c r="O35" i="3"/>
  <c r="P35" i="3" s="1"/>
  <c r="O126" i="3"/>
  <c r="P126" i="3" s="1"/>
  <c r="H55" i="4"/>
  <c r="N54" i="4"/>
  <c r="Q180" i="6"/>
  <c r="R180" i="6" s="1"/>
  <c r="N172" i="3"/>
  <c r="M172" i="3"/>
  <c r="O172" i="3"/>
  <c r="P172" i="3" s="1"/>
  <c r="P65" i="6"/>
  <c r="J57" i="3"/>
  <c r="Q57" i="5" s="1"/>
  <c r="Q156" i="6"/>
  <c r="M148" i="3"/>
  <c r="N148" i="3" s="1"/>
  <c r="O148" i="3"/>
  <c r="P148" i="3" s="1"/>
  <c r="Q93" i="6"/>
  <c r="M85" i="3"/>
  <c r="N85" i="3" s="1"/>
  <c r="O85" i="3"/>
  <c r="P85" i="3" s="1"/>
  <c r="P110" i="6"/>
  <c r="J102" i="3"/>
  <c r="Q102" i="5" s="1"/>
  <c r="O111" i="3"/>
  <c r="P111" i="3" s="1"/>
  <c r="E15" i="5"/>
  <c r="F15" i="5"/>
  <c r="R16" i="6"/>
  <c r="H370" i="4"/>
  <c r="H371" i="4" s="1"/>
  <c r="H372" i="4" s="1"/>
  <c r="H373" i="4" s="1"/>
  <c r="H374" i="4" s="1"/>
  <c r="AA370" i="4"/>
  <c r="O56" i="3"/>
  <c r="P56" i="3" s="1"/>
  <c r="O46" i="3"/>
  <c r="P46" i="3" s="1"/>
  <c r="P120" i="6"/>
  <c r="J112" i="3"/>
  <c r="Q112" i="5" s="1"/>
  <c r="M176" i="3"/>
  <c r="N176" i="3"/>
  <c r="R184" i="6" s="1"/>
  <c r="Q30" i="6"/>
  <c r="R30" i="6" s="1"/>
  <c r="M22" i="3"/>
  <c r="N22" i="3"/>
  <c r="O22" i="3"/>
  <c r="P22" i="3" s="1"/>
  <c r="P67" i="6"/>
  <c r="J59" i="3"/>
  <c r="Q59" i="5" s="1"/>
  <c r="Q79" i="6"/>
  <c r="M71" i="3"/>
  <c r="N71" i="3" s="1"/>
  <c r="O71" i="3"/>
  <c r="P71" i="3" s="1"/>
  <c r="P202" i="6"/>
  <c r="R202" i="6" s="1"/>
  <c r="J194" i="3"/>
  <c r="Q194" i="5" s="1"/>
  <c r="E10" i="5"/>
  <c r="F10" i="5"/>
  <c r="R119" i="6"/>
  <c r="Q66" i="6"/>
  <c r="M58" i="3"/>
  <c r="N58" i="3" s="1"/>
  <c r="O58" i="3"/>
  <c r="P58" i="3" s="1"/>
  <c r="P157" i="6"/>
  <c r="R157" i="6" s="1"/>
  <c r="J149" i="3"/>
  <c r="Q149" i="5" s="1"/>
  <c r="R114" i="6"/>
  <c r="P121" i="6"/>
  <c r="J113" i="3"/>
  <c r="Q113" i="5" s="1"/>
  <c r="O144" i="3"/>
  <c r="P144" i="3" s="1"/>
  <c r="M39" i="3"/>
  <c r="N39" i="3"/>
  <c r="O36" i="3"/>
  <c r="P36" i="3" s="1"/>
  <c r="AA39" i="4"/>
  <c r="H175" i="4"/>
  <c r="N174" i="4"/>
  <c r="AA325" i="4"/>
  <c r="Q25" i="6"/>
  <c r="M17" i="3"/>
  <c r="N17" i="3" s="1"/>
  <c r="P169" i="6"/>
  <c r="J161" i="3"/>
  <c r="F14" i="5"/>
  <c r="E14" i="5"/>
  <c r="J196" i="6"/>
  <c r="P172" i="6"/>
  <c r="J164" i="3"/>
  <c r="Q164" i="5" s="1"/>
  <c r="J124" i="6"/>
  <c r="Q57" i="6"/>
  <c r="R57" i="6" s="1"/>
  <c r="M49" i="3"/>
  <c r="N49" i="3"/>
  <c r="J92" i="3"/>
  <c r="Q92" i="5" s="1"/>
  <c r="Q192" i="6"/>
  <c r="R192" i="6" s="1"/>
  <c r="N184" i="3"/>
  <c r="M184" i="3"/>
  <c r="M173" i="4"/>
  <c r="AA174" i="4"/>
  <c r="AA175" i="4" s="1"/>
  <c r="AA176" i="4" s="1"/>
  <c r="AA177" i="4" s="1"/>
  <c r="AA178" i="4" s="1"/>
  <c r="AA179" i="4" s="1"/>
  <c r="H333" i="4"/>
  <c r="J129" i="6"/>
  <c r="F9" i="5"/>
  <c r="E9" i="5"/>
  <c r="J84" i="6"/>
  <c r="P32" i="6"/>
  <c r="J24" i="3"/>
  <c r="Q92" i="6"/>
  <c r="M84" i="3"/>
  <c r="N84" i="3" s="1"/>
  <c r="Q34" i="6"/>
  <c r="O26" i="3"/>
  <c r="P26" i="3" s="1"/>
  <c r="M26" i="3"/>
  <c r="N26" i="3" s="1"/>
  <c r="Q204" i="6"/>
  <c r="M196" i="3"/>
  <c r="N196" i="3" s="1"/>
  <c r="Q102" i="6"/>
  <c r="M94" i="3"/>
  <c r="N94" i="3" s="1"/>
  <c r="Q120" i="6"/>
  <c r="M112" i="3"/>
  <c r="N112" i="3" s="1"/>
  <c r="Q142" i="6"/>
  <c r="R142" i="6" s="1"/>
  <c r="N134" i="3"/>
  <c r="M134" i="3"/>
  <c r="P31" i="6"/>
  <c r="J23" i="3"/>
  <c r="Q100" i="6"/>
  <c r="M92" i="3"/>
  <c r="N92" i="3" s="1"/>
  <c r="J168" i="6"/>
  <c r="O191" i="3"/>
  <c r="P191" i="3" s="1"/>
  <c r="Q105" i="6"/>
  <c r="M97" i="3"/>
  <c r="N97" i="3" s="1"/>
  <c r="N181" i="3"/>
  <c r="R189" i="6" s="1"/>
  <c r="P77" i="6"/>
  <c r="J69" i="3"/>
  <c r="Q69" i="5" s="1"/>
  <c r="N133" i="3"/>
  <c r="H350" i="4"/>
  <c r="J133" i="6"/>
  <c r="Q70" i="6"/>
  <c r="M62" i="3"/>
  <c r="N62" i="3" s="1"/>
  <c r="O62" i="3"/>
  <c r="P62" i="3" s="1"/>
  <c r="Q101" i="6"/>
  <c r="M93" i="3"/>
  <c r="N93" i="3" s="1"/>
  <c r="J41" i="6"/>
  <c r="Q32" i="6"/>
  <c r="M24" i="3"/>
  <c r="N24" i="3" s="1"/>
  <c r="J100" i="6"/>
  <c r="P55" i="6"/>
  <c r="R55" i="6" s="1"/>
  <c r="J47" i="3"/>
  <c r="Q47" i="5" s="1"/>
  <c r="P174" i="6"/>
  <c r="J166" i="3"/>
  <c r="Q166" i="5" s="1"/>
  <c r="AA350" i="4"/>
  <c r="P111" i="6"/>
  <c r="J103" i="3"/>
  <c r="Q103" i="5" s="1"/>
  <c r="Q159" i="6"/>
  <c r="M151" i="3"/>
  <c r="N151" i="3" s="1"/>
  <c r="J151" i="6"/>
  <c r="J48" i="3"/>
  <c r="Q48" i="5" s="1"/>
  <c r="O112" i="3"/>
  <c r="P112" i="3" s="1"/>
  <c r="Q41" i="6"/>
  <c r="M33" i="3"/>
  <c r="N33" i="3" s="1"/>
  <c r="Q103" i="6"/>
  <c r="M95" i="3"/>
  <c r="N95" i="3" s="1"/>
  <c r="F18" i="5"/>
  <c r="E18" i="5"/>
  <c r="O30" i="3"/>
  <c r="P30" i="3" s="1"/>
  <c r="M401" i="4"/>
  <c r="AA402" i="4"/>
  <c r="AA403" i="4" s="1"/>
  <c r="AA404" i="4" s="1"/>
  <c r="AA405" i="4" s="1"/>
  <c r="Q52" i="6"/>
  <c r="M44" i="3"/>
  <c r="N44" i="3" s="1"/>
  <c r="O134" i="3"/>
  <c r="P134" i="3" s="1"/>
  <c r="P101" i="6"/>
  <c r="J93" i="3"/>
  <c r="Q93" i="5" s="1"/>
  <c r="J52" i="6"/>
  <c r="O94" i="3"/>
  <c r="P94" i="3" s="1"/>
  <c r="P136" i="6"/>
  <c r="R136" i="6" s="1"/>
  <c r="J128" i="3"/>
  <c r="Q128" i="5" s="1"/>
  <c r="N42" i="3"/>
  <c r="R50" i="6" s="1"/>
  <c r="J163" i="6"/>
  <c r="E21" i="5"/>
  <c r="J51" i="6"/>
  <c r="M48" i="3"/>
  <c r="N48" i="3" s="1"/>
  <c r="R56" i="6" s="1"/>
  <c r="Q123" i="6"/>
  <c r="M115" i="3"/>
  <c r="N115" i="3" s="1"/>
  <c r="P193" i="6"/>
  <c r="J185" i="3"/>
  <c r="Q185" i="5" s="1"/>
  <c r="E6" i="5"/>
  <c r="AA498" i="4"/>
  <c r="AA483" i="4"/>
  <c r="AA484" i="4" s="1"/>
  <c r="AA485" i="4" s="1"/>
  <c r="AA486" i="4" s="1"/>
  <c r="AA487" i="4" s="1"/>
  <c r="AA488" i="4" s="1"/>
  <c r="AA489" i="4" s="1"/>
  <c r="AA490" i="4" s="1"/>
  <c r="AA491" i="4" s="1"/>
  <c r="AA492" i="4" s="1"/>
  <c r="AA493" i="4" s="1"/>
  <c r="AA494" i="4" s="1"/>
  <c r="AA495" i="4" s="1"/>
  <c r="AA496" i="4" s="1"/>
  <c r="AA497" i="4" s="1"/>
  <c r="M482" i="4"/>
  <c r="J135" i="6"/>
  <c r="J154" i="6"/>
  <c r="Q104" i="6"/>
  <c r="M96" i="3"/>
  <c r="N96" i="3" s="1"/>
  <c r="J118" i="6"/>
  <c r="Q135" i="6"/>
  <c r="M127" i="3"/>
  <c r="N127" i="3" s="1"/>
  <c r="Q175" i="6"/>
  <c r="R175" i="6" s="1"/>
  <c r="O167" i="3"/>
  <c r="P167" i="3" s="1"/>
  <c r="N167" i="3"/>
  <c r="M167" i="3"/>
  <c r="Q31" i="6"/>
  <c r="M23" i="3"/>
  <c r="N23" i="3" s="1"/>
  <c r="Q67" i="6"/>
  <c r="M59" i="3"/>
  <c r="N59" i="3" s="1"/>
  <c r="Q106" i="6"/>
  <c r="M98" i="3"/>
  <c r="N98" i="3" s="1"/>
  <c r="Q81" i="6"/>
  <c r="R81" i="6" s="1"/>
  <c r="M73" i="3"/>
  <c r="N73" i="3"/>
  <c r="J123" i="6"/>
  <c r="P47" i="6"/>
  <c r="J39" i="3"/>
  <c r="Q39" i="5" s="1"/>
  <c r="O101" i="3"/>
  <c r="P101" i="3" s="1"/>
  <c r="AA215" i="4"/>
  <c r="AA216" i="4" s="1"/>
  <c r="AA217" i="4" s="1"/>
  <c r="M214" i="4"/>
  <c r="Q196" i="6"/>
  <c r="M188" i="3"/>
  <c r="N188" i="3" s="1"/>
  <c r="O127" i="3"/>
  <c r="P127" i="3" s="1"/>
  <c r="P187" i="6"/>
  <c r="J179" i="3"/>
  <c r="O20" i="3"/>
  <c r="P20" i="3" s="1"/>
  <c r="O38" i="3"/>
  <c r="P38" i="3" s="1"/>
  <c r="AA169" i="4"/>
  <c r="AA170" i="4" s="1"/>
  <c r="AA171" i="4" s="1"/>
  <c r="AA172" i="4" s="1"/>
  <c r="M168" i="4"/>
  <c r="AA259" i="4"/>
  <c r="H498" i="4"/>
  <c r="H499" i="4" s="1"/>
  <c r="H500" i="4" s="1"/>
  <c r="H483" i="4"/>
  <c r="N482" i="4"/>
  <c r="N529" i="4"/>
  <c r="H530" i="4"/>
  <c r="J66" i="6"/>
  <c r="J156" i="6"/>
  <c r="AA333" i="4"/>
  <c r="M529" i="4"/>
  <c r="AA530" i="4"/>
  <c r="AA531" i="4" s="1"/>
  <c r="AA532" i="4" s="1"/>
  <c r="Q154" i="6"/>
  <c r="M146" i="3"/>
  <c r="N146" i="3" s="1"/>
  <c r="Q13" i="6"/>
  <c r="M5" i="3"/>
  <c r="J93" i="6"/>
  <c r="N179" i="3"/>
  <c r="H139" i="4" l="1"/>
  <c r="R29" i="6"/>
  <c r="C12" i="5"/>
  <c r="J12" i="5" s="1"/>
  <c r="R60" i="6"/>
  <c r="Q14" i="5"/>
  <c r="R145" i="6"/>
  <c r="H404" i="4"/>
  <c r="Q179" i="5"/>
  <c r="R111" i="6"/>
  <c r="M437" i="4"/>
  <c r="N259" i="4"/>
  <c r="R15" i="6"/>
  <c r="R77" i="6"/>
  <c r="H308" i="4"/>
  <c r="H309" i="4" s="1"/>
  <c r="N437" i="4"/>
  <c r="H441" i="4"/>
  <c r="Q161" i="5"/>
  <c r="H366" i="4"/>
  <c r="AA441" i="4"/>
  <c r="AA442" i="4" s="1"/>
  <c r="AA443" i="4" s="1"/>
  <c r="AA444" i="4" s="1"/>
  <c r="AA445" i="4" s="1"/>
  <c r="AA446" i="4" s="1"/>
  <c r="AA447" i="4" s="1"/>
  <c r="AA448" i="4" s="1"/>
  <c r="AA449" i="4" s="1"/>
  <c r="AA450" i="4" s="1"/>
  <c r="AA451" i="4" s="1"/>
  <c r="AA452" i="4" s="1"/>
  <c r="AA453" i="4" s="1"/>
  <c r="AA366" i="4"/>
  <c r="AA367" i="4" s="1"/>
  <c r="AA368" i="4" s="1"/>
  <c r="AA369" i="4" s="1"/>
  <c r="M143" i="4"/>
  <c r="R169" i="6"/>
  <c r="C6" i="5"/>
  <c r="J6" i="5" s="1"/>
  <c r="R27" i="6"/>
  <c r="Q119" i="5"/>
  <c r="AA308" i="4"/>
  <c r="AA309" i="4" s="1"/>
  <c r="AA310" i="4" s="1"/>
  <c r="AA311" i="4" s="1"/>
  <c r="AA312" i="4" s="1"/>
  <c r="AA313" i="4" s="1"/>
  <c r="AA314" i="4" s="1"/>
  <c r="AA315" i="4" s="1"/>
  <c r="AA316" i="4" s="1"/>
  <c r="AA317" i="4" s="1"/>
  <c r="AA318" i="4" s="1"/>
  <c r="AA319" i="4" s="1"/>
  <c r="N464" i="4"/>
  <c r="H40" i="4"/>
  <c r="H144" i="4"/>
  <c r="H145" i="4" s="1"/>
  <c r="H326" i="4"/>
  <c r="M464" i="4"/>
  <c r="H351" i="4"/>
  <c r="N350" i="4"/>
  <c r="H78" i="4"/>
  <c r="N77" i="4"/>
  <c r="H261" i="4"/>
  <c r="N260" i="4"/>
  <c r="H216" i="4"/>
  <c r="N215" i="4"/>
  <c r="O56" i="2"/>
  <c r="O59" i="2" s="1"/>
  <c r="Q41" i="5"/>
  <c r="R520" i="4"/>
  <c r="S520" i="4" s="1"/>
  <c r="T520" i="4" s="1"/>
  <c r="AF520" i="4" s="1"/>
  <c r="H415" i="4"/>
  <c r="H416" i="4" s="1"/>
  <c r="C24" i="5"/>
  <c r="Q24" i="5"/>
  <c r="C10" i="5"/>
  <c r="J10" i="5" s="1"/>
  <c r="Q58" i="5"/>
  <c r="AA154" i="4"/>
  <c r="M154" i="4" s="1"/>
  <c r="Q95" i="5"/>
  <c r="C14" i="5"/>
  <c r="J14" i="5" s="1"/>
  <c r="Q23" i="5"/>
  <c r="Q72" i="5"/>
  <c r="Q43" i="5"/>
  <c r="Q123" i="5"/>
  <c r="Q89" i="5"/>
  <c r="AA236" i="4"/>
  <c r="H236" i="4"/>
  <c r="Q10" i="5"/>
  <c r="Q170" i="5"/>
  <c r="AA454" i="4"/>
  <c r="H454" i="4"/>
  <c r="H455" i="4" s="1"/>
  <c r="H456" i="4" s="1"/>
  <c r="H457" i="4" s="1"/>
  <c r="H458" i="4" s="1"/>
  <c r="Q197" i="5"/>
  <c r="C23" i="5"/>
  <c r="Q33" i="5"/>
  <c r="B6" i="6"/>
  <c r="R79" i="6"/>
  <c r="R33" i="6"/>
  <c r="R181" i="6"/>
  <c r="R88" i="6"/>
  <c r="R187" i="6"/>
  <c r="R32" i="6"/>
  <c r="R92" i="6"/>
  <c r="R153" i="6"/>
  <c r="R20" i="6"/>
  <c r="R141" i="6"/>
  <c r="R129" i="6"/>
  <c r="J24" i="5"/>
  <c r="K24" i="5"/>
  <c r="K23" i="5"/>
  <c r="J23" i="5"/>
  <c r="N500" i="4"/>
  <c r="H501" i="4"/>
  <c r="R102" i="6"/>
  <c r="H379" i="4"/>
  <c r="AA540" i="4"/>
  <c r="H540" i="4"/>
  <c r="AA459" i="4"/>
  <c r="H459" i="4"/>
  <c r="H460" i="4" s="1"/>
  <c r="H461" i="4" s="1"/>
  <c r="H462" i="4" s="1"/>
  <c r="H463" i="4" s="1"/>
  <c r="R90" i="6"/>
  <c r="H279" i="4"/>
  <c r="N278" i="4"/>
  <c r="M366" i="4"/>
  <c r="K7" i="5"/>
  <c r="J7" i="5"/>
  <c r="J25" i="5"/>
  <c r="K25" i="5"/>
  <c r="AA140" i="4"/>
  <c r="AA141" i="4" s="1"/>
  <c r="AA142" i="4" s="1"/>
  <c r="M139" i="4"/>
  <c r="M441" i="4"/>
  <c r="H468" i="4"/>
  <c r="N101" i="4"/>
  <c r="H102" i="4"/>
  <c r="AA376" i="4"/>
  <c r="AA377" i="4" s="1"/>
  <c r="AA378" i="4" s="1"/>
  <c r="M375" i="4"/>
  <c r="AA279" i="4"/>
  <c r="AA280" i="4" s="1"/>
  <c r="AA281" i="4" s="1"/>
  <c r="AA282" i="4" s="1"/>
  <c r="AA283" i="4" s="1"/>
  <c r="AA284" i="4" s="1"/>
  <c r="AA285" i="4" s="1"/>
  <c r="AA286" i="4" s="1"/>
  <c r="AA287" i="4" s="1"/>
  <c r="AA288" i="4" s="1"/>
  <c r="AA289" i="4" s="1"/>
  <c r="M278" i="4"/>
  <c r="C9" i="5"/>
  <c r="J9" i="5" s="1"/>
  <c r="AA206" i="4"/>
  <c r="AA207" i="4" s="1"/>
  <c r="AA208" i="4" s="1"/>
  <c r="M205" i="4"/>
  <c r="B5" i="6"/>
  <c r="H442" i="4"/>
  <c r="N441" i="4"/>
  <c r="N511" i="4"/>
  <c r="H512" i="4"/>
  <c r="G14" i="5"/>
  <c r="M410" i="4"/>
  <c r="AA411" i="4"/>
  <c r="AA412" i="4" s="1"/>
  <c r="AA413" i="4" s="1"/>
  <c r="AA414" i="4" s="1"/>
  <c r="R73" i="6"/>
  <c r="H377" i="4"/>
  <c r="N376" i="4"/>
  <c r="H41" i="4"/>
  <c r="N40" i="4"/>
  <c r="H206" i="4"/>
  <c r="N205" i="4"/>
  <c r="G11" i="5"/>
  <c r="G18" i="5"/>
  <c r="G9" i="5"/>
  <c r="H413" i="4"/>
  <c r="N412" i="4"/>
  <c r="H439" i="4"/>
  <c r="N438" i="4"/>
  <c r="R41" i="6"/>
  <c r="R43" i="6"/>
  <c r="R48" i="6"/>
  <c r="M333" i="4"/>
  <c r="AA334" i="4"/>
  <c r="AA335" i="4" s="1"/>
  <c r="AA336" i="4" s="1"/>
  <c r="AA260" i="4"/>
  <c r="AA261" i="4" s="1"/>
  <c r="AA262" i="4" s="1"/>
  <c r="AA263" i="4" s="1"/>
  <c r="AA264" i="4" s="1"/>
  <c r="AA265" i="4" s="1"/>
  <c r="AA266" i="4" s="1"/>
  <c r="AA267" i="4" s="1"/>
  <c r="AA268" i="4" s="1"/>
  <c r="AA269" i="4" s="1"/>
  <c r="AA270" i="4" s="1"/>
  <c r="AA271" i="4" s="1"/>
  <c r="AA272" i="4" s="1"/>
  <c r="AA273" i="4" s="1"/>
  <c r="M259" i="4"/>
  <c r="R196" i="6"/>
  <c r="R104" i="6"/>
  <c r="R159" i="6"/>
  <c r="R105" i="6"/>
  <c r="AA245" i="4"/>
  <c r="H245" i="4"/>
  <c r="H176" i="4"/>
  <c r="N175" i="4"/>
  <c r="G10" i="5"/>
  <c r="H342" i="4"/>
  <c r="N341" i="4"/>
  <c r="R154" i="6"/>
  <c r="R31" i="6"/>
  <c r="AA320" i="4"/>
  <c r="H320" i="4"/>
  <c r="H321" i="4" s="1"/>
  <c r="H322" i="4" s="1"/>
  <c r="H323" i="4" s="1"/>
  <c r="H324" i="4" s="1"/>
  <c r="M39" i="4"/>
  <c r="AA40" i="4"/>
  <c r="AA41" i="4" s="1"/>
  <c r="AA42" i="4" s="1"/>
  <c r="AA43" i="4" s="1"/>
  <c r="AA44" i="4" s="1"/>
  <c r="AA45" i="4" s="1"/>
  <c r="AA46" i="4" s="1"/>
  <c r="AA47" i="4" s="1"/>
  <c r="AA48" i="4" s="1"/>
  <c r="AA49" i="4" s="1"/>
  <c r="AA50" i="4" s="1"/>
  <c r="AA51" i="4" s="1"/>
  <c r="AA371" i="4"/>
  <c r="AA372" i="4" s="1"/>
  <c r="AA373" i="4" s="1"/>
  <c r="AA374" i="4" s="1"/>
  <c r="M370" i="4"/>
  <c r="AA342" i="4"/>
  <c r="AA343" i="4" s="1"/>
  <c r="AA344" i="4" s="1"/>
  <c r="M341" i="4"/>
  <c r="AA218" i="4"/>
  <c r="H218" i="4"/>
  <c r="R23" i="6"/>
  <c r="R64" i="6"/>
  <c r="R183" i="6"/>
  <c r="C5" i="5"/>
  <c r="J5" i="5" s="1"/>
  <c r="R58" i="6"/>
  <c r="AA326" i="4"/>
  <c r="AA327" i="4" s="1"/>
  <c r="AA328" i="4" s="1"/>
  <c r="AA329" i="4" s="1"/>
  <c r="AA330" i="4" s="1"/>
  <c r="AA331" i="4" s="1"/>
  <c r="AA332" i="4" s="1"/>
  <c r="M325" i="4"/>
  <c r="R66" i="6"/>
  <c r="R127" i="6"/>
  <c r="H72" i="4"/>
  <c r="H73" i="4" s="1"/>
  <c r="H74" i="4" s="1"/>
  <c r="H75" i="4" s="1"/>
  <c r="H76" i="4" s="1"/>
  <c r="AA72" i="4"/>
  <c r="AA274" i="4"/>
  <c r="H274" i="4"/>
  <c r="R70" i="6"/>
  <c r="R204" i="6"/>
  <c r="N5" i="3"/>
  <c r="R13" i="6" s="1"/>
  <c r="R106" i="6"/>
  <c r="R123" i="6"/>
  <c r="AA415" i="4"/>
  <c r="AA533" i="4"/>
  <c r="H533" i="4"/>
  <c r="R93" i="6"/>
  <c r="H154" i="4"/>
  <c r="J17" i="5"/>
  <c r="K17" i="5"/>
  <c r="K20" i="5"/>
  <c r="J20" i="5"/>
  <c r="R177" i="6"/>
  <c r="R51" i="6"/>
  <c r="C11" i="5"/>
  <c r="J11" i="5" s="1"/>
  <c r="R84" i="6"/>
  <c r="R74" i="6"/>
  <c r="H348" i="4"/>
  <c r="N347" i="4"/>
  <c r="R25" i="6"/>
  <c r="H56" i="4"/>
  <c r="N56" i="4" s="1"/>
  <c r="N55" i="4"/>
  <c r="M345" i="4"/>
  <c r="AA346" i="4"/>
  <c r="AA347" i="4" s="1"/>
  <c r="AA348" i="4" s="1"/>
  <c r="AA349" i="4" s="1"/>
  <c r="M511" i="4"/>
  <c r="AA512" i="4"/>
  <c r="AA513" i="4" s="1"/>
  <c r="AA514" i="4" s="1"/>
  <c r="AA515" i="4" s="1"/>
  <c r="AA516" i="4" s="1"/>
  <c r="AA517" i="4" s="1"/>
  <c r="AA518" i="4" s="1"/>
  <c r="AA519" i="4" s="1"/>
  <c r="AA520" i="4" s="1"/>
  <c r="AA521" i="4" s="1"/>
  <c r="AA522" i="4" s="1"/>
  <c r="AA523" i="4" s="1"/>
  <c r="AA524" i="4" s="1"/>
  <c r="AA525" i="4" s="1"/>
  <c r="AA526" i="4" s="1"/>
  <c r="AA527" i="4" s="1"/>
  <c r="AA528" i="4" s="1"/>
  <c r="AA210" i="4"/>
  <c r="AA211" i="4" s="1"/>
  <c r="AA212" i="4" s="1"/>
  <c r="AA213" i="4" s="1"/>
  <c r="M209" i="4"/>
  <c r="G16" i="5"/>
  <c r="K16" i="5"/>
  <c r="C8" i="5"/>
  <c r="J8" i="5" s="1"/>
  <c r="R115" i="6"/>
  <c r="AA337" i="4"/>
  <c r="H337" i="4"/>
  <c r="M350" i="4"/>
  <c r="AA351" i="4"/>
  <c r="AA352" i="4" s="1"/>
  <c r="AA353" i="4" s="1"/>
  <c r="AA354" i="4" s="1"/>
  <c r="AA355" i="4" s="1"/>
  <c r="AA356" i="4" s="1"/>
  <c r="AA357" i="4" s="1"/>
  <c r="AA358" i="4" s="1"/>
  <c r="AA359" i="4" s="1"/>
  <c r="AA360" i="4" s="1"/>
  <c r="AA361" i="4" s="1"/>
  <c r="AA362" i="4" s="1"/>
  <c r="AA363" i="4" s="1"/>
  <c r="AA364" i="4" s="1"/>
  <c r="AA365" i="4" s="1"/>
  <c r="H181" i="4"/>
  <c r="N180" i="4"/>
  <c r="AA504" i="4"/>
  <c r="AA505" i="4" s="1"/>
  <c r="AA506" i="4" s="1"/>
  <c r="AA507" i="4" s="1"/>
  <c r="AA508" i="4" s="1"/>
  <c r="AA509" i="4" s="1"/>
  <c r="AA510" i="4" s="1"/>
  <c r="M503" i="4"/>
  <c r="R113" i="6"/>
  <c r="C18" i="5"/>
  <c r="J18" i="5" s="1"/>
  <c r="AA92" i="4"/>
  <c r="H92" i="4"/>
  <c r="H93" i="4" s="1"/>
  <c r="AA22" i="4"/>
  <c r="H22" i="4"/>
  <c r="H23" i="4" s="1"/>
  <c r="H212" i="4"/>
  <c r="N211" i="4"/>
  <c r="AA111" i="4"/>
  <c r="H111" i="4"/>
  <c r="N404" i="4"/>
  <c r="H405" i="4"/>
  <c r="N405" i="4" s="1"/>
  <c r="N333" i="4"/>
  <c r="H334" i="4"/>
  <c r="K15" i="5"/>
  <c r="G15" i="5"/>
  <c r="R67" i="6"/>
  <c r="AA191" i="4"/>
  <c r="H191" i="4"/>
  <c r="R100" i="6"/>
  <c r="R34" i="6"/>
  <c r="G6" i="5"/>
  <c r="K6" i="5"/>
  <c r="AA78" i="4"/>
  <c r="AA79" i="4" s="1"/>
  <c r="AA80" i="4" s="1"/>
  <c r="AA81" i="4" s="1"/>
  <c r="AA82" i="4" s="1"/>
  <c r="AA83" i="4" s="1"/>
  <c r="AA84" i="4" s="1"/>
  <c r="AA85" i="4" s="1"/>
  <c r="AA86" i="4" s="1"/>
  <c r="AA87" i="4" s="1"/>
  <c r="AA88" i="4" s="1"/>
  <c r="AA89" i="4" s="1"/>
  <c r="AA90" i="4" s="1"/>
  <c r="AA91" i="4" s="1"/>
  <c r="M77" i="4"/>
  <c r="H327" i="4"/>
  <c r="N326" i="4"/>
  <c r="R42" i="6"/>
  <c r="K19" i="5"/>
  <c r="J19" i="5"/>
  <c r="R9" i="4"/>
  <c r="R24" i="4"/>
  <c r="R16" i="4"/>
  <c r="R29" i="4"/>
  <c r="R12" i="4"/>
  <c r="R65" i="4"/>
  <c r="R22" i="4"/>
  <c r="R32" i="4"/>
  <c r="R21" i="4"/>
  <c r="R5" i="4"/>
  <c r="R539" i="4"/>
  <c r="R544" i="4"/>
  <c r="R456" i="4"/>
  <c r="R507" i="4"/>
  <c r="R503" i="4"/>
  <c r="R506" i="4"/>
  <c r="R434" i="4"/>
  <c r="R417" i="4"/>
  <c r="R433" i="4"/>
  <c r="R448" i="4"/>
  <c r="R329" i="4"/>
  <c r="R422" i="4"/>
  <c r="R403" i="4"/>
  <c r="R451" i="4"/>
  <c r="R359" i="4"/>
  <c r="R316" i="4"/>
  <c r="R282" i="4"/>
  <c r="R331" i="4"/>
  <c r="R215" i="4"/>
  <c r="R237" i="4"/>
  <c r="R397" i="4"/>
  <c r="R223" i="4"/>
  <c r="R304" i="4"/>
  <c r="R238" i="4"/>
  <c r="R255" i="4"/>
  <c r="R166" i="4"/>
  <c r="R267" i="4"/>
  <c r="R228" i="4"/>
  <c r="R181" i="4"/>
  <c r="R531" i="4"/>
  <c r="R543" i="4"/>
  <c r="R460" i="4"/>
  <c r="R439" i="4"/>
  <c r="R504" i="4"/>
  <c r="R431" i="4"/>
  <c r="R414" i="4"/>
  <c r="R482" i="4"/>
  <c r="R426" i="4"/>
  <c r="R484" i="4"/>
  <c r="R327" i="4"/>
  <c r="R463" i="4"/>
  <c r="R401" i="4"/>
  <c r="R447" i="4"/>
  <c r="R352" i="4"/>
  <c r="R314" i="4"/>
  <c r="R444" i="4"/>
  <c r="R272" i="4"/>
  <c r="R371" i="4"/>
  <c r="R369" i="4"/>
  <c r="R273" i="4"/>
  <c r="R208" i="4"/>
  <c r="R225" i="4"/>
  <c r="R388" i="4"/>
  <c r="R218" i="4"/>
  <c r="R300" i="4"/>
  <c r="R233" i="4"/>
  <c r="R243" i="4"/>
  <c r="R163" i="4"/>
  <c r="R216" i="4"/>
  <c r="R517" i="4"/>
  <c r="R546" i="4"/>
  <c r="R458" i="4"/>
  <c r="R437" i="4"/>
  <c r="R499" i="4"/>
  <c r="R474" i="4"/>
  <c r="R495" i="4"/>
  <c r="R427" i="4"/>
  <c r="R411" i="4"/>
  <c r="R481" i="4"/>
  <c r="R421" i="4"/>
  <c r="R432" i="4"/>
  <c r="R310" i="4"/>
  <c r="R459" i="4"/>
  <c r="R394" i="4"/>
  <c r="R409" i="4"/>
  <c r="R350" i="4"/>
  <c r="R292" i="4"/>
  <c r="R362" i="4"/>
  <c r="R424" i="4"/>
  <c r="R322" i="4"/>
  <c r="R334" i="4"/>
  <c r="R262" i="4"/>
  <c r="R213" i="4"/>
  <c r="R287" i="4"/>
  <c r="R211" i="4"/>
  <c r="R296" i="4"/>
  <c r="R226" i="4"/>
  <c r="R231" i="4"/>
  <c r="R160" i="4"/>
  <c r="R308" i="4"/>
  <c r="R162" i="4"/>
  <c r="R167" i="4"/>
  <c r="R135" i="4"/>
  <c r="R110" i="4"/>
  <c r="R137" i="4"/>
  <c r="R279" i="4"/>
  <c r="R100" i="4"/>
  <c r="R134" i="4"/>
  <c r="R104" i="4"/>
  <c r="R48" i="4"/>
  <c r="R87" i="4"/>
  <c r="R52" i="4"/>
  <c r="R18" i="4"/>
  <c r="R40" i="4"/>
  <c r="R73" i="4"/>
  <c r="R53" i="4"/>
  <c r="R515" i="4"/>
  <c r="R541" i="4"/>
  <c r="R441" i="4"/>
  <c r="R535" i="4"/>
  <c r="R496" i="4"/>
  <c r="R457" i="4"/>
  <c r="R425" i="4"/>
  <c r="R408" i="4"/>
  <c r="R480" i="4"/>
  <c r="R418" i="4"/>
  <c r="R293" i="4"/>
  <c r="R450" i="4"/>
  <c r="R392" i="4"/>
  <c r="R407" i="4"/>
  <c r="R285" i="4"/>
  <c r="R354" i="4"/>
  <c r="R400" i="4"/>
  <c r="R315" i="4"/>
  <c r="R324" i="4"/>
  <c r="R348" i="4"/>
  <c r="R256" i="4"/>
  <c r="R203" i="4"/>
  <c r="R278" i="4"/>
  <c r="R206" i="4"/>
  <c r="R281" i="4"/>
  <c r="R221" i="4"/>
  <c r="R219" i="4"/>
  <c r="R157" i="4"/>
  <c r="R289" i="4"/>
  <c r="R140" i="4"/>
  <c r="R149" i="4"/>
  <c r="R131" i="4"/>
  <c r="R108" i="4"/>
  <c r="R125" i="4"/>
  <c r="R246" i="4"/>
  <c r="R83" i="4"/>
  <c r="R150" i="4"/>
  <c r="R130" i="4"/>
  <c r="R198" i="4"/>
  <c r="R88" i="4"/>
  <c r="R39" i="4"/>
  <c r="R66" i="4"/>
  <c r="R42" i="4"/>
  <c r="R13" i="4"/>
  <c r="R95" i="4"/>
  <c r="R43" i="4"/>
  <c r="R498" i="4"/>
  <c r="R540" i="4"/>
  <c r="R522" i="4"/>
  <c r="R516" i="4"/>
  <c r="R486" i="4"/>
  <c r="R455" i="4"/>
  <c r="R472" i="4"/>
  <c r="R405" i="4"/>
  <c r="R487" i="4"/>
  <c r="R483" i="4"/>
  <c r="R291" i="4"/>
  <c r="R436" i="4"/>
  <c r="R385" i="4"/>
  <c r="R379" i="4"/>
  <c r="R333" i="4"/>
  <c r="R265" i="4"/>
  <c r="R391" i="4"/>
  <c r="R430" i="4"/>
  <c r="R317" i="4"/>
  <c r="R345" i="4"/>
  <c r="R251" i="4"/>
  <c r="R196" i="4"/>
  <c r="R201" i="4"/>
  <c r="R275" i="4"/>
  <c r="R199" i="4"/>
  <c r="R395" i="4"/>
  <c r="R207" i="4"/>
  <c r="R154" i="4"/>
  <c r="R271" i="4"/>
  <c r="R118" i="4"/>
  <c r="R133" i="4"/>
  <c r="R129" i="4"/>
  <c r="R91" i="4"/>
  <c r="R123" i="4"/>
  <c r="R240" i="4"/>
  <c r="R81" i="4"/>
  <c r="R148" i="4"/>
  <c r="R309" i="4"/>
  <c r="R173" i="4"/>
  <c r="R75" i="4"/>
  <c r="R27" i="4"/>
  <c r="R538" i="4"/>
  <c r="R512" i="4"/>
  <c r="R488" i="4"/>
  <c r="R469" i="4"/>
  <c r="R438" i="4"/>
  <c r="R470" i="4"/>
  <c r="R402" i="4"/>
  <c r="R445" i="4"/>
  <c r="R513" i="4"/>
  <c r="R466" i="4"/>
  <c r="R419" i="4"/>
  <c r="R368" i="4"/>
  <c r="R423" i="4"/>
  <c r="R415" i="4"/>
  <c r="R344" i="4"/>
  <c r="R374" i="4"/>
  <c r="R413" i="4"/>
  <c r="R297" i="4"/>
  <c r="R342" i="4"/>
  <c r="R244" i="4"/>
  <c r="R191" i="4"/>
  <c r="R189" i="4"/>
  <c r="R266" i="4"/>
  <c r="R194" i="4"/>
  <c r="R325" i="4"/>
  <c r="R195" i="4"/>
  <c r="R151" i="4"/>
  <c r="R253" i="4"/>
  <c r="R116" i="4"/>
  <c r="R112" i="4"/>
  <c r="R74" i="4"/>
  <c r="R106" i="4"/>
  <c r="R132" i="4"/>
  <c r="R200" i="4"/>
  <c r="R165" i="4"/>
  <c r="R61" i="4"/>
  <c r="R17" i="4"/>
  <c r="R30" i="4"/>
  <c r="R111" i="4"/>
  <c r="R545" i="4"/>
  <c r="R536" i="4"/>
  <c r="R532" i="4"/>
  <c r="R502" i="4"/>
  <c r="R471" i="4"/>
  <c r="R467" i="4"/>
  <c r="R537" i="4"/>
  <c r="R399" i="4"/>
  <c r="R449" i="4"/>
  <c r="R382" i="4"/>
  <c r="R429" i="4"/>
  <c r="R366" i="4"/>
  <c r="R442" i="4"/>
  <c r="R404" i="4"/>
  <c r="R380" i="4"/>
  <c r="R338" i="4"/>
  <c r="R373" i="4"/>
  <c r="R372" i="4"/>
  <c r="R295" i="4"/>
  <c r="R339" i="4"/>
  <c r="R239" i="4"/>
  <c r="R184" i="4"/>
  <c r="R318" i="4"/>
  <c r="R259" i="4"/>
  <c r="R305" i="4"/>
  <c r="R277" i="4"/>
  <c r="R214" i="4"/>
  <c r="R183" i="4"/>
  <c r="R311" i="4"/>
  <c r="R248" i="4"/>
  <c r="R101" i="4"/>
  <c r="R114" i="4"/>
  <c r="R284" i="4"/>
  <c r="R72" i="4"/>
  <c r="R260" i="4"/>
  <c r="R64" i="4"/>
  <c r="R534" i="4"/>
  <c r="R533" i="4"/>
  <c r="R510" i="4"/>
  <c r="R491" i="4"/>
  <c r="R529" i="4"/>
  <c r="R530" i="4"/>
  <c r="R500" i="4"/>
  <c r="R396" i="4"/>
  <c r="R443" i="4"/>
  <c r="R440" i="4"/>
  <c r="R349" i="4"/>
  <c r="R377" i="4"/>
  <c r="R398" i="4"/>
  <c r="R378" i="4"/>
  <c r="R335" i="4"/>
  <c r="R361" i="4"/>
  <c r="R357" i="4"/>
  <c r="R286" i="4"/>
  <c r="R336" i="4"/>
  <c r="R321" i="4"/>
  <c r="R313" i="4"/>
  <c r="R254" i="4"/>
  <c r="R261" i="4"/>
  <c r="R263" i="4"/>
  <c r="R209" i="4"/>
  <c r="R303" i="4"/>
  <c r="R99" i="4"/>
  <c r="R97" i="4"/>
  <c r="R55" i="4"/>
  <c r="R174" i="4"/>
  <c r="R171" i="4"/>
  <c r="R98" i="4"/>
  <c r="R182" i="4"/>
  <c r="R523" i="4"/>
  <c r="R511" i="4"/>
  <c r="R508" i="4"/>
  <c r="R475" i="4"/>
  <c r="R454" i="4"/>
  <c r="R526" i="4"/>
  <c r="R525" i="4"/>
  <c r="R453" i="4"/>
  <c r="R479" i="4"/>
  <c r="R393" i="4"/>
  <c r="R505" i="4"/>
  <c r="R497" i="4"/>
  <c r="R365" i="4"/>
  <c r="R370" i="4"/>
  <c r="R332" i="4"/>
  <c r="R375" i="4"/>
  <c r="R389" i="4"/>
  <c r="R376" i="4"/>
  <c r="R412" i="4"/>
  <c r="R351" i="4"/>
  <c r="R343" i="4"/>
  <c r="R364" i="4"/>
  <c r="R326" i="4"/>
  <c r="R306" i="4"/>
  <c r="R283" i="4"/>
  <c r="R247" i="4"/>
  <c r="R252" i="4"/>
  <c r="R202" i="4"/>
  <c r="R178" i="4"/>
  <c r="R299" i="4"/>
  <c r="R258" i="4"/>
  <c r="R307" i="4"/>
  <c r="R205" i="4"/>
  <c r="R161" i="4"/>
  <c r="R153" i="4"/>
  <c r="R49" i="4"/>
  <c r="R96" i="4"/>
  <c r="R155" i="4"/>
  <c r="R138" i="4"/>
  <c r="R93" i="4"/>
  <c r="R105" i="4"/>
  <c r="R107" i="4"/>
  <c r="R89" i="4"/>
  <c r="R147" i="4"/>
  <c r="R59" i="4"/>
  <c r="R28" i="4"/>
  <c r="R509" i="4"/>
  <c r="R473" i="4"/>
  <c r="R452" i="4"/>
  <c r="R514" i="4"/>
  <c r="R524" i="4"/>
  <c r="R446" i="4"/>
  <c r="R390" i="4"/>
  <c r="R485" i="4"/>
  <c r="R489" i="4"/>
  <c r="R363" i="4"/>
  <c r="R527" i="4"/>
  <c r="R490" i="4"/>
  <c r="R330" i="4"/>
  <c r="R355" i="4"/>
  <c r="R347" i="4"/>
  <c r="R410" i="4"/>
  <c r="R340" i="4"/>
  <c r="R360" i="4"/>
  <c r="R319" i="4"/>
  <c r="R232" i="4"/>
  <c r="R270" i="4"/>
  <c r="R268" i="4"/>
  <c r="R242" i="4"/>
  <c r="R386" i="4"/>
  <c r="R257" i="4"/>
  <c r="R197" i="4"/>
  <c r="R175" i="4"/>
  <c r="R280" i="4"/>
  <c r="R241" i="4"/>
  <c r="R217" i="4"/>
  <c r="R298" i="4"/>
  <c r="R188" i="4"/>
  <c r="R193" i="4"/>
  <c r="R141" i="4"/>
  <c r="R46" i="4"/>
  <c r="R276" i="4"/>
  <c r="R143" i="4"/>
  <c r="R136" i="4"/>
  <c r="R85" i="4"/>
  <c r="R103" i="4"/>
  <c r="R79" i="4"/>
  <c r="R84" i="4"/>
  <c r="R122" i="4"/>
  <c r="R70" i="4"/>
  <c r="R11" i="4"/>
  <c r="R102" i="4"/>
  <c r="R68" i="4"/>
  <c r="R10" i="4"/>
  <c r="R542" i="4"/>
  <c r="R492" i="4"/>
  <c r="R494" i="4"/>
  <c r="R435" i="4"/>
  <c r="R493" i="4"/>
  <c r="R519" i="4"/>
  <c r="R501" i="4"/>
  <c r="R387" i="4"/>
  <c r="R465" i="4"/>
  <c r="R346" i="4"/>
  <c r="R476" i="4"/>
  <c r="R468" i="4"/>
  <c r="R383" i="4"/>
  <c r="R367" i="4"/>
  <c r="R320" i="4"/>
  <c r="R337" i="4"/>
  <c r="R356" i="4"/>
  <c r="R301" i="4"/>
  <c r="R227" i="4"/>
  <c r="R264" i="4"/>
  <c r="R235" i="4"/>
  <c r="R328" i="4"/>
  <c r="R250" i="4"/>
  <c r="R190" i="4"/>
  <c r="R172" i="4"/>
  <c r="R274" i="4"/>
  <c r="R236" i="4"/>
  <c r="R204" i="4"/>
  <c r="R229" i="4"/>
  <c r="R187" i="4"/>
  <c r="R192" i="4"/>
  <c r="R146" i="4"/>
  <c r="R139" i="4"/>
  <c r="R234" i="4"/>
  <c r="R212" i="4"/>
  <c r="R124" i="4"/>
  <c r="R80" i="4"/>
  <c r="R20" i="4"/>
  <c r="R113" i="4"/>
  <c r="R477" i="4"/>
  <c r="R428" i="4"/>
  <c r="R478" i="4"/>
  <c r="R518" i="4"/>
  <c r="R462" i="4"/>
  <c r="R420" i="4"/>
  <c r="R528" i="4"/>
  <c r="R464" i="4"/>
  <c r="R461" i="4"/>
  <c r="R416" i="4"/>
  <c r="R381" i="4"/>
  <c r="R358" i="4"/>
  <c r="R323" i="4"/>
  <c r="R406" i="4"/>
  <c r="R341" i="4"/>
  <c r="R302" i="4"/>
  <c r="R353" i="4"/>
  <c r="R288" i="4"/>
  <c r="R220" i="4"/>
  <c r="R249" i="4"/>
  <c r="R230" i="4"/>
  <c r="R312" i="4"/>
  <c r="R245" i="4"/>
  <c r="R290" i="4"/>
  <c r="R169" i="4"/>
  <c r="R269" i="4"/>
  <c r="R384" i="4"/>
  <c r="R164" i="4"/>
  <c r="R180" i="4"/>
  <c r="R186" i="4"/>
  <c r="R210" i="4"/>
  <c r="R128" i="4"/>
  <c r="R145" i="4"/>
  <c r="R69" i="4"/>
  <c r="R90" i="4"/>
  <c r="R15" i="4"/>
  <c r="R159" i="4"/>
  <c r="R158" i="4"/>
  <c r="R224" i="4"/>
  <c r="R76" i="4"/>
  <c r="R19" i="4"/>
  <c r="R142" i="4"/>
  <c r="R115" i="4"/>
  <c r="R58" i="4"/>
  <c r="R8" i="4"/>
  <c r="R62" i="4"/>
  <c r="R26" i="4"/>
  <c r="R144" i="4"/>
  <c r="R176" i="4"/>
  <c r="R50" i="4"/>
  <c r="R120" i="4"/>
  <c r="R38" i="4"/>
  <c r="R127" i="4"/>
  <c r="R168" i="4"/>
  <c r="R170" i="4"/>
  <c r="R71" i="4"/>
  <c r="R51" i="4"/>
  <c r="R36" i="4"/>
  <c r="R177" i="4"/>
  <c r="R35" i="4"/>
  <c r="R94" i="4"/>
  <c r="R45" i="4"/>
  <c r="R156" i="4"/>
  <c r="R126" i="4"/>
  <c r="R77" i="4"/>
  <c r="R23" i="4"/>
  <c r="R33" i="4"/>
  <c r="R121" i="4"/>
  <c r="R222" i="4"/>
  <c r="R44" i="4"/>
  <c r="R86" i="4"/>
  <c r="R14" i="4"/>
  <c r="R294" i="4"/>
  <c r="R60" i="4"/>
  <c r="R109" i="4"/>
  <c r="R31" i="4"/>
  <c r="R152" i="4"/>
  <c r="R37" i="4"/>
  <c r="R92" i="4"/>
  <c r="R185" i="4"/>
  <c r="R7" i="4"/>
  <c r="R119" i="4"/>
  <c r="R56" i="4"/>
  <c r="R25" i="4"/>
  <c r="R57" i="4"/>
  <c r="R78" i="4"/>
  <c r="R6" i="4"/>
  <c r="R117" i="4"/>
  <c r="R41" i="4"/>
  <c r="R82" i="4"/>
  <c r="R54" i="4"/>
  <c r="R67" i="4"/>
  <c r="R179" i="4"/>
  <c r="R34" i="4"/>
  <c r="R63" i="4"/>
  <c r="R47" i="4"/>
  <c r="M101" i="4"/>
  <c r="AA102" i="4"/>
  <c r="AA103" i="4" s="1"/>
  <c r="AA104" i="4" s="1"/>
  <c r="AA105" i="4" s="1"/>
  <c r="AA106" i="4" s="1"/>
  <c r="AA107" i="4" s="1"/>
  <c r="AA108" i="4" s="1"/>
  <c r="AA109" i="4" s="1"/>
  <c r="AA110" i="4" s="1"/>
  <c r="R120" i="6"/>
  <c r="AA499" i="4"/>
  <c r="AA500" i="4" s="1"/>
  <c r="AA501" i="4" s="1"/>
  <c r="AA502" i="4" s="1"/>
  <c r="M498" i="4"/>
  <c r="H504" i="4"/>
  <c r="N503" i="4"/>
  <c r="G12" i="5"/>
  <c r="K12" i="5"/>
  <c r="R135" i="6"/>
  <c r="R103" i="6"/>
  <c r="AA134" i="4"/>
  <c r="H134" i="4"/>
  <c r="H135" i="4" s="1"/>
  <c r="H136" i="4" s="1"/>
  <c r="H137" i="4" s="1"/>
  <c r="H138" i="4" s="1"/>
  <c r="AA68" i="4"/>
  <c r="H68" i="4"/>
  <c r="H466" i="4"/>
  <c r="N465" i="4"/>
  <c r="R156" i="6"/>
  <c r="R61" i="6"/>
  <c r="G8" i="5"/>
  <c r="R63" i="6"/>
  <c r="AA5" i="4"/>
  <c r="H5" i="4"/>
  <c r="H6" i="4" s="1"/>
  <c r="H7" i="4" s="1"/>
  <c r="H8" i="4" s="1"/>
  <c r="H9" i="4" s="1"/>
  <c r="J22" i="5"/>
  <c r="K22" i="5"/>
  <c r="R205" i="6"/>
  <c r="H57" i="4"/>
  <c r="R521" i="4"/>
  <c r="M180" i="4"/>
  <c r="AA181" i="4"/>
  <c r="AA182" i="4" s="1"/>
  <c r="AA183" i="4" s="1"/>
  <c r="AA184" i="4" s="1"/>
  <c r="AA185" i="4" s="1"/>
  <c r="AA186" i="4" s="1"/>
  <c r="AA187" i="4" s="1"/>
  <c r="AA188" i="4" s="1"/>
  <c r="AA189" i="4" s="1"/>
  <c r="AA190" i="4" s="1"/>
  <c r="N530" i="4"/>
  <c r="H531" i="4"/>
  <c r="R47" i="6"/>
  <c r="H484" i="4"/>
  <c r="N483" i="4"/>
  <c r="R52" i="6"/>
  <c r="H129" i="4"/>
  <c r="H130" i="4" s="1"/>
  <c r="H131" i="4" s="1"/>
  <c r="H132" i="4" s="1"/>
  <c r="H133" i="4" s="1"/>
  <c r="AA129" i="4"/>
  <c r="B10" i="5"/>
  <c r="R101" i="6"/>
  <c r="AA379" i="4"/>
  <c r="AA290" i="4"/>
  <c r="H290" i="4"/>
  <c r="G5" i="5"/>
  <c r="R65" i="6"/>
  <c r="N366" i="4"/>
  <c r="H367" i="4"/>
  <c r="R151" i="6"/>
  <c r="C21" i="5"/>
  <c r="AA406" i="4"/>
  <c r="H406" i="4"/>
  <c r="H140" i="4"/>
  <c r="N139" i="4"/>
  <c r="AA57" i="4"/>
  <c r="K13" i="5"/>
  <c r="G13" i="5"/>
  <c r="AA468" i="4"/>
  <c r="N308" i="4" l="1"/>
  <c r="N144" i="4"/>
  <c r="B17" i="5"/>
  <c r="I17" i="5" s="1"/>
  <c r="K14" i="5"/>
  <c r="M308" i="4"/>
  <c r="K10" i="5"/>
  <c r="AA155" i="4"/>
  <c r="AA156" i="4" s="1"/>
  <c r="AA157" i="4" s="1"/>
  <c r="AA158" i="4" s="1"/>
  <c r="AA159" i="4" s="1"/>
  <c r="AA160" i="4" s="1"/>
  <c r="AA161" i="4" s="1"/>
  <c r="AA162" i="4" s="1"/>
  <c r="AA163" i="4" s="1"/>
  <c r="AA164" i="4" s="1"/>
  <c r="AA165" i="4" s="1"/>
  <c r="AA166" i="4" s="1"/>
  <c r="AA167" i="4" s="1"/>
  <c r="K8" i="5"/>
  <c r="O67" i="2"/>
  <c r="H246" i="4"/>
  <c r="N245" i="4"/>
  <c r="H155" i="4"/>
  <c r="N154" i="4"/>
  <c r="H217" i="4"/>
  <c r="N217" i="4" s="1"/>
  <c r="N216" i="4"/>
  <c r="H291" i="4"/>
  <c r="N290" i="4"/>
  <c r="H407" i="4"/>
  <c r="N406" i="4"/>
  <c r="H262" i="4"/>
  <c r="N261" i="4"/>
  <c r="H79" i="4"/>
  <c r="N78" i="4"/>
  <c r="N415" i="4"/>
  <c r="H352" i="4"/>
  <c r="N351" i="4"/>
  <c r="AA455" i="4"/>
  <c r="AA456" i="4" s="1"/>
  <c r="AA457" i="4" s="1"/>
  <c r="AA458" i="4" s="1"/>
  <c r="M454" i="4"/>
  <c r="K9" i="5"/>
  <c r="N236" i="4"/>
  <c r="H237" i="4"/>
  <c r="M236" i="4"/>
  <c r="AA237" i="4"/>
  <c r="AA238" i="4" s="1"/>
  <c r="AA239" i="4" s="1"/>
  <c r="AA240" i="4" s="1"/>
  <c r="AA241" i="4" s="1"/>
  <c r="AA242" i="4" s="1"/>
  <c r="AA243" i="4" s="1"/>
  <c r="AA244" i="4" s="1"/>
  <c r="K5" i="5"/>
  <c r="F520" i="4"/>
  <c r="G520" i="4"/>
  <c r="H10" i="5"/>
  <c r="I10" i="5"/>
  <c r="B8" i="6"/>
  <c r="B7" i="6"/>
  <c r="AA407" i="4"/>
  <c r="AA408" i="4" s="1"/>
  <c r="AA409" i="4" s="1"/>
  <c r="M406" i="4"/>
  <c r="S67" i="4"/>
  <c r="T67" i="4" s="1"/>
  <c r="AF67" i="4" s="1"/>
  <c r="S71" i="4"/>
  <c r="T71" i="4" s="1"/>
  <c r="AF71" i="4" s="1"/>
  <c r="S128" i="4"/>
  <c r="T128" i="4" s="1"/>
  <c r="AF128" i="4" s="1"/>
  <c r="S249" i="4"/>
  <c r="T249" i="4" s="1"/>
  <c r="AF249" i="4" s="1"/>
  <c r="S464" i="4"/>
  <c r="T464" i="4" s="1"/>
  <c r="AF464" i="4" s="1"/>
  <c r="S212" i="4"/>
  <c r="T212" i="4" s="1"/>
  <c r="AF212" i="4" s="1"/>
  <c r="S250" i="4"/>
  <c r="T250" i="4" s="1"/>
  <c r="AF250" i="4" s="1"/>
  <c r="S476" i="4"/>
  <c r="T476" i="4" s="1"/>
  <c r="AF476" i="4" s="1"/>
  <c r="S68" i="4"/>
  <c r="T68" i="4" s="1"/>
  <c r="AF68" i="4" s="1"/>
  <c r="S46" i="4"/>
  <c r="T46" i="4" s="1"/>
  <c r="AF46" i="4" s="1"/>
  <c r="S242" i="4"/>
  <c r="T242" i="4" s="1"/>
  <c r="AF242" i="4" s="1"/>
  <c r="S527" i="4"/>
  <c r="T527" i="4" s="1"/>
  <c r="AF527" i="4" s="1"/>
  <c r="S59" i="4"/>
  <c r="T59" i="4" s="1"/>
  <c r="AF59" i="4" s="1"/>
  <c r="S205" i="4"/>
  <c r="T205" i="4" s="1"/>
  <c r="AF205" i="4" s="1"/>
  <c r="S343" i="4"/>
  <c r="T343" i="4" s="1"/>
  <c r="AF343" i="4" s="1"/>
  <c r="S479" i="4"/>
  <c r="T479" i="4" s="1"/>
  <c r="AF479" i="4" s="1"/>
  <c r="S174" i="4"/>
  <c r="T174" i="4" s="1"/>
  <c r="AF174" i="4" s="1"/>
  <c r="S286" i="4"/>
  <c r="T286" i="4" s="1"/>
  <c r="AF286" i="4" s="1"/>
  <c r="S530" i="4"/>
  <c r="T530" i="4" s="1"/>
  <c r="AF530" i="4" s="1"/>
  <c r="S248" i="4"/>
  <c r="T248" i="4" s="1"/>
  <c r="AF248" i="4" s="1"/>
  <c r="S372" i="4"/>
  <c r="T372" i="4" s="1"/>
  <c r="AF372" i="4" s="1"/>
  <c r="S467" i="4"/>
  <c r="T467" i="4" s="1"/>
  <c r="AF467" i="4" s="1"/>
  <c r="S132" i="4"/>
  <c r="T132" i="4" s="1"/>
  <c r="AF132" i="4" s="1"/>
  <c r="S191" i="4"/>
  <c r="T191" i="4" s="1"/>
  <c r="AF191" i="4" s="1"/>
  <c r="S513" i="4"/>
  <c r="T513" i="4" s="1"/>
  <c r="AF513" i="4" s="1"/>
  <c r="S309" i="4"/>
  <c r="T309" i="4" s="1"/>
  <c r="AF309" i="4" s="1"/>
  <c r="S395" i="4"/>
  <c r="T395" i="4" s="1"/>
  <c r="AF395" i="4" s="1"/>
  <c r="S379" i="4"/>
  <c r="T379" i="4" s="1"/>
  <c r="AF379" i="4" s="1"/>
  <c r="S540" i="4"/>
  <c r="T540" i="4" s="1"/>
  <c r="AF540" i="4" s="1"/>
  <c r="S83" i="4"/>
  <c r="T83" i="4" s="1"/>
  <c r="AF83" i="4" s="1"/>
  <c r="S206" i="4"/>
  <c r="T206" i="4" s="1"/>
  <c r="AF206" i="4" s="1"/>
  <c r="S450" i="4"/>
  <c r="T450" i="4" s="1"/>
  <c r="AF450" i="4" s="1"/>
  <c r="S53" i="4"/>
  <c r="T53" i="4" s="1"/>
  <c r="AF53" i="4" s="1"/>
  <c r="S110" i="4"/>
  <c r="T110" i="4" s="1"/>
  <c r="AF110" i="4" s="1"/>
  <c r="S262" i="4"/>
  <c r="T262" i="4" s="1"/>
  <c r="AF262" i="4" s="1"/>
  <c r="S421" i="4"/>
  <c r="T421" i="4" s="1"/>
  <c r="AF421" i="4" s="1"/>
  <c r="S163" i="4"/>
  <c r="T163" i="4" s="1"/>
  <c r="AF163" i="4" s="1"/>
  <c r="S444" i="4"/>
  <c r="T444" i="4" s="1"/>
  <c r="AF444" i="4" s="1"/>
  <c r="S504" i="4"/>
  <c r="T504" i="4" s="1"/>
  <c r="AF504" i="4" s="1"/>
  <c r="S223" i="4"/>
  <c r="T223" i="4" s="1"/>
  <c r="AF223" i="4" s="1"/>
  <c r="S448" i="4"/>
  <c r="T448" i="4" s="1"/>
  <c r="AF448" i="4" s="1"/>
  <c r="S32" i="4"/>
  <c r="T32" i="4" s="1"/>
  <c r="AF32" i="4" s="1"/>
  <c r="H213" i="4"/>
  <c r="N213" i="4" s="1"/>
  <c r="N212" i="4"/>
  <c r="B7" i="5"/>
  <c r="N533" i="4"/>
  <c r="H534" i="4"/>
  <c r="H275" i="4"/>
  <c r="N274" i="4"/>
  <c r="N218" i="4"/>
  <c r="H219" i="4"/>
  <c r="M320" i="4"/>
  <c r="AA321" i="4"/>
  <c r="AA322" i="4" s="1"/>
  <c r="AA323" i="4" s="1"/>
  <c r="AA324" i="4" s="1"/>
  <c r="N512" i="4"/>
  <c r="H513" i="4"/>
  <c r="H502" i="4"/>
  <c r="N502" i="4" s="1"/>
  <c r="N501" i="4"/>
  <c r="N57" i="4"/>
  <c r="H58" i="4"/>
  <c r="S121" i="4"/>
  <c r="T121" i="4" s="1"/>
  <c r="AF121" i="4" s="1"/>
  <c r="S54" i="4"/>
  <c r="T54" i="4" s="1"/>
  <c r="AF54" i="4" s="1"/>
  <c r="S33" i="4"/>
  <c r="T33" i="4" s="1"/>
  <c r="AF33" i="4" s="1"/>
  <c r="S115" i="4"/>
  <c r="T115" i="4" s="1"/>
  <c r="AF115" i="4" s="1"/>
  <c r="S210" i="4"/>
  <c r="T210" i="4" s="1"/>
  <c r="AF210" i="4" s="1"/>
  <c r="S220" i="4"/>
  <c r="T220" i="4" s="1"/>
  <c r="AF220" i="4" s="1"/>
  <c r="S528" i="4"/>
  <c r="T528" i="4" s="1"/>
  <c r="AF528" i="4" s="1"/>
  <c r="S234" i="4"/>
  <c r="T234" i="4" s="1"/>
  <c r="AF234" i="4" s="1"/>
  <c r="S328" i="4"/>
  <c r="T328" i="4" s="1"/>
  <c r="AF328" i="4" s="1"/>
  <c r="S346" i="4"/>
  <c r="T346" i="4" s="1"/>
  <c r="AF346" i="4" s="1"/>
  <c r="S102" i="4"/>
  <c r="T102" i="4" s="1"/>
  <c r="AF102" i="4" s="1"/>
  <c r="S141" i="4"/>
  <c r="T141" i="4" s="1"/>
  <c r="AF141" i="4" s="1"/>
  <c r="S268" i="4"/>
  <c r="T268" i="4" s="1"/>
  <c r="AF268" i="4" s="1"/>
  <c r="S363" i="4"/>
  <c r="T363" i="4" s="1"/>
  <c r="AF363" i="4" s="1"/>
  <c r="S147" i="4"/>
  <c r="T147" i="4" s="1"/>
  <c r="AF147" i="4" s="1"/>
  <c r="S307" i="4"/>
  <c r="T307" i="4" s="1"/>
  <c r="AF307" i="4" s="1"/>
  <c r="S351" i="4"/>
  <c r="T351" i="4" s="1"/>
  <c r="AF351" i="4" s="1"/>
  <c r="S453" i="4"/>
  <c r="T453" i="4" s="1"/>
  <c r="AF453" i="4" s="1"/>
  <c r="S55" i="4"/>
  <c r="T55" i="4" s="1"/>
  <c r="AF55" i="4" s="1"/>
  <c r="S357" i="4"/>
  <c r="T357" i="4" s="1"/>
  <c r="AF357" i="4" s="1"/>
  <c r="S529" i="4"/>
  <c r="T529" i="4" s="1"/>
  <c r="AF529" i="4" s="1"/>
  <c r="S311" i="4"/>
  <c r="T311" i="4" s="1"/>
  <c r="AF311" i="4" s="1"/>
  <c r="S373" i="4"/>
  <c r="T373" i="4" s="1"/>
  <c r="AF373" i="4" s="1"/>
  <c r="S471" i="4"/>
  <c r="T471" i="4" s="1"/>
  <c r="AF471" i="4" s="1"/>
  <c r="S106" i="4"/>
  <c r="T106" i="4" s="1"/>
  <c r="AF106" i="4" s="1"/>
  <c r="S244" i="4"/>
  <c r="T244" i="4" s="1"/>
  <c r="AF244" i="4" s="1"/>
  <c r="S445" i="4"/>
  <c r="T445" i="4" s="1"/>
  <c r="AF445" i="4" s="1"/>
  <c r="S148" i="4"/>
  <c r="T148" i="4" s="1"/>
  <c r="AF148" i="4" s="1"/>
  <c r="S199" i="4"/>
  <c r="T199" i="4" s="1"/>
  <c r="AF199" i="4" s="1"/>
  <c r="S385" i="4"/>
  <c r="T385" i="4" s="1"/>
  <c r="AF385" i="4" s="1"/>
  <c r="S498" i="4"/>
  <c r="T498" i="4" s="1"/>
  <c r="AF498" i="4" s="1"/>
  <c r="S246" i="4"/>
  <c r="T246" i="4" s="1"/>
  <c r="AF246" i="4" s="1"/>
  <c r="S278" i="4"/>
  <c r="T278" i="4" s="1"/>
  <c r="AF278" i="4" s="1"/>
  <c r="S293" i="4"/>
  <c r="T293" i="4" s="1"/>
  <c r="AF293" i="4" s="1"/>
  <c r="S73" i="4"/>
  <c r="T73" i="4" s="1"/>
  <c r="AF73" i="4" s="1"/>
  <c r="S135" i="4"/>
  <c r="T135" i="4" s="1"/>
  <c r="AF135" i="4" s="1"/>
  <c r="S334" i="4"/>
  <c r="T334" i="4" s="1"/>
  <c r="AF334" i="4" s="1"/>
  <c r="S481" i="4"/>
  <c r="T481" i="4" s="1"/>
  <c r="AF481" i="4" s="1"/>
  <c r="S243" i="4"/>
  <c r="T243" i="4" s="1"/>
  <c r="AF243" i="4" s="1"/>
  <c r="S314" i="4"/>
  <c r="T314" i="4" s="1"/>
  <c r="AF314" i="4" s="1"/>
  <c r="S439" i="4"/>
  <c r="T439" i="4" s="1"/>
  <c r="AF439" i="4" s="1"/>
  <c r="S397" i="4"/>
  <c r="T397" i="4" s="1"/>
  <c r="AF397" i="4" s="1"/>
  <c r="S433" i="4"/>
  <c r="T433" i="4" s="1"/>
  <c r="AF433" i="4" s="1"/>
  <c r="S22" i="4"/>
  <c r="T22" i="4" s="1"/>
  <c r="AF22" i="4" s="1"/>
  <c r="B11" i="5"/>
  <c r="B21" i="5"/>
  <c r="M533" i="4"/>
  <c r="AA534" i="4"/>
  <c r="AA535" i="4" s="1"/>
  <c r="AA536" i="4" s="1"/>
  <c r="AA537" i="4" s="1"/>
  <c r="AA538" i="4" s="1"/>
  <c r="AA539" i="4" s="1"/>
  <c r="AA275" i="4"/>
  <c r="AA276" i="4" s="1"/>
  <c r="AA277" i="4" s="1"/>
  <c r="M274" i="4"/>
  <c r="M218" i="4"/>
  <c r="AA219" i="4"/>
  <c r="AA220" i="4" s="1"/>
  <c r="AA221" i="4" s="1"/>
  <c r="AA222" i="4" s="1"/>
  <c r="AA223" i="4" s="1"/>
  <c r="AA224" i="4" s="1"/>
  <c r="AA225" i="4" s="1"/>
  <c r="AA226" i="4" s="1"/>
  <c r="AA227" i="4" s="1"/>
  <c r="AA228" i="4" s="1"/>
  <c r="AA229" i="4" s="1"/>
  <c r="AA230" i="4" s="1"/>
  <c r="AA231" i="4" s="1"/>
  <c r="AA232" i="4" s="1"/>
  <c r="AA233" i="4" s="1"/>
  <c r="AA234" i="4" s="1"/>
  <c r="AA235" i="4" s="1"/>
  <c r="AA246" i="4"/>
  <c r="AA247" i="4" s="1"/>
  <c r="AA248" i="4" s="1"/>
  <c r="AA249" i="4" s="1"/>
  <c r="AA250" i="4" s="1"/>
  <c r="AA251" i="4" s="1"/>
  <c r="AA252" i="4" s="1"/>
  <c r="AA253" i="4" s="1"/>
  <c r="AA254" i="4" s="1"/>
  <c r="AA255" i="4" s="1"/>
  <c r="AA256" i="4" s="1"/>
  <c r="AA257" i="4" s="1"/>
  <c r="AA258" i="4" s="1"/>
  <c r="M245" i="4"/>
  <c r="AA469" i="4"/>
  <c r="AA470" i="4" s="1"/>
  <c r="AA471" i="4" s="1"/>
  <c r="AA472" i="4" s="1"/>
  <c r="AA473" i="4" s="1"/>
  <c r="AA474" i="4" s="1"/>
  <c r="AA475" i="4" s="1"/>
  <c r="AA476" i="4" s="1"/>
  <c r="AA477" i="4" s="1"/>
  <c r="AA478" i="4" s="1"/>
  <c r="AA479" i="4" s="1"/>
  <c r="AA480" i="4" s="1"/>
  <c r="AA481" i="4" s="1"/>
  <c r="M468" i="4"/>
  <c r="S185" i="4"/>
  <c r="T185" i="4" s="1"/>
  <c r="AF185" i="4" s="1"/>
  <c r="S58" i="4"/>
  <c r="T58" i="4" s="1"/>
  <c r="AF58" i="4" s="1"/>
  <c r="H485" i="4"/>
  <c r="N484" i="4"/>
  <c r="S92" i="4"/>
  <c r="T92" i="4" s="1"/>
  <c r="AF92" i="4" s="1"/>
  <c r="S170" i="4"/>
  <c r="T170" i="4" s="1"/>
  <c r="AF170" i="4" s="1"/>
  <c r="AA58" i="4"/>
  <c r="AA59" i="4" s="1"/>
  <c r="AA60" i="4" s="1"/>
  <c r="AA61" i="4" s="1"/>
  <c r="AA62" i="4" s="1"/>
  <c r="AA63" i="4" s="1"/>
  <c r="AA64" i="4" s="1"/>
  <c r="AA65" i="4" s="1"/>
  <c r="AA66" i="4" s="1"/>
  <c r="AA67" i="4" s="1"/>
  <c r="M57" i="4"/>
  <c r="J21" i="5"/>
  <c r="K21" i="5"/>
  <c r="S82" i="4"/>
  <c r="T82" i="4" s="1"/>
  <c r="AF82" i="4" s="1"/>
  <c r="S37" i="4"/>
  <c r="T37" i="4" s="1"/>
  <c r="AF37" i="4" s="1"/>
  <c r="S23" i="4"/>
  <c r="T23" i="4" s="1"/>
  <c r="AF23" i="4" s="1"/>
  <c r="S168" i="4"/>
  <c r="T168" i="4" s="1"/>
  <c r="AF168" i="4" s="1"/>
  <c r="S142" i="4"/>
  <c r="T142" i="4" s="1"/>
  <c r="AF142" i="4" s="1"/>
  <c r="S186" i="4"/>
  <c r="T186" i="4" s="1"/>
  <c r="AF186" i="4" s="1"/>
  <c r="S288" i="4"/>
  <c r="T288" i="4" s="1"/>
  <c r="AF288" i="4" s="1"/>
  <c r="S420" i="4"/>
  <c r="T420" i="4" s="1"/>
  <c r="AF420" i="4" s="1"/>
  <c r="S139" i="4"/>
  <c r="T139" i="4" s="1"/>
  <c r="AF139" i="4" s="1"/>
  <c r="S235" i="4"/>
  <c r="T235" i="4" s="1"/>
  <c r="AF235" i="4" s="1"/>
  <c r="S465" i="4"/>
  <c r="T465" i="4" s="1"/>
  <c r="AF465" i="4" s="1"/>
  <c r="S11" i="4"/>
  <c r="T11" i="4" s="1"/>
  <c r="AF11" i="4" s="1"/>
  <c r="S193" i="4"/>
  <c r="T193" i="4" s="1"/>
  <c r="AF193" i="4" s="1"/>
  <c r="S270" i="4"/>
  <c r="T270" i="4" s="1"/>
  <c r="AF270" i="4" s="1"/>
  <c r="S489" i="4"/>
  <c r="T489" i="4" s="1"/>
  <c r="AF489" i="4" s="1"/>
  <c r="S89" i="4"/>
  <c r="T89" i="4" s="1"/>
  <c r="AF89" i="4" s="1"/>
  <c r="S258" i="4"/>
  <c r="T258" i="4" s="1"/>
  <c r="AF258" i="4" s="1"/>
  <c r="S412" i="4"/>
  <c r="T412" i="4" s="1"/>
  <c r="AF412" i="4" s="1"/>
  <c r="S525" i="4"/>
  <c r="T525" i="4" s="1"/>
  <c r="AF525" i="4" s="1"/>
  <c r="S97" i="4"/>
  <c r="T97" i="4" s="1"/>
  <c r="AF97" i="4" s="1"/>
  <c r="S361" i="4"/>
  <c r="T361" i="4" s="1"/>
  <c r="AF361" i="4" s="1"/>
  <c r="S491" i="4"/>
  <c r="T491" i="4" s="1"/>
  <c r="AF491" i="4" s="1"/>
  <c r="S183" i="4"/>
  <c r="T183" i="4" s="1"/>
  <c r="AF183" i="4" s="1"/>
  <c r="S338" i="4"/>
  <c r="T338" i="4" s="1"/>
  <c r="AF338" i="4" s="1"/>
  <c r="S502" i="4"/>
  <c r="T502" i="4" s="1"/>
  <c r="AF502" i="4" s="1"/>
  <c r="S74" i="4"/>
  <c r="T74" i="4" s="1"/>
  <c r="AF74" i="4" s="1"/>
  <c r="S342" i="4"/>
  <c r="T342" i="4" s="1"/>
  <c r="AF342" i="4" s="1"/>
  <c r="S402" i="4"/>
  <c r="T402" i="4" s="1"/>
  <c r="AF402" i="4" s="1"/>
  <c r="S81" i="4"/>
  <c r="T81" i="4" s="1"/>
  <c r="AF81" i="4" s="1"/>
  <c r="S275" i="4"/>
  <c r="T275" i="4" s="1"/>
  <c r="AF275" i="4" s="1"/>
  <c r="S436" i="4"/>
  <c r="T436" i="4" s="1"/>
  <c r="AF436" i="4" s="1"/>
  <c r="S43" i="4"/>
  <c r="T43" i="4" s="1"/>
  <c r="AF43" i="4" s="1"/>
  <c r="S125" i="4"/>
  <c r="T125" i="4" s="1"/>
  <c r="AF125" i="4" s="1"/>
  <c r="S203" i="4"/>
  <c r="T203" i="4" s="1"/>
  <c r="AF203" i="4" s="1"/>
  <c r="S418" i="4"/>
  <c r="T418" i="4" s="1"/>
  <c r="AF418" i="4" s="1"/>
  <c r="S40" i="4"/>
  <c r="T40" i="4" s="1"/>
  <c r="AF40" i="4" s="1"/>
  <c r="S167" i="4"/>
  <c r="T167" i="4" s="1"/>
  <c r="AF167" i="4" s="1"/>
  <c r="S322" i="4"/>
  <c r="T322" i="4" s="1"/>
  <c r="AF322" i="4" s="1"/>
  <c r="S411" i="4"/>
  <c r="S233" i="4"/>
  <c r="T233" i="4" s="1"/>
  <c r="AF233" i="4" s="1"/>
  <c r="S352" i="4"/>
  <c r="T352" i="4" s="1"/>
  <c r="AF352" i="4" s="1"/>
  <c r="S460" i="4"/>
  <c r="T460" i="4" s="1"/>
  <c r="AF460" i="4" s="1"/>
  <c r="S237" i="4"/>
  <c r="S417" i="4"/>
  <c r="T417" i="4" s="1"/>
  <c r="AF417" i="4" s="1"/>
  <c r="S65" i="4"/>
  <c r="H335" i="4"/>
  <c r="N334" i="4"/>
  <c r="B9" i="5"/>
  <c r="B6" i="5"/>
  <c r="N348" i="4"/>
  <c r="H349" i="4"/>
  <c r="N349" i="4" s="1"/>
  <c r="AA73" i="4"/>
  <c r="AA74" i="4" s="1"/>
  <c r="AA75" i="4" s="1"/>
  <c r="AA76" i="4" s="1"/>
  <c r="M72" i="4"/>
  <c r="K11" i="5"/>
  <c r="H532" i="4"/>
  <c r="N532" i="4" s="1"/>
  <c r="N531" i="4"/>
  <c r="N466" i="4"/>
  <c r="H467" i="4"/>
  <c r="N467" i="4" s="1"/>
  <c r="S41" i="4"/>
  <c r="T41" i="4" s="1"/>
  <c r="AF41" i="4" s="1"/>
  <c r="S152" i="4"/>
  <c r="S77" i="4"/>
  <c r="T77" i="4" s="1"/>
  <c r="AF77" i="4" s="1"/>
  <c r="S127" i="4"/>
  <c r="T127" i="4" s="1"/>
  <c r="AF127" i="4" s="1"/>
  <c r="S19" i="4"/>
  <c r="T19" i="4" s="1"/>
  <c r="AF19" i="4" s="1"/>
  <c r="S180" i="4"/>
  <c r="S353" i="4"/>
  <c r="S462" i="4"/>
  <c r="T462" i="4" s="1"/>
  <c r="AF462" i="4" s="1"/>
  <c r="S146" i="4"/>
  <c r="T146" i="4" s="1"/>
  <c r="AF146" i="4" s="1"/>
  <c r="S264" i="4"/>
  <c r="T264" i="4" s="1"/>
  <c r="AF264" i="4" s="1"/>
  <c r="S387" i="4"/>
  <c r="T387" i="4" s="1"/>
  <c r="AF387" i="4" s="1"/>
  <c r="S70" i="4"/>
  <c r="T70" i="4" s="1"/>
  <c r="AF70" i="4" s="1"/>
  <c r="S188" i="4"/>
  <c r="T188" i="4" s="1"/>
  <c r="AF188" i="4" s="1"/>
  <c r="S232" i="4"/>
  <c r="S485" i="4"/>
  <c r="T485" i="4" s="1"/>
  <c r="AF485" i="4" s="1"/>
  <c r="S107" i="4"/>
  <c r="S299" i="4"/>
  <c r="T299" i="4" s="1"/>
  <c r="AF299" i="4" s="1"/>
  <c r="S376" i="4"/>
  <c r="S526" i="4"/>
  <c r="T526" i="4" s="1"/>
  <c r="AF526" i="4" s="1"/>
  <c r="S99" i="4"/>
  <c r="T99" i="4" s="1"/>
  <c r="AF99" i="4" s="1"/>
  <c r="S335" i="4"/>
  <c r="T335" i="4" s="1"/>
  <c r="AF335" i="4" s="1"/>
  <c r="S510" i="4"/>
  <c r="S214" i="4"/>
  <c r="S380" i="4"/>
  <c r="T380" i="4" s="1"/>
  <c r="AF380" i="4" s="1"/>
  <c r="S532" i="4"/>
  <c r="T532" i="4" s="1"/>
  <c r="AF532" i="4" s="1"/>
  <c r="S112" i="4"/>
  <c r="T112" i="4" s="1"/>
  <c r="AF112" i="4" s="1"/>
  <c r="S297" i="4"/>
  <c r="S470" i="4"/>
  <c r="T470" i="4" s="1"/>
  <c r="AF470" i="4" s="1"/>
  <c r="S240" i="4"/>
  <c r="T240" i="4" s="1"/>
  <c r="AF240" i="4" s="1"/>
  <c r="S201" i="4"/>
  <c r="T201" i="4" s="1"/>
  <c r="AF201" i="4" s="1"/>
  <c r="F201" i="4"/>
  <c r="S291" i="4"/>
  <c r="S95" i="4"/>
  <c r="T95" i="4" s="1"/>
  <c r="AF95" i="4" s="1"/>
  <c r="S108" i="4"/>
  <c r="T108" i="4" s="1"/>
  <c r="AF108" i="4" s="1"/>
  <c r="S256" i="4"/>
  <c r="S480" i="4"/>
  <c r="S18" i="4"/>
  <c r="T18" i="4" s="1"/>
  <c r="AF18" i="4" s="1"/>
  <c r="S162" i="4"/>
  <c r="T162" i="4" s="1"/>
  <c r="AF162" i="4" s="1"/>
  <c r="S424" i="4"/>
  <c r="S427" i="4"/>
  <c r="T427" i="4" s="1"/>
  <c r="AF427" i="4" s="1"/>
  <c r="S300" i="4"/>
  <c r="T300" i="4" s="1"/>
  <c r="AF300" i="4" s="1"/>
  <c r="G300" i="4"/>
  <c r="S447" i="4"/>
  <c r="T447" i="4" s="1"/>
  <c r="AF447" i="4" s="1"/>
  <c r="S543" i="4"/>
  <c r="S215" i="4"/>
  <c r="S434" i="4"/>
  <c r="T434" i="4" s="1"/>
  <c r="AF434" i="4" s="1"/>
  <c r="S12" i="4"/>
  <c r="N23" i="4"/>
  <c r="H24" i="4"/>
  <c r="B13" i="5"/>
  <c r="B12" i="5"/>
  <c r="AA416" i="4"/>
  <c r="AA417" i="4" s="1"/>
  <c r="AA418" i="4" s="1"/>
  <c r="AA419" i="4" s="1"/>
  <c r="AA420" i="4" s="1"/>
  <c r="AA421" i="4" s="1"/>
  <c r="AA422" i="4" s="1"/>
  <c r="AA423" i="4" s="1"/>
  <c r="AA424" i="4" s="1"/>
  <c r="AA425" i="4" s="1"/>
  <c r="AA426" i="4" s="1"/>
  <c r="AA427" i="4" s="1"/>
  <c r="AA428" i="4" s="1"/>
  <c r="AA429" i="4" s="1"/>
  <c r="AA430" i="4" s="1"/>
  <c r="AA431" i="4" s="1"/>
  <c r="AA432" i="4" s="1"/>
  <c r="AA433" i="4" s="1"/>
  <c r="AA434" i="4" s="1"/>
  <c r="AA435" i="4" s="1"/>
  <c r="AA436" i="4" s="1"/>
  <c r="M415" i="4"/>
  <c r="H343" i="4"/>
  <c r="N342" i="4"/>
  <c r="N439" i="4"/>
  <c r="H440" i="4"/>
  <c r="N440" i="4" s="1"/>
  <c r="H103" i="4"/>
  <c r="N102" i="4"/>
  <c r="AA291" i="4"/>
  <c r="AA292" i="4" s="1"/>
  <c r="AA293" i="4" s="1"/>
  <c r="AA294" i="4" s="1"/>
  <c r="AA295" i="4" s="1"/>
  <c r="AA296" i="4" s="1"/>
  <c r="AA297" i="4" s="1"/>
  <c r="AA298" i="4" s="1"/>
  <c r="AA299" i="4" s="1"/>
  <c r="AA300" i="4" s="1"/>
  <c r="AA301" i="4" s="1"/>
  <c r="AA302" i="4" s="1"/>
  <c r="AA303" i="4" s="1"/>
  <c r="AA304" i="4" s="1"/>
  <c r="AA305" i="4" s="1"/>
  <c r="AA306" i="4" s="1"/>
  <c r="AA307" i="4" s="1"/>
  <c r="M290" i="4"/>
  <c r="N68" i="4"/>
  <c r="H69" i="4"/>
  <c r="H505" i="4"/>
  <c r="N504" i="4"/>
  <c r="S117" i="4"/>
  <c r="S31" i="4"/>
  <c r="T31" i="4" s="1"/>
  <c r="AF31" i="4" s="1"/>
  <c r="S126" i="4"/>
  <c r="S38" i="4"/>
  <c r="S76" i="4"/>
  <c r="T76" i="4" s="1"/>
  <c r="AF76" i="4" s="1"/>
  <c r="S164" i="4"/>
  <c r="T164" i="4" s="1"/>
  <c r="AF164" i="4" s="1"/>
  <c r="S302" i="4"/>
  <c r="T302" i="4" s="1"/>
  <c r="AF302" i="4" s="1"/>
  <c r="S518" i="4"/>
  <c r="S192" i="4"/>
  <c r="S227" i="4"/>
  <c r="T227" i="4" s="1"/>
  <c r="AF227" i="4" s="1"/>
  <c r="S501" i="4"/>
  <c r="S122" i="4"/>
  <c r="S298" i="4"/>
  <c r="T298" i="4" s="1"/>
  <c r="AF298" i="4" s="1"/>
  <c r="S319" i="4"/>
  <c r="T319" i="4" s="1"/>
  <c r="AF319" i="4" s="1"/>
  <c r="S390" i="4"/>
  <c r="S105" i="4"/>
  <c r="S178" i="4"/>
  <c r="S389" i="4"/>
  <c r="T389" i="4" s="1"/>
  <c r="AF389" i="4" s="1"/>
  <c r="S454" i="4"/>
  <c r="S303" i="4"/>
  <c r="S378" i="4"/>
  <c r="S533" i="4"/>
  <c r="T533" i="4" s="1"/>
  <c r="AF533" i="4" s="1"/>
  <c r="S277" i="4"/>
  <c r="T277" i="4" s="1"/>
  <c r="AF277" i="4" s="1"/>
  <c r="S404" i="4"/>
  <c r="T404" i="4" s="1"/>
  <c r="AF404" i="4" s="1"/>
  <c r="S536" i="4"/>
  <c r="S116" i="4"/>
  <c r="T116" i="4" s="1"/>
  <c r="AF116" i="4" s="1"/>
  <c r="S413" i="4"/>
  <c r="T413" i="4" s="1"/>
  <c r="AF413" i="4" s="1"/>
  <c r="S438" i="4"/>
  <c r="S123" i="4"/>
  <c r="S196" i="4"/>
  <c r="T196" i="4" s="1"/>
  <c r="AF196" i="4" s="1"/>
  <c r="S483" i="4"/>
  <c r="T483" i="4" s="1"/>
  <c r="AF483" i="4" s="1"/>
  <c r="S13" i="4"/>
  <c r="S131" i="4"/>
  <c r="S348" i="4"/>
  <c r="T348" i="4" s="1"/>
  <c r="AF348" i="4" s="1"/>
  <c r="S408" i="4"/>
  <c r="S52" i="4"/>
  <c r="T52" i="4" s="1"/>
  <c r="AF52" i="4" s="1"/>
  <c r="S308" i="4"/>
  <c r="S362" i="4"/>
  <c r="T362" i="4" s="1"/>
  <c r="AF362" i="4" s="1"/>
  <c r="S495" i="4"/>
  <c r="T495" i="4" s="1"/>
  <c r="AF495" i="4" s="1"/>
  <c r="S218" i="4"/>
  <c r="S401" i="4"/>
  <c r="S531" i="4"/>
  <c r="T531" i="4" s="1"/>
  <c r="AF531" i="4" s="1"/>
  <c r="S331" i="4"/>
  <c r="S506" i="4"/>
  <c r="S29" i="4"/>
  <c r="T29" i="4" s="1"/>
  <c r="AF29" i="4" s="1"/>
  <c r="AA23" i="4"/>
  <c r="AA24" i="4" s="1"/>
  <c r="AA25" i="4" s="1"/>
  <c r="AA26" i="4" s="1"/>
  <c r="AA27" i="4" s="1"/>
  <c r="AA28" i="4" s="1"/>
  <c r="AA29" i="4" s="1"/>
  <c r="AA30" i="4" s="1"/>
  <c r="AA31" i="4" s="1"/>
  <c r="AA32" i="4" s="1"/>
  <c r="AA33" i="4" s="1"/>
  <c r="AA34" i="4" s="1"/>
  <c r="AA35" i="4" s="1"/>
  <c r="AA36" i="4" s="1"/>
  <c r="AA37" i="4" s="1"/>
  <c r="AA38" i="4" s="1"/>
  <c r="M22" i="4"/>
  <c r="H338" i="4"/>
  <c r="N337" i="4"/>
  <c r="B14" i="5"/>
  <c r="B20" i="5"/>
  <c r="N41" i="4"/>
  <c r="H42" i="4"/>
  <c r="H443" i="4"/>
  <c r="N442" i="4"/>
  <c r="S109" i="4"/>
  <c r="T109" i="4" s="1"/>
  <c r="AF109" i="4" s="1"/>
  <c r="S120" i="4"/>
  <c r="S224" i="4"/>
  <c r="T224" i="4" s="1"/>
  <c r="AF224" i="4" s="1"/>
  <c r="S384" i="4"/>
  <c r="T384" i="4" s="1"/>
  <c r="AF384" i="4" s="1"/>
  <c r="S341" i="4"/>
  <c r="T341" i="4" s="1"/>
  <c r="AF341" i="4" s="1"/>
  <c r="S478" i="4"/>
  <c r="S187" i="4"/>
  <c r="S301" i="4"/>
  <c r="T301" i="4" s="1"/>
  <c r="AF301" i="4" s="1"/>
  <c r="S519" i="4"/>
  <c r="T519" i="4" s="1"/>
  <c r="AF519" i="4" s="1"/>
  <c r="S84" i="4"/>
  <c r="S217" i="4"/>
  <c r="T217" i="4" s="1"/>
  <c r="AF217" i="4" s="1"/>
  <c r="S360" i="4"/>
  <c r="T360" i="4" s="1"/>
  <c r="AF360" i="4" s="1"/>
  <c r="S446" i="4"/>
  <c r="T446" i="4" s="1"/>
  <c r="AF446" i="4" s="1"/>
  <c r="S93" i="4"/>
  <c r="S202" i="4"/>
  <c r="S375" i="4"/>
  <c r="T375" i="4" s="1"/>
  <c r="AF375" i="4" s="1"/>
  <c r="S475" i="4"/>
  <c r="T475" i="4" s="1"/>
  <c r="AF475" i="4" s="1"/>
  <c r="S209" i="4"/>
  <c r="T209" i="4" s="1"/>
  <c r="AF209" i="4" s="1"/>
  <c r="S398" i="4"/>
  <c r="T398" i="4" s="1"/>
  <c r="AF398" i="4" s="1"/>
  <c r="S534" i="4"/>
  <c r="T534" i="4" s="1"/>
  <c r="AF534" i="4" s="1"/>
  <c r="S305" i="4"/>
  <c r="T305" i="4" s="1"/>
  <c r="AF305" i="4" s="1"/>
  <c r="S442" i="4"/>
  <c r="T442" i="4" s="1"/>
  <c r="AF442" i="4" s="1"/>
  <c r="S545" i="4"/>
  <c r="S253" i="4"/>
  <c r="T253" i="4" s="1"/>
  <c r="AF253" i="4" s="1"/>
  <c r="S374" i="4"/>
  <c r="T374" i="4" s="1"/>
  <c r="AF374" i="4" s="1"/>
  <c r="S469" i="4"/>
  <c r="S91" i="4"/>
  <c r="T91" i="4" s="1"/>
  <c r="AF91" i="4" s="1"/>
  <c r="S251" i="4"/>
  <c r="T251" i="4" s="1"/>
  <c r="AF251" i="4" s="1"/>
  <c r="S487" i="4"/>
  <c r="T487" i="4" s="1"/>
  <c r="AF487" i="4" s="1"/>
  <c r="S42" i="4"/>
  <c r="S149" i="4"/>
  <c r="S324" i="4"/>
  <c r="T324" i="4" s="1"/>
  <c r="AF324" i="4" s="1"/>
  <c r="S425" i="4"/>
  <c r="T425" i="4" s="1"/>
  <c r="AF425" i="4" s="1"/>
  <c r="S87" i="4"/>
  <c r="S160" i="4"/>
  <c r="T160" i="4" s="1"/>
  <c r="AF160" i="4" s="1"/>
  <c r="S292" i="4"/>
  <c r="T292" i="4" s="1"/>
  <c r="AF292" i="4" s="1"/>
  <c r="S474" i="4"/>
  <c r="T474" i="4" s="1"/>
  <c r="AF474" i="4" s="1"/>
  <c r="S388" i="4"/>
  <c r="S463" i="4"/>
  <c r="T463" i="4" s="1"/>
  <c r="AF463" i="4" s="1"/>
  <c r="S181" i="4"/>
  <c r="T181" i="4" s="1"/>
  <c r="AF181" i="4" s="1"/>
  <c r="S282" i="4"/>
  <c r="T282" i="4" s="1"/>
  <c r="AF282" i="4" s="1"/>
  <c r="S503" i="4"/>
  <c r="S16" i="4"/>
  <c r="N93" i="4"/>
  <c r="H94" i="4"/>
  <c r="AA338" i="4"/>
  <c r="AA339" i="4" s="1"/>
  <c r="AA340" i="4" s="1"/>
  <c r="M337" i="4"/>
  <c r="B25" i="5"/>
  <c r="B5" i="5"/>
  <c r="N413" i="4"/>
  <c r="H414" i="4"/>
  <c r="N414" i="4" s="1"/>
  <c r="H469" i="4"/>
  <c r="N468" i="4"/>
  <c r="S6" i="4"/>
  <c r="T6" i="4" s="1"/>
  <c r="AF6" i="4" s="1"/>
  <c r="S156" i="4"/>
  <c r="T156" i="4" s="1"/>
  <c r="AF156" i="4" s="1"/>
  <c r="N140" i="4"/>
  <c r="H141" i="4"/>
  <c r="AA380" i="4"/>
  <c r="AA381" i="4" s="1"/>
  <c r="AA382" i="4" s="1"/>
  <c r="AA383" i="4" s="1"/>
  <c r="AA384" i="4" s="1"/>
  <c r="AA385" i="4" s="1"/>
  <c r="AA386" i="4" s="1"/>
  <c r="AA387" i="4" s="1"/>
  <c r="AA388" i="4" s="1"/>
  <c r="AA389" i="4" s="1"/>
  <c r="AA390" i="4" s="1"/>
  <c r="AA391" i="4" s="1"/>
  <c r="AA392" i="4" s="1"/>
  <c r="AA393" i="4" s="1"/>
  <c r="AA394" i="4" s="1"/>
  <c r="AA395" i="4" s="1"/>
  <c r="AA396" i="4" s="1"/>
  <c r="AA397" i="4" s="1"/>
  <c r="AA398" i="4" s="1"/>
  <c r="AA399" i="4" s="1"/>
  <c r="AA400" i="4" s="1"/>
  <c r="M379" i="4"/>
  <c r="S78" i="4"/>
  <c r="T78" i="4" s="1"/>
  <c r="AF78" i="4" s="1"/>
  <c r="S60" i="4"/>
  <c r="T60" i="4" s="1"/>
  <c r="AF60" i="4" s="1"/>
  <c r="S45" i="4"/>
  <c r="T45" i="4" s="1"/>
  <c r="AF45" i="4" s="1"/>
  <c r="S50" i="4"/>
  <c r="S158" i="4"/>
  <c r="T158" i="4" s="1"/>
  <c r="AF158" i="4" s="1"/>
  <c r="S269" i="4"/>
  <c r="T269" i="4" s="1"/>
  <c r="AF269" i="4" s="1"/>
  <c r="S406" i="4"/>
  <c r="T406" i="4" s="1"/>
  <c r="AF406" i="4" s="1"/>
  <c r="S428" i="4"/>
  <c r="S229" i="4"/>
  <c r="S356" i="4"/>
  <c r="T356" i="4" s="1"/>
  <c r="AF356" i="4" s="1"/>
  <c r="S493" i="4"/>
  <c r="T493" i="4" s="1"/>
  <c r="AF493" i="4" s="1"/>
  <c r="S79" i="4"/>
  <c r="T79" i="4" s="1"/>
  <c r="AF79" i="4" s="1"/>
  <c r="S241" i="4"/>
  <c r="S340" i="4"/>
  <c r="T340" i="4" s="1"/>
  <c r="AF340" i="4" s="1"/>
  <c r="S524" i="4"/>
  <c r="T524" i="4" s="1"/>
  <c r="AF524" i="4" s="1"/>
  <c r="S138" i="4"/>
  <c r="T138" i="4" s="1"/>
  <c r="AF138" i="4" s="1"/>
  <c r="S252" i="4"/>
  <c r="T252" i="4" s="1"/>
  <c r="AF252" i="4" s="1"/>
  <c r="S332" i="4"/>
  <c r="T332" i="4" s="1"/>
  <c r="AF332" i="4" s="1"/>
  <c r="S508" i="4"/>
  <c r="T508" i="4" s="1"/>
  <c r="AF508" i="4" s="1"/>
  <c r="S263" i="4"/>
  <c r="T263" i="4" s="1"/>
  <c r="AF263" i="4" s="1"/>
  <c r="S377" i="4"/>
  <c r="S64" i="4"/>
  <c r="T64" i="4" s="1"/>
  <c r="AF64" i="4" s="1"/>
  <c r="S259" i="4"/>
  <c r="T259" i="4" s="1"/>
  <c r="AF259" i="4" s="1"/>
  <c r="S366" i="4"/>
  <c r="T366" i="4" s="1"/>
  <c r="AF366" i="4" s="1"/>
  <c r="S111" i="4"/>
  <c r="T111" i="4" s="1"/>
  <c r="AF111" i="4" s="1"/>
  <c r="S151" i="4"/>
  <c r="T151" i="4" s="1"/>
  <c r="AF151" i="4" s="1"/>
  <c r="S344" i="4"/>
  <c r="T344" i="4" s="1"/>
  <c r="AF344" i="4" s="1"/>
  <c r="S488" i="4"/>
  <c r="T488" i="4" s="1"/>
  <c r="AF488" i="4" s="1"/>
  <c r="S129" i="4"/>
  <c r="T129" i="4" s="1"/>
  <c r="AF129" i="4" s="1"/>
  <c r="S345" i="4"/>
  <c r="T345" i="4" s="1"/>
  <c r="AF345" i="4" s="1"/>
  <c r="S405" i="4"/>
  <c r="T405" i="4" s="1"/>
  <c r="AF405" i="4" s="1"/>
  <c r="S66" i="4"/>
  <c r="T66" i="4" s="1"/>
  <c r="AF66" i="4" s="1"/>
  <c r="S140" i="4"/>
  <c r="S315" i="4"/>
  <c r="T315" i="4" s="1"/>
  <c r="AF315" i="4" s="1"/>
  <c r="S457" i="4"/>
  <c r="T457" i="4" s="1"/>
  <c r="AF457" i="4" s="1"/>
  <c r="S48" i="4"/>
  <c r="T48" i="4" s="1"/>
  <c r="AF48" i="4" s="1"/>
  <c r="S231" i="4"/>
  <c r="S350" i="4"/>
  <c r="T350" i="4" s="1"/>
  <c r="AF350" i="4" s="1"/>
  <c r="S499" i="4"/>
  <c r="T499" i="4" s="1"/>
  <c r="AF499" i="4" s="1"/>
  <c r="S225" i="4"/>
  <c r="T225" i="4" s="1"/>
  <c r="AF225" i="4" s="1"/>
  <c r="S327" i="4"/>
  <c r="T327" i="4" s="1"/>
  <c r="AF327" i="4" s="1"/>
  <c r="S228" i="4"/>
  <c r="T228" i="4" s="1"/>
  <c r="AF228" i="4" s="1"/>
  <c r="S316" i="4"/>
  <c r="T316" i="4" s="1"/>
  <c r="AF316" i="4" s="1"/>
  <c r="S507" i="4"/>
  <c r="T507" i="4" s="1"/>
  <c r="AF507" i="4" s="1"/>
  <c r="S24" i="4"/>
  <c r="AA93" i="4"/>
  <c r="AA94" i="4" s="1"/>
  <c r="AA95" i="4" s="1"/>
  <c r="AA96" i="4" s="1"/>
  <c r="AA97" i="4" s="1"/>
  <c r="AA98" i="4" s="1"/>
  <c r="AA99" i="4" s="1"/>
  <c r="AA100" i="4" s="1"/>
  <c r="M92" i="4"/>
  <c r="B16" i="5"/>
  <c r="B15" i="5"/>
  <c r="AA460" i="4"/>
  <c r="AA461" i="4" s="1"/>
  <c r="AA462" i="4" s="1"/>
  <c r="AA463" i="4" s="1"/>
  <c r="M459" i="4"/>
  <c r="H368" i="4"/>
  <c r="N367" i="4"/>
  <c r="S294" i="4"/>
  <c r="T294" i="4" s="1"/>
  <c r="AF294" i="4" s="1"/>
  <c r="S176" i="4"/>
  <c r="S159" i="4"/>
  <c r="T159" i="4" s="1"/>
  <c r="AF159" i="4" s="1"/>
  <c r="S169" i="4"/>
  <c r="T169" i="4" s="1"/>
  <c r="AF169" i="4" s="1"/>
  <c r="S323" i="4"/>
  <c r="T323" i="4" s="1"/>
  <c r="AF323" i="4" s="1"/>
  <c r="S477" i="4"/>
  <c r="S204" i="4"/>
  <c r="T204" i="4" s="1"/>
  <c r="AF204" i="4" s="1"/>
  <c r="S337" i="4"/>
  <c r="T337" i="4" s="1"/>
  <c r="AF337" i="4" s="1"/>
  <c r="S435" i="4"/>
  <c r="T435" i="4" s="1"/>
  <c r="AF435" i="4" s="1"/>
  <c r="S103" i="4"/>
  <c r="T103" i="4" s="1"/>
  <c r="AF103" i="4" s="1"/>
  <c r="S280" i="4"/>
  <c r="T280" i="4" s="1"/>
  <c r="AF280" i="4" s="1"/>
  <c r="S410" i="4"/>
  <c r="T410" i="4" s="1"/>
  <c r="AF410" i="4" s="1"/>
  <c r="S514" i="4"/>
  <c r="T514" i="4" s="1"/>
  <c r="AF514" i="4" s="1"/>
  <c r="S155" i="4"/>
  <c r="T155" i="4" s="1"/>
  <c r="AF155" i="4" s="1"/>
  <c r="S247" i="4"/>
  <c r="T247" i="4" s="1"/>
  <c r="AF247" i="4" s="1"/>
  <c r="S370" i="4"/>
  <c r="T370" i="4" s="1"/>
  <c r="AF370" i="4" s="1"/>
  <c r="S511" i="4"/>
  <c r="T511" i="4" s="1"/>
  <c r="AF511" i="4" s="1"/>
  <c r="S261" i="4"/>
  <c r="T261" i="4" s="1"/>
  <c r="AF261" i="4" s="1"/>
  <c r="S349" i="4"/>
  <c r="T349" i="4" s="1"/>
  <c r="AF349" i="4" s="1"/>
  <c r="S260" i="4"/>
  <c r="T260" i="4" s="1"/>
  <c r="AF260" i="4" s="1"/>
  <c r="S318" i="4"/>
  <c r="T318" i="4" s="1"/>
  <c r="AF318" i="4" s="1"/>
  <c r="S429" i="4"/>
  <c r="T429" i="4" s="1"/>
  <c r="AF429" i="4" s="1"/>
  <c r="S30" i="4"/>
  <c r="T30" i="4" s="1"/>
  <c r="AF30" i="4" s="1"/>
  <c r="S195" i="4"/>
  <c r="T195" i="4" s="1"/>
  <c r="AF195" i="4" s="1"/>
  <c r="S415" i="4"/>
  <c r="T415" i="4" s="1"/>
  <c r="AF415" i="4" s="1"/>
  <c r="S512" i="4"/>
  <c r="T512" i="4" s="1"/>
  <c r="AF512" i="4" s="1"/>
  <c r="S133" i="4"/>
  <c r="T133" i="4" s="1"/>
  <c r="AF133" i="4" s="1"/>
  <c r="S317" i="4"/>
  <c r="T317" i="4" s="1"/>
  <c r="AF317" i="4" s="1"/>
  <c r="S472" i="4"/>
  <c r="T472" i="4" s="1"/>
  <c r="AF472" i="4" s="1"/>
  <c r="S39" i="4"/>
  <c r="T39" i="4" s="1"/>
  <c r="AF39" i="4" s="1"/>
  <c r="S289" i="4"/>
  <c r="T289" i="4" s="1"/>
  <c r="AF289" i="4" s="1"/>
  <c r="S400" i="4"/>
  <c r="T400" i="4" s="1"/>
  <c r="AF400" i="4" s="1"/>
  <c r="S496" i="4"/>
  <c r="T496" i="4" s="1"/>
  <c r="AF496" i="4" s="1"/>
  <c r="S104" i="4"/>
  <c r="T104" i="4" s="1"/>
  <c r="AF104" i="4" s="1"/>
  <c r="S226" i="4"/>
  <c r="T226" i="4" s="1"/>
  <c r="AF226" i="4" s="1"/>
  <c r="S409" i="4"/>
  <c r="T409" i="4" s="1"/>
  <c r="AF409" i="4" s="1"/>
  <c r="S437" i="4"/>
  <c r="T437" i="4" s="1"/>
  <c r="AF437" i="4" s="1"/>
  <c r="S208" i="4"/>
  <c r="T208" i="4" s="1"/>
  <c r="AF208" i="4" s="1"/>
  <c r="S484" i="4"/>
  <c r="T484" i="4" s="1"/>
  <c r="AF484" i="4" s="1"/>
  <c r="S267" i="4"/>
  <c r="T267" i="4" s="1"/>
  <c r="AF267" i="4" s="1"/>
  <c r="S359" i="4"/>
  <c r="T359" i="4" s="1"/>
  <c r="AF359" i="4" s="1"/>
  <c r="S456" i="4"/>
  <c r="T456" i="4" s="1"/>
  <c r="AF456" i="4" s="1"/>
  <c r="S9" i="4"/>
  <c r="T9" i="4" s="1"/>
  <c r="AF9" i="4" s="1"/>
  <c r="B8" i="5"/>
  <c r="B18" i="5"/>
  <c r="H417" i="4"/>
  <c r="N416" i="4"/>
  <c r="N206" i="4"/>
  <c r="H207" i="4"/>
  <c r="H378" i="4"/>
  <c r="N378" i="4" s="1"/>
  <c r="N377" i="4"/>
  <c r="S57" i="4"/>
  <c r="T57" i="4" s="1"/>
  <c r="AF57" i="4" s="1"/>
  <c r="S94" i="4"/>
  <c r="T94" i="4" s="1"/>
  <c r="AF94" i="4" s="1"/>
  <c r="M134" i="4"/>
  <c r="AA135" i="4"/>
  <c r="AA136" i="4" s="1"/>
  <c r="AA137" i="4" s="1"/>
  <c r="AA138" i="4" s="1"/>
  <c r="S47" i="4"/>
  <c r="T47" i="4" s="1"/>
  <c r="AF47" i="4" s="1"/>
  <c r="S25" i="4"/>
  <c r="T25" i="4" s="1"/>
  <c r="AF25" i="4" s="1"/>
  <c r="S14" i="4"/>
  <c r="T14" i="4" s="1"/>
  <c r="AF14" i="4" s="1"/>
  <c r="S35" i="4"/>
  <c r="T35" i="4" s="1"/>
  <c r="AF35" i="4" s="1"/>
  <c r="S144" i="4"/>
  <c r="T144" i="4" s="1"/>
  <c r="AF144" i="4" s="1"/>
  <c r="S15" i="4"/>
  <c r="T15" i="4" s="1"/>
  <c r="AF15" i="4" s="1"/>
  <c r="S290" i="4"/>
  <c r="T290" i="4" s="1"/>
  <c r="AF290" i="4" s="1"/>
  <c r="S358" i="4"/>
  <c r="T358" i="4" s="1"/>
  <c r="AF358" i="4" s="1"/>
  <c r="S113" i="4"/>
  <c r="T113" i="4" s="1"/>
  <c r="AF113" i="4" s="1"/>
  <c r="S236" i="4"/>
  <c r="T236" i="4" s="1"/>
  <c r="AF236" i="4" s="1"/>
  <c r="S320" i="4"/>
  <c r="T320" i="4" s="1"/>
  <c r="AF320" i="4" s="1"/>
  <c r="S494" i="4"/>
  <c r="T494" i="4" s="1"/>
  <c r="AF494" i="4" s="1"/>
  <c r="S85" i="4"/>
  <c r="T85" i="4" s="1"/>
  <c r="AF85" i="4" s="1"/>
  <c r="S175" i="4"/>
  <c r="T175" i="4" s="1"/>
  <c r="AF175" i="4" s="1"/>
  <c r="S347" i="4"/>
  <c r="T347" i="4" s="1"/>
  <c r="AF347" i="4" s="1"/>
  <c r="S452" i="4"/>
  <c r="T452" i="4" s="1"/>
  <c r="AF452" i="4" s="1"/>
  <c r="S96" i="4"/>
  <c r="T96" i="4" s="1"/>
  <c r="AF96" i="4" s="1"/>
  <c r="S283" i="4"/>
  <c r="T283" i="4" s="1"/>
  <c r="AF283" i="4" s="1"/>
  <c r="S365" i="4"/>
  <c r="T365" i="4" s="1"/>
  <c r="AF365" i="4" s="1"/>
  <c r="S523" i="4"/>
  <c r="T523" i="4" s="1"/>
  <c r="AF523" i="4" s="1"/>
  <c r="S254" i="4"/>
  <c r="T254" i="4" s="1"/>
  <c r="AF254" i="4" s="1"/>
  <c r="S440" i="4"/>
  <c r="T440" i="4" s="1"/>
  <c r="AF440" i="4" s="1"/>
  <c r="S72" i="4"/>
  <c r="T72" i="4" s="1"/>
  <c r="AF72" i="4" s="1"/>
  <c r="S184" i="4"/>
  <c r="T184" i="4" s="1"/>
  <c r="AF184" i="4" s="1"/>
  <c r="S382" i="4"/>
  <c r="T382" i="4" s="1"/>
  <c r="AF382" i="4" s="1"/>
  <c r="S17" i="4"/>
  <c r="T17" i="4" s="1"/>
  <c r="AF17" i="4" s="1"/>
  <c r="S325" i="4"/>
  <c r="T325" i="4" s="1"/>
  <c r="AF325" i="4" s="1"/>
  <c r="S423" i="4"/>
  <c r="T423" i="4" s="1"/>
  <c r="AF423" i="4" s="1"/>
  <c r="S538" i="4"/>
  <c r="T538" i="4" s="1"/>
  <c r="AF538" i="4" s="1"/>
  <c r="S118" i="4"/>
  <c r="T118" i="4" s="1"/>
  <c r="AF118" i="4" s="1"/>
  <c r="S430" i="4"/>
  <c r="T430" i="4" s="1"/>
  <c r="AF430" i="4" s="1"/>
  <c r="S455" i="4"/>
  <c r="T455" i="4" s="1"/>
  <c r="AF455" i="4" s="1"/>
  <c r="S88" i="4"/>
  <c r="T88" i="4" s="1"/>
  <c r="AF88" i="4" s="1"/>
  <c r="S157" i="4"/>
  <c r="T157" i="4" s="1"/>
  <c r="AF157" i="4" s="1"/>
  <c r="S354" i="4"/>
  <c r="T354" i="4" s="1"/>
  <c r="AF354" i="4" s="1"/>
  <c r="S535" i="4"/>
  <c r="T535" i="4" s="1"/>
  <c r="AF535" i="4" s="1"/>
  <c r="S134" i="4"/>
  <c r="T134" i="4" s="1"/>
  <c r="AF134" i="4" s="1"/>
  <c r="S296" i="4"/>
  <c r="T296" i="4" s="1"/>
  <c r="AF296" i="4" s="1"/>
  <c r="S394" i="4"/>
  <c r="T394" i="4" s="1"/>
  <c r="AF394" i="4" s="1"/>
  <c r="S458" i="4"/>
  <c r="T458" i="4" s="1"/>
  <c r="AF458" i="4" s="1"/>
  <c r="S273" i="4"/>
  <c r="T273" i="4" s="1"/>
  <c r="AF273" i="4" s="1"/>
  <c r="S426" i="4"/>
  <c r="T426" i="4" s="1"/>
  <c r="AF426" i="4" s="1"/>
  <c r="S166" i="4"/>
  <c r="T166" i="4" s="1"/>
  <c r="AF166" i="4" s="1"/>
  <c r="S451" i="4"/>
  <c r="T451" i="4" s="1"/>
  <c r="AF451" i="4" s="1"/>
  <c r="S544" i="4"/>
  <c r="T544" i="4" s="1"/>
  <c r="AF544" i="4" s="1"/>
  <c r="H328" i="4"/>
  <c r="N327" i="4"/>
  <c r="N191" i="4"/>
  <c r="H192" i="4"/>
  <c r="B23" i="5"/>
  <c r="B24" i="5"/>
  <c r="AA130" i="4"/>
  <c r="AA131" i="4" s="1"/>
  <c r="AA132" i="4" s="1"/>
  <c r="AA133" i="4" s="1"/>
  <c r="M129" i="4"/>
  <c r="N9" i="4"/>
  <c r="H10" i="4"/>
  <c r="S63" i="4"/>
  <c r="T63" i="4" s="1"/>
  <c r="AF63" i="4" s="1"/>
  <c r="S56" i="4"/>
  <c r="T56" i="4" s="1"/>
  <c r="AF56" i="4" s="1"/>
  <c r="S86" i="4"/>
  <c r="T86" i="4" s="1"/>
  <c r="AF86" i="4" s="1"/>
  <c r="S177" i="4"/>
  <c r="T177" i="4" s="1"/>
  <c r="AF177" i="4" s="1"/>
  <c r="S26" i="4"/>
  <c r="T26" i="4" s="1"/>
  <c r="AF26" i="4" s="1"/>
  <c r="S90" i="4"/>
  <c r="T90" i="4" s="1"/>
  <c r="AF90" i="4" s="1"/>
  <c r="S245" i="4"/>
  <c r="T245" i="4" s="1"/>
  <c r="AF245" i="4" s="1"/>
  <c r="S381" i="4"/>
  <c r="T381" i="4" s="1"/>
  <c r="AF381" i="4" s="1"/>
  <c r="S20" i="4"/>
  <c r="T20" i="4" s="1"/>
  <c r="AF20" i="4" s="1"/>
  <c r="S274" i="4"/>
  <c r="T274" i="4" s="1"/>
  <c r="AF274" i="4" s="1"/>
  <c r="S367" i="4"/>
  <c r="T367" i="4" s="1"/>
  <c r="AF367" i="4" s="1"/>
  <c r="S492" i="4"/>
  <c r="T492" i="4" s="1"/>
  <c r="AF492" i="4" s="1"/>
  <c r="S136" i="4"/>
  <c r="T136" i="4" s="1"/>
  <c r="AF136" i="4" s="1"/>
  <c r="S197" i="4"/>
  <c r="T197" i="4" s="1"/>
  <c r="AF197" i="4" s="1"/>
  <c r="S355" i="4"/>
  <c r="T355" i="4" s="1"/>
  <c r="AF355" i="4" s="1"/>
  <c r="S473" i="4"/>
  <c r="T473" i="4" s="1"/>
  <c r="AF473" i="4" s="1"/>
  <c r="S49" i="4"/>
  <c r="T49" i="4" s="1"/>
  <c r="AF49" i="4" s="1"/>
  <c r="S306" i="4"/>
  <c r="T306" i="4" s="1"/>
  <c r="AF306" i="4" s="1"/>
  <c r="S497" i="4"/>
  <c r="T497" i="4" s="1"/>
  <c r="AF497" i="4" s="1"/>
  <c r="S182" i="4"/>
  <c r="T182" i="4" s="1"/>
  <c r="AF182" i="4" s="1"/>
  <c r="S313" i="4"/>
  <c r="T313" i="4" s="1"/>
  <c r="AF313" i="4" s="1"/>
  <c r="S443" i="4"/>
  <c r="T443" i="4" s="1"/>
  <c r="AF443" i="4" s="1"/>
  <c r="S284" i="4"/>
  <c r="T284" i="4" s="1"/>
  <c r="AF284" i="4" s="1"/>
  <c r="S239" i="4"/>
  <c r="T239" i="4" s="1"/>
  <c r="AF239" i="4" s="1"/>
  <c r="S449" i="4"/>
  <c r="T449" i="4" s="1"/>
  <c r="AF449" i="4" s="1"/>
  <c r="S61" i="4"/>
  <c r="T61" i="4" s="1"/>
  <c r="AF61" i="4" s="1"/>
  <c r="S194" i="4"/>
  <c r="T194" i="4" s="1"/>
  <c r="AF194" i="4" s="1"/>
  <c r="S368" i="4"/>
  <c r="T368" i="4" s="1"/>
  <c r="AF368" i="4" s="1"/>
  <c r="S27" i="4"/>
  <c r="T27" i="4" s="1"/>
  <c r="AF27" i="4" s="1"/>
  <c r="S271" i="4"/>
  <c r="T271" i="4" s="1"/>
  <c r="AF271" i="4" s="1"/>
  <c r="S391" i="4"/>
  <c r="T391" i="4" s="1"/>
  <c r="AF391" i="4" s="1"/>
  <c r="S486" i="4"/>
  <c r="T486" i="4" s="1"/>
  <c r="AF486" i="4" s="1"/>
  <c r="S198" i="4"/>
  <c r="T198" i="4" s="1"/>
  <c r="AF198" i="4" s="1"/>
  <c r="S219" i="4"/>
  <c r="T219" i="4" s="1"/>
  <c r="AF219" i="4" s="1"/>
  <c r="S285" i="4"/>
  <c r="T285" i="4" s="1"/>
  <c r="AF285" i="4" s="1"/>
  <c r="S441" i="4"/>
  <c r="T441" i="4" s="1"/>
  <c r="AF441" i="4" s="1"/>
  <c r="S100" i="4"/>
  <c r="T100" i="4" s="1"/>
  <c r="AF100" i="4" s="1"/>
  <c r="S211" i="4"/>
  <c r="T211" i="4" s="1"/>
  <c r="AF211" i="4" s="1"/>
  <c r="S459" i="4"/>
  <c r="T459" i="4" s="1"/>
  <c r="AF459" i="4" s="1"/>
  <c r="S546" i="4"/>
  <c r="T546" i="4" s="1"/>
  <c r="AF546" i="4" s="1"/>
  <c r="S369" i="4"/>
  <c r="T369" i="4" s="1"/>
  <c r="AF369" i="4" s="1"/>
  <c r="S482" i="4"/>
  <c r="T482" i="4" s="1"/>
  <c r="AF482" i="4" s="1"/>
  <c r="S255" i="4"/>
  <c r="T255" i="4" s="1"/>
  <c r="AF255" i="4" s="1"/>
  <c r="S403" i="4"/>
  <c r="T403" i="4" s="1"/>
  <c r="AF403" i="4" s="1"/>
  <c r="S539" i="4"/>
  <c r="T539" i="4" s="1"/>
  <c r="AF539" i="4" s="1"/>
  <c r="M191" i="4"/>
  <c r="AA192" i="4"/>
  <c r="AA193" i="4" s="1"/>
  <c r="AA194" i="4" s="1"/>
  <c r="AA195" i="4" s="1"/>
  <c r="AA196" i="4" s="1"/>
  <c r="AA197" i="4" s="1"/>
  <c r="AA198" i="4" s="1"/>
  <c r="AA199" i="4" s="1"/>
  <c r="AA200" i="4" s="1"/>
  <c r="AA201" i="4" s="1"/>
  <c r="AA202" i="4" s="1"/>
  <c r="AA203" i="4" s="1"/>
  <c r="AA204" i="4" s="1"/>
  <c r="N111" i="4"/>
  <c r="H112" i="4"/>
  <c r="B19" i="5"/>
  <c r="H541" i="4"/>
  <c r="N540" i="4"/>
  <c r="S521" i="4"/>
  <c r="T521" i="4" s="1"/>
  <c r="AF521" i="4" s="1"/>
  <c r="S34" i="4"/>
  <c r="T34" i="4" s="1"/>
  <c r="AF34" i="4" s="1"/>
  <c r="S44" i="4"/>
  <c r="T44" i="4" s="1"/>
  <c r="AF44" i="4" s="1"/>
  <c r="S62" i="4"/>
  <c r="T62" i="4" s="1"/>
  <c r="AF62" i="4" s="1"/>
  <c r="S69" i="4"/>
  <c r="T69" i="4" s="1"/>
  <c r="AF69" i="4" s="1"/>
  <c r="S416" i="4"/>
  <c r="T416" i="4" s="1"/>
  <c r="AF416" i="4" s="1"/>
  <c r="S172" i="4"/>
  <c r="T172" i="4" s="1"/>
  <c r="AF172" i="4" s="1"/>
  <c r="S383" i="4"/>
  <c r="T383" i="4" s="1"/>
  <c r="AF383" i="4" s="1"/>
  <c r="S542" i="4"/>
  <c r="T542" i="4" s="1"/>
  <c r="AF542" i="4" s="1"/>
  <c r="S143" i="4"/>
  <c r="T143" i="4" s="1"/>
  <c r="AF143" i="4" s="1"/>
  <c r="S257" i="4"/>
  <c r="T257" i="4" s="1"/>
  <c r="AF257" i="4" s="1"/>
  <c r="S330" i="4"/>
  <c r="T330" i="4" s="1"/>
  <c r="AF330" i="4" s="1"/>
  <c r="S509" i="4"/>
  <c r="T509" i="4" s="1"/>
  <c r="AF509" i="4" s="1"/>
  <c r="S153" i="4"/>
  <c r="T153" i="4" s="1"/>
  <c r="AF153" i="4" s="1"/>
  <c r="S326" i="4"/>
  <c r="T326" i="4" s="1"/>
  <c r="AF326" i="4" s="1"/>
  <c r="S505" i="4"/>
  <c r="T505" i="4" s="1"/>
  <c r="AF505" i="4" s="1"/>
  <c r="S98" i="4"/>
  <c r="T98" i="4" s="1"/>
  <c r="AF98" i="4" s="1"/>
  <c r="S321" i="4"/>
  <c r="T321" i="4" s="1"/>
  <c r="AF321" i="4" s="1"/>
  <c r="S396" i="4"/>
  <c r="T396" i="4" s="1"/>
  <c r="AF396" i="4" s="1"/>
  <c r="S114" i="4"/>
  <c r="T114" i="4" s="1"/>
  <c r="AF114" i="4" s="1"/>
  <c r="S339" i="4"/>
  <c r="T339" i="4" s="1"/>
  <c r="AF339" i="4" s="1"/>
  <c r="S399" i="4"/>
  <c r="T399" i="4" s="1"/>
  <c r="AF399" i="4" s="1"/>
  <c r="S165" i="4"/>
  <c r="T165" i="4" s="1"/>
  <c r="AF165" i="4" s="1"/>
  <c r="S266" i="4"/>
  <c r="T266" i="4" s="1"/>
  <c r="AF266" i="4" s="1"/>
  <c r="S419" i="4"/>
  <c r="T419" i="4" s="1"/>
  <c r="AF419" i="4" s="1"/>
  <c r="S75" i="4"/>
  <c r="T75" i="4" s="1"/>
  <c r="AF75" i="4" s="1"/>
  <c r="S154" i="4"/>
  <c r="T154" i="4" s="1"/>
  <c r="AF154" i="4" s="1"/>
  <c r="S265" i="4"/>
  <c r="T265" i="4" s="1"/>
  <c r="AF265" i="4" s="1"/>
  <c r="S516" i="4"/>
  <c r="T516" i="4" s="1"/>
  <c r="AF516" i="4" s="1"/>
  <c r="S130" i="4"/>
  <c r="T130" i="4" s="1"/>
  <c r="AF130" i="4" s="1"/>
  <c r="S221" i="4"/>
  <c r="T221" i="4" s="1"/>
  <c r="AF221" i="4" s="1"/>
  <c r="S407" i="4"/>
  <c r="T407" i="4" s="1"/>
  <c r="AF407" i="4" s="1"/>
  <c r="S541" i="4"/>
  <c r="T541" i="4" s="1"/>
  <c r="AF541" i="4" s="1"/>
  <c r="S279" i="4"/>
  <c r="T279" i="4" s="1"/>
  <c r="AF279" i="4" s="1"/>
  <c r="S287" i="4"/>
  <c r="T287" i="4" s="1"/>
  <c r="AF287" i="4" s="1"/>
  <c r="S310" i="4"/>
  <c r="T310" i="4" s="1"/>
  <c r="AF310" i="4" s="1"/>
  <c r="S517" i="4"/>
  <c r="T517" i="4" s="1"/>
  <c r="AF517" i="4" s="1"/>
  <c r="S371" i="4"/>
  <c r="T371" i="4" s="1"/>
  <c r="AF371" i="4" s="1"/>
  <c r="S414" i="4"/>
  <c r="T414" i="4" s="1"/>
  <c r="AF414" i="4" s="1"/>
  <c r="S238" i="4"/>
  <c r="T238" i="4" s="1"/>
  <c r="AF238" i="4" s="1"/>
  <c r="S422" i="4"/>
  <c r="T422" i="4" s="1"/>
  <c r="AF422" i="4" s="1"/>
  <c r="S5" i="4"/>
  <c r="T5" i="4" s="1"/>
  <c r="AF5" i="4" s="1"/>
  <c r="AA112" i="4"/>
  <c r="AA113" i="4" s="1"/>
  <c r="AA114" i="4" s="1"/>
  <c r="AA115" i="4" s="1"/>
  <c r="AA116" i="4" s="1"/>
  <c r="AA117" i="4" s="1"/>
  <c r="AA118" i="4" s="1"/>
  <c r="AA119" i="4" s="1"/>
  <c r="AA120" i="4" s="1"/>
  <c r="AA121" i="4" s="1"/>
  <c r="AA122" i="4" s="1"/>
  <c r="AA123" i="4" s="1"/>
  <c r="AA124" i="4" s="1"/>
  <c r="AA125" i="4" s="1"/>
  <c r="AA126" i="4" s="1"/>
  <c r="AA127" i="4" s="1"/>
  <c r="AA128" i="4" s="1"/>
  <c r="M111" i="4"/>
  <c r="H182" i="4"/>
  <c r="N181" i="4"/>
  <c r="B22" i="5"/>
  <c r="H146" i="4"/>
  <c r="N145" i="4"/>
  <c r="AA541" i="4"/>
  <c r="AA542" i="4" s="1"/>
  <c r="AA543" i="4" s="1"/>
  <c r="AA544" i="4" s="1"/>
  <c r="AA545" i="4" s="1"/>
  <c r="AA546" i="4" s="1"/>
  <c r="M540" i="4"/>
  <c r="H380" i="4"/>
  <c r="N379" i="4"/>
  <c r="AA69" i="4"/>
  <c r="AA70" i="4" s="1"/>
  <c r="AA71" i="4" s="1"/>
  <c r="M68" i="4"/>
  <c r="M5" i="4"/>
  <c r="AA6" i="4"/>
  <c r="AA7" i="4" s="1"/>
  <c r="AA8" i="4" s="1"/>
  <c r="AA9" i="4" s="1"/>
  <c r="AA10" i="4" s="1"/>
  <c r="AA11" i="4" s="1"/>
  <c r="AA12" i="4" s="1"/>
  <c r="AA13" i="4" s="1"/>
  <c r="AA14" i="4" s="1"/>
  <c r="AA15" i="4" s="1"/>
  <c r="AA16" i="4" s="1"/>
  <c r="AA17" i="4" s="1"/>
  <c r="AA18" i="4" s="1"/>
  <c r="AA19" i="4" s="1"/>
  <c r="AA20" i="4" s="1"/>
  <c r="AA21" i="4" s="1"/>
  <c r="S119" i="4"/>
  <c r="T119" i="4" s="1"/>
  <c r="AF119" i="4" s="1"/>
  <c r="S36" i="4"/>
  <c r="T36" i="4" s="1"/>
  <c r="AF36" i="4" s="1"/>
  <c r="S312" i="4"/>
  <c r="T312" i="4" s="1"/>
  <c r="AF312" i="4" s="1"/>
  <c r="S80" i="4"/>
  <c r="T80" i="4" s="1"/>
  <c r="AF80" i="4" s="1"/>
  <c r="S179" i="4"/>
  <c r="T179" i="4" s="1"/>
  <c r="AF179" i="4" s="1"/>
  <c r="S7" i="4"/>
  <c r="T7" i="4" s="1"/>
  <c r="AF7" i="4" s="1"/>
  <c r="S222" i="4"/>
  <c r="T222" i="4" s="1"/>
  <c r="AF222" i="4" s="1"/>
  <c r="S51" i="4"/>
  <c r="T51" i="4" s="1"/>
  <c r="AF51" i="4" s="1"/>
  <c r="S8" i="4"/>
  <c r="T8" i="4" s="1"/>
  <c r="AF8" i="4" s="1"/>
  <c r="S145" i="4"/>
  <c r="T145" i="4" s="1"/>
  <c r="AF145" i="4" s="1"/>
  <c r="S230" i="4"/>
  <c r="T230" i="4" s="1"/>
  <c r="AF230" i="4" s="1"/>
  <c r="S461" i="4"/>
  <c r="T461" i="4" s="1"/>
  <c r="AF461" i="4" s="1"/>
  <c r="S124" i="4"/>
  <c r="T124" i="4" s="1"/>
  <c r="AF124" i="4" s="1"/>
  <c r="S190" i="4"/>
  <c r="T190" i="4" s="1"/>
  <c r="AF190" i="4" s="1"/>
  <c r="S468" i="4"/>
  <c r="T468" i="4" s="1"/>
  <c r="AF468" i="4" s="1"/>
  <c r="S10" i="4"/>
  <c r="T10" i="4" s="1"/>
  <c r="AF10" i="4" s="1"/>
  <c r="S276" i="4"/>
  <c r="T276" i="4" s="1"/>
  <c r="AF276" i="4" s="1"/>
  <c r="S386" i="4"/>
  <c r="T386" i="4" s="1"/>
  <c r="AF386" i="4" s="1"/>
  <c r="S490" i="4"/>
  <c r="T490" i="4" s="1"/>
  <c r="AF490" i="4" s="1"/>
  <c r="S28" i="4"/>
  <c r="T28" i="4" s="1"/>
  <c r="AF28" i="4" s="1"/>
  <c r="S161" i="4"/>
  <c r="T161" i="4" s="1"/>
  <c r="AF161" i="4" s="1"/>
  <c r="S364" i="4"/>
  <c r="T364" i="4" s="1"/>
  <c r="AF364" i="4" s="1"/>
  <c r="S393" i="4"/>
  <c r="T393" i="4" s="1"/>
  <c r="AF393" i="4" s="1"/>
  <c r="S171" i="4"/>
  <c r="T171" i="4" s="1"/>
  <c r="AF171" i="4" s="1"/>
  <c r="S336" i="4"/>
  <c r="T336" i="4" s="1"/>
  <c r="AF336" i="4" s="1"/>
  <c r="S500" i="4"/>
  <c r="T500" i="4" s="1"/>
  <c r="AF500" i="4" s="1"/>
  <c r="S101" i="4"/>
  <c r="T101" i="4" s="1"/>
  <c r="AF101" i="4" s="1"/>
  <c r="S295" i="4"/>
  <c r="T295" i="4" s="1"/>
  <c r="AF295" i="4" s="1"/>
  <c r="S537" i="4"/>
  <c r="T537" i="4" s="1"/>
  <c r="AF537" i="4" s="1"/>
  <c r="S200" i="4"/>
  <c r="T200" i="4" s="1"/>
  <c r="AF200" i="4" s="1"/>
  <c r="S189" i="4"/>
  <c r="T189" i="4" s="1"/>
  <c r="AF189" i="4" s="1"/>
  <c r="S466" i="4"/>
  <c r="T466" i="4" s="1"/>
  <c r="AF466" i="4" s="1"/>
  <c r="S173" i="4"/>
  <c r="T173" i="4" s="1"/>
  <c r="AF173" i="4" s="1"/>
  <c r="S207" i="4"/>
  <c r="T207" i="4" s="1"/>
  <c r="AF207" i="4" s="1"/>
  <c r="S333" i="4"/>
  <c r="T333" i="4" s="1"/>
  <c r="AF333" i="4" s="1"/>
  <c r="S522" i="4"/>
  <c r="T522" i="4" s="1"/>
  <c r="AF522" i="4" s="1"/>
  <c r="S150" i="4"/>
  <c r="T150" i="4" s="1"/>
  <c r="AF150" i="4" s="1"/>
  <c r="S281" i="4"/>
  <c r="T281" i="4" s="1"/>
  <c r="AF281" i="4" s="1"/>
  <c r="S392" i="4"/>
  <c r="T392" i="4" s="1"/>
  <c r="AF392" i="4" s="1"/>
  <c r="S515" i="4"/>
  <c r="T515" i="4" s="1"/>
  <c r="AF515" i="4" s="1"/>
  <c r="S137" i="4"/>
  <c r="T137" i="4" s="1"/>
  <c r="AF137" i="4" s="1"/>
  <c r="S213" i="4"/>
  <c r="T213" i="4" s="1"/>
  <c r="AF213" i="4" s="1"/>
  <c r="S432" i="4"/>
  <c r="T432" i="4" s="1"/>
  <c r="AF432" i="4" s="1"/>
  <c r="S216" i="4"/>
  <c r="T216" i="4" s="1"/>
  <c r="AF216" i="4" s="1"/>
  <c r="S272" i="4"/>
  <c r="T272" i="4" s="1"/>
  <c r="AF272" i="4" s="1"/>
  <c r="S431" i="4"/>
  <c r="T431" i="4" s="1"/>
  <c r="AF431" i="4" s="1"/>
  <c r="S304" i="4"/>
  <c r="T304" i="4" s="1"/>
  <c r="AF304" i="4" s="1"/>
  <c r="S329" i="4"/>
  <c r="T329" i="4" s="1"/>
  <c r="AF329" i="4" s="1"/>
  <c r="S21" i="4"/>
  <c r="T21" i="4" s="1"/>
  <c r="AF21" i="4" s="1"/>
  <c r="H310" i="4"/>
  <c r="N309" i="4"/>
  <c r="H177" i="4"/>
  <c r="N176" i="4"/>
  <c r="K18" i="5"/>
  <c r="N279" i="4"/>
  <c r="H280" i="4"/>
  <c r="O70" i="2" l="1"/>
  <c r="O79" i="2" s="1"/>
  <c r="H17" i="5"/>
  <c r="F490" i="4"/>
  <c r="H263" i="4"/>
  <c r="N262" i="4"/>
  <c r="H408" i="4"/>
  <c r="N407" i="4"/>
  <c r="F129" i="4"/>
  <c r="H292" i="4"/>
  <c r="N291" i="4"/>
  <c r="H353" i="4"/>
  <c r="N352" i="4"/>
  <c r="H156" i="4"/>
  <c r="N155" i="4"/>
  <c r="H80" i="4"/>
  <c r="N79" i="4"/>
  <c r="H247" i="4"/>
  <c r="N246" i="4"/>
  <c r="H238" i="4"/>
  <c r="N237" i="4"/>
  <c r="F320" i="4"/>
  <c r="F464" i="4"/>
  <c r="F209" i="4"/>
  <c r="G169" i="4"/>
  <c r="G86" i="4"/>
  <c r="G472" i="4"/>
  <c r="F342" i="4"/>
  <c r="F168" i="4"/>
  <c r="F173" i="4"/>
  <c r="F370" i="4"/>
  <c r="G442" i="4"/>
  <c r="G137" i="4"/>
  <c r="F277" i="4"/>
  <c r="F29" i="4"/>
  <c r="F23" i="4"/>
  <c r="F230" i="4"/>
  <c r="G463" i="4"/>
  <c r="F475" i="4"/>
  <c r="F395" i="4"/>
  <c r="F339" i="4"/>
  <c r="F383" i="4"/>
  <c r="G304" i="4"/>
  <c r="F321" i="4"/>
  <c r="G383" i="4"/>
  <c r="F473" i="4"/>
  <c r="G35" i="4"/>
  <c r="F323" i="4"/>
  <c r="G162" i="4"/>
  <c r="F470" i="4"/>
  <c r="F81" i="4"/>
  <c r="F453" i="4"/>
  <c r="F328" i="4"/>
  <c r="F124" i="4"/>
  <c r="G453" i="4"/>
  <c r="F372" i="4"/>
  <c r="G431" i="4"/>
  <c r="G285" i="4"/>
  <c r="F169" i="4"/>
  <c r="G209" i="4"/>
  <c r="F485" i="4"/>
  <c r="G127" i="4"/>
  <c r="F186" i="4"/>
  <c r="G341" i="4"/>
  <c r="G307" i="4"/>
  <c r="F284" i="4"/>
  <c r="G410" i="4"/>
  <c r="G425" i="4"/>
  <c r="F94" i="4"/>
  <c r="G305" i="4"/>
  <c r="F145" i="4"/>
  <c r="G114" i="4"/>
  <c r="F271" i="4"/>
  <c r="G96" i="4"/>
  <c r="G267" i="4"/>
  <c r="F305" i="4"/>
  <c r="G421" i="4"/>
  <c r="G240" i="4"/>
  <c r="F139" i="4"/>
  <c r="F158" i="4"/>
  <c r="G301" i="4"/>
  <c r="F465" i="4"/>
  <c r="F141" i="4"/>
  <c r="F210" i="4"/>
  <c r="G333" i="4"/>
  <c r="G336" i="4"/>
  <c r="G449" i="4"/>
  <c r="G90" i="4"/>
  <c r="G430" i="4"/>
  <c r="G254" i="4"/>
  <c r="F472" i="4"/>
  <c r="F159" i="4"/>
  <c r="G315" i="4"/>
  <c r="G111" i="4"/>
  <c r="G158" i="4"/>
  <c r="F442" i="4"/>
  <c r="F375" i="4"/>
  <c r="G201" i="4"/>
  <c r="G460" i="4"/>
  <c r="G97" i="4"/>
  <c r="G23" i="4"/>
  <c r="G210" i="4"/>
  <c r="F135" i="4"/>
  <c r="F190" i="4"/>
  <c r="F7" i="4"/>
  <c r="F369" i="4"/>
  <c r="F435" i="4"/>
  <c r="F335" i="4"/>
  <c r="F70" i="4"/>
  <c r="F97" i="4"/>
  <c r="G371" i="4"/>
  <c r="G369" i="4"/>
  <c r="G320" i="4"/>
  <c r="G370" i="4"/>
  <c r="G79" i="4"/>
  <c r="F463" i="4"/>
  <c r="F240" i="4"/>
  <c r="G335" i="4"/>
  <c r="G70" i="4"/>
  <c r="F77" i="4"/>
  <c r="G37" i="4"/>
  <c r="F471" i="4"/>
  <c r="G351" i="4"/>
  <c r="G33" i="4"/>
  <c r="G283" i="4"/>
  <c r="F327" i="4"/>
  <c r="G64" i="4"/>
  <c r="F434" i="4"/>
  <c r="F387" i="4"/>
  <c r="G293" i="4"/>
  <c r="G328" i="4"/>
  <c r="G121" i="4"/>
  <c r="F21" i="4"/>
  <c r="G155" i="4"/>
  <c r="F91" i="4"/>
  <c r="G224" i="4"/>
  <c r="G413" i="4"/>
  <c r="G271" i="4"/>
  <c r="F266" i="4"/>
  <c r="G20" i="4"/>
  <c r="F56" i="4"/>
  <c r="F382" i="4"/>
  <c r="G323" i="4"/>
  <c r="G129" i="4"/>
  <c r="F108" i="4"/>
  <c r="F234" i="4"/>
  <c r="F304" i="4"/>
  <c r="F279" i="4"/>
  <c r="G368" i="4"/>
  <c r="G56" i="4"/>
  <c r="G382" i="4"/>
  <c r="F57" i="4"/>
  <c r="F410" i="4"/>
  <c r="G186" i="4"/>
  <c r="G314" i="4"/>
  <c r="F357" i="4"/>
  <c r="G205" i="4"/>
  <c r="F153" i="4"/>
  <c r="F69" i="4"/>
  <c r="G381" i="4"/>
  <c r="G144" i="4"/>
  <c r="G57" i="4"/>
  <c r="F301" i="4"/>
  <c r="G348" i="4"/>
  <c r="F95" i="4"/>
  <c r="G357" i="4"/>
  <c r="G268" i="4"/>
  <c r="F502" i="4"/>
  <c r="G374" i="4"/>
  <c r="F398" i="4"/>
  <c r="F341" i="4"/>
  <c r="G427" i="4"/>
  <c r="G481" i="4"/>
  <c r="F44" i="4"/>
  <c r="F100" i="4"/>
  <c r="F497" i="4"/>
  <c r="F17" i="4"/>
  <c r="F195" i="4"/>
  <c r="G398" i="4"/>
  <c r="G483" i="4"/>
  <c r="G277" i="4"/>
  <c r="F76" i="4"/>
  <c r="F112" i="4"/>
  <c r="F99" i="4"/>
  <c r="F40" i="4"/>
  <c r="F22" i="4"/>
  <c r="F246" i="4"/>
  <c r="F346" i="4"/>
  <c r="F262" i="4"/>
  <c r="G395" i="4"/>
  <c r="G286" i="4"/>
  <c r="F200" i="4"/>
  <c r="F161" i="4"/>
  <c r="F265" i="4"/>
  <c r="F213" i="4"/>
  <c r="F333" i="4"/>
  <c r="G161" i="4"/>
  <c r="G279" i="4"/>
  <c r="G326" i="4"/>
  <c r="G482" i="4"/>
  <c r="G100" i="4"/>
  <c r="F449" i="4"/>
  <c r="G497" i="4"/>
  <c r="F426" i="4"/>
  <c r="F283" i="4"/>
  <c r="G236" i="4"/>
  <c r="F35" i="4"/>
  <c r="G359" i="4"/>
  <c r="F315" i="4"/>
  <c r="F79" i="4"/>
  <c r="G487" i="4"/>
  <c r="G253" i="4"/>
  <c r="F196" i="4"/>
  <c r="G533" i="4"/>
  <c r="G76" i="4"/>
  <c r="F162" i="4"/>
  <c r="G112" i="4"/>
  <c r="G99" i="4"/>
  <c r="F127" i="4"/>
  <c r="G418" i="4"/>
  <c r="G22" i="4"/>
  <c r="F334" i="4"/>
  <c r="F33" i="4"/>
  <c r="F32" i="4"/>
  <c r="F174" i="4"/>
  <c r="G68" i="4"/>
  <c r="F75" i="4"/>
  <c r="F137" i="4"/>
  <c r="F101" i="4"/>
  <c r="G179" i="4"/>
  <c r="F238" i="4"/>
  <c r="G75" i="4"/>
  <c r="G153" i="4"/>
  <c r="F416" i="4"/>
  <c r="G441" i="4"/>
  <c r="G306" i="4"/>
  <c r="G426" i="4"/>
  <c r="F358" i="4"/>
  <c r="F14" i="4"/>
  <c r="G327" i="4"/>
  <c r="G151" i="4"/>
  <c r="G45" i="4"/>
  <c r="G6" i="4"/>
  <c r="F160" i="4"/>
  <c r="F251" i="4"/>
  <c r="G52" i="4"/>
  <c r="G227" i="4"/>
  <c r="F418" i="4"/>
  <c r="F170" i="4"/>
  <c r="G135" i="4"/>
  <c r="F54" i="4"/>
  <c r="F150" i="4"/>
  <c r="F27" i="4"/>
  <c r="F252" i="4"/>
  <c r="G160" i="4"/>
  <c r="G251" i="4"/>
  <c r="G18" i="4"/>
  <c r="F380" i="4"/>
  <c r="F264" i="4"/>
  <c r="G170" i="4"/>
  <c r="F504" i="4"/>
  <c r="G343" i="4"/>
  <c r="G250" i="4"/>
  <c r="G490" i="4"/>
  <c r="G321" i="4"/>
  <c r="G69" i="4"/>
  <c r="F285" i="4"/>
  <c r="G27" i="4"/>
  <c r="G49" i="4"/>
  <c r="F118" i="4"/>
  <c r="G358" i="4"/>
  <c r="G25" i="4"/>
  <c r="F260" i="4"/>
  <c r="G66" i="4"/>
  <c r="F111" i="4"/>
  <c r="G252" i="4"/>
  <c r="F493" i="4"/>
  <c r="F60" i="4"/>
  <c r="F282" i="4"/>
  <c r="F52" i="4"/>
  <c r="F227" i="4"/>
  <c r="G31" i="4"/>
  <c r="F18" i="4"/>
  <c r="G380" i="4"/>
  <c r="G264" i="4"/>
  <c r="F125" i="4"/>
  <c r="G74" i="4"/>
  <c r="G288" i="4"/>
  <c r="F73" i="4"/>
  <c r="G445" i="4"/>
  <c r="F343" i="4"/>
  <c r="G546" i="4"/>
  <c r="G118" i="4"/>
  <c r="F138" i="4"/>
  <c r="G78" i="4"/>
  <c r="G91" i="4"/>
  <c r="G375" i="4"/>
  <c r="G389" i="4"/>
  <c r="G322" i="4"/>
  <c r="F37" i="4"/>
  <c r="G73" i="4"/>
  <c r="G379" i="4"/>
  <c r="G212" i="4"/>
  <c r="G466" i="4"/>
  <c r="F276" i="4"/>
  <c r="G119" i="4"/>
  <c r="F517" i="4"/>
  <c r="G516" i="4"/>
  <c r="F98" i="4"/>
  <c r="G143" i="4"/>
  <c r="G62" i="4"/>
  <c r="F546" i="4"/>
  <c r="F313" i="4"/>
  <c r="F245" i="4"/>
  <c r="F63" i="4"/>
  <c r="G134" i="4"/>
  <c r="G15" i="4"/>
  <c r="G415" i="4"/>
  <c r="G280" i="4"/>
  <c r="G350" i="4"/>
  <c r="G345" i="4"/>
  <c r="G138" i="4"/>
  <c r="F78" i="4"/>
  <c r="F425" i="4"/>
  <c r="F302" i="4"/>
  <c r="F462" i="4"/>
  <c r="G41" i="4"/>
  <c r="F167" i="4"/>
  <c r="G43" i="4"/>
  <c r="F82" i="4"/>
  <c r="F58" i="4"/>
  <c r="F243" i="4"/>
  <c r="F244" i="4"/>
  <c r="G141" i="4"/>
  <c r="F421" i="4"/>
  <c r="G272" i="4"/>
  <c r="G150" i="4"/>
  <c r="F189" i="4"/>
  <c r="F393" i="4"/>
  <c r="G276" i="4"/>
  <c r="F399" i="4"/>
  <c r="G98" i="4"/>
  <c r="F62" i="4"/>
  <c r="F194" i="4"/>
  <c r="G313" i="4"/>
  <c r="G245" i="4"/>
  <c r="G63" i="4"/>
  <c r="F427" i="4"/>
  <c r="F379" i="4"/>
  <c r="G248" i="4"/>
  <c r="F310" i="4"/>
  <c r="G265" i="4"/>
  <c r="G399" i="4"/>
  <c r="G211" i="4"/>
  <c r="G486" i="4"/>
  <c r="G194" i="4"/>
  <c r="G197" i="4"/>
  <c r="F415" i="4"/>
  <c r="G159" i="4"/>
  <c r="F48" i="4"/>
  <c r="F374" i="4"/>
  <c r="G108" i="4"/>
  <c r="G40" i="4"/>
  <c r="F142" i="4"/>
  <c r="F481" i="4"/>
  <c r="G471" i="4"/>
  <c r="G502" i="4"/>
  <c r="F508" i="4"/>
  <c r="G509" i="4"/>
  <c r="F521" i="4"/>
  <c r="G508" i="4"/>
  <c r="F525" i="4"/>
  <c r="G521" i="4"/>
  <c r="G523" i="4"/>
  <c r="G528" i="4"/>
  <c r="G504" i="4"/>
  <c r="F535" i="4"/>
  <c r="F539" i="4"/>
  <c r="F492" i="4"/>
  <c r="F523" i="4"/>
  <c r="G493" i="4"/>
  <c r="F519" i="4"/>
  <c r="F533" i="4"/>
  <c r="G540" i="4"/>
  <c r="F509" i="4"/>
  <c r="G492" i="4"/>
  <c r="G488" i="4"/>
  <c r="G524" i="4"/>
  <c r="G514" i="4"/>
  <c r="F526" i="4"/>
  <c r="G500" i="4"/>
  <c r="F537" i="4"/>
  <c r="F542" i="4"/>
  <c r="G542" i="4"/>
  <c r="G525" i="4"/>
  <c r="G451" i="4"/>
  <c r="G444" i="4"/>
  <c r="F443" i="4"/>
  <c r="F404" i="4"/>
  <c r="G404" i="4"/>
  <c r="F364" i="4"/>
  <c r="G364" i="4"/>
  <c r="F365" i="4"/>
  <c r="G366" i="4"/>
  <c r="F361" i="4"/>
  <c r="F330" i="4"/>
  <c r="G302" i="4"/>
  <c r="G298" i="4"/>
  <c r="F298" i="4"/>
  <c r="G299" i="4"/>
  <c r="F294" i="4"/>
  <c r="F295" i="4"/>
  <c r="G294" i="4"/>
  <c r="G275" i="4"/>
  <c r="G273" i="4"/>
  <c r="F225" i="4"/>
  <c r="F224" i="4"/>
  <c r="F217" i="4"/>
  <c r="G217" i="4"/>
  <c r="F183" i="4"/>
  <c r="G182" i="4"/>
  <c r="G177" i="4"/>
  <c r="F146" i="4"/>
  <c r="G146" i="4"/>
  <c r="G103" i="4"/>
  <c r="F103" i="4"/>
  <c r="G85" i="4"/>
  <c r="F422" i="4"/>
  <c r="G541" i="4"/>
  <c r="G189" i="4"/>
  <c r="G393" i="4"/>
  <c r="H183" i="4"/>
  <c r="N182" i="4"/>
  <c r="G422" i="4"/>
  <c r="G281" i="4"/>
  <c r="F207" i="4"/>
  <c r="G200" i="4"/>
  <c r="G386" i="4"/>
  <c r="G190" i="4"/>
  <c r="G145" i="4"/>
  <c r="G7" i="4"/>
  <c r="G36" i="4"/>
  <c r="F414" i="4"/>
  <c r="F287" i="4"/>
  <c r="F221" i="4"/>
  <c r="F154" i="4"/>
  <c r="F165" i="4"/>
  <c r="F396" i="4"/>
  <c r="F326" i="4"/>
  <c r="F257" i="4"/>
  <c r="F172" i="4"/>
  <c r="G44" i="4"/>
  <c r="H19" i="5"/>
  <c r="I19" i="5"/>
  <c r="N368" i="4"/>
  <c r="H369" i="4"/>
  <c r="N369" i="4" s="1"/>
  <c r="T24" i="4"/>
  <c r="AF24" i="4" s="1"/>
  <c r="H95" i="4"/>
  <c r="N94" i="4"/>
  <c r="T469" i="4"/>
  <c r="AF469" i="4" s="1"/>
  <c r="N42" i="4"/>
  <c r="H43" i="4"/>
  <c r="T408" i="4"/>
  <c r="AF408" i="4" s="1"/>
  <c r="F408" i="4" s="1"/>
  <c r="T303" i="4"/>
  <c r="AF303" i="4" s="1"/>
  <c r="T215" i="4"/>
  <c r="AF215" i="4" s="1"/>
  <c r="T376" i="4"/>
  <c r="AF376" i="4" s="1"/>
  <c r="T353" i="4"/>
  <c r="AF353" i="4" s="1"/>
  <c r="G419" i="4"/>
  <c r="H281" i="4"/>
  <c r="N280" i="4"/>
  <c r="F432" i="4"/>
  <c r="G392" i="4"/>
  <c r="F272" i="4"/>
  <c r="F336" i="4"/>
  <c r="G8" i="4"/>
  <c r="F179" i="4"/>
  <c r="F119" i="4"/>
  <c r="G414" i="4"/>
  <c r="G287" i="4"/>
  <c r="G221" i="4"/>
  <c r="G154" i="4"/>
  <c r="G165" i="4"/>
  <c r="G396" i="4"/>
  <c r="G257" i="4"/>
  <c r="G172" i="4"/>
  <c r="F219" i="4"/>
  <c r="F61" i="4"/>
  <c r="F274" i="4"/>
  <c r="G544" i="4"/>
  <c r="F273" i="4"/>
  <c r="F134" i="4"/>
  <c r="G88" i="4"/>
  <c r="G538" i="4"/>
  <c r="F254" i="4"/>
  <c r="F96" i="4"/>
  <c r="F85" i="4"/>
  <c r="G113" i="4"/>
  <c r="F144" i="4"/>
  <c r="G47" i="4"/>
  <c r="F267" i="4"/>
  <c r="G409" i="4"/>
  <c r="G400" i="4"/>
  <c r="G317" i="4"/>
  <c r="G195" i="4"/>
  <c r="F337" i="4"/>
  <c r="F507" i="4"/>
  <c r="F524" i="4"/>
  <c r="G269" i="4"/>
  <c r="G60" i="4"/>
  <c r="F6" i="4"/>
  <c r="T42" i="4"/>
  <c r="G475" i="4"/>
  <c r="G360" i="4"/>
  <c r="G29" i="4"/>
  <c r="T218" i="4"/>
  <c r="F348" i="4"/>
  <c r="T454" i="4"/>
  <c r="AF454" i="4" s="1"/>
  <c r="T518" i="4"/>
  <c r="T126" i="4"/>
  <c r="AF126" i="4" s="1"/>
  <c r="T543" i="4"/>
  <c r="G95" i="4"/>
  <c r="G470" i="4"/>
  <c r="T214" i="4"/>
  <c r="H178" i="4"/>
  <c r="N177" i="4"/>
  <c r="H311" i="4"/>
  <c r="N310" i="4"/>
  <c r="H381" i="4"/>
  <c r="N380" i="4"/>
  <c r="G260" i="4"/>
  <c r="G337" i="4"/>
  <c r="G507" i="4"/>
  <c r="G225" i="4"/>
  <c r="G48" i="4"/>
  <c r="F405" i="4"/>
  <c r="G344" i="4"/>
  <c r="F259" i="4"/>
  <c r="T16" i="4"/>
  <c r="AF16" i="4" s="1"/>
  <c r="F360" i="4"/>
  <c r="T123" i="4"/>
  <c r="AF123" i="4" s="1"/>
  <c r="T510" i="4"/>
  <c r="AF510" i="4" s="1"/>
  <c r="T180" i="4"/>
  <c r="AF180" i="4" s="1"/>
  <c r="T65" i="4"/>
  <c r="AF65" i="4" s="1"/>
  <c r="F312" i="4"/>
  <c r="G21" i="4"/>
  <c r="G173" i="4"/>
  <c r="H22" i="5"/>
  <c r="I22" i="5"/>
  <c r="H113" i="4"/>
  <c r="N112" i="4"/>
  <c r="G539" i="4"/>
  <c r="F198" i="4"/>
  <c r="F136" i="4"/>
  <c r="G26" i="4"/>
  <c r="I24" i="5"/>
  <c r="H24" i="5"/>
  <c r="F544" i="4"/>
  <c r="F88" i="4"/>
  <c r="F538" i="4"/>
  <c r="F113" i="4"/>
  <c r="F47" i="4"/>
  <c r="F409" i="4"/>
  <c r="F400" i="4"/>
  <c r="F317" i="4"/>
  <c r="G457" i="4"/>
  <c r="G405" i="4"/>
  <c r="F344" i="4"/>
  <c r="G259" i="4"/>
  <c r="F356" i="4"/>
  <c r="F269" i="4"/>
  <c r="T87" i="4"/>
  <c r="F487" i="4"/>
  <c r="F495" i="4"/>
  <c r="T438" i="4"/>
  <c r="F389" i="4"/>
  <c r="F31" i="4"/>
  <c r="G339" i="4"/>
  <c r="F403" i="4"/>
  <c r="G432" i="4"/>
  <c r="F468" i="4"/>
  <c r="G230" i="4"/>
  <c r="F222" i="4"/>
  <c r="G312" i="4"/>
  <c r="G124" i="4"/>
  <c r="F8" i="4"/>
  <c r="G198" i="4"/>
  <c r="I23" i="5"/>
  <c r="H23" i="5"/>
  <c r="G455" i="4"/>
  <c r="F423" i="4"/>
  <c r="F184" i="4"/>
  <c r="G452" i="4"/>
  <c r="F494" i="4"/>
  <c r="F9" i="4"/>
  <c r="F484" i="4"/>
  <c r="F226" i="4"/>
  <c r="F289" i="4"/>
  <c r="F133" i="4"/>
  <c r="F30" i="4"/>
  <c r="F349" i="4"/>
  <c r="F247" i="4"/>
  <c r="F204" i="4"/>
  <c r="H15" i="5"/>
  <c r="I15" i="5"/>
  <c r="F316" i="4"/>
  <c r="F499" i="4"/>
  <c r="F332" i="4"/>
  <c r="F340" i="4"/>
  <c r="T388" i="4"/>
  <c r="AF388" i="4" s="1"/>
  <c r="F534" i="4"/>
  <c r="T187" i="4"/>
  <c r="AF187" i="4" s="1"/>
  <c r="H339" i="4"/>
  <c r="N338" i="4"/>
  <c r="T506" i="4"/>
  <c r="AF506" i="4" s="1"/>
  <c r="F362" i="4"/>
  <c r="T122" i="4"/>
  <c r="AF122" i="4" s="1"/>
  <c r="T297" i="4"/>
  <c r="AF297" i="4" s="1"/>
  <c r="T107" i="4"/>
  <c r="AF107" i="4" s="1"/>
  <c r="H336" i="4"/>
  <c r="N336" i="4" s="1"/>
  <c r="N335" i="4"/>
  <c r="T237" i="4"/>
  <c r="AF237" i="4" s="1"/>
  <c r="F419" i="4"/>
  <c r="F541" i="4"/>
  <c r="G537" i="4"/>
  <c r="F329" i="4"/>
  <c r="F216" i="4"/>
  <c r="F515" i="4"/>
  <c r="G522" i="4"/>
  <c r="F171" i="4"/>
  <c r="F28" i="4"/>
  <c r="F10" i="4"/>
  <c r="F461" i="4"/>
  <c r="F51" i="4"/>
  <c r="F80" i="4"/>
  <c r="G5" i="4"/>
  <c r="F130" i="4"/>
  <c r="F34" i="4"/>
  <c r="F49" i="4"/>
  <c r="G136" i="4"/>
  <c r="F20" i="4"/>
  <c r="F26" i="4"/>
  <c r="F458" i="4"/>
  <c r="G329" i="4"/>
  <c r="G216" i="4"/>
  <c r="G515" i="4"/>
  <c r="F522" i="4"/>
  <c r="F466" i="4"/>
  <c r="G295" i="4"/>
  <c r="G171" i="4"/>
  <c r="G28" i="4"/>
  <c r="G10" i="4"/>
  <c r="G461" i="4"/>
  <c r="G51" i="4"/>
  <c r="G80" i="4"/>
  <c r="H147" i="4"/>
  <c r="N146" i="4"/>
  <c r="F5" i="4"/>
  <c r="F371" i="4"/>
  <c r="G130" i="4"/>
  <c r="F143" i="4"/>
  <c r="G416" i="4"/>
  <c r="G34" i="4"/>
  <c r="G403" i="4"/>
  <c r="F441" i="4"/>
  <c r="F486" i="4"/>
  <c r="F368" i="4"/>
  <c r="G239" i="4"/>
  <c r="F182" i="4"/>
  <c r="G473" i="4"/>
  <c r="F381" i="4"/>
  <c r="F177" i="4"/>
  <c r="N10" i="4"/>
  <c r="H11" i="4"/>
  <c r="F451" i="4"/>
  <c r="G458" i="4"/>
  <c r="G535" i="4"/>
  <c r="F455" i="4"/>
  <c r="G423" i="4"/>
  <c r="G184" i="4"/>
  <c r="F452" i="4"/>
  <c r="G494" i="4"/>
  <c r="H208" i="4"/>
  <c r="N208" i="4" s="1"/>
  <c r="N207" i="4"/>
  <c r="H418" i="4"/>
  <c r="N417" i="4"/>
  <c r="G9" i="4"/>
  <c r="G484" i="4"/>
  <c r="G226" i="4"/>
  <c r="G289" i="4"/>
  <c r="G133" i="4"/>
  <c r="G30" i="4"/>
  <c r="G349" i="4"/>
  <c r="G247" i="4"/>
  <c r="F280" i="4"/>
  <c r="G204" i="4"/>
  <c r="H16" i="5"/>
  <c r="I16" i="5"/>
  <c r="G316" i="4"/>
  <c r="G499" i="4"/>
  <c r="F457" i="4"/>
  <c r="F345" i="4"/>
  <c r="F151" i="4"/>
  <c r="F64" i="4"/>
  <c r="G332" i="4"/>
  <c r="G340" i="4"/>
  <c r="G356" i="4"/>
  <c r="T503" i="4"/>
  <c r="G474" i="4"/>
  <c r="F253" i="4"/>
  <c r="G534" i="4"/>
  <c r="T120" i="4"/>
  <c r="T331" i="4"/>
  <c r="G362" i="4"/>
  <c r="T131" i="4"/>
  <c r="F164" i="4"/>
  <c r="H104" i="4"/>
  <c r="N103" i="4"/>
  <c r="F300" i="4"/>
  <c r="T291" i="4"/>
  <c r="T176" i="4"/>
  <c r="AF176" i="4" s="1"/>
  <c r="T229" i="4"/>
  <c r="AF229" i="4" s="1"/>
  <c r="H470" i="4"/>
  <c r="N469" i="4"/>
  <c r="H5" i="5"/>
  <c r="I5" i="5"/>
  <c r="T478" i="4"/>
  <c r="AF478" i="4" s="1"/>
  <c r="T178" i="4"/>
  <c r="AF178" i="4" s="1"/>
  <c r="T501" i="4"/>
  <c r="AF501" i="4" s="1"/>
  <c r="G164" i="4"/>
  <c r="T117" i="4"/>
  <c r="AF117" i="4" s="1"/>
  <c r="F239" i="4"/>
  <c r="H193" i="4"/>
  <c r="N192" i="4"/>
  <c r="F166" i="4"/>
  <c r="F394" i="4"/>
  <c r="F354" i="4"/>
  <c r="F430" i="4"/>
  <c r="F325" i="4"/>
  <c r="F72" i="4"/>
  <c r="G365" i="4"/>
  <c r="F347" i="4"/>
  <c r="F290" i="4"/>
  <c r="G94" i="4"/>
  <c r="H18" i="5"/>
  <c r="I18" i="5"/>
  <c r="F456" i="4"/>
  <c r="F208" i="4"/>
  <c r="F104" i="4"/>
  <c r="F39" i="4"/>
  <c r="G512" i="4"/>
  <c r="F429" i="4"/>
  <c r="F261" i="4"/>
  <c r="F228" i="4"/>
  <c r="T241" i="4"/>
  <c r="AF241" i="4" s="1"/>
  <c r="I25" i="5"/>
  <c r="H25" i="5"/>
  <c r="G282" i="4"/>
  <c r="F474" i="4"/>
  <c r="G324" i="4"/>
  <c r="T202" i="4"/>
  <c r="F109" i="4"/>
  <c r="F531" i="4"/>
  <c r="T13" i="4"/>
  <c r="AF13" i="4" s="1"/>
  <c r="F116" i="4"/>
  <c r="H13" i="5"/>
  <c r="I13" i="5"/>
  <c r="T12" i="4"/>
  <c r="AF12" i="4" s="1"/>
  <c r="T480" i="4"/>
  <c r="AF480" i="4" s="1"/>
  <c r="G517" i="4"/>
  <c r="F516" i="4"/>
  <c r="G255" i="4"/>
  <c r="F459" i="4"/>
  <c r="G391" i="4"/>
  <c r="G355" i="4"/>
  <c r="G367" i="4"/>
  <c r="G166" i="4"/>
  <c r="G394" i="4"/>
  <c r="G354" i="4"/>
  <c r="G325" i="4"/>
  <c r="G72" i="4"/>
  <c r="G347" i="4"/>
  <c r="G290" i="4"/>
  <c r="G14" i="4"/>
  <c r="H8" i="5"/>
  <c r="I8" i="5"/>
  <c r="G456" i="4"/>
  <c r="G208" i="4"/>
  <c r="G104" i="4"/>
  <c r="G39" i="4"/>
  <c r="F512" i="4"/>
  <c r="G429" i="4"/>
  <c r="G261" i="4"/>
  <c r="F155" i="4"/>
  <c r="T477" i="4"/>
  <c r="G228" i="4"/>
  <c r="F350" i="4"/>
  <c r="T50" i="4"/>
  <c r="AF50" i="4" s="1"/>
  <c r="F292" i="4"/>
  <c r="F324" i="4"/>
  <c r="T545" i="4"/>
  <c r="T84" i="4"/>
  <c r="G109" i="4"/>
  <c r="G531" i="4"/>
  <c r="T308" i="4"/>
  <c r="G116" i="4"/>
  <c r="T105" i="4"/>
  <c r="G434" i="4"/>
  <c r="T256" i="4"/>
  <c r="G101" i="4"/>
  <c r="T140" i="4"/>
  <c r="AF140" i="4" s="1"/>
  <c r="T377" i="4"/>
  <c r="AF377" i="4" s="1"/>
  <c r="T428" i="4"/>
  <c r="AF428" i="4" s="1"/>
  <c r="T93" i="4"/>
  <c r="AF93" i="4" s="1"/>
  <c r="T390" i="4"/>
  <c r="AF390" i="4" s="1"/>
  <c r="H70" i="4"/>
  <c r="N69" i="4"/>
  <c r="N24" i="4"/>
  <c r="H25" i="4"/>
  <c r="T232" i="4"/>
  <c r="AF232" i="4" s="1"/>
  <c r="T152" i="4"/>
  <c r="AF152" i="4" s="1"/>
  <c r="T411" i="4"/>
  <c r="AF411" i="4" s="1"/>
  <c r="F392" i="4"/>
  <c r="G468" i="4"/>
  <c r="F431" i="4"/>
  <c r="G213" i="4"/>
  <c r="F281" i="4"/>
  <c r="G207" i="4"/>
  <c r="F500" i="4"/>
  <c r="F386" i="4"/>
  <c r="F36" i="4"/>
  <c r="G238" i="4"/>
  <c r="G310" i="4"/>
  <c r="F407" i="4"/>
  <c r="G266" i="4"/>
  <c r="F114" i="4"/>
  <c r="F505" i="4"/>
  <c r="G330" i="4"/>
  <c r="F255" i="4"/>
  <c r="G459" i="4"/>
  <c r="F391" i="4"/>
  <c r="G284" i="4"/>
  <c r="F355" i="4"/>
  <c r="F367" i="4"/>
  <c r="F86" i="4"/>
  <c r="F296" i="4"/>
  <c r="F157" i="4"/>
  <c r="G440" i="4"/>
  <c r="F175" i="4"/>
  <c r="F437" i="4"/>
  <c r="G496" i="4"/>
  <c r="F318" i="4"/>
  <c r="F511" i="4"/>
  <c r="F263" i="4"/>
  <c r="F406" i="4"/>
  <c r="F156" i="4"/>
  <c r="F181" i="4"/>
  <c r="G292" i="4"/>
  <c r="F446" i="4"/>
  <c r="G384" i="4"/>
  <c r="T401" i="4"/>
  <c r="AF401" i="4" s="1"/>
  <c r="T378" i="4"/>
  <c r="F319" i="4"/>
  <c r="T424" i="4"/>
  <c r="AF424" i="4" s="1"/>
  <c r="G222" i="4"/>
  <c r="G407" i="4"/>
  <c r="G505" i="4"/>
  <c r="H542" i="4"/>
  <c r="N541" i="4"/>
  <c r="F482" i="4"/>
  <c r="F211" i="4"/>
  <c r="G219" i="4"/>
  <c r="G61" i="4"/>
  <c r="G443" i="4"/>
  <c r="F306" i="4"/>
  <c r="F197" i="4"/>
  <c r="G274" i="4"/>
  <c r="F90" i="4"/>
  <c r="H329" i="4"/>
  <c r="N328" i="4"/>
  <c r="G296" i="4"/>
  <c r="G157" i="4"/>
  <c r="G17" i="4"/>
  <c r="F440" i="4"/>
  <c r="G175" i="4"/>
  <c r="F236" i="4"/>
  <c r="F15" i="4"/>
  <c r="F25" i="4"/>
  <c r="F359" i="4"/>
  <c r="G437" i="4"/>
  <c r="F496" i="4"/>
  <c r="G318" i="4"/>
  <c r="G511" i="4"/>
  <c r="F514" i="4"/>
  <c r="G435" i="4"/>
  <c r="T231" i="4"/>
  <c r="F66" i="4"/>
  <c r="F488" i="4"/>
  <c r="F366" i="4"/>
  <c r="G263" i="4"/>
  <c r="G406" i="4"/>
  <c r="F45" i="4"/>
  <c r="G156" i="4"/>
  <c r="G181" i="4"/>
  <c r="T149" i="4"/>
  <c r="G446" i="4"/>
  <c r="G519" i="4"/>
  <c r="F384" i="4"/>
  <c r="N443" i="4"/>
  <c r="H444" i="4"/>
  <c r="H20" i="5"/>
  <c r="I20" i="5"/>
  <c r="G196" i="4"/>
  <c r="T536" i="4"/>
  <c r="G319" i="4"/>
  <c r="T192" i="4"/>
  <c r="T38" i="4"/>
  <c r="H344" i="4"/>
  <c r="N344" i="4" s="1"/>
  <c r="N343" i="4"/>
  <c r="H506" i="4"/>
  <c r="N505" i="4"/>
  <c r="H12" i="5"/>
  <c r="I12" i="5"/>
  <c r="H6" i="5"/>
  <c r="I6" i="5"/>
  <c r="F352" i="4"/>
  <c r="G167" i="4"/>
  <c r="G125" i="4"/>
  <c r="G81" i="4"/>
  <c r="G361" i="4"/>
  <c r="F258" i="4"/>
  <c r="F193" i="4"/>
  <c r="G139" i="4"/>
  <c r="G142" i="4"/>
  <c r="G82" i="4"/>
  <c r="F397" i="4"/>
  <c r="F293" i="4"/>
  <c r="G385" i="4"/>
  <c r="G244" i="4"/>
  <c r="G311" i="4"/>
  <c r="F363" i="4"/>
  <c r="G346" i="4"/>
  <c r="F220" i="4"/>
  <c r="G54" i="4"/>
  <c r="F448" i="4"/>
  <c r="F163" i="4"/>
  <c r="G53" i="4"/>
  <c r="F540" i="4"/>
  <c r="G513" i="4"/>
  <c r="G372" i="4"/>
  <c r="G174" i="4"/>
  <c r="G59" i="4"/>
  <c r="F68" i="4"/>
  <c r="G464" i="4"/>
  <c r="F67" i="4"/>
  <c r="G19" i="4"/>
  <c r="H9" i="5"/>
  <c r="I9" i="5"/>
  <c r="G352" i="4"/>
  <c r="G258" i="4"/>
  <c r="G193" i="4"/>
  <c r="H486" i="4"/>
  <c r="N485" i="4"/>
  <c r="G397" i="4"/>
  <c r="F385" i="4"/>
  <c r="F311" i="4"/>
  <c r="G363" i="4"/>
  <c r="G220" i="4"/>
  <c r="H514" i="4"/>
  <c r="N513" i="4"/>
  <c r="G448" i="4"/>
  <c r="G163" i="4"/>
  <c r="F59" i="4"/>
  <c r="G67" i="4"/>
  <c r="F447" i="4"/>
  <c r="G532" i="4"/>
  <c r="F188" i="4"/>
  <c r="F417" i="4"/>
  <c r="F233" i="4"/>
  <c r="F402" i="4"/>
  <c r="F338" i="4"/>
  <c r="F89" i="4"/>
  <c r="F420" i="4"/>
  <c r="H276" i="4"/>
  <c r="N275" i="4"/>
  <c r="F223" i="4"/>
  <c r="F450" i="4"/>
  <c r="F191" i="4"/>
  <c r="F479" i="4"/>
  <c r="F527" i="4"/>
  <c r="F476" i="4"/>
  <c r="F249" i="4"/>
  <c r="H142" i="4"/>
  <c r="N142" i="4" s="1"/>
  <c r="N141" i="4"/>
  <c r="H14" i="5"/>
  <c r="I14" i="5"/>
  <c r="G495" i="4"/>
  <c r="F483" i="4"/>
  <c r="F413" i="4"/>
  <c r="G447" i="4"/>
  <c r="F532" i="4"/>
  <c r="F299" i="4"/>
  <c r="G188" i="4"/>
  <c r="F19" i="4"/>
  <c r="F41" i="4"/>
  <c r="G417" i="4"/>
  <c r="G233" i="4"/>
  <c r="F43" i="4"/>
  <c r="G402" i="4"/>
  <c r="G338" i="4"/>
  <c r="G89" i="4"/>
  <c r="G11" i="4"/>
  <c r="G420" i="4"/>
  <c r="G168" i="4"/>
  <c r="G58" i="4"/>
  <c r="F439" i="4"/>
  <c r="G334" i="4"/>
  <c r="F278" i="4"/>
  <c r="F199" i="4"/>
  <c r="F106" i="4"/>
  <c r="G529" i="4"/>
  <c r="F351" i="4"/>
  <c r="F268" i="4"/>
  <c r="F121" i="4"/>
  <c r="H535" i="4"/>
  <c r="N534" i="4"/>
  <c r="G223" i="4"/>
  <c r="G450" i="4"/>
  <c r="G191" i="4"/>
  <c r="F248" i="4"/>
  <c r="G479" i="4"/>
  <c r="G527" i="4"/>
  <c r="G476" i="4"/>
  <c r="G249" i="4"/>
  <c r="F11" i="4"/>
  <c r="G439" i="4"/>
  <c r="G278" i="4"/>
  <c r="G199" i="4"/>
  <c r="G106" i="4"/>
  <c r="F436" i="4"/>
  <c r="F529" i="4"/>
  <c r="H7" i="5"/>
  <c r="I7" i="5"/>
  <c r="F206" i="4"/>
  <c r="G132" i="4"/>
  <c r="F530" i="4"/>
  <c r="F242" i="4"/>
  <c r="G462" i="4"/>
  <c r="G436" i="4"/>
  <c r="G342" i="4"/>
  <c r="G183" i="4"/>
  <c r="F489" i="4"/>
  <c r="G465" i="4"/>
  <c r="F288" i="4"/>
  <c r="F185" i="4"/>
  <c r="H21" i="5"/>
  <c r="I21" i="5"/>
  <c r="F314" i="4"/>
  <c r="G148" i="4"/>
  <c r="G115" i="4"/>
  <c r="H59" i="4"/>
  <c r="N58" i="4"/>
  <c r="G262" i="4"/>
  <c r="G206" i="4"/>
  <c r="F132" i="4"/>
  <c r="G530" i="4"/>
  <c r="G242" i="4"/>
  <c r="F250" i="4"/>
  <c r="F128" i="4"/>
  <c r="G489" i="4"/>
  <c r="G185" i="4"/>
  <c r="H11" i="5"/>
  <c r="I11" i="5"/>
  <c r="G128" i="4"/>
  <c r="G526" i="4"/>
  <c r="G485" i="4"/>
  <c r="G387" i="4"/>
  <c r="G77" i="4"/>
  <c r="F460" i="4"/>
  <c r="F322" i="4"/>
  <c r="F203" i="4"/>
  <c r="F275" i="4"/>
  <c r="F74" i="4"/>
  <c r="F491" i="4"/>
  <c r="F412" i="4"/>
  <c r="F270" i="4"/>
  <c r="F235" i="4"/>
  <c r="G246" i="4"/>
  <c r="F148" i="4"/>
  <c r="F307" i="4"/>
  <c r="G234" i="4"/>
  <c r="F115" i="4"/>
  <c r="G32" i="4"/>
  <c r="F444" i="4"/>
  <c r="F110" i="4"/>
  <c r="F83" i="4"/>
  <c r="F309" i="4"/>
  <c r="F467" i="4"/>
  <c r="F286" i="4"/>
  <c r="F46" i="4"/>
  <c r="G71" i="4"/>
  <c r="G203" i="4"/>
  <c r="G491" i="4"/>
  <c r="G412" i="4"/>
  <c r="G270" i="4"/>
  <c r="G235" i="4"/>
  <c r="F92" i="4"/>
  <c r="G433" i="4"/>
  <c r="G243" i="4"/>
  <c r="F498" i="4"/>
  <c r="F445" i="4"/>
  <c r="F373" i="4"/>
  <c r="F55" i="4"/>
  <c r="F147" i="4"/>
  <c r="F102" i="4"/>
  <c r="F528" i="4"/>
  <c r="G110" i="4"/>
  <c r="G83" i="4"/>
  <c r="G309" i="4"/>
  <c r="G467" i="4"/>
  <c r="F205" i="4"/>
  <c r="G46" i="4"/>
  <c r="F212" i="4"/>
  <c r="F71" i="4"/>
  <c r="G92" i="4"/>
  <c r="F433" i="4"/>
  <c r="G498" i="4"/>
  <c r="G373" i="4"/>
  <c r="G55" i="4"/>
  <c r="G147" i="4"/>
  <c r="G102" i="4"/>
  <c r="H220" i="4"/>
  <c r="N219" i="4"/>
  <c r="F53" i="4"/>
  <c r="F513" i="4"/>
  <c r="O90" i="2" l="1"/>
  <c r="O95" i="2" s="1"/>
  <c r="O103" i="2" s="1"/>
  <c r="F215" i="4"/>
  <c r="H81" i="4"/>
  <c r="N80" i="4"/>
  <c r="H157" i="4"/>
  <c r="N156" i="4"/>
  <c r="H354" i="4"/>
  <c r="N353" i="4"/>
  <c r="H293" i="4"/>
  <c r="N292" i="4"/>
  <c r="H409" i="4"/>
  <c r="N409" i="4" s="1"/>
  <c r="N408" i="4"/>
  <c r="H248" i="4"/>
  <c r="N247" i="4"/>
  <c r="H264" i="4"/>
  <c r="N263" i="4"/>
  <c r="H239" i="4"/>
  <c r="N238" i="4"/>
  <c r="G424" i="4"/>
  <c r="F303" i="4"/>
  <c r="F16" i="4"/>
  <c r="G180" i="4"/>
  <c r="F187" i="4"/>
  <c r="G237" i="4"/>
  <c r="G140" i="4"/>
  <c r="F454" i="4"/>
  <c r="F376" i="4"/>
  <c r="G215" i="4"/>
  <c r="G390" i="4"/>
  <c r="G176" i="4"/>
  <c r="F50" i="4"/>
  <c r="G65" i="4"/>
  <c r="G303" i="4"/>
  <c r="F178" i="4"/>
  <c r="F424" i="4"/>
  <c r="F297" i="4"/>
  <c r="G13" i="4"/>
  <c r="F501" i="4"/>
  <c r="F107" i="4"/>
  <c r="F24" i="4"/>
  <c r="F12" i="4"/>
  <c r="F377" i="4"/>
  <c r="G12" i="4"/>
  <c r="G123" i="4"/>
  <c r="F123" i="4"/>
  <c r="G16" i="4"/>
  <c r="G454" i="4"/>
  <c r="F65" i="4"/>
  <c r="F353" i="4"/>
  <c r="F510" i="4"/>
  <c r="G510" i="4"/>
  <c r="F469" i="4"/>
  <c r="F152" i="4"/>
  <c r="F388" i="4"/>
  <c r="H114" i="4"/>
  <c r="N113" i="4"/>
  <c r="H282" i="4"/>
  <c r="N281" i="4"/>
  <c r="G24" i="4"/>
  <c r="G50" i="4"/>
  <c r="H487" i="4"/>
  <c r="N486" i="4"/>
  <c r="G401" i="4"/>
  <c r="AF149" i="4"/>
  <c r="F149" i="4" s="1"/>
  <c r="AF308" i="4"/>
  <c r="G308" i="4" s="1"/>
  <c r="G122" i="4"/>
  <c r="AF543" i="4"/>
  <c r="G543" i="4" s="1"/>
  <c r="G506" i="4"/>
  <c r="F140" i="4"/>
  <c r="G152" i="4"/>
  <c r="G478" i="4"/>
  <c r="F506" i="4"/>
  <c r="N381" i="4"/>
  <c r="H382" i="4"/>
  <c r="AF218" i="4"/>
  <c r="G218" i="4" s="1"/>
  <c r="G353" i="4"/>
  <c r="G408" i="4"/>
  <c r="F478" i="4"/>
  <c r="H277" i="4"/>
  <c r="N277" i="4" s="1"/>
  <c r="N276" i="4"/>
  <c r="AF131" i="4"/>
  <c r="F131" i="4" s="1"/>
  <c r="H184" i="4"/>
  <c r="N183" i="4"/>
  <c r="G388" i="4"/>
  <c r="AF231" i="4"/>
  <c r="G231" i="4" s="1"/>
  <c r="H330" i="4"/>
  <c r="N329" i="4"/>
  <c r="AF378" i="4"/>
  <c r="F378" i="4" s="1"/>
  <c r="F241" i="4"/>
  <c r="N542" i="4"/>
  <c r="H543" i="4"/>
  <c r="F401" i="4"/>
  <c r="F232" i="4"/>
  <c r="F93" i="4"/>
  <c r="F229" i="4"/>
  <c r="F117" i="4"/>
  <c r="AF503" i="4"/>
  <c r="G503" i="4" s="1"/>
  <c r="N311" i="4"/>
  <c r="H312" i="4"/>
  <c r="F126" i="4"/>
  <c r="G480" i="4"/>
  <c r="AF38" i="4"/>
  <c r="G38" i="4" s="1"/>
  <c r="G241" i="4"/>
  <c r="AF291" i="4"/>
  <c r="G291" i="4" s="1"/>
  <c r="G107" i="4"/>
  <c r="G126" i="4"/>
  <c r="G376" i="4"/>
  <c r="G187" i="4"/>
  <c r="N514" i="4"/>
  <c r="H515" i="4"/>
  <c r="H445" i="4"/>
  <c r="N444" i="4"/>
  <c r="F428" i="4"/>
  <c r="AF256" i="4"/>
  <c r="G256" i="4" s="1"/>
  <c r="F480" i="4"/>
  <c r="AF331" i="4"/>
  <c r="F331" i="4" s="1"/>
  <c r="AF87" i="4"/>
  <c r="F87" i="4" s="1"/>
  <c r="H179" i="4"/>
  <c r="N179" i="4" s="1"/>
  <c r="N178" i="4"/>
  <c r="H44" i="4"/>
  <c r="N43" i="4"/>
  <c r="G93" i="4"/>
  <c r="N25" i="4"/>
  <c r="H26" i="4"/>
  <c r="N470" i="4"/>
  <c r="H471" i="4"/>
  <c r="H419" i="4"/>
  <c r="N418" i="4"/>
  <c r="H340" i="4"/>
  <c r="N340" i="4" s="1"/>
  <c r="N339" i="4"/>
  <c r="G232" i="4"/>
  <c r="AF84" i="4"/>
  <c r="F84" i="4" s="1"/>
  <c r="G501" i="4"/>
  <c r="G229" i="4"/>
  <c r="AF518" i="4"/>
  <c r="G518" i="4" s="1"/>
  <c r="G469" i="4"/>
  <c r="G428" i="4"/>
  <c r="G297" i="4"/>
  <c r="AF192" i="4"/>
  <c r="F192" i="4" s="1"/>
  <c r="H194" i="4"/>
  <c r="N193" i="4"/>
  <c r="AF214" i="4"/>
  <c r="G214" i="4" s="1"/>
  <c r="AF42" i="4"/>
  <c r="G42" i="4" s="1"/>
  <c r="G377" i="4"/>
  <c r="F411" i="4"/>
  <c r="H71" i="4"/>
  <c r="N71" i="4" s="1"/>
  <c r="N70" i="4"/>
  <c r="AF105" i="4"/>
  <c r="G105" i="4" s="1"/>
  <c r="AF545" i="4"/>
  <c r="F545" i="4" s="1"/>
  <c r="AF477" i="4"/>
  <c r="G477" i="4" s="1"/>
  <c r="AF202" i="4"/>
  <c r="F202" i="4" s="1"/>
  <c r="F176" i="4"/>
  <c r="G117" i="4"/>
  <c r="G178" i="4"/>
  <c r="H507" i="4"/>
  <c r="N506" i="4"/>
  <c r="N59" i="4"/>
  <c r="H60" i="4"/>
  <c r="H536" i="4"/>
  <c r="N535" i="4"/>
  <c r="N220" i="4"/>
  <c r="H221" i="4"/>
  <c r="AF536" i="4"/>
  <c r="G536" i="4" s="1"/>
  <c r="G411" i="4"/>
  <c r="F390" i="4"/>
  <c r="H105" i="4"/>
  <c r="N104" i="4"/>
  <c r="AF120" i="4"/>
  <c r="F120" i="4" s="1"/>
  <c r="N11" i="4"/>
  <c r="H12" i="4"/>
  <c r="N147" i="4"/>
  <c r="H148" i="4"/>
  <c r="F237" i="4"/>
  <c r="F122" i="4"/>
  <c r="AF438" i="4"/>
  <c r="F438" i="4" s="1"/>
  <c r="N95" i="4"/>
  <c r="H96" i="4"/>
  <c r="H97" i="4" s="1"/>
  <c r="H98" i="4" s="1"/>
  <c r="H99" i="4" s="1"/>
  <c r="H100" i="4" s="1"/>
  <c r="F180" i="4"/>
  <c r="F13" i="4"/>
  <c r="O113" i="2" l="1"/>
  <c r="O126" i="2" s="1"/>
  <c r="P7" i="2"/>
  <c r="H249" i="4"/>
  <c r="N248" i="4"/>
  <c r="H294" i="4"/>
  <c r="N293" i="4"/>
  <c r="H355" i="4"/>
  <c r="N354" i="4"/>
  <c r="H158" i="4"/>
  <c r="N157" i="4"/>
  <c r="H265" i="4"/>
  <c r="N264" i="4"/>
  <c r="H82" i="4"/>
  <c r="N81" i="4"/>
  <c r="F543" i="4"/>
  <c r="N239" i="4"/>
  <c r="H240" i="4"/>
  <c r="H241" i="4" s="1"/>
  <c r="H242" i="4" s="1"/>
  <c r="H243" i="4" s="1"/>
  <c r="H244" i="4" s="1"/>
  <c r="F38" i="4"/>
  <c r="G202" i="4"/>
  <c r="G331" i="4"/>
  <c r="F42" i="4"/>
  <c r="G149" i="4"/>
  <c r="F231" i="4"/>
  <c r="F214" i="4"/>
  <c r="F477" i="4"/>
  <c r="G87" i="4"/>
  <c r="F503" i="4"/>
  <c r="F256" i="4"/>
  <c r="H149" i="4"/>
  <c r="N148" i="4"/>
  <c r="H27" i="4"/>
  <c r="N26" i="4"/>
  <c r="G120" i="4"/>
  <c r="N536" i="4"/>
  <c r="H537" i="4"/>
  <c r="G545" i="4"/>
  <c r="N44" i="4"/>
  <c r="H45" i="4"/>
  <c r="N445" i="4"/>
  <c r="H446" i="4"/>
  <c r="H61" i="4"/>
  <c r="N60" i="4"/>
  <c r="H383" i="4"/>
  <c r="N382" i="4"/>
  <c r="N114" i="4"/>
  <c r="H115" i="4"/>
  <c r="F105" i="4"/>
  <c r="G192" i="4"/>
  <c r="H420" i="4"/>
  <c r="N419" i="4"/>
  <c r="F291" i="4"/>
  <c r="H472" i="4"/>
  <c r="N471" i="4"/>
  <c r="N194" i="4"/>
  <c r="H195" i="4"/>
  <c r="N515" i="4"/>
  <c r="H516" i="4"/>
  <c r="H106" i="4"/>
  <c r="N105" i="4"/>
  <c r="N184" i="4"/>
  <c r="H185" i="4"/>
  <c r="G438" i="4"/>
  <c r="H508" i="4"/>
  <c r="N507" i="4"/>
  <c r="H544" i="4"/>
  <c r="N543" i="4"/>
  <c r="G131" i="4"/>
  <c r="N487" i="4"/>
  <c r="H488" i="4"/>
  <c r="F536" i="4"/>
  <c r="F518" i="4"/>
  <c r="N312" i="4"/>
  <c r="H313" i="4"/>
  <c r="G378" i="4"/>
  <c r="H222" i="4"/>
  <c r="N221" i="4"/>
  <c r="N12" i="4"/>
  <c r="H13" i="4"/>
  <c r="N330" i="4"/>
  <c r="H331" i="4"/>
  <c r="G84" i="4"/>
  <c r="F218" i="4"/>
  <c r="F308" i="4"/>
  <c r="N282" i="4"/>
  <c r="H283" i="4"/>
  <c r="F7" i="2" l="1"/>
  <c r="A7" i="2"/>
  <c r="I7" i="2"/>
  <c r="G7" i="2"/>
  <c r="H7" i="2" s="1"/>
  <c r="E7" i="2"/>
  <c r="L7" i="2"/>
  <c r="J7" i="2"/>
  <c r="K7" i="2"/>
  <c r="C7" i="2"/>
  <c r="D7" i="2"/>
  <c r="B7" i="2"/>
  <c r="H83" i="4"/>
  <c r="N82" i="4"/>
  <c r="H250" i="4"/>
  <c r="N249" i="4"/>
  <c r="H266" i="4"/>
  <c r="N265" i="4"/>
  <c r="H159" i="4"/>
  <c r="N158" i="4"/>
  <c r="H356" i="4"/>
  <c r="N355" i="4"/>
  <c r="H295" i="4"/>
  <c r="N294" i="4"/>
  <c r="O141" i="2"/>
  <c r="N508" i="4"/>
  <c r="H509" i="4"/>
  <c r="N27" i="4"/>
  <c r="H28" i="4"/>
  <c r="N45" i="4"/>
  <c r="H46" i="4"/>
  <c r="H284" i="4"/>
  <c r="N283" i="4"/>
  <c r="H186" i="4"/>
  <c r="N185" i="4"/>
  <c r="N420" i="4"/>
  <c r="H421" i="4"/>
  <c r="N383" i="4"/>
  <c r="H384" i="4"/>
  <c r="H314" i="4"/>
  <c r="N313" i="4"/>
  <c r="H332" i="4"/>
  <c r="N332" i="4" s="1"/>
  <c r="N331" i="4"/>
  <c r="H14" i="4"/>
  <c r="N13" i="4"/>
  <c r="H107" i="4"/>
  <c r="N106" i="4"/>
  <c r="H116" i="4"/>
  <c r="N115" i="4"/>
  <c r="H223" i="4"/>
  <c r="N222" i="4"/>
  <c r="H489" i="4"/>
  <c r="N488" i="4"/>
  <c r="H517" i="4"/>
  <c r="N516" i="4"/>
  <c r="H538" i="4"/>
  <c r="N537" i="4"/>
  <c r="H196" i="4"/>
  <c r="N195" i="4"/>
  <c r="H545" i="4"/>
  <c r="N544" i="4"/>
  <c r="H62" i="4"/>
  <c r="N61" i="4"/>
  <c r="N149" i="4"/>
  <c r="H150" i="4"/>
  <c r="N472" i="4"/>
  <c r="H473" i="4"/>
  <c r="H447" i="4"/>
  <c r="N446" i="4"/>
  <c r="H296" i="4" l="1"/>
  <c r="N295" i="4"/>
  <c r="H357" i="4"/>
  <c r="N356" i="4"/>
  <c r="H160" i="4"/>
  <c r="N159" i="4"/>
  <c r="H267" i="4"/>
  <c r="N266" i="4"/>
  <c r="H251" i="4"/>
  <c r="N250" i="4"/>
  <c r="H84" i="4"/>
  <c r="N83" i="4"/>
  <c r="O145" i="2"/>
  <c r="O156" i="2" s="1"/>
  <c r="O164" i="2" s="1"/>
  <c r="N116" i="4"/>
  <c r="H117" i="4"/>
  <c r="H422" i="4"/>
  <c r="N421" i="4"/>
  <c r="N196" i="4"/>
  <c r="H197" i="4"/>
  <c r="H108" i="4"/>
  <c r="N107" i="4"/>
  <c r="H151" i="4"/>
  <c r="N150" i="4"/>
  <c r="H490" i="4"/>
  <c r="N489" i="4"/>
  <c r="N28" i="4"/>
  <c r="H29" i="4"/>
  <c r="H224" i="4"/>
  <c r="N223" i="4"/>
  <c r="N384" i="4"/>
  <c r="H385" i="4"/>
  <c r="H510" i="4"/>
  <c r="N510" i="4" s="1"/>
  <c r="N509" i="4"/>
  <c r="N545" i="4"/>
  <c r="H546" i="4"/>
  <c r="H187" i="4"/>
  <c r="N186" i="4"/>
  <c r="H448" i="4"/>
  <c r="N447" i="4"/>
  <c r="H539" i="4"/>
  <c r="N539" i="4" s="1"/>
  <c r="N538" i="4"/>
  <c r="N314" i="4"/>
  <c r="H315" i="4"/>
  <c r="H63" i="4"/>
  <c r="N62" i="4"/>
  <c r="N473" i="4"/>
  <c r="H474" i="4"/>
  <c r="H15" i="4"/>
  <c r="N14" i="4"/>
  <c r="N284" i="4"/>
  <c r="H285" i="4"/>
  <c r="H286" i="4" s="1"/>
  <c r="H287" i="4" s="1"/>
  <c r="H288" i="4" s="1"/>
  <c r="H289" i="4" s="1"/>
  <c r="H518" i="4"/>
  <c r="N517" i="4"/>
  <c r="N46" i="4"/>
  <c r="H47" i="4"/>
  <c r="H252" i="4" l="1"/>
  <c r="N251" i="4"/>
  <c r="H85" i="4"/>
  <c r="N84" i="4"/>
  <c r="H268" i="4"/>
  <c r="N267" i="4"/>
  <c r="H161" i="4"/>
  <c r="N160" i="4"/>
  <c r="H358" i="4"/>
  <c r="N357" i="4"/>
  <c r="H297" i="4"/>
  <c r="N296" i="4"/>
  <c r="O176" i="2"/>
  <c r="N15" i="4"/>
  <c r="H16" i="4"/>
  <c r="H188" i="4"/>
  <c r="N187" i="4"/>
  <c r="N490" i="4"/>
  <c r="H491" i="4"/>
  <c r="H475" i="4"/>
  <c r="N474" i="4"/>
  <c r="N546" i="4"/>
  <c r="H152" i="4"/>
  <c r="N151" i="4"/>
  <c r="H64" i="4"/>
  <c r="N63" i="4"/>
  <c r="H109" i="4"/>
  <c r="N108" i="4"/>
  <c r="H48" i="4"/>
  <c r="N47" i="4"/>
  <c r="N315" i="4"/>
  <c r="H316" i="4"/>
  <c r="H386" i="4"/>
  <c r="N385" i="4"/>
  <c r="H198" i="4"/>
  <c r="N197" i="4"/>
  <c r="H519" i="4"/>
  <c r="N518" i="4"/>
  <c r="N224" i="4"/>
  <c r="H225" i="4"/>
  <c r="N29" i="4"/>
  <c r="H30" i="4"/>
  <c r="H423" i="4"/>
  <c r="N422" i="4"/>
  <c r="H449" i="4"/>
  <c r="N448" i="4"/>
  <c r="H118" i="4"/>
  <c r="N117" i="4"/>
  <c r="H359" i="4" l="1"/>
  <c r="N358" i="4"/>
  <c r="H298" i="4"/>
  <c r="N297" i="4"/>
  <c r="H162" i="4"/>
  <c r="N161" i="4"/>
  <c r="H269" i="4"/>
  <c r="N268" i="4"/>
  <c r="H86" i="4"/>
  <c r="N85" i="4"/>
  <c r="H253" i="4"/>
  <c r="N252" i="4"/>
  <c r="O182" i="2"/>
  <c r="O193" i="2" s="1"/>
  <c r="O207" i="2" s="1"/>
  <c r="O213" i="2" s="1"/>
  <c r="H119" i="4"/>
  <c r="N118" i="4"/>
  <c r="H199" i="4"/>
  <c r="N198" i="4"/>
  <c r="H153" i="4"/>
  <c r="N153" i="4" s="1"/>
  <c r="N152" i="4"/>
  <c r="H450" i="4"/>
  <c r="N449" i="4"/>
  <c r="N386" i="4"/>
  <c r="H387" i="4"/>
  <c r="H317" i="4"/>
  <c r="N316" i="4"/>
  <c r="H520" i="4"/>
  <c r="N519" i="4"/>
  <c r="N423" i="4"/>
  <c r="H424" i="4"/>
  <c r="N475" i="4"/>
  <c r="H476" i="4"/>
  <c r="N30" i="4"/>
  <c r="H31" i="4"/>
  <c r="N491" i="4"/>
  <c r="H492" i="4"/>
  <c r="N48" i="4"/>
  <c r="H49" i="4"/>
  <c r="H65" i="4"/>
  <c r="N64" i="4"/>
  <c r="N225" i="4"/>
  <c r="H226" i="4"/>
  <c r="H110" i="4"/>
  <c r="N110" i="4" s="1"/>
  <c r="N109" i="4"/>
  <c r="H189" i="4"/>
  <c r="N188" i="4"/>
  <c r="H17" i="4"/>
  <c r="H18" i="4" s="1"/>
  <c r="H19" i="4" s="1"/>
  <c r="H20" i="4" s="1"/>
  <c r="H21" i="4" s="1"/>
  <c r="N16" i="4"/>
  <c r="H270" i="4" l="1"/>
  <c r="N269" i="4"/>
  <c r="H254" i="4"/>
  <c r="N253" i="4"/>
  <c r="H87" i="4"/>
  <c r="N86" i="4"/>
  <c r="H163" i="4"/>
  <c r="N162" i="4"/>
  <c r="H299" i="4"/>
  <c r="N298" i="4"/>
  <c r="H360" i="4"/>
  <c r="N359" i="4"/>
  <c r="O216" i="2"/>
  <c r="O220" i="2" s="1"/>
  <c r="H318" i="4"/>
  <c r="N317" i="4"/>
  <c r="H493" i="4"/>
  <c r="N492" i="4"/>
  <c r="H388" i="4"/>
  <c r="N387" i="4"/>
  <c r="N189" i="4"/>
  <c r="H190" i="4"/>
  <c r="N190" i="4" s="1"/>
  <c r="H32" i="4"/>
  <c r="N31" i="4"/>
  <c r="H451" i="4"/>
  <c r="N450" i="4"/>
  <c r="H477" i="4"/>
  <c r="N476" i="4"/>
  <c r="H227" i="4"/>
  <c r="N226" i="4"/>
  <c r="N424" i="4"/>
  <c r="H425" i="4"/>
  <c r="H200" i="4"/>
  <c r="N199" i="4"/>
  <c r="H66" i="4"/>
  <c r="N65" i="4"/>
  <c r="H50" i="4"/>
  <c r="N49" i="4"/>
  <c r="N520" i="4"/>
  <c r="H521" i="4"/>
  <c r="H120" i="4"/>
  <c r="N119" i="4"/>
  <c r="H255" i="4" l="1"/>
  <c r="N254" i="4"/>
  <c r="H271" i="4"/>
  <c r="N270" i="4"/>
  <c r="H361" i="4"/>
  <c r="N360" i="4"/>
  <c r="H164" i="4"/>
  <c r="N163" i="4"/>
  <c r="H300" i="4"/>
  <c r="H301" i="4" s="1"/>
  <c r="H302" i="4" s="1"/>
  <c r="H303" i="4" s="1"/>
  <c r="H304" i="4" s="1"/>
  <c r="H305" i="4" s="1"/>
  <c r="N299" i="4"/>
  <c r="H88" i="4"/>
  <c r="N87" i="4"/>
  <c r="O233" i="2"/>
  <c r="O232" i="2"/>
  <c r="H201" i="4"/>
  <c r="N200" i="4"/>
  <c r="N425" i="4"/>
  <c r="H426" i="4"/>
  <c r="N50" i="4"/>
  <c r="H51" i="4"/>
  <c r="N51" i="4" s="1"/>
  <c r="N451" i="4"/>
  <c r="H452" i="4"/>
  <c r="N66" i="4"/>
  <c r="H67" i="4"/>
  <c r="N67" i="4" s="1"/>
  <c r="N32" i="4"/>
  <c r="H33" i="4"/>
  <c r="H389" i="4"/>
  <c r="N388" i="4"/>
  <c r="N120" i="4"/>
  <c r="H121" i="4"/>
  <c r="N227" i="4"/>
  <c r="H228" i="4"/>
  <c r="H494" i="4"/>
  <c r="N493" i="4"/>
  <c r="N521" i="4"/>
  <c r="H522" i="4"/>
  <c r="H478" i="4"/>
  <c r="N477" i="4"/>
  <c r="H319" i="4"/>
  <c r="N319" i="4" s="1"/>
  <c r="N318" i="4"/>
  <c r="H306" i="4" l="1"/>
  <c r="N305" i="4"/>
  <c r="H362" i="4"/>
  <c r="N361" i="4"/>
  <c r="H89" i="4"/>
  <c r="N88" i="4"/>
  <c r="H165" i="4"/>
  <c r="N164" i="4"/>
  <c r="H272" i="4"/>
  <c r="N271" i="4"/>
  <c r="O238" i="2"/>
  <c r="O247" i="2" s="1"/>
  <c r="O261" i="2" s="1"/>
  <c r="O269" i="2" s="1"/>
  <c r="H256" i="4"/>
  <c r="N255" i="4"/>
  <c r="N452" i="4"/>
  <c r="H453" i="4"/>
  <c r="N453" i="4" s="1"/>
  <c r="N494" i="4"/>
  <c r="H495" i="4"/>
  <c r="H229" i="4"/>
  <c r="N228" i="4"/>
  <c r="N33" i="4"/>
  <c r="H34" i="4"/>
  <c r="H479" i="4"/>
  <c r="N478" i="4"/>
  <c r="H523" i="4"/>
  <c r="N522" i="4"/>
  <c r="H122" i="4"/>
  <c r="N121" i="4"/>
  <c r="N426" i="4"/>
  <c r="H427" i="4"/>
  <c r="H390" i="4"/>
  <c r="N389" i="4"/>
  <c r="N201" i="4"/>
  <c r="H202" i="4"/>
  <c r="H273" i="4" l="1"/>
  <c r="N273" i="4" s="1"/>
  <c r="N272" i="4"/>
  <c r="H363" i="4"/>
  <c r="N362" i="4"/>
  <c r="H166" i="4"/>
  <c r="N165" i="4"/>
  <c r="H257" i="4"/>
  <c r="N256" i="4"/>
  <c r="H90" i="4"/>
  <c r="N89" i="4"/>
  <c r="H307" i="4"/>
  <c r="N307" i="4" s="1"/>
  <c r="N306" i="4"/>
  <c r="O276" i="2"/>
  <c r="O280" i="2" s="1"/>
  <c r="H203" i="4"/>
  <c r="N202" i="4"/>
  <c r="N523" i="4"/>
  <c r="H524" i="4"/>
  <c r="N479" i="4"/>
  <c r="H480" i="4"/>
  <c r="N34" i="4"/>
  <c r="H35" i="4"/>
  <c r="H391" i="4"/>
  <c r="N390" i="4"/>
  <c r="H230" i="4"/>
  <c r="N229" i="4"/>
  <c r="N427" i="4"/>
  <c r="H428" i="4"/>
  <c r="H496" i="4"/>
  <c r="N495" i="4"/>
  <c r="N122" i="4"/>
  <c r="H123" i="4"/>
  <c r="H91" i="4" l="1"/>
  <c r="N91" i="4" s="1"/>
  <c r="N90" i="4"/>
  <c r="H258" i="4"/>
  <c r="N258" i="4" s="1"/>
  <c r="N257" i="4"/>
  <c r="H364" i="4"/>
  <c r="N363" i="4"/>
  <c r="H167" i="4"/>
  <c r="N167" i="4" s="1"/>
  <c r="N166" i="4"/>
  <c r="O292" i="2"/>
  <c r="H36" i="4"/>
  <c r="N35" i="4"/>
  <c r="H124" i="4"/>
  <c r="N123" i="4"/>
  <c r="N230" i="4"/>
  <c r="H231" i="4"/>
  <c r="H392" i="4"/>
  <c r="N391" i="4"/>
  <c r="H481" i="4"/>
  <c r="N481" i="4" s="1"/>
  <c r="N480" i="4"/>
  <c r="H525" i="4"/>
  <c r="N524" i="4"/>
  <c r="N496" i="4"/>
  <c r="H497" i="4"/>
  <c r="N497" i="4" s="1"/>
  <c r="H429" i="4"/>
  <c r="N428" i="4"/>
  <c r="N203" i="4"/>
  <c r="H204" i="4"/>
  <c r="N204" i="4" s="1"/>
  <c r="H365" i="4" l="1"/>
  <c r="N365" i="4" s="1"/>
  <c r="N364" i="4"/>
  <c r="O307" i="2"/>
  <c r="O310" i="2" s="1"/>
  <c r="O318" i="2" s="1"/>
  <c r="O327" i="2" s="1"/>
  <c r="O335" i="2" s="1"/>
  <c r="O339" i="2" s="1"/>
  <c r="O343" i="2" s="1"/>
  <c r="O349" i="2" s="1"/>
  <c r="H526" i="4"/>
  <c r="N525" i="4"/>
  <c r="H232" i="4"/>
  <c r="N231" i="4"/>
  <c r="N392" i="4"/>
  <c r="H393" i="4"/>
  <c r="N429" i="4"/>
  <c r="H430" i="4"/>
  <c r="H125" i="4"/>
  <c r="N124" i="4"/>
  <c r="N36" i="4"/>
  <c r="H37" i="4"/>
  <c r="O352" i="2" l="1"/>
  <c r="O353" i="2" s="1"/>
  <c r="O354" i="2" s="1"/>
  <c r="O355" i="2" s="1"/>
  <c r="O356" i="2" s="1"/>
  <c r="O357" i="2" s="1"/>
  <c r="O358" i="2" s="1"/>
  <c r="O359" i="2" s="1"/>
  <c r="O360" i="2" s="1"/>
  <c r="O361" i="2" s="1"/>
  <c r="H38" i="4"/>
  <c r="N38" i="4" s="1"/>
  <c r="N37" i="4"/>
  <c r="H126" i="4"/>
  <c r="N125" i="4"/>
  <c r="N430" i="4"/>
  <c r="H431" i="4"/>
  <c r="H394" i="4"/>
  <c r="N393" i="4"/>
  <c r="N232" i="4"/>
  <c r="H233" i="4"/>
  <c r="H527" i="4"/>
  <c r="N526" i="4"/>
  <c r="O368" i="2" l="1"/>
  <c r="O378" i="2" s="1"/>
  <c r="O381" i="2" s="1"/>
  <c r="O389" i="2" s="1"/>
  <c r="O390" i="2" s="1"/>
  <c r="O391" i="2" s="1"/>
  <c r="O392" i="2" s="1"/>
  <c r="O393" i="2" s="1"/>
  <c r="O394" i="2" s="1"/>
  <c r="O395" i="2" s="1"/>
  <c r="O396" i="2" s="1"/>
  <c r="O397" i="2" s="1"/>
  <c r="O398" i="2" s="1"/>
  <c r="O405" i="2" s="1"/>
  <c r="H234" i="4"/>
  <c r="N233" i="4"/>
  <c r="N527" i="4"/>
  <c r="H528" i="4"/>
  <c r="N528" i="4" s="1"/>
  <c r="H395" i="4"/>
  <c r="N394" i="4"/>
  <c r="H432" i="4"/>
  <c r="N431" i="4"/>
  <c r="H127" i="4"/>
  <c r="N126" i="4"/>
  <c r="O408" i="2" l="1"/>
  <c r="P8" i="2"/>
  <c r="P10" i="2"/>
  <c r="P9" i="2"/>
  <c r="P11" i="2"/>
  <c r="P12" i="2"/>
  <c r="H433" i="4"/>
  <c r="N432" i="4"/>
  <c r="H128" i="4"/>
  <c r="N128" i="4" s="1"/>
  <c r="N127" i="4"/>
  <c r="N395" i="4"/>
  <c r="H396" i="4"/>
  <c r="H235" i="4"/>
  <c r="N235" i="4" s="1"/>
  <c r="N234" i="4"/>
  <c r="O414" i="2" l="1"/>
  <c r="O417" i="2" s="1"/>
  <c r="D10" i="2"/>
  <c r="C10" i="2"/>
  <c r="I10" i="2"/>
  <c r="B10" i="2"/>
  <c r="K10" i="2"/>
  <c r="J10" i="2"/>
  <c r="G10" i="2"/>
  <c r="H10" i="2" s="1"/>
  <c r="A10" i="2"/>
  <c r="F10" i="2"/>
  <c r="E10" i="2"/>
  <c r="L10" i="2"/>
  <c r="K11" i="2"/>
  <c r="D11" i="2"/>
  <c r="B11" i="2"/>
  <c r="I11" i="2"/>
  <c r="C11" i="2"/>
  <c r="A11" i="2"/>
  <c r="J11" i="2"/>
  <c r="F11" i="2"/>
  <c r="E11" i="2"/>
  <c r="G11" i="2"/>
  <c r="H11" i="2" s="1"/>
  <c r="L11" i="2"/>
  <c r="J8" i="2"/>
  <c r="E8" i="2"/>
  <c r="G8" i="2"/>
  <c r="H8" i="2" s="1"/>
  <c r="F8" i="2"/>
  <c r="B8" i="2"/>
  <c r="L8" i="2"/>
  <c r="A8" i="2"/>
  <c r="I8" i="2"/>
  <c r="D8" i="2"/>
  <c r="K8" i="2"/>
  <c r="C8" i="2"/>
  <c r="C9" i="2"/>
  <c r="G9" i="2"/>
  <c r="H9" i="2" s="1"/>
  <c r="J9" i="2"/>
  <c r="E9" i="2"/>
  <c r="K9" i="2"/>
  <c r="B9" i="2"/>
  <c r="I9" i="2"/>
  <c r="F9" i="2"/>
  <c r="L9" i="2"/>
  <c r="D9" i="2"/>
  <c r="A9" i="2"/>
  <c r="C12" i="2"/>
  <c r="F12" i="2"/>
  <c r="B12" i="2"/>
  <c r="A12" i="2"/>
  <c r="L12" i="2"/>
  <c r="J12" i="2"/>
  <c r="E12" i="2"/>
  <c r="D12" i="2"/>
  <c r="I12" i="2"/>
  <c r="K12" i="2"/>
  <c r="G12" i="2"/>
  <c r="H12" i="2" s="1"/>
  <c r="H397" i="4"/>
  <c r="N396" i="4"/>
  <c r="H434" i="4"/>
  <c r="N433" i="4"/>
  <c r="O425" i="2" l="1"/>
  <c r="H435" i="4"/>
  <c r="N434" i="4"/>
  <c r="H398" i="4"/>
  <c r="N397" i="4"/>
  <c r="O435" i="2" l="1"/>
  <c r="H399" i="4"/>
  <c r="N398" i="4"/>
  <c r="H436" i="4"/>
  <c r="N436" i="4" s="1"/>
  <c r="N435" i="4"/>
  <c r="O439" i="2" l="1"/>
  <c r="H400" i="4"/>
  <c r="N400" i="4" s="1"/>
  <c r="N399" i="4"/>
  <c r="O443" i="2" l="1"/>
  <c r="O444" i="2" s="1"/>
  <c r="O445" i="2" s="1"/>
  <c r="O446" i="2" s="1"/>
  <c r="O447" i="2" l="1"/>
  <c r="O448" i="2" s="1"/>
  <c r="O449" i="2" l="1"/>
  <c r="O450" i="2" l="1"/>
  <c r="O451" i="2" s="1"/>
  <c r="O452" i="2" s="1"/>
  <c r="O466" i="2" l="1"/>
  <c r="O470" i="2" l="1"/>
  <c r="O477" i="2" l="1"/>
  <c r="O484" i="2" l="1"/>
  <c r="O492" i="2" l="1"/>
  <c r="O493" i="2" l="1"/>
  <c r="O494" i="2" l="1"/>
  <c r="O495" i="2" l="1"/>
  <c r="O496" i="2" l="1"/>
  <c r="O497" i="2" l="1"/>
  <c r="O498" i="2" l="1"/>
  <c r="O499" i="2" l="1"/>
  <c r="O502" i="2" l="1"/>
  <c r="O505" i="2" s="1"/>
  <c r="O513" i="2" s="1"/>
  <c r="O514" i="2" s="1"/>
  <c r="O515" i="2" s="1"/>
  <c r="O516" i="2" s="1"/>
  <c r="O517" i="2" s="1"/>
  <c r="O518" i="2" s="1"/>
  <c r="O519" i="2" s="1"/>
  <c r="O520" i="2" s="1"/>
  <c r="O521" i="2" s="1"/>
  <c r="O522" i="2" s="1"/>
  <c r="O527" i="2" s="1"/>
  <c r="O531" i="2" s="1"/>
  <c r="O535" i="2" s="1"/>
  <c r="O542" i="2" s="1"/>
  <c r="P196" i="2" s="1"/>
  <c r="P99" i="2"/>
  <c r="P92" i="2"/>
  <c r="P495" i="2"/>
  <c r="P112" i="2"/>
  <c r="P380" i="2"/>
  <c r="P205" i="2"/>
  <c r="P96" i="2"/>
  <c r="P90" i="2"/>
  <c r="P402" i="2"/>
  <c r="P461" i="2"/>
  <c r="P307" i="2"/>
  <c r="P98" i="2"/>
  <c r="P103" i="2"/>
  <c r="P474" i="2"/>
  <c r="P415" i="2"/>
  <c r="P410" i="2"/>
  <c r="P371" i="2"/>
  <c r="P125" i="2"/>
  <c r="P492" i="2"/>
  <c r="P558" i="2"/>
  <c r="P428" i="2"/>
  <c r="P431" i="2"/>
  <c r="P201" i="2"/>
  <c r="P265" i="2"/>
  <c r="P383" i="2"/>
  <c r="P376" i="2"/>
  <c r="P508" i="2"/>
  <c r="P94" i="2"/>
  <c r="P294" i="2"/>
  <c r="P466" i="2"/>
  <c r="P546" i="2"/>
  <c r="P87" i="2"/>
  <c r="P547" i="2"/>
  <c r="P405" i="2"/>
  <c r="P473" i="2"/>
  <c r="P477" i="2"/>
  <c r="P211" i="2"/>
  <c r="P305" i="2"/>
  <c r="P485" i="2"/>
  <c r="P199" i="2"/>
  <c r="P419" i="2"/>
  <c r="P216" i="2"/>
  <c r="P246" i="2"/>
  <c r="P93" i="2"/>
  <c r="P164" i="2"/>
  <c r="P449" i="2"/>
  <c r="P326" i="2"/>
  <c r="P150" i="2"/>
  <c r="P395" i="2"/>
  <c r="P512" i="2"/>
  <c r="P499" i="2"/>
  <c r="P308" i="2"/>
  <c r="P232" i="2"/>
  <c r="P397" i="2"/>
  <c r="P249" i="2"/>
  <c r="P486" i="2"/>
  <c r="P369" i="2"/>
  <c r="P165" i="2"/>
  <c r="P514" i="2"/>
  <c r="P100" i="2"/>
  <c r="P315" i="2"/>
  <c r="P88" i="2"/>
  <c r="P113" i="2"/>
  <c r="P252" i="2"/>
  <c r="P262" i="2"/>
  <c r="P111" i="2"/>
  <c r="P336" i="2"/>
  <c r="P115" i="2"/>
  <c r="P332" i="2"/>
  <c r="P406" i="2"/>
  <c r="P344" i="2"/>
  <c r="P217" i="2"/>
  <c r="P354" i="2"/>
  <c r="P266" i="2"/>
  <c r="P189" i="2"/>
  <c r="P391" i="2"/>
  <c r="P544" i="2"/>
  <c r="P438" i="2"/>
  <c r="P343" i="2"/>
  <c r="P229" i="2"/>
  <c r="P141" i="2"/>
  <c r="P127" i="2"/>
  <c r="P442" i="2"/>
  <c r="P526" i="2"/>
  <c r="P420" i="2"/>
  <c r="P482" i="2"/>
  <c r="P139" i="2"/>
  <c r="P101" i="2"/>
  <c r="P298" i="2"/>
  <c r="P317" i="2"/>
  <c r="P121" i="2"/>
  <c r="P539" i="2"/>
  <c r="P472" i="2"/>
  <c r="P143" i="2"/>
  <c r="P255" i="2"/>
  <c r="P254" i="2"/>
  <c r="P389" i="2"/>
  <c r="P212" i="2"/>
  <c r="P372" i="2"/>
  <c r="P258" i="2"/>
  <c r="P286" i="2"/>
  <c r="P95" i="2"/>
  <c r="P418" i="2"/>
  <c r="P276" i="2"/>
  <c r="P225" i="2"/>
  <c r="P396" i="2"/>
  <c r="P147" i="2"/>
  <c r="P362" i="2"/>
  <c r="P377" i="2"/>
  <c r="P440" i="2"/>
  <c r="P353" i="2"/>
  <c r="P104" i="2"/>
  <c r="P157" i="2"/>
  <c r="P251" i="2"/>
  <c r="P532" i="2"/>
  <c r="P222" i="2"/>
  <c r="P528" i="2"/>
  <c r="P404" i="2" l="1"/>
  <c r="P213" i="2"/>
  <c r="P162" i="2"/>
  <c r="P387" i="2"/>
  <c r="P118" i="2"/>
  <c r="P394" i="2"/>
  <c r="F394" i="2" s="1"/>
  <c r="P134" i="2"/>
  <c r="H134" i="2" s="1"/>
  <c r="P470" i="2"/>
  <c r="P504" i="2"/>
  <c r="P208" i="2"/>
  <c r="P178" i="2"/>
  <c r="E178" i="2" s="1"/>
  <c r="P379" i="2"/>
  <c r="H379" i="2" s="1"/>
  <c r="P346" i="2"/>
  <c r="P133" i="2"/>
  <c r="P233" i="2"/>
  <c r="P190" i="2"/>
  <c r="P322" i="2"/>
  <c r="P399" i="2"/>
  <c r="H399" i="2" s="1"/>
  <c r="P309" i="2"/>
  <c r="F309" i="2" s="1"/>
  <c r="P325" i="2"/>
  <c r="L325" i="2" s="1"/>
  <c r="P285" i="2"/>
  <c r="P297" i="2"/>
  <c r="I297" i="2" s="1"/>
  <c r="P527" i="2"/>
  <c r="B527" i="2" s="1"/>
  <c r="P366" i="2"/>
  <c r="P166" i="2"/>
  <c r="P327" i="2"/>
  <c r="P256" i="2"/>
  <c r="P161" i="2"/>
  <c r="B161" i="2" s="1"/>
  <c r="P221" i="2"/>
  <c r="P488" i="2"/>
  <c r="G488" i="2" s="1"/>
  <c r="P138" i="2"/>
  <c r="L138" i="2" s="1"/>
  <c r="P435" i="2"/>
  <c r="H435" i="2" s="1"/>
  <c r="P236" i="2"/>
  <c r="G236" i="2" s="1"/>
  <c r="P345" i="2"/>
  <c r="G345" i="2" s="1"/>
  <c r="P116" i="2"/>
  <c r="G116" i="2" s="1"/>
  <c r="P467" i="2"/>
  <c r="P186" i="2"/>
  <c r="P548" i="2"/>
  <c r="P390" i="2"/>
  <c r="P338" i="2"/>
  <c r="P304" i="2"/>
  <c r="P498" i="2"/>
  <c r="A498" i="2" s="1"/>
  <c r="P202" i="2"/>
  <c r="I202" i="2" s="1"/>
  <c r="P214" i="2"/>
  <c r="P102" i="2"/>
  <c r="B102" i="2" s="1"/>
  <c r="P452" i="2"/>
  <c r="J452" i="2" s="1"/>
  <c r="P464" i="2"/>
  <c r="L464" i="2" s="1"/>
  <c r="P551" i="2"/>
  <c r="P268" i="2"/>
  <c r="P448" i="2"/>
  <c r="P142" i="2"/>
  <c r="P556" i="2"/>
  <c r="P367" i="2"/>
  <c r="P341" i="2"/>
  <c r="G341" i="2" s="1"/>
  <c r="P373" i="2"/>
  <c r="C373" i="2" s="1"/>
  <c r="P159" i="2"/>
  <c r="P296" i="2"/>
  <c r="P350" i="2"/>
  <c r="A350" i="2" s="1"/>
  <c r="P220" i="2"/>
  <c r="P182" i="2"/>
  <c r="P381" i="2"/>
  <c r="P425" i="2"/>
  <c r="P231" i="2"/>
  <c r="P209" i="2"/>
  <c r="L209" i="2" s="1"/>
  <c r="P148" i="2"/>
  <c r="L148" i="2" s="1"/>
  <c r="P163" i="2"/>
  <c r="E163" i="2" s="1"/>
  <c r="P173" i="2"/>
  <c r="A173" i="2" s="1"/>
  <c r="J4" i="2"/>
  <c r="P174" i="2"/>
  <c r="P278" i="2"/>
  <c r="P152" i="2"/>
  <c r="G152" i="2" s="1"/>
  <c r="P188" i="2"/>
  <c r="P521" i="2"/>
  <c r="P109" i="2"/>
  <c r="P279" i="2"/>
  <c r="P530" i="2"/>
  <c r="P110" i="2"/>
  <c r="J110" i="2" s="1"/>
  <c r="P303" i="2"/>
  <c r="C303" i="2" s="1"/>
  <c r="P295" i="2"/>
  <c r="G295" i="2" s="1"/>
  <c r="P450" i="2"/>
  <c r="P533" i="2"/>
  <c r="P468" i="2"/>
  <c r="P193" i="2"/>
  <c r="P348" i="2"/>
  <c r="P219" i="2"/>
  <c r="P218" i="2"/>
  <c r="P287" i="2"/>
  <c r="P541" i="2"/>
  <c r="H541" i="2" s="1"/>
  <c r="P352" i="2"/>
  <c r="J352" i="2" s="1"/>
  <c r="P560" i="2"/>
  <c r="P457" i="2"/>
  <c r="F457" i="2" s="1"/>
  <c r="P206" i="2"/>
  <c r="P275" i="2"/>
  <c r="P414" i="2"/>
  <c r="B414" i="2" s="1"/>
  <c r="P408" i="2"/>
  <c r="P316" i="2"/>
  <c r="P511" i="2"/>
  <c r="P458" i="2"/>
  <c r="P555" i="2"/>
  <c r="P483" i="2"/>
  <c r="P120" i="2"/>
  <c r="C120" i="2" s="1"/>
  <c r="P187" i="2"/>
  <c r="G187" i="2" s="1"/>
  <c r="P439" i="2"/>
  <c r="H439" i="2" s="1"/>
  <c r="P489" i="2"/>
  <c r="H489" i="2" s="1"/>
  <c r="P475" i="2"/>
  <c r="D475" i="2" s="1"/>
  <c r="P557" i="2"/>
  <c r="P416" i="2"/>
  <c r="L416" i="2" s="1"/>
  <c r="P184" i="2"/>
  <c r="C184" i="2" s="1"/>
  <c r="P226" i="2"/>
  <c r="P500" i="2"/>
  <c r="P409" i="2"/>
  <c r="P137" i="2"/>
  <c r="P107" i="2"/>
  <c r="E107" i="2" s="1"/>
  <c r="P471" i="2"/>
  <c r="D471" i="2" s="1"/>
  <c r="P119" i="2"/>
  <c r="G119" i="2" s="1"/>
  <c r="P235" i="2"/>
  <c r="A235" i="2" s="1"/>
  <c r="P501" i="2"/>
  <c r="I501" i="2" s="1"/>
  <c r="P427" i="2"/>
  <c r="P203" i="2"/>
  <c r="G203" i="2" s="1"/>
  <c r="P554" i="2"/>
  <c r="P195" i="2"/>
  <c r="A195" i="2" s="1"/>
  <c r="P176" i="2"/>
  <c r="J176" i="2" s="1"/>
  <c r="P509" i="2"/>
  <c r="D509" i="2" s="1"/>
  <c r="P552" i="2"/>
  <c r="P228" i="2"/>
  <c r="I228" i="2" s="1"/>
  <c r="P423" i="2"/>
  <c r="G423" i="2" s="1"/>
  <c r="P553" i="2"/>
  <c r="P180" i="2"/>
  <c r="I180" i="2" s="1"/>
  <c r="P356" i="2"/>
  <c r="J356" i="2" s="1"/>
  <c r="P323" i="2"/>
  <c r="F323" i="2" s="1"/>
  <c r="P241" i="2"/>
  <c r="G241" i="2" s="1"/>
  <c r="P355" i="2"/>
  <c r="P257" i="2"/>
  <c r="H257" i="2" s="1"/>
  <c r="P424" i="2"/>
  <c r="J424" i="2" s="1"/>
  <c r="P192" i="2"/>
  <c r="A192" i="2" s="1"/>
  <c r="P223" i="2"/>
  <c r="K223" i="2" s="1"/>
  <c r="P455" i="2"/>
  <c r="D455" i="2" s="1"/>
  <c r="P385" i="2"/>
  <c r="C385" i="2" s="1"/>
  <c r="P171" i="2"/>
  <c r="P422" i="2"/>
  <c r="J422" i="2" s="1"/>
  <c r="P524" i="2"/>
  <c r="P447" i="2"/>
  <c r="L447" i="2" s="1"/>
  <c r="P375" i="2"/>
  <c r="D375" i="2" s="1"/>
  <c r="P445" i="2"/>
  <c r="P374" i="2"/>
  <c r="E374" i="2" s="1"/>
  <c r="P398" i="2"/>
  <c r="A398" i="2" s="1"/>
  <c r="P534" i="2"/>
  <c r="P183" i="2"/>
  <c r="D183" i="2" s="1"/>
  <c r="P131" i="2"/>
  <c r="H131" i="2" s="1"/>
  <c r="P312" i="2"/>
  <c r="J312" i="2" s="1"/>
  <c r="P175" i="2"/>
  <c r="P549" i="2"/>
  <c r="P158" i="2"/>
  <c r="H158" i="2" s="1"/>
  <c r="P290" i="2"/>
  <c r="P271" i="2"/>
  <c r="P149" i="2"/>
  <c r="H149" i="2" s="1"/>
  <c r="P463" i="2"/>
  <c r="P365" i="2"/>
  <c r="P357" i="2"/>
  <c r="P197" i="2"/>
  <c r="P335" i="2"/>
  <c r="H335" i="2" s="1"/>
  <c r="P243" i="2"/>
  <c r="K243" i="2" s="1"/>
  <c r="P277" i="2"/>
  <c r="P342" i="2"/>
  <c r="P167" i="2"/>
  <c r="P168" i="2"/>
  <c r="D168" i="2" s="1"/>
  <c r="P493" i="2"/>
  <c r="P283" i="2"/>
  <c r="A283" i="2" s="1"/>
  <c r="P132" i="2"/>
  <c r="P481" i="2"/>
  <c r="P429" i="2"/>
  <c r="J429" i="2" s="1"/>
  <c r="P247" i="2"/>
  <c r="E247" i="2" s="1"/>
  <c r="P130" i="2"/>
  <c r="A130" i="2" s="1"/>
  <c r="P349" i="2"/>
  <c r="K349" i="2" s="1"/>
  <c r="P144" i="2"/>
  <c r="P411" i="2"/>
  <c r="P300" i="2"/>
  <c r="P443" i="2"/>
  <c r="H443" i="2" s="1"/>
  <c r="P314" i="2"/>
  <c r="D314" i="2" s="1"/>
  <c r="P136" i="2"/>
  <c r="E136" i="2" s="1"/>
  <c r="P351" i="2"/>
  <c r="P542" i="2"/>
  <c r="P505" i="2"/>
  <c r="A505" i="2" s="1"/>
  <c r="P378" i="2"/>
  <c r="P454" i="2"/>
  <c r="C454" i="2" s="1"/>
  <c r="P263" i="2"/>
  <c r="K263" i="2" s="1"/>
  <c r="P244" i="2"/>
  <c r="E244" i="2" s="1"/>
  <c r="P441" i="2"/>
  <c r="C441" i="2" s="1"/>
  <c r="P284" i="2"/>
  <c r="L284" i="2" s="1"/>
  <c r="P462" i="2"/>
  <c r="J462" i="2" s="1"/>
  <c r="P237" i="2"/>
  <c r="P318" i="2"/>
  <c r="P198" i="2"/>
  <c r="P238" i="2"/>
  <c r="P479" i="2"/>
  <c r="P476" i="2"/>
  <c r="B476" i="2" s="1"/>
  <c r="P430" i="2"/>
  <c r="A430" i="2" s="1"/>
  <c r="P259" i="2"/>
  <c r="H259" i="2" s="1"/>
  <c r="P264" i="2"/>
  <c r="B264" i="2" s="1"/>
  <c r="P515" i="2"/>
  <c r="B515" i="2" s="1"/>
  <c r="P497" i="2"/>
  <c r="E497" i="2" s="1"/>
  <c r="P185" i="2"/>
  <c r="E185" i="2" s="1"/>
  <c r="P172" i="2"/>
  <c r="P384" i="2"/>
  <c r="P114" i="2"/>
  <c r="P510" i="2"/>
  <c r="P436" i="2"/>
  <c r="P230" i="2"/>
  <c r="P145" i="2"/>
  <c r="P502" i="2"/>
  <c r="P393" i="2"/>
  <c r="P288" i="2"/>
  <c r="P224" i="2"/>
  <c r="A224" i="2" s="1"/>
  <c r="P299" i="2"/>
  <c r="F299" i="2" s="1"/>
  <c r="P531" i="2"/>
  <c r="P248" i="2"/>
  <c r="F248" i="2" s="1"/>
  <c r="P529" i="2"/>
  <c r="P311" i="2"/>
  <c r="P523" i="2"/>
  <c r="C523" i="2" s="1"/>
  <c r="P272" i="2"/>
  <c r="G272" i="2" s="1"/>
  <c r="P494" i="2"/>
  <c r="P550" i="2"/>
  <c r="P453" i="2"/>
  <c r="A453" i="2" s="1"/>
  <c r="P469" i="2"/>
  <c r="P446" i="2"/>
  <c r="J446" i="2" s="1"/>
  <c r="P153" i="2"/>
  <c r="B153" i="2" s="1"/>
  <c r="P522" i="2"/>
  <c r="P451" i="2"/>
  <c r="H451" i="2" s="1"/>
  <c r="P465" i="2"/>
  <c r="P191" i="2"/>
  <c r="P364" i="2"/>
  <c r="J364" i="2" s="1"/>
  <c r="P170" i="2"/>
  <c r="A170" i="2" s="1"/>
  <c r="P253" i="2"/>
  <c r="B253" i="2" s="1"/>
  <c r="P215" i="2"/>
  <c r="C215" i="2" s="1"/>
  <c r="P401" i="2"/>
  <c r="P274" i="2"/>
  <c r="I274" i="2" s="1"/>
  <c r="P123" i="2"/>
  <c r="P330" i="2"/>
  <c r="P313" i="2"/>
  <c r="P517" i="2"/>
  <c r="P480" i="2"/>
  <c r="P456" i="2"/>
  <c r="P421" i="2"/>
  <c r="P261" i="2"/>
  <c r="J261" i="2" s="1"/>
  <c r="P242" i="2"/>
  <c r="C242" i="2" s="1"/>
  <c r="P207" i="2"/>
  <c r="E207" i="2" s="1"/>
  <c r="P179" i="2"/>
  <c r="P204" i="2"/>
  <c r="K204" i="2" s="1"/>
  <c r="P156" i="2"/>
  <c r="A156" i="2" s="1"/>
  <c r="P413" i="2"/>
  <c r="F413" i="2" s="1"/>
  <c r="P543" i="2"/>
  <c r="P321" i="2"/>
  <c r="P392" i="2"/>
  <c r="P444" i="2"/>
  <c r="P507" i="2"/>
  <c r="P289" i="2"/>
  <c r="C196" i="2"/>
  <c r="H196" i="2"/>
  <c r="E196" i="2"/>
  <c r="J196" i="2"/>
  <c r="G196" i="2"/>
  <c r="D196" i="2"/>
  <c r="F196" i="2"/>
  <c r="K196" i="2"/>
  <c r="A196" i="2"/>
  <c r="L196" i="2"/>
  <c r="I196" i="2"/>
  <c r="B196" i="2"/>
  <c r="G107" i="2"/>
  <c r="H107" i="2" s="1"/>
  <c r="I107" i="2"/>
  <c r="K107" i="2"/>
  <c r="C107" i="2"/>
  <c r="F107" i="2"/>
  <c r="L107" i="2"/>
  <c r="A107" i="2"/>
  <c r="G528" i="2"/>
  <c r="F528" i="2"/>
  <c r="L528" i="2"/>
  <c r="A528" i="2"/>
  <c r="B528" i="2"/>
  <c r="E528" i="2"/>
  <c r="C528" i="2"/>
  <c r="D528" i="2"/>
  <c r="K528" i="2"/>
  <c r="I528" i="2"/>
  <c r="H528" i="2"/>
  <c r="J528" i="2"/>
  <c r="K362" i="2"/>
  <c r="E362" i="2"/>
  <c r="C362" i="2"/>
  <c r="A362" i="2"/>
  <c r="J362" i="2"/>
  <c r="H362" i="2"/>
  <c r="D362" i="2"/>
  <c r="L362" i="2"/>
  <c r="G362" i="2"/>
  <c r="I362" i="2"/>
  <c r="F362" i="2"/>
  <c r="B362" i="2"/>
  <c r="F372" i="2"/>
  <c r="D372" i="2"/>
  <c r="C372" i="2"/>
  <c r="L372" i="2"/>
  <c r="J372" i="2"/>
  <c r="I372" i="2"/>
  <c r="G372" i="2"/>
  <c r="K372" i="2"/>
  <c r="E372" i="2"/>
  <c r="A372" i="2"/>
  <c r="B372" i="2"/>
  <c r="H372" i="2"/>
  <c r="G467" i="2"/>
  <c r="H209" i="2"/>
  <c r="E209" i="2"/>
  <c r="A209" i="2"/>
  <c r="K209" i="2"/>
  <c r="J209" i="2"/>
  <c r="D209" i="2"/>
  <c r="G209" i="2"/>
  <c r="C209" i="2"/>
  <c r="E213" i="2"/>
  <c r="L213" i="2"/>
  <c r="C213" i="2"/>
  <c r="B213" i="2"/>
  <c r="J213" i="2"/>
  <c r="K213" i="2"/>
  <c r="I213" i="2"/>
  <c r="G213" i="2"/>
  <c r="D213" i="2"/>
  <c r="F213" i="2"/>
  <c r="H213" i="2"/>
  <c r="A213" i="2"/>
  <c r="H332" i="2"/>
  <c r="D332" i="2"/>
  <c r="G332" i="2"/>
  <c r="A332" i="2"/>
  <c r="I332" i="2"/>
  <c r="F332" i="2"/>
  <c r="C332" i="2"/>
  <c r="K332" i="2"/>
  <c r="L332" i="2"/>
  <c r="J332" i="2"/>
  <c r="E332" i="2"/>
  <c r="B332" i="2"/>
  <c r="D252" i="2"/>
  <c r="I252" i="2"/>
  <c r="A252" i="2"/>
  <c r="F252" i="2"/>
  <c r="B252" i="2"/>
  <c r="C252" i="2"/>
  <c r="J252" i="2"/>
  <c r="H252" i="2"/>
  <c r="G252" i="2"/>
  <c r="E252" i="2"/>
  <c r="K252" i="2"/>
  <c r="L252" i="2"/>
  <c r="J165" i="2"/>
  <c r="D165" i="2"/>
  <c r="C165" i="2"/>
  <c r="B165" i="2"/>
  <c r="F165" i="2"/>
  <c r="K165" i="2"/>
  <c r="L165" i="2"/>
  <c r="E165" i="2"/>
  <c r="A165" i="2"/>
  <c r="I165" i="2"/>
  <c r="H165" i="2"/>
  <c r="G165" i="2"/>
  <c r="L161" i="2"/>
  <c r="D161" i="2"/>
  <c r="H161" i="2"/>
  <c r="K161" i="2"/>
  <c r="E161" i="2"/>
  <c r="C161" i="2"/>
  <c r="F161" i="2"/>
  <c r="J161" i="2"/>
  <c r="A161" i="2"/>
  <c r="B93" i="2"/>
  <c r="A93" i="2"/>
  <c r="L93" i="2"/>
  <c r="K93" i="2"/>
  <c r="E93" i="2"/>
  <c r="J93" i="2"/>
  <c r="G93" i="2"/>
  <c r="H93" i="2" s="1"/>
  <c r="C93" i="2"/>
  <c r="D93" i="2"/>
  <c r="I93" i="2"/>
  <c r="F93" i="2"/>
  <c r="E134" i="2"/>
  <c r="A134" i="2"/>
  <c r="B134" i="2"/>
  <c r="C134" i="2"/>
  <c r="L134" i="2"/>
  <c r="F134" i="2"/>
  <c r="J373" i="2"/>
  <c r="A373" i="2"/>
  <c r="D373" i="2"/>
  <c r="I373" i="2"/>
  <c r="H373" i="2"/>
  <c r="E373" i="2"/>
  <c r="C214" i="2"/>
  <c r="E214" i="2"/>
  <c r="H214" i="2"/>
  <c r="J214" i="2"/>
  <c r="G94" i="2"/>
  <c r="H94" i="2" s="1"/>
  <c r="C94" i="2"/>
  <c r="L94" i="2"/>
  <c r="D94" i="2"/>
  <c r="I94" i="2"/>
  <c r="A94" i="2"/>
  <c r="E94" i="2"/>
  <c r="K94" i="2"/>
  <c r="F94" i="2"/>
  <c r="J94" i="2"/>
  <c r="B94" i="2"/>
  <c r="B222" i="2"/>
  <c r="F222" i="2"/>
  <c r="D222" i="2"/>
  <c r="L222" i="2"/>
  <c r="E222" i="2"/>
  <c r="G222" i="2"/>
  <c r="C222" i="2"/>
  <c r="K222" i="2"/>
  <c r="H222" i="2"/>
  <c r="J222" i="2"/>
  <c r="A222" i="2"/>
  <c r="I222" i="2"/>
  <c r="G147" i="2"/>
  <c r="J147" i="2"/>
  <c r="H147" i="2"/>
  <c r="A147" i="2"/>
  <c r="K147" i="2"/>
  <c r="I147" i="2"/>
  <c r="E147" i="2"/>
  <c r="F147" i="2"/>
  <c r="L147" i="2"/>
  <c r="B147" i="2"/>
  <c r="C147" i="2"/>
  <c r="D147" i="2"/>
  <c r="L212" i="2"/>
  <c r="G212" i="2"/>
  <c r="H212" i="2"/>
  <c r="A212" i="2"/>
  <c r="J212" i="2"/>
  <c r="D212" i="2"/>
  <c r="C212" i="2"/>
  <c r="K212" i="2"/>
  <c r="F212" i="2"/>
  <c r="B212" i="2"/>
  <c r="E212" i="2"/>
  <c r="I212" i="2"/>
  <c r="H442" i="2"/>
  <c r="G442" i="2"/>
  <c r="I442" i="2"/>
  <c r="D442" i="2"/>
  <c r="C442" i="2"/>
  <c r="K442" i="2"/>
  <c r="F442" i="2"/>
  <c r="A442" i="2"/>
  <c r="L442" i="2"/>
  <c r="J442" i="2"/>
  <c r="E442" i="2"/>
  <c r="B442" i="2"/>
  <c r="H148" i="2"/>
  <c r="B148" i="2"/>
  <c r="G148" i="2"/>
  <c r="C148" i="2"/>
  <c r="A148" i="2"/>
  <c r="J148" i="2"/>
  <c r="D148" i="2"/>
  <c r="F115" i="2"/>
  <c r="D115" i="2"/>
  <c r="K115" i="2"/>
  <c r="G115" i="2"/>
  <c r="H115" i="2" s="1"/>
  <c r="J115" i="2"/>
  <c r="B115" i="2"/>
  <c r="C115" i="2"/>
  <c r="I115" i="2"/>
  <c r="L115" i="2"/>
  <c r="A115" i="2"/>
  <c r="E115" i="2"/>
  <c r="C113" i="2"/>
  <c r="J113" i="2"/>
  <c r="L113" i="2"/>
  <c r="B113" i="2"/>
  <c r="E113" i="2"/>
  <c r="F113" i="2"/>
  <c r="D113" i="2"/>
  <c r="I113" i="2"/>
  <c r="G113" i="2"/>
  <c r="H113" i="2" s="1"/>
  <c r="A113" i="2"/>
  <c r="K113" i="2"/>
  <c r="J369" i="2"/>
  <c r="L369" i="2"/>
  <c r="E369" i="2"/>
  <c r="I369" i="2"/>
  <c r="A369" i="2"/>
  <c r="H369" i="2"/>
  <c r="K369" i="2"/>
  <c r="C369" i="2"/>
  <c r="G369" i="2"/>
  <c r="D369" i="2"/>
  <c r="B369" i="2"/>
  <c r="F369" i="2"/>
  <c r="L304" i="2"/>
  <c r="I304" i="2"/>
  <c r="B304" i="2"/>
  <c r="C304" i="2"/>
  <c r="D304" i="2"/>
  <c r="G304" i="2"/>
  <c r="K304" i="2"/>
  <c r="E304" i="2"/>
  <c r="A304" i="2"/>
  <c r="F304" i="2"/>
  <c r="J304" i="2"/>
  <c r="H304" i="2"/>
  <c r="I326" i="2"/>
  <c r="L326" i="2"/>
  <c r="C326" i="2"/>
  <c r="B326" i="2"/>
  <c r="H326" i="2"/>
  <c r="A326" i="2"/>
  <c r="G326" i="2"/>
  <c r="D326" i="2"/>
  <c r="F326" i="2"/>
  <c r="K326" i="2"/>
  <c r="J326" i="2"/>
  <c r="E326" i="2"/>
  <c r="B541" i="2"/>
  <c r="J541" i="2"/>
  <c r="C541" i="2"/>
  <c r="F541" i="2"/>
  <c r="K541" i="2"/>
  <c r="A541" i="2"/>
  <c r="E541" i="2"/>
  <c r="L541" i="2"/>
  <c r="I541" i="2"/>
  <c r="G541" i="2"/>
  <c r="L423" i="2"/>
  <c r="K423" i="2"/>
  <c r="B423" i="2"/>
  <c r="F423" i="2"/>
  <c r="C423" i="2"/>
  <c r="F471" i="2"/>
  <c r="K159" i="2"/>
  <c r="E508" i="2"/>
  <c r="L508" i="2"/>
  <c r="G508" i="2"/>
  <c r="J508" i="2"/>
  <c r="C508" i="2"/>
  <c r="A508" i="2"/>
  <c r="D508" i="2"/>
  <c r="K508" i="2"/>
  <c r="F508" i="2"/>
  <c r="I508" i="2"/>
  <c r="B508" i="2"/>
  <c r="H508" i="2"/>
  <c r="F102" i="2"/>
  <c r="D102" i="2"/>
  <c r="I428" i="2"/>
  <c r="D428" i="2"/>
  <c r="C428" i="2"/>
  <c r="H428" i="2"/>
  <c r="A428" i="2"/>
  <c r="J428" i="2"/>
  <c r="E428" i="2"/>
  <c r="G428" i="2"/>
  <c r="F428" i="2"/>
  <c r="K428" i="2"/>
  <c r="B428" i="2"/>
  <c r="L428" i="2"/>
  <c r="A410" i="2"/>
  <c r="D410" i="2"/>
  <c r="C410" i="2"/>
  <c r="I410" i="2"/>
  <c r="B410" i="2"/>
  <c r="H410" i="2"/>
  <c r="E410" i="2"/>
  <c r="L410" i="2"/>
  <c r="G410" i="2"/>
  <c r="F410" i="2"/>
  <c r="J410" i="2"/>
  <c r="K410" i="2"/>
  <c r="D461" i="2"/>
  <c r="G461" i="2"/>
  <c r="A461" i="2"/>
  <c r="K461" i="2"/>
  <c r="L461" i="2"/>
  <c r="C461" i="2"/>
  <c r="E461" i="2"/>
  <c r="B461" i="2"/>
  <c r="I461" i="2"/>
  <c r="F461" i="2"/>
  <c r="J461" i="2"/>
  <c r="H461" i="2"/>
  <c r="B277" i="2"/>
  <c r="E257" i="2"/>
  <c r="A257" i="2"/>
  <c r="J480" i="2"/>
  <c r="K170" i="2"/>
  <c r="D170" i="2"/>
  <c r="J170" i="2"/>
  <c r="J120" i="2"/>
  <c r="A120" i="2"/>
  <c r="L120" i="2"/>
  <c r="F120" i="2"/>
  <c r="I120" i="2"/>
  <c r="K120" i="2"/>
  <c r="H120" i="2"/>
  <c r="D532" i="2"/>
  <c r="H532" i="2"/>
  <c r="J532" i="2"/>
  <c r="K532" i="2"/>
  <c r="F532" i="2"/>
  <c r="B532" i="2"/>
  <c r="L532" i="2"/>
  <c r="G532" i="2"/>
  <c r="A532" i="2"/>
  <c r="I532" i="2"/>
  <c r="E532" i="2"/>
  <c r="C532" i="2"/>
  <c r="A396" i="2"/>
  <c r="L396" i="2"/>
  <c r="I396" i="2"/>
  <c r="J396" i="2"/>
  <c r="F396" i="2"/>
  <c r="C396" i="2"/>
  <c r="E396" i="2"/>
  <c r="G396" i="2"/>
  <c r="K396" i="2"/>
  <c r="B396" i="2"/>
  <c r="H396" i="2"/>
  <c r="D396" i="2"/>
  <c r="K389" i="2"/>
  <c r="F389" i="2"/>
  <c r="H389" i="2"/>
  <c r="B389" i="2"/>
  <c r="A389" i="2"/>
  <c r="G389" i="2"/>
  <c r="L389" i="2"/>
  <c r="C389" i="2"/>
  <c r="D389" i="2"/>
  <c r="I389" i="2"/>
  <c r="E389" i="2"/>
  <c r="J389" i="2"/>
  <c r="E317" i="2"/>
  <c r="H317" i="2"/>
  <c r="C317" i="2"/>
  <c r="D317" i="2"/>
  <c r="G317" i="2"/>
  <c r="J317" i="2"/>
  <c r="A317" i="2"/>
  <c r="K317" i="2"/>
  <c r="F317" i="2"/>
  <c r="L317" i="2"/>
  <c r="I317" i="2"/>
  <c r="B317" i="2"/>
  <c r="H186" i="2"/>
  <c r="B186" i="2"/>
  <c r="L186" i="2"/>
  <c r="E186" i="2"/>
  <c r="C186" i="2"/>
  <c r="I186" i="2"/>
  <c r="K186" i="2"/>
  <c r="D186" i="2"/>
  <c r="A186" i="2"/>
  <c r="J186" i="2"/>
  <c r="G186" i="2"/>
  <c r="F186" i="2"/>
  <c r="E322" i="2"/>
  <c r="K322" i="2"/>
  <c r="B322" i="2"/>
  <c r="F322" i="2"/>
  <c r="A322" i="2"/>
  <c r="L322" i="2"/>
  <c r="D322" i="2"/>
  <c r="G322" i="2"/>
  <c r="J322" i="2"/>
  <c r="H322" i="2"/>
  <c r="I322" i="2"/>
  <c r="C322" i="2"/>
  <c r="I374" i="2"/>
  <c r="G88" i="2"/>
  <c r="H88" i="2" s="1"/>
  <c r="D88" i="2"/>
  <c r="B88" i="2"/>
  <c r="C88" i="2"/>
  <c r="L88" i="2"/>
  <c r="J88" i="2"/>
  <c r="A88" i="2"/>
  <c r="I88" i="2"/>
  <c r="F88" i="2"/>
  <c r="K88" i="2"/>
  <c r="E88" i="2"/>
  <c r="J534" i="2"/>
  <c r="E183" i="2"/>
  <c r="I183" i="2"/>
  <c r="J183" i="2"/>
  <c r="C183" i="2"/>
  <c r="B183" i="2"/>
  <c r="K183" i="2"/>
  <c r="L183" i="2"/>
  <c r="A183" i="2"/>
  <c r="G183" i="2"/>
  <c r="F183" i="2"/>
  <c r="B131" i="2"/>
  <c r="K131" i="2"/>
  <c r="G131" i="2"/>
  <c r="I131" i="2"/>
  <c r="D131" i="2"/>
  <c r="J131" i="2"/>
  <c r="E131" i="2"/>
  <c r="F223" i="2"/>
  <c r="B223" i="2"/>
  <c r="C223" i="2"/>
  <c r="E223" i="2"/>
  <c r="D223" i="2"/>
  <c r="I223" i="2"/>
  <c r="L223" i="2"/>
  <c r="G223" i="2"/>
  <c r="H223" i="2"/>
  <c r="J223" i="2"/>
  <c r="E211" i="2"/>
  <c r="B211" i="2"/>
  <c r="K211" i="2"/>
  <c r="L211" i="2"/>
  <c r="I211" i="2"/>
  <c r="H211" i="2"/>
  <c r="G211" i="2"/>
  <c r="A211" i="2"/>
  <c r="F211" i="2"/>
  <c r="D211" i="2"/>
  <c r="J211" i="2"/>
  <c r="C211" i="2"/>
  <c r="F87" i="2"/>
  <c r="G87" i="2"/>
  <c r="H87" i="2" s="1"/>
  <c r="B87" i="2"/>
  <c r="J87" i="2"/>
  <c r="E87" i="2"/>
  <c r="K87" i="2"/>
  <c r="A87" i="2"/>
  <c r="L87" i="2"/>
  <c r="I87" i="2"/>
  <c r="D87" i="2"/>
  <c r="C87" i="2"/>
  <c r="G466" i="2"/>
  <c r="H466" i="2"/>
  <c r="A466" i="2"/>
  <c r="J466" i="2"/>
  <c r="C466" i="2"/>
  <c r="D466" i="2"/>
  <c r="I466" i="2"/>
  <c r="K466" i="2"/>
  <c r="E466" i="2"/>
  <c r="F466" i="2"/>
  <c r="B466" i="2"/>
  <c r="L466" i="2"/>
  <c r="A376" i="2"/>
  <c r="K376" i="2"/>
  <c r="I376" i="2"/>
  <c r="L376" i="2"/>
  <c r="F376" i="2"/>
  <c r="J376" i="2"/>
  <c r="C376" i="2"/>
  <c r="D376" i="2"/>
  <c r="B376" i="2"/>
  <c r="H376" i="2"/>
  <c r="G376" i="2"/>
  <c r="E376" i="2"/>
  <c r="E109" i="2"/>
  <c r="D109" i="2"/>
  <c r="C109" i="2"/>
  <c r="K109" i="2"/>
  <c r="F109" i="2"/>
  <c r="I109" i="2"/>
  <c r="J109" i="2"/>
  <c r="B109" i="2"/>
  <c r="G109" i="2"/>
  <c r="H109" i="2" s="1"/>
  <c r="L109" i="2"/>
  <c r="A109" i="2"/>
  <c r="C458" i="2"/>
  <c r="A458" i="2"/>
  <c r="H458" i="2"/>
  <c r="L458" i="2"/>
  <c r="D458" i="2"/>
  <c r="I458" i="2"/>
  <c r="B458" i="2"/>
  <c r="F458" i="2"/>
  <c r="E458" i="2"/>
  <c r="J458" i="2"/>
  <c r="G458" i="2"/>
  <c r="K458" i="2"/>
  <c r="D463" i="2"/>
  <c r="E463" i="2"/>
  <c r="I463" i="2"/>
  <c r="G220" i="2"/>
  <c r="J220" i="2"/>
  <c r="C96" i="2"/>
  <c r="D96" i="2"/>
  <c r="G96" i="2"/>
  <c r="H96" i="2" s="1"/>
  <c r="F96" i="2"/>
  <c r="E96" i="2"/>
  <c r="J96" i="2"/>
  <c r="L96" i="2"/>
  <c r="K96" i="2"/>
  <c r="I96" i="2"/>
  <c r="B96" i="2"/>
  <c r="A96" i="2"/>
  <c r="D456" i="2"/>
  <c r="H476" i="2"/>
  <c r="K476" i="2"/>
  <c r="A476" i="2"/>
  <c r="E92" i="2"/>
  <c r="A92" i="2"/>
  <c r="C92" i="2"/>
  <c r="K92" i="2"/>
  <c r="F92" i="2"/>
  <c r="I92" i="2"/>
  <c r="B92" i="2"/>
  <c r="G92" i="2"/>
  <c r="H92" i="2" s="1"/>
  <c r="L92" i="2"/>
  <c r="J92" i="2"/>
  <c r="D92" i="2"/>
  <c r="D259" i="2"/>
  <c r="A251" i="2"/>
  <c r="I251" i="2"/>
  <c r="L251" i="2"/>
  <c r="F251" i="2"/>
  <c r="D251" i="2"/>
  <c r="E251" i="2"/>
  <c r="K251" i="2"/>
  <c r="H251" i="2"/>
  <c r="B251" i="2"/>
  <c r="J251" i="2"/>
  <c r="G251" i="2"/>
  <c r="C251" i="2"/>
  <c r="L225" i="2"/>
  <c r="I225" i="2"/>
  <c r="B225" i="2"/>
  <c r="E225" i="2"/>
  <c r="D225" i="2"/>
  <c r="K225" i="2"/>
  <c r="G225" i="2"/>
  <c r="C225" i="2"/>
  <c r="F225" i="2"/>
  <c r="J225" i="2"/>
  <c r="A225" i="2"/>
  <c r="H225" i="2"/>
  <c r="L254" i="2"/>
  <c r="E254" i="2"/>
  <c r="G254" i="2"/>
  <c r="A254" i="2"/>
  <c r="B254" i="2"/>
  <c r="F254" i="2"/>
  <c r="J254" i="2"/>
  <c r="D254" i="2"/>
  <c r="K254" i="2"/>
  <c r="H254" i="2"/>
  <c r="I254" i="2"/>
  <c r="C254" i="2"/>
  <c r="I298" i="2"/>
  <c r="D298" i="2"/>
  <c r="L298" i="2"/>
  <c r="K298" i="2"/>
  <c r="F298" i="2"/>
  <c r="C298" i="2"/>
  <c r="G298" i="2"/>
  <c r="E298" i="2"/>
  <c r="H298" i="2"/>
  <c r="J298" i="2"/>
  <c r="A298" i="2"/>
  <c r="B298" i="2"/>
  <c r="A268" i="2"/>
  <c r="B268" i="2"/>
  <c r="G268" i="2"/>
  <c r="J268" i="2"/>
  <c r="K268" i="2"/>
  <c r="D268" i="2"/>
  <c r="L268" i="2"/>
  <c r="E268" i="2"/>
  <c r="C268" i="2"/>
  <c r="I268" i="2"/>
  <c r="H268" i="2"/>
  <c r="F268" i="2"/>
  <c r="J189" i="2"/>
  <c r="D189" i="2"/>
  <c r="E189" i="2"/>
  <c r="K189" i="2"/>
  <c r="I189" i="2"/>
  <c r="H189" i="2"/>
  <c r="G189" i="2"/>
  <c r="L189" i="2"/>
  <c r="C189" i="2"/>
  <c r="A189" i="2"/>
  <c r="F189" i="2"/>
  <c r="B189" i="2"/>
  <c r="D163" i="2"/>
  <c r="F163" i="2"/>
  <c r="H163" i="2"/>
  <c r="L163" i="2"/>
  <c r="A163" i="2"/>
  <c r="F315" i="2"/>
  <c r="L315" i="2"/>
  <c r="D315" i="2"/>
  <c r="J315" i="2"/>
  <c r="C315" i="2"/>
  <c r="H315" i="2"/>
  <c r="A315" i="2"/>
  <c r="G315" i="2"/>
  <c r="E315" i="2"/>
  <c r="I315" i="2"/>
  <c r="K315" i="2"/>
  <c r="B315" i="2"/>
  <c r="C486" i="2"/>
  <c r="E486" i="2"/>
  <c r="G486" i="2"/>
  <c r="J486" i="2"/>
  <c r="K486" i="2"/>
  <c r="B486" i="2"/>
  <c r="H486" i="2"/>
  <c r="A486" i="2"/>
  <c r="D486" i="2"/>
  <c r="F486" i="2"/>
  <c r="L486" i="2"/>
  <c r="I486" i="2"/>
  <c r="L367" i="2"/>
  <c r="H367" i="2"/>
  <c r="C367" i="2"/>
  <c r="G367" i="2"/>
  <c r="F367" i="2"/>
  <c r="E367" i="2"/>
  <c r="B367" i="2"/>
  <c r="K367" i="2"/>
  <c r="I367" i="2"/>
  <c r="A367" i="2"/>
  <c r="J367" i="2"/>
  <c r="D367" i="2"/>
  <c r="D449" i="2"/>
  <c r="K449" i="2"/>
  <c r="F449" i="2"/>
  <c r="G449" i="2"/>
  <c r="B449" i="2"/>
  <c r="H449" i="2"/>
  <c r="C449" i="2"/>
  <c r="I449" i="2"/>
  <c r="A449" i="2"/>
  <c r="E449" i="2"/>
  <c r="L449" i="2"/>
  <c r="J449" i="2"/>
  <c r="K312" i="2"/>
  <c r="G312" i="2"/>
  <c r="E312" i="2"/>
  <c r="H312" i="2"/>
  <c r="I119" i="2"/>
  <c r="K119" i="2"/>
  <c r="L119" i="2"/>
  <c r="E294" i="2"/>
  <c r="I294" i="2"/>
  <c r="A294" i="2"/>
  <c r="K294" i="2"/>
  <c r="B294" i="2"/>
  <c r="J294" i="2"/>
  <c r="G294" i="2"/>
  <c r="C294" i="2"/>
  <c r="L294" i="2"/>
  <c r="D294" i="2"/>
  <c r="H294" i="2"/>
  <c r="F294" i="2"/>
  <c r="A383" i="2"/>
  <c r="L383" i="2"/>
  <c r="I383" i="2"/>
  <c r="J383" i="2"/>
  <c r="C383" i="2"/>
  <c r="D383" i="2"/>
  <c r="H383" i="2"/>
  <c r="B383" i="2"/>
  <c r="G383" i="2"/>
  <c r="K383" i="2"/>
  <c r="F383" i="2"/>
  <c r="E383" i="2"/>
  <c r="J415" i="2"/>
  <c r="A415" i="2"/>
  <c r="C415" i="2"/>
  <c r="K415" i="2"/>
  <c r="F415" i="2"/>
  <c r="L415" i="2"/>
  <c r="B415" i="2"/>
  <c r="D415" i="2"/>
  <c r="H415" i="2"/>
  <c r="E415" i="2"/>
  <c r="I415" i="2"/>
  <c r="G415" i="2"/>
  <c r="E365" i="2"/>
  <c r="D365" i="2"/>
  <c r="F483" i="2"/>
  <c r="G483" i="2"/>
  <c r="B483" i="2"/>
  <c r="A483" i="2"/>
  <c r="I483" i="2"/>
  <c r="J483" i="2"/>
  <c r="E483" i="2"/>
  <c r="D483" i="2"/>
  <c r="L483" i="2"/>
  <c r="K483" i="2"/>
  <c r="H483" i="2"/>
  <c r="C483" i="2"/>
  <c r="L402" i="2"/>
  <c r="G402" i="2"/>
  <c r="E402" i="2"/>
  <c r="F402" i="2"/>
  <c r="H402" i="2"/>
  <c r="K402" i="2"/>
  <c r="J402" i="2"/>
  <c r="B402" i="2"/>
  <c r="A402" i="2"/>
  <c r="I402" i="2"/>
  <c r="C402" i="2"/>
  <c r="D402" i="2"/>
  <c r="I215" i="2"/>
  <c r="F335" i="2"/>
  <c r="B335" i="2"/>
  <c r="J335" i="2"/>
  <c r="A335" i="2"/>
  <c r="E335" i="2"/>
  <c r="G335" i="2"/>
  <c r="D335" i="2"/>
  <c r="E346" i="2"/>
  <c r="F346" i="2"/>
  <c r="B346" i="2"/>
  <c r="G346" i="2"/>
  <c r="D346" i="2"/>
  <c r="J346" i="2"/>
  <c r="A346" i="2"/>
  <c r="I346" i="2"/>
  <c r="K346" i="2"/>
  <c r="L346" i="2"/>
  <c r="C346" i="2"/>
  <c r="H346" i="2"/>
  <c r="K276" i="2"/>
  <c r="C276" i="2"/>
  <c r="I276" i="2"/>
  <c r="A276" i="2"/>
  <c r="H276" i="2"/>
  <c r="J276" i="2"/>
  <c r="L276" i="2"/>
  <c r="D276" i="2"/>
  <c r="E276" i="2"/>
  <c r="F276" i="2"/>
  <c r="G276" i="2"/>
  <c r="B276" i="2"/>
  <c r="C255" i="2"/>
  <c r="F255" i="2"/>
  <c r="K255" i="2"/>
  <c r="D255" i="2"/>
  <c r="E255" i="2"/>
  <c r="B255" i="2"/>
  <c r="H255" i="2"/>
  <c r="L255" i="2"/>
  <c r="I255" i="2"/>
  <c r="G255" i="2"/>
  <c r="A255" i="2"/>
  <c r="J255" i="2"/>
  <c r="J101" i="2"/>
  <c r="L101" i="2"/>
  <c r="I101" i="2"/>
  <c r="C101" i="2"/>
  <c r="A101" i="2"/>
  <c r="F101" i="2"/>
  <c r="K101" i="2"/>
  <c r="E101" i="2"/>
  <c r="B101" i="2"/>
  <c r="D101" i="2"/>
  <c r="G101" i="2"/>
  <c r="H101" i="2" s="1"/>
  <c r="C127" i="2"/>
  <c r="B127" i="2"/>
  <c r="G127" i="2"/>
  <c r="F127" i="2"/>
  <c r="E127" i="2"/>
  <c r="I127" i="2"/>
  <c r="A127" i="2"/>
  <c r="H127" i="2"/>
  <c r="L127" i="2"/>
  <c r="D127" i="2"/>
  <c r="J127" i="2"/>
  <c r="K127" i="2"/>
  <c r="L548" i="2"/>
  <c r="D548" i="2"/>
  <c r="H548" i="2"/>
  <c r="G548" i="2"/>
  <c r="C548" i="2"/>
  <c r="K548" i="2"/>
  <c r="A548" i="2"/>
  <c r="J548" i="2"/>
  <c r="F548" i="2"/>
  <c r="E548" i="2"/>
  <c r="I548" i="2"/>
  <c r="B548" i="2"/>
  <c r="D162" i="2"/>
  <c r="F162" i="2"/>
  <c r="H162" i="2"/>
  <c r="L162" i="2"/>
  <c r="J162" i="2"/>
  <c r="C162" i="2"/>
  <c r="E162" i="2"/>
  <c r="K162" i="2"/>
  <c r="B162" i="2"/>
  <c r="I162" i="2"/>
  <c r="A162" i="2"/>
  <c r="G162" i="2"/>
  <c r="C249" i="2"/>
  <c r="K249" i="2"/>
  <c r="B249" i="2"/>
  <c r="G249" i="2"/>
  <c r="H249" i="2"/>
  <c r="J249" i="2"/>
  <c r="F249" i="2"/>
  <c r="A249" i="2"/>
  <c r="E249" i="2"/>
  <c r="D249" i="2"/>
  <c r="L249" i="2"/>
  <c r="I249" i="2"/>
  <c r="I499" i="2"/>
  <c r="F499" i="2"/>
  <c r="G499" i="2"/>
  <c r="J499" i="2"/>
  <c r="B499" i="2"/>
  <c r="L499" i="2"/>
  <c r="H499" i="2"/>
  <c r="E499" i="2"/>
  <c r="A499" i="2"/>
  <c r="D499" i="2"/>
  <c r="C499" i="2"/>
  <c r="K499" i="2"/>
  <c r="E164" i="2"/>
  <c r="A164" i="2"/>
  <c r="C164" i="2"/>
  <c r="H164" i="2"/>
  <c r="I164" i="2"/>
  <c r="K164" i="2"/>
  <c r="B164" i="2"/>
  <c r="F164" i="2"/>
  <c r="L164" i="2"/>
  <c r="D164" i="2"/>
  <c r="J164" i="2"/>
  <c r="G164" i="2"/>
  <c r="C246" i="2"/>
  <c r="L246" i="2"/>
  <c r="F246" i="2"/>
  <c r="A246" i="2"/>
  <c r="I246" i="2"/>
  <c r="H246" i="2"/>
  <c r="D246" i="2"/>
  <c r="B246" i="2"/>
  <c r="E246" i="2"/>
  <c r="K246" i="2"/>
  <c r="G246" i="2"/>
  <c r="J246" i="2"/>
  <c r="I546" i="2"/>
  <c r="E546" i="2"/>
  <c r="H546" i="2"/>
  <c r="K546" i="2"/>
  <c r="A546" i="2"/>
  <c r="F546" i="2"/>
  <c r="B546" i="2"/>
  <c r="L546" i="2"/>
  <c r="D546" i="2"/>
  <c r="C546" i="2"/>
  <c r="J546" i="2"/>
  <c r="G546" i="2"/>
  <c r="B521" i="2"/>
  <c r="K521" i="2"/>
  <c r="L521" i="2"/>
  <c r="F521" i="2"/>
  <c r="E521" i="2"/>
  <c r="D521" i="2"/>
  <c r="H521" i="2"/>
  <c r="I521" i="2"/>
  <c r="C521" i="2"/>
  <c r="G521" i="2"/>
  <c r="A521" i="2"/>
  <c r="J521" i="2"/>
  <c r="H265" i="2"/>
  <c r="K265" i="2"/>
  <c r="L265" i="2"/>
  <c r="C265" i="2"/>
  <c r="I265" i="2"/>
  <c r="E265" i="2"/>
  <c r="B265" i="2"/>
  <c r="G265" i="2"/>
  <c r="D265" i="2"/>
  <c r="F265" i="2"/>
  <c r="J265" i="2"/>
  <c r="A265" i="2"/>
  <c r="F208" i="2"/>
  <c r="G208" i="2"/>
  <c r="D208" i="2"/>
  <c r="L474" i="2"/>
  <c r="B474" i="2"/>
  <c r="G474" i="2"/>
  <c r="H474" i="2"/>
  <c r="K474" i="2"/>
  <c r="F474" i="2"/>
  <c r="D474" i="2"/>
  <c r="I474" i="2"/>
  <c r="C474" i="2"/>
  <c r="E474" i="2"/>
  <c r="A474" i="2"/>
  <c r="J474" i="2"/>
  <c r="B327" i="2"/>
  <c r="L327" i="2"/>
  <c r="D327" i="2"/>
  <c r="H327" i="2"/>
  <c r="E327" i="2"/>
  <c r="F327" i="2"/>
  <c r="C327" i="2"/>
  <c r="J327" i="2"/>
  <c r="K327" i="2"/>
  <c r="I327" i="2"/>
  <c r="A327" i="2"/>
  <c r="G327" i="2"/>
  <c r="H357" i="2"/>
  <c r="A380" i="2"/>
  <c r="D380" i="2"/>
  <c r="G380" i="2"/>
  <c r="B380" i="2"/>
  <c r="H380" i="2"/>
  <c r="I380" i="2"/>
  <c r="L380" i="2"/>
  <c r="J380" i="2"/>
  <c r="K380" i="2"/>
  <c r="F380" i="2"/>
  <c r="C380" i="2"/>
  <c r="E380" i="2"/>
  <c r="D228" i="2"/>
  <c r="H228" i="2"/>
  <c r="A228" i="2"/>
  <c r="L228" i="2"/>
  <c r="C228" i="2"/>
  <c r="E228" i="2"/>
  <c r="B228" i="2"/>
  <c r="G228" i="2"/>
  <c r="F261" i="2"/>
  <c r="K261" i="2"/>
  <c r="D261" i="2"/>
  <c r="L261" i="2"/>
  <c r="B261" i="2"/>
  <c r="I192" i="2"/>
  <c r="H187" i="2"/>
  <c r="B187" i="2"/>
  <c r="I187" i="2"/>
  <c r="D187" i="2"/>
  <c r="J439" i="2"/>
  <c r="E399" i="2"/>
  <c r="F399" i="2"/>
  <c r="L399" i="2"/>
  <c r="K399" i="2"/>
  <c r="I399" i="2"/>
  <c r="D399" i="2"/>
  <c r="J399" i="2"/>
  <c r="G399" i="2"/>
  <c r="B399" i="2"/>
  <c r="A399" i="2"/>
  <c r="G100" i="2"/>
  <c r="H100" i="2" s="1"/>
  <c r="I100" i="2"/>
  <c r="A100" i="2"/>
  <c r="C100" i="2"/>
  <c r="E100" i="2"/>
  <c r="F100" i="2"/>
  <c r="D100" i="2"/>
  <c r="J100" i="2"/>
  <c r="K100" i="2"/>
  <c r="B100" i="2"/>
  <c r="L100" i="2"/>
  <c r="B397" i="2"/>
  <c r="G397" i="2"/>
  <c r="J397" i="2"/>
  <c r="L397" i="2"/>
  <c r="D397" i="2"/>
  <c r="F397" i="2"/>
  <c r="E397" i="2"/>
  <c r="I397" i="2"/>
  <c r="H397" i="2"/>
  <c r="C397" i="2"/>
  <c r="K397" i="2"/>
  <c r="A397" i="2"/>
  <c r="A512" i="2"/>
  <c r="H512" i="2"/>
  <c r="J512" i="2"/>
  <c r="K512" i="2"/>
  <c r="D512" i="2"/>
  <c r="L512" i="2"/>
  <c r="I512" i="2"/>
  <c r="C512" i="2"/>
  <c r="G512" i="2"/>
  <c r="B512" i="2"/>
  <c r="F512" i="2"/>
  <c r="E512" i="2"/>
  <c r="I394" i="2"/>
  <c r="D394" i="2"/>
  <c r="C394" i="2"/>
  <c r="L394" i="2"/>
  <c r="J394" i="2"/>
  <c r="G394" i="2"/>
  <c r="H394" i="2"/>
  <c r="E394" i="2"/>
  <c r="K394" i="2"/>
  <c r="B394" i="2"/>
  <c r="A216" i="2"/>
  <c r="H216" i="2"/>
  <c r="G216" i="2"/>
  <c r="F216" i="2"/>
  <c r="L216" i="2"/>
  <c r="E216" i="2"/>
  <c r="D216" i="2"/>
  <c r="K216" i="2"/>
  <c r="C216" i="2"/>
  <c r="B216" i="2"/>
  <c r="J216" i="2"/>
  <c r="I216" i="2"/>
  <c r="J455" i="2"/>
  <c r="B455" i="2"/>
  <c r="G455" i="2"/>
  <c r="K455" i="2"/>
  <c r="C455" i="2"/>
  <c r="L455" i="2"/>
  <c r="I455" i="2"/>
  <c r="A455" i="2"/>
  <c r="I504" i="2"/>
  <c r="B504" i="2"/>
  <c r="D504" i="2"/>
  <c r="A511" i="2"/>
  <c r="E511" i="2"/>
  <c r="K511" i="2"/>
  <c r="F511" i="2"/>
  <c r="J511" i="2"/>
  <c r="G511" i="2"/>
  <c r="C511" i="2"/>
  <c r="D511" i="2"/>
  <c r="H511" i="2"/>
  <c r="L511" i="2"/>
  <c r="B511" i="2"/>
  <c r="I511" i="2"/>
  <c r="G492" i="2"/>
  <c r="B492" i="2"/>
  <c r="K492" i="2"/>
  <c r="C492" i="2"/>
  <c r="J492" i="2"/>
  <c r="L492" i="2"/>
  <c r="I492" i="2"/>
  <c r="A492" i="2"/>
  <c r="D492" i="2"/>
  <c r="F492" i="2"/>
  <c r="E492" i="2"/>
  <c r="H492" i="2"/>
  <c r="G355" i="2"/>
  <c r="J530" i="2"/>
  <c r="C530" i="2"/>
  <c r="D530" i="2"/>
  <c r="L530" i="2"/>
  <c r="G530" i="2"/>
  <c r="H530" i="2"/>
  <c r="F530" i="2"/>
  <c r="A530" i="2"/>
  <c r="E530" i="2"/>
  <c r="I530" i="2"/>
  <c r="B530" i="2"/>
  <c r="K530" i="2"/>
  <c r="C110" i="2"/>
  <c r="B110" i="2"/>
  <c r="A110" i="2"/>
  <c r="L110" i="2"/>
  <c r="F110" i="2"/>
  <c r="I110" i="2"/>
  <c r="D110" i="2"/>
  <c r="G110" i="2"/>
  <c r="H110" i="2" s="1"/>
  <c r="K205" i="2"/>
  <c r="L205" i="2"/>
  <c r="F205" i="2"/>
  <c r="C205" i="2"/>
  <c r="B205" i="2"/>
  <c r="I205" i="2"/>
  <c r="A205" i="2"/>
  <c r="G205" i="2"/>
  <c r="D205" i="2"/>
  <c r="J205" i="2"/>
  <c r="H205" i="2"/>
  <c r="E205" i="2"/>
  <c r="J112" i="2"/>
  <c r="B112" i="2"/>
  <c r="A112" i="2"/>
  <c r="D112" i="2"/>
  <c r="F112" i="2"/>
  <c r="K112" i="2"/>
  <c r="G112" i="2"/>
  <c r="H112" i="2" s="1"/>
  <c r="C112" i="2"/>
  <c r="L112" i="2"/>
  <c r="I112" i="2"/>
  <c r="E112" i="2"/>
  <c r="L495" i="2"/>
  <c r="E495" i="2"/>
  <c r="A495" i="2"/>
  <c r="I495" i="2"/>
  <c r="B495" i="2"/>
  <c r="C495" i="2"/>
  <c r="D495" i="2"/>
  <c r="J495" i="2"/>
  <c r="G495" i="2"/>
  <c r="F495" i="2"/>
  <c r="K495" i="2"/>
  <c r="H495" i="2"/>
  <c r="G392" i="2"/>
  <c r="D392" i="2"/>
  <c r="A392" i="2"/>
  <c r="E99" i="2"/>
  <c r="G99" i="2"/>
  <c r="H99" i="2" s="1"/>
  <c r="A99" i="2"/>
  <c r="J99" i="2"/>
  <c r="I99" i="2"/>
  <c r="C99" i="2"/>
  <c r="D99" i="2"/>
  <c r="K99" i="2"/>
  <c r="L99" i="2"/>
  <c r="F99" i="2"/>
  <c r="B99" i="2"/>
  <c r="I157" i="2"/>
  <c r="E157" i="2"/>
  <c r="J157" i="2"/>
  <c r="H157" i="2"/>
  <c r="K157" i="2"/>
  <c r="G157" i="2"/>
  <c r="F157" i="2"/>
  <c r="C157" i="2"/>
  <c r="B157" i="2"/>
  <c r="A157" i="2"/>
  <c r="D157" i="2"/>
  <c r="L157" i="2"/>
  <c r="L418" i="2"/>
  <c r="H418" i="2"/>
  <c r="B418" i="2"/>
  <c r="I418" i="2"/>
  <c r="J418" i="2"/>
  <c r="D418" i="2"/>
  <c r="G418" i="2"/>
  <c r="F418" i="2"/>
  <c r="A418" i="2"/>
  <c r="K418" i="2"/>
  <c r="C418" i="2"/>
  <c r="E418" i="2"/>
  <c r="J143" i="2"/>
  <c r="D143" i="2"/>
  <c r="E143" i="2"/>
  <c r="B143" i="2"/>
  <c r="C143" i="2"/>
  <c r="G143" i="2"/>
  <c r="L143" i="2"/>
  <c r="F143" i="2"/>
  <c r="K143" i="2"/>
  <c r="H143" i="2"/>
  <c r="A143" i="2"/>
  <c r="I143" i="2"/>
  <c r="C139" i="2"/>
  <c r="B139" i="2"/>
  <c r="J139" i="2"/>
  <c r="H139" i="2"/>
  <c r="F139" i="2"/>
  <c r="A139" i="2"/>
  <c r="K139" i="2"/>
  <c r="D139" i="2"/>
  <c r="E139" i="2"/>
  <c r="I139" i="2"/>
  <c r="L139" i="2"/>
  <c r="G139" i="2"/>
  <c r="A141" i="2"/>
  <c r="G141" i="2"/>
  <c r="B141" i="2"/>
  <c r="K141" i="2"/>
  <c r="L141" i="2"/>
  <c r="H141" i="2"/>
  <c r="C141" i="2"/>
  <c r="J141" i="2"/>
  <c r="D141" i="2"/>
  <c r="E141" i="2"/>
  <c r="I141" i="2"/>
  <c r="F141" i="2"/>
  <c r="F448" i="2"/>
  <c r="D448" i="2"/>
  <c r="A448" i="2"/>
  <c r="G448" i="2"/>
  <c r="J448" i="2"/>
  <c r="E448" i="2"/>
  <c r="I448" i="2"/>
  <c r="B448" i="2"/>
  <c r="K448" i="2"/>
  <c r="C448" i="2"/>
  <c r="L448" i="2"/>
  <c r="H448" i="2"/>
  <c r="K226" i="2"/>
  <c r="C226" i="2"/>
  <c r="F226" i="2"/>
  <c r="L395" i="2"/>
  <c r="D395" i="2"/>
  <c r="F395" i="2"/>
  <c r="A395" i="2"/>
  <c r="K395" i="2"/>
  <c r="B395" i="2"/>
  <c r="G395" i="2"/>
  <c r="I395" i="2"/>
  <c r="C395" i="2"/>
  <c r="H395" i="2"/>
  <c r="E395" i="2"/>
  <c r="J395" i="2"/>
  <c r="E285" i="2"/>
  <c r="L285" i="2"/>
  <c r="K285" i="2"/>
  <c r="G285" i="2"/>
  <c r="E419" i="2"/>
  <c r="A419" i="2"/>
  <c r="K419" i="2"/>
  <c r="F419" i="2"/>
  <c r="J419" i="2"/>
  <c r="L419" i="2"/>
  <c r="B419" i="2"/>
  <c r="D419" i="2"/>
  <c r="C419" i="2"/>
  <c r="I419" i="2"/>
  <c r="G419" i="2"/>
  <c r="H419" i="2"/>
  <c r="D477" i="2"/>
  <c r="K477" i="2"/>
  <c r="H477" i="2"/>
  <c r="J477" i="2"/>
  <c r="A477" i="2"/>
  <c r="C477" i="2"/>
  <c r="I477" i="2"/>
  <c r="L477" i="2"/>
  <c r="E477" i="2"/>
  <c r="G477" i="2"/>
  <c r="B477" i="2"/>
  <c r="F477" i="2"/>
  <c r="F296" i="2"/>
  <c r="L296" i="2"/>
  <c r="A296" i="2"/>
  <c r="C125" i="2"/>
  <c r="L125" i="2"/>
  <c r="H125" i="2"/>
  <c r="J125" i="2"/>
  <c r="K125" i="2"/>
  <c r="D125" i="2"/>
  <c r="F125" i="2"/>
  <c r="G125" i="2"/>
  <c r="I125" i="2"/>
  <c r="E125" i="2"/>
  <c r="A125" i="2"/>
  <c r="B125" i="2"/>
  <c r="G243" i="2"/>
  <c r="E243" i="2"/>
  <c r="C243" i="2"/>
  <c r="I243" i="2"/>
  <c r="B243" i="2"/>
  <c r="A243" i="2"/>
  <c r="B349" i="2"/>
  <c r="H349" i="2"/>
  <c r="I176" i="2"/>
  <c r="B197" i="2"/>
  <c r="D197" i="2"/>
  <c r="J197" i="2"/>
  <c r="A197" i="2"/>
  <c r="H197" i="2"/>
  <c r="E197" i="2"/>
  <c r="G197" i="2"/>
  <c r="I197" i="2"/>
  <c r="F197" i="2"/>
  <c r="L197" i="2"/>
  <c r="K197" i="2"/>
  <c r="C197" i="2"/>
  <c r="D247" i="2"/>
  <c r="A247" i="2"/>
  <c r="H247" i="2"/>
  <c r="K247" i="2"/>
  <c r="J242" i="2"/>
  <c r="F430" i="2"/>
  <c r="A207" i="2"/>
  <c r="A104" i="2"/>
  <c r="C104" i="2"/>
  <c r="F104" i="2"/>
  <c r="I104" i="2"/>
  <c r="J104" i="2"/>
  <c r="K104" i="2"/>
  <c r="G104" i="2"/>
  <c r="H104" i="2" s="1"/>
  <c r="D104" i="2"/>
  <c r="B104" i="2"/>
  <c r="L104" i="2"/>
  <c r="E104" i="2"/>
  <c r="H133" i="2"/>
  <c r="D133" i="2"/>
  <c r="F133" i="2"/>
  <c r="I133" i="2"/>
  <c r="K133" i="2"/>
  <c r="E133" i="2"/>
  <c r="A133" i="2"/>
  <c r="B133" i="2"/>
  <c r="L133" i="2"/>
  <c r="G133" i="2"/>
  <c r="C133" i="2"/>
  <c r="J133" i="2"/>
  <c r="K472" i="2"/>
  <c r="E472" i="2"/>
  <c r="G472" i="2"/>
  <c r="C472" i="2"/>
  <c r="H472" i="2"/>
  <c r="A472" i="2"/>
  <c r="F472" i="2"/>
  <c r="I472" i="2"/>
  <c r="B472" i="2"/>
  <c r="J472" i="2"/>
  <c r="D472" i="2"/>
  <c r="L472" i="2"/>
  <c r="K482" i="2"/>
  <c r="D482" i="2"/>
  <c r="A482" i="2"/>
  <c r="G482" i="2"/>
  <c r="B482" i="2"/>
  <c r="E482" i="2"/>
  <c r="C482" i="2"/>
  <c r="H482" i="2"/>
  <c r="J482" i="2"/>
  <c r="L482" i="2"/>
  <c r="I482" i="2"/>
  <c r="F482" i="2"/>
  <c r="D229" i="2"/>
  <c r="F229" i="2"/>
  <c r="B229" i="2"/>
  <c r="H229" i="2"/>
  <c r="I229" i="2"/>
  <c r="K229" i="2"/>
  <c r="L229" i="2"/>
  <c r="C229" i="2"/>
  <c r="J229" i="2"/>
  <c r="A229" i="2"/>
  <c r="G229" i="2"/>
  <c r="E229" i="2"/>
  <c r="B266" i="2"/>
  <c r="G266" i="2"/>
  <c r="H266" i="2"/>
  <c r="C266" i="2"/>
  <c r="J266" i="2"/>
  <c r="L266" i="2"/>
  <c r="D266" i="2"/>
  <c r="E266" i="2"/>
  <c r="K266" i="2"/>
  <c r="I266" i="2"/>
  <c r="F266" i="2"/>
  <c r="A266" i="2"/>
  <c r="I336" i="2"/>
  <c r="C336" i="2"/>
  <c r="B336" i="2"/>
  <c r="H336" i="2"/>
  <c r="F336" i="2"/>
  <c r="E336" i="2"/>
  <c r="K336" i="2"/>
  <c r="J336" i="2"/>
  <c r="G336" i="2"/>
  <c r="L336" i="2"/>
  <c r="D336" i="2"/>
  <c r="A336" i="2"/>
  <c r="K387" i="2"/>
  <c r="L387" i="2"/>
  <c r="D387" i="2"/>
  <c r="I387" i="2"/>
  <c r="F387" i="2"/>
  <c r="H387" i="2"/>
  <c r="J387" i="2"/>
  <c r="C387" i="2"/>
  <c r="G387" i="2"/>
  <c r="A387" i="2"/>
  <c r="E387" i="2"/>
  <c r="B387" i="2"/>
  <c r="I150" i="2"/>
  <c r="C150" i="2"/>
  <c r="G150" i="2"/>
  <c r="L150" i="2"/>
  <c r="D150" i="2"/>
  <c r="B150" i="2"/>
  <c r="E150" i="2"/>
  <c r="F150" i="2"/>
  <c r="J150" i="2"/>
  <c r="K150" i="2"/>
  <c r="A150" i="2"/>
  <c r="H150" i="2"/>
  <c r="A221" i="2"/>
  <c r="I221" i="2"/>
  <c r="E221" i="2"/>
  <c r="J221" i="2"/>
  <c r="B221" i="2"/>
  <c r="K221" i="2"/>
  <c r="D221" i="2"/>
  <c r="C221" i="2"/>
  <c r="F221" i="2"/>
  <c r="G221" i="2"/>
  <c r="L221" i="2"/>
  <c r="H221" i="2"/>
  <c r="G199" i="2"/>
  <c r="I199" i="2"/>
  <c r="L199" i="2"/>
  <c r="K199" i="2"/>
  <c r="H199" i="2"/>
  <c r="C199" i="2"/>
  <c r="D199" i="2"/>
  <c r="A199" i="2"/>
  <c r="J199" i="2"/>
  <c r="F199" i="2"/>
  <c r="B199" i="2"/>
  <c r="E199" i="2"/>
  <c r="D352" i="2"/>
  <c r="F352" i="2"/>
  <c r="L352" i="2"/>
  <c r="K352" i="2"/>
  <c r="G352" i="2"/>
  <c r="C352" i="2"/>
  <c r="E352" i="2"/>
  <c r="H352" i="2"/>
  <c r="G473" i="2"/>
  <c r="J473" i="2"/>
  <c r="H473" i="2"/>
  <c r="K473" i="2"/>
  <c r="L473" i="2"/>
  <c r="A473" i="2"/>
  <c r="E473" i="2"/>
  <c r="D473" i="2"/>
  <c r="I473" i="2"/>
  <c r="F473" i="2"/>
  <c r="B473" i="2"/>
  <c r="C473" i="2"/>
  <c r="D385" i="2"/>
  <c r="A385" i="2"/>
  <c r="E385" i="2"/>
  <c r="J385" i="2"/>
  <c r="I385" i="2"/>
  <c r="L385" i="2"/>
  <c r="B371" i="2"/>
  <c r="K371" i="2"/>
  <c r="L371" i="2"/>
  <c r="I371" i="2"/>
  <c r="F371" i="2"/>
  <c r="J371" i="2"/>
  <c r="A371" i="2"/>
  <c r="D371" i="2"/>
  <c r="G371" i="2"/>
  <c r="E371" i="2"/>
  <c r="H371" i="2"/>
  <c r="C371" i="2"/>
  <c r="H166" i="2"/>
  <c r="F166" i="2"/>
  <c r="E166" i="2"/>
  <c r="I166" i="2"/>
  <c r="J166" i="2"/>
  <c r="C166" i="2"/>
  <c r="K166" i="2"/>
  <c r="D166" i="2"/>
  <c r="L166" i="2"/>
  <c r="B166" i="2"/>
  <c r="A166" i="2"/>
  <c r="G166" i="2"/>
  <c r="K130" i="2"/>
  <c r="L289" i="2"/>
  <c r="E289" i="2"/>
  <c r="G289" i="2"/>
  <c r="B289" i="2"/>
  <c r="C289" i="2"/>
  <c r="J353" i="2"/>
  <c r="A353" i="2"/>
  <c r="G353" i="2"/>
  <c r="I353" i="2"/>
  <c r="E353" i="2"/>
  <c r="K353" i="2"/>
  <c r="L353" i="2"/>
  <c r="H353" i="2"/>
  <c r="F353" i="2"/>
  <c r="B353" i="2"/>
  <c r="D353" i="2"/>
  <c r="C353" i="2"/>
  <c r="F95" i="2"/>
  <c r="C95" i="2"/>
  <c r="K95" i="2"/>
  <c r="J95" i="2"/>
  <c r="D95" i="2"/>
  <c r="L95" i="2"/>
  <c r="E95" i="2"/>
  <c r="B95" i="2"/>
  <c r="A95" i="2"/>
  <c r="I95" i="2"/>
  <c r="G95" i="2"/>
  <c r="H95" i="2" s="1"/>
  <c r="K539" i="2"/>
  <c r="B539" i="2"/>
  <c r="H539" i="2"/>
  <c r="G539" i="2"/>
  <c r="A539" i="2"/>
  <c r="J539" i="2"/>
  <c r="I539" i="2"/>
  <c r="C539" i="2"/>
  <c r="F539" i="2"/>
  <c r="D539" i="2"/>
  <c r="E539" i="2"/>
  <c r="L539" i="2"/>
  <c r="G420" i="2"/>
  <c r="J420" i="2"/>
  <c r="E420" i="2"/>
  <c r="D420" i="2"/>
  <c r="K420" i="2"/>
  <c r="A420" i="2"/>
  <c r="B420" i="2"/>
  <c r="I420" i="2"/>
  <c r="L420" i="2"/>
  <c r="H420" i="2"/>
  <c r="C420" i="2"/>
  <c r="F420" i="2"/>
  <c r="L343" i="2"/>
  <c r="D343" i="2"/>
  <c r="F343" i="2"/>
  <c r="C343" i="2"/>
  <c r="G343" i="2"/>
  <c r="I343" i="2"/>
  <c r="B343" i="2"/>
  <c r="A343" i="2"/>
  <c r="J343" i="2"/>
  <c r="E343" i="2"/>
  <c r="K343" i="2"/>
  <c r="H343" i="2"/>
  <c r="F354" i="2"/>
  <c r="J354" i="2"/>
  <c r="D354" i="2"/>
  <c r="B354" i="2"/>
  <c r="I354" i="2"/>
  <c r="K354" i="2"/>
  <c r="E354" i="2"/>
  <c r="A354" i="2"/>
  <c r="G354" i="2"/>
  <c r="L354" i="2"/>
  <c r="C354" i="2"/>
  <c r="H354" i="2"/>
  <c r="L390" i="2"/>
  <c r="I390" i="2"/>
  <c r="K390" i="2"/>
  <c r="B390" i="2"/>
  <c r="H390" i="2"/>
  <c r="C390" i="2"/>
  <c r="A390" i="2"/>
  <c r="F390" i="2"/>
  <c r="E390" i="2"/>
  <c r="J390" i="2"/>
  <c r="D390" i="2"/>
  <c r="G390" i="2"/>
  <c r="B309" i="2"/>
  <c r="J309" i="2"/>
  <c r="C309" i="2"/>
  <c r="I309" i="2"/>
  <c r="K309" i="2"/>
  <c r="D309" i="2"/>
  <c r="G232" i="2"/>
  <c r="C232" i="2"/>
  <c r="A232" i="2"/>
  <c r="J232" i="2"/>
  <c r="L232" i="2"/>
  <c r="B232" i="2"/>
  <c r="I232" i="2"/>
  <c r="K232" i="2"/>
  <c r="D232" i="2"/>
  <c r="E232" i="2"/>
  <c r="F232" i="2"/>
  <c r="H232" i="2"/>
  <c r="B498" i="2"/>
  <c r="D498" i="2"/>
  <c r="J498" i="2"/>
  <c r="F498" i="2"/>
  <c r="L498" i="2"/>
  <c r="H498" i="2"/>
  <c r="G498" i="2"/>
  <c r="E498" i="2"/>
  <c r="K498" i="2"/>
  <c r="C498" i="2"/>
  <c r="I498" i="2"/>
  <c r="E114" i="2"/>
  <c r="J114" i="2"/>
  <c r="L114" i="2"/>
  <c r="G230" i="2"/>
  <c r="K230" i="2"/>
  <c r="A230" i="2"/>
  <c r="C230" i="2"/>
  <c r="F230" i="2"/>
  <c r="F502" i="2"/>
  <c r="J502" i="2"/>
  <c r="P545" i="2"/>
  <c r="P520" i="2"/>
  <c r="P160" i="2"/>
  <c r="P538" i="2"/>
  <c r="P301" i="2"/>
  <c r="P306" i="2"/>
  <c r="P319" i="2"/>
  <c r="P506" i="2"/>
  <c r="P293" i="2"/>
  <c r="P503" i="2"/>
  <c r="G438" i="2"/>
  <c r="L438" i="2"/>
  <c r="J438" i="2"/>
  <c r="I438" i="2"/>
  <c r="D438" i="2"/>
  <c r="B438" i="2"/>
  <c r="A438" i="2"/>
  <c r="C438" i="2"/>
  <c r="E438" i="2"/>
  <c r="F438" i="2"/>
  <c r="H438" i="2"/>
  <c r="K438" i="2"/>
  <c r="L514" i="2"/>
  <c r="G514" i="2"/>
  <c r="I514" i="2"/>
  <c r="K514" i="2"/>
  <c r="J514" i="2"/>
  <c r="B514" i="2"/>
  <c r="F514" i="2"/>
  <c r="H514" i="2"/>
  <c r="A514" i="2"/>
  <c r="C514" i="2"/>
  <c r="E514" i="2"/>
  <c r="D514" i="2"/>
  <c r="D485" i="2"/>
  <c r="K485" i="2"/>
  <c r="B485" i="2"/>
  <c r="C485" i="2"/>
  <c r="H485" i="2"/>
  <c r="L485" i="2"/>
  <c r="G485" i="2"/>
  <c r="F485" i="2"/>
  <c r="E485" i="2"/>
  <c r="A485" i="2"/>
  <c r="J485" i="2"/>
  <c r="I485" i="2"/>
  <c r="J405" i="2"/>
  <c r="L405" i="2"/>
  <c r="E405" i="2"/>
  <c r="D405" i="2"/>
  <c r="A405" i="2"/>
  <c r="H405" i="2"/>
  <c r="C405" i="2"/>
  <c r="B405" i="2"/>
  <c r="G405" i="2"/>
  <c r="I405" i="2"/>
  <c r="F405" i="2"/>
  <c r="K405" i="2"/>
  <c r="E470" i="2"/>
  <c r="J470" i="2"/>
  <c r="F470" i="2"/>
  <c r="C470" i="2"/>
  <c r="G470" i="2"/>
  <c r="B201" i="2"/>
  <c r="L201" i="2"/>
  <c r="F201" i="2"/>
  <c r="J201" i="2"/>
  <c r="I201" i="2"/>
  <c r="K201" i="2"/>
  <c r="H201" i="2"/>
  <c r="C201" i="2"/>
  <c r="G201" i="2"/>
  <c r="D201" i="2"/>
  <c r="A201" i="2"/>
  <c r="E201" i="2"/>
  <c r="J219" i="2"/>
  <c r="E219" i="2"/>
  <c r="G219" i="2"/>
  <c r="I219" i="2"/>
  <c r="D219" i="2"/>
  <c r="H219" i="2"/>
  <c r="L219" i="2"/>
  <c r="F219" i="2"/>
  <c r="B219" i="2"/>
  <c r="C219" i="2"/>
  <c r="K219" i="2"/>
  <c r="A219" i="2"/>
  <c r="K523" i="2"/>
  <c r="F272" i="2"/>
  <c r="H272" i="2"/>
  <c r="I272" i="2"/>
  <c r="E272" i="2"/>
  <c r="C256" i="2"/>
  <c r="G256" i="2"/>
  <c r="H256" i="2"/>
  <c r="F256" i="2"/>
  <c r="L256" i="2"/>
  <c r="B256" i="2"/>
  <c r="J256" i="2"/>
  <c r="E256" i="2"/>
  <c r="A256" i="2"/>
  <c r="I256" i="2"/>
  <c r="D256" i="2"/>
  <c r="K256" i="2"/>
  <c r="P363" i="2"/>
  <c r="P292" i="2"/>
  <c r="P324" i="2"/>
  <c r="P97" i="2"/>
  <c r="B381" i="2"/>
  <c r="H381" i="2"/>
  <c r="G381" i="2"/>
  <c r="D381" i="2"/>
  <c r="C381" i="2"/>
  <c r="F381" i="2"/>
  <c r="E381" i="2"/>
  <c r="A381" i="2"/>
  <c r="K381" i="2"/>
  <c r="L381" i="2"/>
  <c r="J381" i="2"/>
  <c r="I381" i="2"/>
  <c r="H526" i="2"/>
  <c r="B526" i="2"/>
  <c r="C526" i="2"/>
  <c r="E526" i="2"/>
  <c r="G526" i="2"/>
  <c r="K526" i="2"/>
  <c r="A526" i="2"/>
  <c r="J526" i="2"/>
  <c r="F526" i="2"/>
  <c r="I526" i="2"/>
  <c r="D526" i="2"/>
  <c r="L526" i="2"/>
  <c r="G142" i="2"/>
  <c r="D142" i="2"/>
  <c r="J142" i="2"/>
  <c r="L142" i="2"/>
  <c r="F142" i="2"/>
  <c r="B142" i="2"/>
  <c r="A142" i="2"/>
  <c r="K142" i="2"/>
  <c r="C142" i="2"/>
  <c r="I142" i="2"/>
  <c r="E142" i="2"/>
  <c r="H142" i="2"/>
  <c r="L137" i="2"/>
  <c r="A137" i="2"/>
  <c r="C137" i="2"/>
  <c r="H137" i="2"/>
  <c r="F137" i="2"/>
  <c r="K137" i="2"/>
  <c r="G137" i="2"/>
  <c r="I137" i="2"/>
  <c r="D137" i="2"/>
  <c r="E137" i="2"/>
  <c r="J137" i="2"/>
  <c r="B137" i="2"/>
  <c r="B440" i="2"/>
  <c r="G440" i="2"/>
  <c r="H440" i="2"/>
  <c r="E440" i="2"/>
  <c r="D440" i="2"/>
  <c r="K440" i="2"/>
  <c r="A440" i="2"/>
  <c r="C440" i="2"/>
  <c r="J440" i="2"/>
  <c r="L440" i="2"/>
  <c r="I440" i="2"/>
  <c r="F440" i="2"/>
  <c r="A425" i="2"/>
  <c r="D425" i="2"/>
  <c r="K425" i="2"/>
  <c r="L425" i="2"/>
  <c r="J425" i="2"/>
  <c r="G425" i="2"/>
  <c r="H425" i="2"/>
  <c r="E425" i="2"/>
  <c r="F425" i="2"/>
  <c r="I425" i="2"/>
  <c r="B425" i="2"/>
  <c r="C425" i="2"/>
  <c r="C121" i="2"/>
  <c r="J121" i="2"/>
  <c r="L121" i="2"/>
  <c r="H121" i="2"/>
  <c r="F121" i="2"/>
  <c r="A121" i="2"/>
  <c r="B121" i="2"/>
  <c r="I121" i="2"/>
  <c r="G121" i="2"/>
  <c r="K121" i="2"/>
  <c r="E121" i="2"/>
  <c r="D121" i="2"/>
  <c r="H404" i="2"/>
  <c r="E404" i="2"/>
  <c r="I404" i="2"/>
  <c r="C404" i="2"/>
  <c r="A404" i="2"/>
  <c r="F404" i="2"/>
  <c r="D404" i="2"/>
  <c r="K404" i="2"/>
  <c r="G404" i="2"/>
  <c r="B404" i="2"/>
  <c r="J404" i="2"/>
  <c r="L404" i="2"/>
  <c r="K544" i="2"/>
  <c r="C544" i="2"/>
  <c r="J544" i="2"/>
  <c r="A544" i="2"/>
  <c r="I544" i="2"/>
  <c r="L544" i="2"/>
  <c r="E544" i="2"/>
  <c r="F544" i="2"/>
  <c r="H544" i="2"/>
  <c r="D544" i="2"/>
  <c r="B544" i="2"/>
  <c r="G544" i="2"/>
  <c r="J344" i="2"/>
  <c r="C344" i="2"/>
  <c r="D344" i="2"/>
  <c r="F344" i="2"/>
  <c r="A344" i="2"/>
  <c r="K344" i="2"/>
  <c r="B344" i="2"/>
  <c r="E344" i="2"/>
  <c r="I344" i="2"/>
  <c r="H344" i="2"/>
  <c r="G344" i="2"/>
  <c r="L344" i="2"/>
  <c r="I111" i="2"/>
  <c r="J111" i="2"/>
  <c r="C111" i="2"/>
  <c r="F111" i="2"/>
  <c r="K111" i="2"/>
  <c r="D111" i="2"/>
  <c r="B111" i="2"/>
  <c r="A111" i="2"/>
  <c r="E111" i="2"/>
  <c r="L111" i="2"/>
  <c r="G111" i="2"/>
  <c r="H111" i="2" s="1"/>
  <c r="H338" i="2"/>
  <c r="E338" i="2"/>
  <c r="F338" i="2"/>
  <c r="K338" i="2"/>
  <c r="I338" i="2"/>
  <c r="B338" i="2"/>
  <c r="A338" i="2"/>
  <c r="D338" i="2"/>
  <c r="L338" i="2"/>
  <c r="C338" i="2"/>
  <c r="G338" i="2"/>
  <c r="J338" i="2"/>
  <c r="D118" i="2"/>
  <c r="H118" i="2"/>
  <c r="A118" i="2"/>
  <c r="F118" i="2"/>
  <c r="J118" i="2"/>
  <c r="G118" i="2"/>
  <c r="L118" i="2"/>
  <c r="K118" i="2"/>
  <c r="I118" i="2"/>
  <c r="E118" i="2"/>
  <c r="B118" i="2"/>
  <c r="C118" i="2"/>
  <c r="L295" i="2"/>
  <c r="F295" i="2"/>
  <c r="B295" i="2"/>
  <c r="J295" i="2"/>
  <c r="J341" i="2"/>
  <c r="E341" i="2"/>
  <c r="A341" i="2"/>
  <c r="K341" i="2"/>
  <c r="C341" i="2"/>
  <c r="D341" i="2"/>
  <c r="F341" i="2"/>
  <c r="I341" i="2"/>
  <c r="L341" i="2"/>
  <c r="H341" i="2"/>
  <c r="B341" i="2"/>
  <c r="J305" i="2"/>
  <c r="D305" i="2"/>
  <c r="A305" i="2"/>
  <c r="B305" i="2"/>
  <c r="G305" i="2"/>
  <c r="E305" i="2"/>
  <c r="C305" i="2"/>
  <c r="F305" i="2"/>
  <c r="H305" i="2"/>
  <c r="K305" i="2"/>
  <c r="I305" i="2"/>
  <c r="L305" i="2"/>
  <c r="B488" i="2"/>
  <c r="F488" i="2"/>
  <c r="H488" i="2"/>
  <c r="K488" i="2"/>
  <c r="E488" i="2"/>
  <c r="J488" i="2"/>
  <c r="D488" i="2"/>
  <c r="C488" i="2"/>
  <c r="I488" i="2"/>
  <c r="L488" i="2"/>
  <c r="A488" i="2"/>
  <c r="K547" i="2"/>
  <c r="D547" i="2"/>
  <c r="B547" i="2"/>
  <c r="G547" i="2"/>
  <c r="I547" i="2"/>
  <c r="A547" i="2"/>
  <c r="E547" i="2"/>
  <c r="H547" i="2"/>
  <c r="C547" i="2"/>
  <c r="F547" i="2"/>
  <c r="L547" i="2"/>
  <c r="J547" i="2"/>
  <c r="C527" i="2"/>
  <c r="L527" i="2"/>
  <c r="A171" i="2"/>
  <c r="J435" i="2"/>
  <c r="A435" i="2"/>
  <c r="G435" i="2"/>
  <c r="D435" i="2"/>
  <c r="K279" i="2"/>
  <c r="D279" i="2"/>
  <c r="F279" i="2"/>
  <c r="A279" i="2"/>
  <c r="B279" i="2"/>
  <c r="H279" i="2"/>
  <c r="L279" i="2"/>
  <c r="I279" i="2"/>
  <c r="J279" i="2"/>
  <c r="E279" i="2"/>
  <c r="C279" i="2"/>
  <c r="G279" i="2"/>
  <c r="A132" i="2"/>
  <c r="F132" i="2"/>
  <c r="K132" i="2"/>
  <c r="F103" i="2"/>
  <c r="E103" i="2"/>
  <c r="A103" i="2"/>
  <c r="G103" i="2"/>
  <c r="H103" i="2" s="1"/>
  <c r="D103" i="2"/>
  <c r="L103" i="2"/>
  <c r="J103" i="2"/>
  <c r="C103" i="2"/>
  <c r="I103" i="2"/>
  <c r="K103" i="2"/>
  <c r="B103" i="2"/>
  <c r="G465" i="2"/>
  <c r="I198" i="2"/>
  <c r="G198" i="2"/>
  <c r="E378" i="2"/>
  <c r="G378" i="2"/>
  <c r="F303" i="2"/>
  <c r="I303" i="2"/>
  <c r="B303" i="2"/>
  <c r="D303" i="2"/>
  <c r="L303" i="2"/>
  <c r="H303" i="2"/>
  <c r="P433" i="2"/>
  <c r="P496" i="2"/>
  <c r="P281" i="2"/>
  <c r="P151" i="2"/>
  <c r="D286" i="2"/>
  <c r="E286" i="2"/>
  <c r="L286" i="2"/>
  <c r="K286" i="2"/>
  <c r="A286" i="2"/>
  <c r="J286" i="2"/>
  <c r="C286" i="2"/>
  <c r="B286" i="2"/>
  <c r="H286" i="2"/>
  <c r="G286" i="2"/>
  <c r="I286" i="2"/>
  <c r="F286" i="2"/>
  <c r="J217" i="2"/>
  <c r="D217" i="2"/>
  <c r="A217" i="2"/>
  <c r="L217" i="2"/>
  <c r="F217" i="2"/>
  <c r="K217" i="2"/>
  <c r="E217" i="2"/>
  <c r="G217" i="2"/>
  <c r="I217" i="2"/>
  <c r="H217" i="2"/>
  <c r="C217" i="2"/>
  <c r="B217" i="2"/>
  <c r="K202" i="2"/>
  <c r="J202" i="2"/>
  <c r="F202" i="2"/>
  <c r="C202" i="2"/>
  <c r="L202" i="2"/>
  <c r="A202" i="2"/>
  <c r="E202" i="2"/>
  <c r="I188" i="2"/>
  <c r="J138" i="2"/>
  <c r="K138" i="2"/>
  <c r="A138" i="2"/>
  <c r="F138" i="2"/>
  <c r="H138" i="2"/>
  <c r="C138" i="2"/>
  <c r="B138" i="2"/>
  <c r="C457" i="2"/>
  <c r="H457" i="2"/>
  <c r="L431" i="2"/>
  <c r="E431" i="2"/>
  <c r="J431" i="2"/>
  <c r="D431" i="2"/>
  <c r="I431" i="2"/>
  <c r="C431" i="2"/>
  <c r="K431" i="2"/>
  <c r="H431" i="2"/>
  <c r="F431" i="2"/>
  <c r="A431" i="2"/>
  <c r="G431" i="2"/>
  <c r="B431" i="2"/>
  <c r="A452" i="2"/>
  <c r="L452" i="2"/>
  <c r="D98" i="2"/>
  <c r="E98" i="2"/>
  <c r="F98" i="2"/>
  <c r="C98" i="2"/>
  <c r="K98" i="2"/>
  <c r="J98" i="2"/>
  <c r="B98" i="2"/>
  <c r="I98" i="2"/>
  <c r="L98" i="2"/>
  <c r="A98" i="2"/>
  <c r="G98" i="2"/>
  <c r="H98" i="2" s="1"/>
  <c r="I90" i="2"/>
  <c r="K90" i="2"/>
  <c r="A90" i="2"/>
  <c r="F90" i="2"/>
  <c r="J90" i="2"/>
  <c r="B90" i="2"/>
  <c r="E90" i="2"/>
  <c r="C90" i="2"/>
  <c r="G90" i="2"/>
  <c r="H90" i="2" s="1"/>
  <c r="L90" i="2"/>
  <c r="D90" i="2"/>
  <c r="K238" i="2"/>
  <c r="J238" i="2"/>
  <c r="A454" i="2"/>
  <c r="B454" i="2"/>
  <c r="P388" i="2"/>
  <c r="P403" i="2"/>
  <c r="P400" i="2"/>
  <c r="P540" i="2"/>
  <c r="B233" i="2"/>
  <c r="I233" i="2"/>
  <c r="C233" i="2"/>
  <c r="D233" i="2"/>
  <c r="J233" i="2"/>
  <c r="E233" i="2"/>
  <c r="A233" i="2"/>
  <c r="G233" i="2"/>
  <c r="F233" i="2"/>
  <c r="H233" i="2"/>
  <c r="K233" i="2"/>
  <c r="L233" i="2"/>
  <c r="D308" i="2"/>
  <c r="B308" i="2"/>
  <c r="I308" i="2"/>
  <c r="A308" i="2"/>
  <c r="L308" i="2"/>
  <c r="E308" i="2"/>
  <c r="H308" i="2"/>
  <c r="K308" i="2"/>
  <c r="C308" i="2"/>
  <c r="J308" i="2"/>
  <c r="G308" i="2"/>
  <c r="F308" i="2"/>
  <c r="G377" i="2"/>
  <c r="E377" i="2"/>
  <c r="C377" i="2"/>
  <c r="A377" i="2"/>
  <c r="L377" i="2"/>
  <c r="K377" i="2"/>
  <c r="B377" i="2"/>
  <c r="D377" i="2"/>
  <c r="I377" i="2"/>
  <c r="J377" i="2"/>
  <c r="F377" i="2"/>
  <c r="H377" i="2"/>
  <c r="J258" i="2"/>
  <c r="E258" i="2"/>
  <c r="A258" i="2"/>
  <c r="K258" i="2"/>
  <c r="G258" i="2"/>
  <c r="F258" i="2"/>
  <c r="C258" i="2"/>
  <c r="D258" i="2"/>
  <c r="I258" i="2"/>
  <c r="L258" i="2"/>
  <c r="H258" i="2"/>
  <c r="B258" i="2"/>
  <c r="H231" i="2"/>
  <c r="E231" i="2"/>
  <c r="B231" i="2"/>
  <c r="A231" i="2"/>
  <c r="D231" i="2"/>
  <c r="I231" i="2"/>
  <c r="G231" i="2"/>
  <c r="J231" i="2"/>
  <c r="C231" i="2"/>
  <c r="K231" i="2"/>
  <c r="F231" i="2"/>
  <c r="L231" i="2"/>
  <c r="H190" i="2"/>
  <c r="J190" i="2"/>
  <c r="K190" i="2"/>
  <c r="A190" i="2"/>
  <c r="L190" i="2"/>
  <c r="C190" i="2"/>
  <c r="F190" i="2"/>
  <c r="G190" i="2"/>
  <c r="E190" i="2"/>
  <c r="I190" i="2"/>
  <c r="B190" i="2"/>
  <c r="D190" i="2"/>
  <c r="I391" i="2"/>
  <c r="B391" i="2"/>
  <c r="J391" i="2"/>
  <c r="F391" i="2"/>
  <c r="C391" i="2"/>
  <c r="A391" i="2"/>
  <c r="L391" i="2"/>
  <c r="E391" i="2"/>
  <c r="G391" i="2"/>
  <c r="K391" i="2"/>
  <c r="H391" i="2"/>
  <c r="D391" i="2"/>
  <c r="A406" i="2"/>
  <c r="K406" i="2"/>
  <c r="G406" i="2"/>
  <c r="C406" i="2"/>
  <c r="J406" i="2"/>
  <c r="I406" i="2"/>
  <c r="B406" i="2"/>
  <c r="L406" i="2"/>
  <c r="H406" i="2"/>
  <c r="E406" i="2"/>
  <c r="D406" i="2"/>
  <c r="F406" i="2"/>
  <c r="K262" i="2"/>
  <c r="L262" i="2"/>
  <c r="H262" i="2"/>
  <c r="J262" i="2"/>
  <c r="I262" i="2"/>
  <c r="D262" i="2"/>
  <c r="C262" i="2"/>
  <c r="G262" i="2"/>
  <c r="B262" i="2"/>
  <c r="E262" i="2"/>
  <c r="F262" i="2"/>
  <c r="A262" i="2"/>
  <c r="D325" i="2"/>
  <c r="A325" i="2"/>
  <c r="C287" i="2"/>
  <c r="G287" i="2"/>
  <c r="F287" i="2"/>
  <c r="K287" i="2"/>
  <c r="H287" i="2"/>
  <c r="A287" i="2"/>
  <c r="I287" i="2"/>
  <c r="J287" i="2"/>
  <c r="E287" i="2"/>
  <c r="D287" i="2"/>
  <c r="B287" i="2"/>
  <c r="L287" i="2"/>
  <c r="H350" i="2"/>
  <c r="K350" i="2"/>
  <c r="B350" i="2"/>
  <c r="B307" i="2"/>
  <c r="J307" i="2"/>
  <c r="H307" i="2"/>
  <c r="C307" i="2"/>
  <c r="E307" i="2"/>
  <c r="G307" i="2"/>
  <c r="I307" i="2"/>
  <c r="D307" i="2"/>
  <c r="A307" i="2"/>
  <c r="L307" i="2"/>
  <c r="F307" i="2"/>
  <c r="K307" i="2"/>
  <c r="K364" i="2"/>
  <c r="K218" i="2"/>
  <c r="J218" i="2"/>
  <c r="A218" i="2"/>
  <c r="D218" i="2"/>
  <c r="F218" i="2"/>
  <c r="E218" i="2"/>
  <c r="G218" i="2"/>
  <c r="H218" i="2"/>
  <c r="L218" i="2"/>
  <c r="C218" i="2"/>
  <c r="B218" i="2"/>
  <c r="I218" i="2"/>
  <c r="P194" i="2"/>
  <c r="P28" i="2"/>
  <c r="P56" i="2"/>
  <c r="P23" i="2"/>
  <c r="P46" i="2"/>
  <c r="P34" i="2"/>
  <c r="P40" i="2"/>
  <c r="P44" i="2"/>
  <c r="P30" i="2"/>
  <c r="P26" i="2"/>
  <c r="P38" i="2"/>
  <c r="P37" i="2"/>
  <c r="P21" i="2"/>
  <c r="P57" i="2"/>
  <c r="P33" i="2"/>
  <c r="P48" i="2"/>
  <c r="P58" i="2"/>
  <c r="P27" i="2"/>
  <c r="P15" i="2"/>
  <c r="P39" i="2"/>
  <c r="P55" i="2"/>
  <c r="P52" i="2"/>
  <c r="P13" i="2"/>
  <c r="P67" i="2"/>
  <c r="P50" i="2"/>
  <c r="P17" i="2"/>
  <c r="P36" i="2"/>
  <c r="P35" i="2"/>
  <c r="P42" i="2"/>
  <c r="P16" i="2"/>
  <c r="P22" i="2"/>
  <c r="P41" i="2"/>
  <c r="P51" i="2"/>
  <c r="P45" i="2"/>
  <c r="P68" i="2"/>
  <c r="P62" i="2"/>
  <c r="P47" i="2"/>
  <c r="P65" i="2"/>
  <c r="P64" i="2"/>
  <c r="P43" i="2"/>
  <c r="P20" i="2"/>
  <c r="P66" i="2"/>
  <c r="P72" i="2"/>
  <c r="P61" i="2"/>
  <c r="P18" i="2"/>
  <c r="P69" i="2"/>
  <c r="P29" i="2"/>
  <c r="P24" i="2"/>
  <c r="P81" i="2"/>
  <c r="P14" i="2"/>
  <c r="P63" i="2"/>
  <c r="P76" i="2"/>
  <c r="P53" i="2"/>
  <c r="P32" i="2"/>
  <c r="P59" i="2"/>
  <c r="P70" i="2"/>
  <c r="P49" i="2"/>
  <c r="P31" i="2"/>
  <c r="P19" i="2"/>
  <c r="P54" i="2"/>
  <c r="P25" i="2"/>
  <c r="P75" i="2"/>
  <c r="P80" i="2"/>
  <c r="P73" i="2"/>
  <c r="P71" i="2"/>
  <c r="P60" i="2"/>
  <c r="P74" i="2"/>
  <c r="P79" i="2"/>
  <c r="P78" i="2"/>
  <c r="P77" i="2"/>
  <c r="P82" i="2"/>
  <c r="P83" i="2"/>
  <c r="P84" i="2"/>
  <c r="P85" i="2"/>
  <c r="P487" i="2"/>
  <c r="P437" i="2"/>
  <c r="P86" i="2"/>
  <c r="P135" i="2"/>
  <c r="P386" i="2"/>
  <c r="P340" i="2"/>
  <c r="P537" i="2"/>
  <c r="P106" i="2"/>
  <c r="P361" i="2"/>
  <c r="P91" i="2"/>
  <c r="P105" i="2"/>
  <c r="P320" i="2"/>
  <c r="P337" i="2"/>
  <c r="P478" i="2"/>
  <c r="P129" i="2"/>
  <c r="P124" i="2"/>
  <c r="P250" i="2"/>
  <c r="P513" i="2"/>
  <c r="P334" i="2"/>
  <c r="P291" i="2"/>
  <c r="P126" i="2"/>
  <c r="P273" i="2"/>
  <c r="P234" i="2"/>
  <c r="P267" i="2"/>
  <c r="P360" i="2"/>
  <c r="P460" i="2"/>
  <c r="P518" i="2"/>
  <c r="P240" i="2"/>
  <c r="P227" i="2"/>
  <c r="P181" i="2"/>
  <c r="P329" i="2"/>
  <c r="P200" i="2"/>
  <c r="P434" i="2"/>
  <c r="P559" i="2"/>
  <c r="P459" i="2"/>
  <c r="P280" i="2"/>
  <c r="P358" i="2"/>
  <c r="P331" i="2"/>
  <c r="P269" i="2"/>
  <c r="P210" i="2"/>
  <c r="P328" i="2"/>
  <c r="P169" i="2"/>
  <c r="P432" i="2"/>
  <c r="P310" i="2"/>
  <c r="P177" i="2"/>
  <c r="P407" i="2"/>
  <c r="P490" i="2"/>
  <c r="P282" i="2"/>
  <c r="P347" i="2"/>
  <c r="P412" i="2"/>
  <c r="P536" i="2"/>
  <c r="P382" i="2"/>
  <c r="P89" i="2"/>
  <c r="P260" i="2"/>
  <c r="P155" i="2"/>
  <c r="P239" i="2"/>
  <c r="P417" i="2"/>
  <c r="P426" i="2"/>
  <c r="P122" i="2"/>
  <c r="P333" i="2"/>
  <c r="P146" i="2"/>
  <c r="P519" i="2"/>
  <c r="P370" i="2"/>
  <c r="P491" i="2"/>
  <c r="P368" i="2"/>
  <c r="P339" i="2"/>
  <c r="P245" i="2"/>
  <c r="P359" i="2"/>
  <c r="P535" i="2"/>
  <c r="P302" i="2"/>
  <c r="P484" i="2"/>
  <c r="P128" i="2"/>
  <c r="P270" i="2"/>
  <c r="P516" i="2"/>
  <c r="P140" i="2"/>
  <c r="P117" i="2"/>
  <c r="P525" i="2"/>
  <c r="P108" i="2"/>
  <c r="P154" i="2"/>
  <c r="L517" i="2" l="1"/>
  <c r="B517" i="2"/>
  <c r="G318" i="2"/>
  <c r="B318" i="2"/>
  <c r="B445" i="2"/>
  <c r="H445" i="2"/>
  <c r="F445" i="2"/>
  <c r="E355" i="2"/>
  <c r="F355" i="2"/>
  <c r="C316" i="2"/>
  <c r="D316" i="2"/>
  <c r="H316" i="2"/>
  <c r="J316" i="2"/>
  <c r="B316" i="2"/>
  <c r="F316" i="2"/>
  <c r="K316" i="2"/>
  <c r="C348" i="2"/>
  <c r="K348" i="2"/>
  <c r="I348" i="2"/>
  <c r="D348" i="2"/>
  <c r="B348" i="2"/>
  <c r="L188" i="2"/>
  <c r="C188" i="2"/>
  <c r="G188" i="2"/>
  <c r="A188" i="2"/>
  <c r="B188" i="2"/>
  <c r="B182" i="2"/>
  <c r="L182" i="2"/>
  <c r="E182" i="2"/>
  <c r="F182" i="2"/>
  <c r="K182" i="2"/>
  <c r="D182" i="2"/>
  <c r="A182" i="2"/>
  <c r="J467" i="2"/>
  <c r="L467" i="2"/>
  <c r="E467" i="2"/>
  <c r="D467" i="2"/>
  <c r="A467" i="2"/>
  <c r="C467" i="2"/>
  <c r="H467" i="2"/>
  <c r="J366" i="2"/>
  <c r="H366" i="2"/>
  <c r="B366" i="2"/>
  <c r="K366" i="2"/>
  <c r="D366" i="2"/>
  <c r="G366" i="2"/>
  <c r="C366" i="2"/>
  <c r="F348" i="2"/>
  <c r="I468" i="2"/>
  <c r="K468" i="2"/>
  <c r="C208" i="2"/>
  <c r="J208" i="2"/>
  <c r="L208" i="2"/>
  <c r="A208" i="2"/>
  <c r="H208" i="2"/>
  <c r="E208" i="2"/>
  <c r="K208" i="2"/>
  <c r="F464" i="2"/>
  <c r="H275" i="2"/>
  <c r="K275" i="2"/>
  <c r="C275" i="2"/>
  <c r="F174" i="2"/>
  <c r="L174" i="2"/>
  <c r="E296" i="2"/>
  <c r="D296" i="2"/>
  <c r="H296" i="2"/>
  <c r="K296" i="2"/>
  <c r="I296" i="2"/>
  <c r="C296" i="2"/>
  <c r="J296" i="2"/>
  <c r="E504" i="2"/>
  <c r="K504" i="2"/>
  <c r="J504" i="2"/>
  <c r="L504" i="2"/>
  <c r="G504" i="2"/>
  <c r="F504" i="2"/>
  <c r="H504" i="2"/>
  <c r="A348" i="2"/>
  <c r="J464" i="2"/>
  <c r="G296" i="2"/>
  <c r="C504" i="2"/>
  <c r="J152" i="2"/>
  <c r="G178" i="2"/>
  <c r="L102" i="2"/>
  <c r="G206" i="2"/>
  <c r="A206" i="2"/>
  <c r="K450" i="2"/>
  <c r="I450" i="2"/>
  <c r="G450" i="2"/>
  <c r="B450" i="2"/>
  <c r="F159" i="2"/>
  <c r="I159" i="2"/>
  <c r="L159" i="2"/>
  <c r="D159" i="2"/>
  <c r="G159" i="2"/>
  <c r="A159" i="2"/>
  <c r="C159" i="2"/>
  <c r="K470" i="2"/>
  <c r="H470" i="2"/>
  <c r="L470" i="2"/>
  <c r="D470" i="2"/>
  <c r="B470" i="2"/>
  <c r="I470" i="2"/>
  <c r="A470" i="2"/>
  <c r="E348" i="2"/>
  <c r="F435" i="2"/>
  <c r="A316" i="2"/>
  <c r="B296" i="2"/>
  <c r="J348" i="2"/>
  <c r="J188" i="2"/>
  <c r="H236" i="2"/>
  <c r="L316" i="2"/>
  <c r="D116" i="2"/>
  <c r="C379" i="2"/>
  <c r="E464" i="2"/>
  <c r="A366" i="2"/>
  <c r="J345" i="2"/>
  <c r="H235" i="2"/>
  <c r="E152" i="2"/>
  <c r="F297" i="2"/>
  <c r="B325" i="2"/>
  <c r="D452" i="2"/>
  <c r="L348" i="2"/>
  <c r="E188" i="2"/>
  <c r="J182" i="2"/>
  <c r="J236" i="2"/>
  <c r="I316" i="2"/>
  <c r="E366" i="2"/>
  <c r="F345" i="2"/>
  <c r="D297" i="2"/>
  <c r="B159" i="2"/>
  <c r="B379" i="2"/>
  <c r="F379" i="2"/>
  <c r="J379" i="2"/>
  <c r="D379" i="2"/>
  <c r="E379" i="2"/>
  <c r="A379" i="2"/>
  <c r="G379" i="2"/>
  <c r="H220" i="2"/>
  <c r="I220" i="2"/>
  <c r="E220" i="2"/>
  <c r="L220" i="2"/>
  <c r="B220" i="2"/>
  <c r="A220" i="2"/>
  <c r="D220" i="2"/>
  <c r="F116" i="2"/>
  <c r="J116" i="2"/>
  <c r="I116" i="2"/>
  <c r="H116" i="2"/>
  <c r="K116" i="2"/>
  <c r="L116" i="2"/>
  <c r="B116" i="2"/>
  <c r="H178" i="2"/>
  <c r="I178" i="2"/>
  <c r="A178" i="2"/>
  <c r="J178" i="2"/>
  <c r="F178" i="2"/>
  <c r="D178" i="2"/>
  <c r="L178" i="2"/>
  <c r="J350" i="2"/>
  <c r="E350" i="2"/>
  <c r="F350" i="2"/>
  <c r="D350" i="2"/>
  <c r="C350" i="2"/>
  <c r="B178" i="2"/>
  <c r="K102" i="2"/>
  <c r="A102" i="2"/>
  <c r="E102" i="2"/>
  <c r="C102" i="2"/>
  <c r="G102" i="2"/>
  <c r="H102" i="2" s="1"/>
  <c r="I102" i="2"/>
  <c r="L214" i="2"/>
  <c r="G214" i="2"/>
  <c r="B214" i="2"/>
  <c r="D214" i="2"/>
  <c r="A214" i="2"/>
  <c r="F214" i="2"/>
  <c r="K214" i="2"/>
  <c r="K178" i="2"/>
  <c r="G348" i="2"/>
  <c r="E116" i="2"/>
  <c r="I366" i="2"/>
  <c r="E159" i="2"/>
  <c r="F467" i="2"/>
  <c r="E297" i="2"/>
  <c r="C297" i="2"/>
  <c r="B297" i="2"/>
  <c r="A297" i="2"/>
  <c r="L297" i="2"/>
  <c r="G297" i="2"/>
  <c r="J297" i="2"/>
  <c r="B208" i="2"/>
  <c r="D285" i="2"/>
  <c r="J285" i="2"/>
  <c r="H285" i="2"/>
  <c r="C285" i="2"/>
  <c r="F285" i="2"/>
  <c r="B285" i="2"/>
  <c r="A285" i="2"/>
  <c r="E325" i="2"/>
  <c r="J325" i="2"/>
  <c r="I325" i="2"/>
  <c r="K325" i="2"/>
  <c r="F325" i="2"/>
  <c r="I350" i="2"/>
  <c r="K236" i="2"/>
  <c r="C345" i="2"/>
  <c r="K297" i="2"/>
  <c r="E345" i="2"/>
  <c r="H325" i="2"/>
  <c r="K188" i="2"/>
  <c r="H182" i="2"/>
  <c r="G316" i="2"/>
  <c r="C116" i="2"/>
  <c r="L379" i="2"/>
  <c r="L366" i="2"/>
  <c r="F220" i="2"/>
  <c r="J159" i="2"/>
  <c r="G422" i="2"/>
  <c r="I467" i="2"/>
  <c r="G408" i="2"/>
  <c r="J408" i="2"/>
  <c r="I152" i="2"/>
  <c r="A152" i="2"/>
  <c r="G464" i="2"/>
  <c r="H464" i="2"/>
  <c r="K464" i="2"/>
  <c r="D464" i="2"/>
  <c r="C464" i="2"/>
  <c r="I464" i="2"/>
  <c r="B464" i="2"/>
  <c r="G527" i="2"/>
  <c r="A527" i="2"/>
  <c r="I527" i="2"/>
  <c r="D527" i="2"/>
  <c r="E527" i="2"/>
  <c r="H527" i="2"/>
  <c r="C178" i="2"/>
  <c r="G452" i="2"/>
  <c r="C452" i="2"/>
  <c r="K452" i="2"/>
  <c r="H452" i="2"/>
  <c r="E452" i="2"/>
  <c r="G350" i="2"/>
  <c r="D236" i="2"/>
  <c r="A236" i="2"/>
  <c r="E236" i="2"/>
  <c r="L236" i="2"/>
  <c r="B236" i="2"/>
  <c r="F236" i="2"/>
  <c r="C236" i="2"/>
  <c r="H297" i="2"/>
  <c r="I435" i="2"/>
  <c r="K435" i="2"/>
  <c r="E435" i="2"/>
  <c r="B435" i="2"/>
  <c r="C435" i="2"/>
  <c r="L435" i="2"/>
  <c r="A116" i="2"/>
  <c r="A464" i="2"/>
  <c r="A504" i="2"/>
  <c r="D152" i="2"/>
  <c r="J102" i="2"/>
  <c r="C325" i="2"/>
  <c r="I452" i="2"/>
  <c r="H188" i="2"/>
  <c r="K527" i="2"/>
  <c r="G182" i="2"/>
  <c r="I236" i="2"/>
  <c r="E316" i="2"/>
  <c r="I379" i="2"/>
  <c r="G325" i="2"/>
  <c r="F452" i="2"/>
  <c r="D188" i="2"/>
  <c r="F527" i="2"/>
  <c r="I182" i="2"/>
  <c r="B283" i="2"/>
  <c r="B174" i="2"/>
  <c r="K379" i="2"/>
  <c r="F366" i="2"/>
  <c r="K355" i="2"/>
  <c r="K220" i="2"/>
  <c r="H159" i="2"/>
  <c r="B422" i="2"/>
  <c r="B467" i="2"/>
  <c r="K345" i="2"/>
  <c r="D345" i="2"/>
  <c r="B345" i="2"/>
  <c r="A345" i="2"/>
  <c r="H345" i="2"/>
  <c r="I345" i="2"/>
  <c r="L345" i="2"/>
  <c r="H348" i="2"/>
  <c r="L350" i="2"/>
  <c r="B452" i="2"/>
  <c r="F188" i="2"/>
  <c r="J527" i="2"/>
  <c r="C182" i="2"/>
  <c r="I285" i="2"/>
  <c r="L355" i="2"/>
  <c r="I208" i="2"/>
  <c r="C220" i="2"/>
  <c r="A422" i="2"/>
  <c r="I214" i="2"/>
  <c r="K467" i="2"/>
  <c r="I439" i="2"/>
  <c r="B373" i="2"/>
  <c r="K134" i="2"/>
  <c r="B453" i="2"/>
  <c r="D138" i="2"/>
  <c r="B202" i="2"/>
  <c r="A309" i="2"/>
  <c r="A394" i="2"/>
  <c r="C399" i="2"/>
  <c r="I173" i="2"/>
  <c r="C312" i="2"/>
  <c r="A223" i="2"/>
  <c r="H183" i="2"/>
  <c r="J471" i="2"/>
  <c r="D541" i="2"/>
  <c r="G373" i="2"/>
  <c r="I134" i="2"/>
  <c r="I161" i="2"/>
  <c r="I209" i="2"/>
  <c r="L309" i="2"/>
  <c r="G138" i="2"/>
  <c r="G202" i="2"/>
  <c r="G309" i="2"/>
  <c r="J187" i="2"/>
  <c r="L173" i="2"/>
  <c r="F312" i="2"/>
  <c r="K471" i="2"/>
  <c r="K373" i="2"/>
  <c r="G134" i="2"/>
  <c r="E138" i="2"/>
  <c r="H309" i="2"/>
  <c r="C173" i="2"/>
  <c r="H471" i="2"/>
  <c r="L373" i="2"/>
  <c r="D134" i="2"/>
  <c r="G161" i="2"/>
  <c r="F209" i="2"/>
  <c r="F453" i="2"/>
  <c r="H202" i="2"/>
  <c r="I138" i="2"/>
  <c r="D202" i="2"/>
  <c r="E309" i="2"/>
  <c r="L349" i="2"/>
  <c r="E187" i="2"/>
  <c r="E173" i="2"/>
  <c r="E119" i="2"/>
  <c r="I163" i="2"/>
  <c r="L471" i="2"/>
  <c r="F373" i="2"/>
  <c r="J134" i="2"/>
  <c r="B209" i="2"/>
  <c r="B471" i="2"/>
  <c r="D543" i="2"/>
  <c r="J543" i="2"/>
  <c r="L522" i="2"/>
  <c r="H522" i="2"/>
  <c r="G493" i="2"/>
  <c r="D493" i="2"/>
  <c r="E493" i="2"/>
  <c r="D522" i="2"/>
  <c r="G290" i="2"/>
  <c r="C290" i="2"/>
  <c r="J447" i="2"/>
  <c r="B447" i="2"/>
  <c r="G447" i="2"/>
  <c r="K447" i="2"/>
  <c r="A447" i="2"/>
  <c r="F447" i="2"/>
  <c r="E447" i="2"/>
  <c r="H447" i="2"/>
  <c r="G278" i="2"/>
  <c r="K278" i="2"/>
  <c r="L278" i="2"/>
  <c r="J278" i="2"/>
  <c r="B278" i="2"/>
  <c r="A278" i="2"/>
  <c r="E278" i="2"/>
  <c r="I447" i="2"/>
  <c r="L300" i="2"/>
  <c r="G300" i="2"/>
  <c r="C167" i="2"/>
  <c r="K167" i="2"/>
  <c r="F167" i="2"/>
  <c r="I524" i="2"/>
  <c r="D524" i="2"/>
  <c r="B524" i="2"/>
  <c r="H524" i="2"/>
  <c r="C524" i="2"/>
  <c r="L524" i="2"/>
  <c r="K524" i="2"/>
  <c r="E524" i="2"/>
  <c r="K533" i="2"/>
  <c r="J533" i="2"/>
  <c r="G533" i="2"/>
  <c r="E533" i="2"/>
  <c r="A533" i="2"/>
  <c r="H533" i="2"/>
  <c r="D533" i="2"/>
  <c r="I174" i="2"/>
  <c r="K179" i="2"/>
  <c r="H179" i="2"/>
  <c r="C179" i="2"/>
  <c r="K401" i="2"/>
  <c r="L401" i="2"/>
  <c r="H401" i="2"/>
  <c r="I401" i="2"/>
  <c r="J393" i="2"/>
  <c r="B393" i="2"/>
  <c r="F393" i="2"/>
  <c r="F277" i="2"/>
  <c r="G277" i="2"/>
  <c r="L277" i="2"/>
  <c r="K277" i="2"/>
  <c r="E175" i="2"/>
  <c r="I175" i="2"/>
  <c r="L175" i="2"/>
  <c r="B175" i="2"/>
  <c r="G171" i="2"/>
  <c r="I171" i="2"/>
  <c r="E171" i="2"/>
  <c r="B171" i="2"/>
  <c r="D171" i="2"/>
  <c r="H171" i="2"/>
  <c r="L171" i="2"/>
  <c r="B119" i="2"/>
  <c r="H119" i="2"/>
  <c r="C119" i="2"/>
  <c r="A119" i="2"/>
  <c r="D119" i="2"/>
  <c r="J119" i="2"/>
  <c r="K173" i="2"/>
  <c r="D173" i="2"/>
  <c r="G173" i="2"/>
  <c r="H173" i="2"/>
  <c r="B173" i="2"/>
  <c r="F173" i="2"/>
  <c r="J173" i="2"/>
  <c r="K323" i="2"/>
  <c r="G501" i="2"/>
  <c r="H180" i="2"/>
  <c r="L489" i="2"/>
  <c r="A524" i="2"/>
  <c r="I533" i="2"/>
  <c r="A468" i="2"/>
  <c r="C468" i="2"/>
  <c r="G468" i="2"/>
  <c r="E468" i="2"/>
  <c r="L468" i="2"/>
  <c r="F468" i="2"/>
  <c r="B468" i="2"/>
  <c r="C174" i="2"/>
  <c r="E174" i="2"/>
  <c r="G174" i="2"/>
  <c r="H174" i="2"/>
  <c r="K174" i="2"/>
  <c r="J174" i="2"/>
  <c r="A174" i="2"/>
  <c r="G342" i="2"/>
  <c r="F342" i="2"/>
  <c r="D342" i="2"/>
  <c r="J342" i="2"/>
  <c r="K342" i="2"/>
  <c r="B342" i="2"/>
  <c r="C422" i="2"/>
  <c r="K422" i="2"/>
  <c r="H422" i="2"/>
  <c r="E422" i="2"/>
  <c r="I422" i="2"/>
  <c r="F422" i="2"/>
  <c r="D422" i="2"/>
  <c r="G235" i="2"/>
  <c r="C235" i="2"/>
  <c r="J235" i="2"/>
  <c r="B235" i="2"/>
  <c r="L235" i="2"/>
  <c r="E235" i="2"/>
  <c r="F235" i="2"/>
  <c r="H206" i="2"/>
  <c r="L206" i="2"/>
  <c r="K206" i="2"/>
  <c r="D206" i="2"/>
  <c r="C206" i="2"/>
  <c r="B206" i="2"/>
  <c r="E206" i="2"/>
  <c r="K501" i="2"/>
  <c r="F533" i="2"/>
  <c r="E193" i="2"/>
  <c r="F193" i="2"/>
  <c r="G193" i="2"/>
  <c r="K193" i="2"/>
  <c r="J193" i="2"/>
  <c r="D193" i="2"/>
  <c r="L193" i="2"/>
  <c r="B408" i="2"/>
  <c r="K414" i="2"/>
  <c r="G414" i="2"/>
  <c r="I414" i="2"/>
  <c r="A414" i="2"/>
  <c r="J414" i="2"/>
  <c r="F414" i="2"/>
  <c r="E414" i="2"/>
  <c r="D356" i="2"/>
  <c r="I356" i="2"/>
  <c r="E356" i="2"/>
  <c r="K356" i="2"/>
  <c r="A356" i="2"/>
  <c r="H356" i="2"/>
  <c r="F356" i="2"/>
  <c r="B356" i="2"/>
  <c r="C501" i="2"/>
  <c r="B533" i="2"/>
  <c r="I278" i="2"/>
  <c r="I323" i="2"/>
  <c r="G167" i="2"/>
  <c r="C168" i="2"/>
  <c r="A180" i="2"/>
  <c r="I489" i="2"/>
  <c r="F206" i="2"/>
  <c r="H193" i="2"/>
  <c r="F278" i="2"/>
  <c r="G323" i="2"/>
  <c r="C171" i="2"/>
  <c r="A168" i="2"/>
  <c r="C180" i="2"/>
  <c r="A175" i="2"/>
  <c r="C193" i="2"/>
  <c r="L414" i="2"/>
  <c r="G427" i="2"/>
  <c r="C427" i="2"/>
  <c r="E427" i="2"/>
  <c r="A427" i="2"/>
  <c r="I427" i="2"/>
  <c r="J427" i="2"/>
  <c r="H427" i="2"/>
  <c r="H468" i="2"/>
  <c r="F501" i="2"/>
  <c r="E501" i="2"/>
  <c r="J501" i="2"/>
  <c r="H501" i="2"/>
  <c r="L501" i="2"/>
  <c r="A501" i="2"/>
  <c r="I275" i="2"/>
  <c r="L533" i="2"/>
  <c r="C489" i="2"/>
  <c r="G489" i="2"/>
  <c r="B489" i="2"/>
  <c r="F489" i="2"/>
  <c r="J489" i="2"/>
  <c r="A489" i="2"/>
  <c r="D489" i="2"/>
  <c r="J468" i="2"/>
  <c r="G158" i="2"/>
  <c r="L203" i="2"/>
  <c r="C533" i="2"/>
  <c r="A457" i="2"/>
  <c r="L457" i="2"/>
  <c r="B457" i="2"/>
  <c r="J457" i="2"/>
  <c r="K457" i="2"/>
  <c r="I457" i="2"/>
  <c r="G457" i="2"/>
  <c r="E158" i="2"/>
  <c r="K489" i="2"/>
  <c r="I206" i="2"/>
  <c r="H203" i="2"/>
  <c r="C278" i="2"/>
  <c r="F171" i="2"/>
  <c r="D501" i="2"/>
  <c r="D235" i="2"/>
  <c r="E489" i="2"/>
  <c r="D175" i="2"/>
  <c r="A193" i="2"/>
  <c r="L427" i="2"/>
  <c r="C414" i="2"/>
  <c r="C323" i="2"/>
  <c r="H323" i="2"/>
  <c r="E323" i="2"/>
  <c r="A323" i="2"/>
  <c r="J323" i="2"/>
  <c r="B323" i="2"/>
  <c r="D323" i="2"/>
  <c r="L323" i="2"/>
  <c r="E275" i="2"/>
  <c r="J275" i="2"/>
  <c r="A275" i="2"/>
  <c r="F275" i="2"/>
  <c r="D275" i="2"/>
  <c r="G275" i="2"/>
  <c r="B275" i="2"/>
  <c r="D468" i="2"/>
  <c r="F158" i="2"/>
  <c r="E475" i="2"/>
  <c r="E469" i="2"/>
  <c r="J469" i="2"/>
  <c r="D174" i="2"/>
  <c r="J206" i="2"/>
  <c r="E439" i="2"/>
  <c r="L439" i="2"/>
  <c r="F439" i="2"/>
  <c r="D439" i="2"/>
  <c r="K439" i="2"/>
  <c r="G439" i="2"/>
  <c r="A439" i="2"/>
  <c r="H278" i="2"/>
  <c r="H290" i="2"/>
  <c r="F427" i="2"/>
  <c r="H414" i="2"/>
  <c r="C408" i="2"/>
  <c r="F408" i="2"/>
  <c r="I408" i="2"/>
  <c r="K408" i="2"/>
  <c r="A408" i="2"/>
  <c r="E408" i="2"/>
  <c r="H408" i="2"/>
  <c r="G416" i="2"/>
  <c r="L408" i="2"/>
  <c r="C475" i="2"/>
  <c r="F475" i="2"/>
  <c r="J475" i="2"/>
  <c r="L475" i="2"/>
  <c r="K475" i="2"/>
  <c r="H475" i="2"/>
  <c r="I475" i="2"/>
  <c r="J288" i="2"/>
  <c r="G288" i="2"/>
  <c r="L411" i="2"/>
  <c r="G411" i="2"/>
  <c r="F411" i="2"/>
  <c r="I411" i="2"/>
  <c r="D180" i="2"/>
  <c r="B180" i="2"/>
  <c r="L180" i="2"/>
  <c r="E180" i="2"/>
  <c r="J180" i="2"/>
  <c r="G180" i="2"/>
  <c r="F180" i="2"/>
  <c r="A450" i="2"/>
  <c r="E450" i="2"/>
  <c r="C450" i="2"/>
  <c r="D450" i="2"/>
  <c r="J450" i="2"/>
  <c r="H450" i="2"/>
  <c r="L450" i="2"/>
  <c r="L275" i="2"/>
  <c r="I295" i="2"/>
  <c r="D295" i="2"/>
  <c r="H295" i="2"/>
  <c r="C295" i="2"/>
  <c r="E295" i="2"/>
  <c r="A295" i="2"/>
  <c r="K295" i="2"/>
  <c r="D457" i="2"/>
  <c r="J171" i="2"/>
  <c r="C393" i="2"/>
  <c r="L356" i="2"/>
  <c r="K180" i="2"/>
  <c r="K235" i="2"/>
  <c r="C439" i="2"/>
  <c r="K314" i="2"/>
  <c r="F175" i="2"/>
  <c r="B193" i="2"/>
  <c r="D278" i="2"/>
  <c r="E457" i="2"/>
  <c r="K171" i="2"/>
  <c r="C356" i="2"/>
  <c r="D290" i="2"/>
  <c r="F450" i="2"/>
  <c r="I235" i="2"/>
  <c r="B439" i="2"/>
  <c r="H314" i="2"/>
  <c r="C175" i="2"/>
  <c r="I193" i="2"/>
  <c r="D408" i="2"/>
  <c r="L422" i="2"/>
  <c r="D414" i="2"/>
  <c r="A303" i="2"/>
  <c r="H243" i="2"/>
  <c r="C152" i="2"/>
  <c r="L187" i="2"/>
  <c r="A312" i="2"/>
  <c r="G163" i="2"/>
  <c r="J423" i="2"/>
  <c r="E303" i="2"/>
  <c r="H385" i="2"/>
  <c r="I352" i="2"/>
  <c r="F243" i="2"/>
  <c r="E110" i="2"/>
  <c r="F455" i="2"/>
  <c r="B152" i="2"/>
  <c r="K187" i="2"/>
  <c r="J228" i="2"/>
  <c r="I335" i="2"/>
  <c r="L312" i="2"/>
  <c r="B163" i="2"/>
  <c r="C131" i="2"/>
  <c r="G120" i="2"/>
  <c r="G263" i="2"/>
  <c r="I471" i="2"/>
  <c r="I423" i="2"/>
  <c r="I148" i="2"/>
  <c r="F385" i="2"/>
  <c r="L335" i="2"/>
  <c r="D312" i="2"/>
  <c r="K163" i="2"/>
  <c r="L131" i="2"/>
  <c r="E120" i="2"/>
  <c r="G471" i="2"/>
  <c r="E423" i="2"/>
  <c r="K148" i="2"/>
  <c r="G303" i="2"/>
  <c r="K385" i="2"/>
  <c r="B352" i="2"/>
  <c r="D243" i="2"/>
  <c r="K110" i="2"/>
  <c r="H455" i="2"/>
  <c r="K152" i="2"/>
  <c r="A187" i="2"/>
  <c r="F228" i="2"/>
  <c r="K335" i="2"/>
  <c r="B312" i="2"/>
  <c r="J163" i="2"/>
  <c r="A131" i="2"/>
  <c r="D120" i="2"/>
  <c r="A471" i="2"/>
  <c r="D423" i="2"/>
  <c r="F148" i="2"/>
  <c r="B107" i="2"/>
  <c r="L152" i="2"/>
  <c r="J303" i="2"/>
  <c r="L243" i="2"/>
  <c r="H152" i="2"/>
  <c r="B385" i="2"/>
  <c r="A352" i="2"/>
  <c r="J243" i="2"/>
  <c r="E455" i="2"/>
  <c r="F152" i="2"/>
  <c r="C187" i="2"/>
  <c r="K228" i="2"/>
  <c r="C335" i="2"/>
  <c r="I312" i="2"/>
  <c r="C163" i="2"/>
  <c r="C259" i="2"/>
  <c r="F131" i="2"/>
  <c r="B120" i="2"/>
  <c r="C471" i="2"/>
  <c r="A423" i="2"/>
  <c r="E148" i="2"/>
  <c r="J107" i="2"/>
  <c r="G385" i="2"/>
  <c r="F187" i="2"/>
  <c r="K303" i="2"/>
  <c r="E471" i="2"/>
  <c r="H423" i="2"/>
  <c r="D107" i="2"/>
  <c r="D507" i="2"/>
  <c r="J507" i="2"/>
  <c r="E421" i="2"/>
  <c r="C421" i="2"/>
  <c r="H421" i="2"/>
  <c r="F421" i="2"/>
  <c r="I421" i="2"/>
  <c r="A421" i="2"/>
  <c r="B421" i="2"/>
  <c r="L436" i="2"/>
  <c r="H436" i="2"/>
  <c r="H479" i="2"/>
  <c r="F479" i="2"/>
  <c r="K479" i="2"/>
  <c r="L479" i="2"/>
  <c r="L357" i="2"/>
  <c r="G357" i="2"/>
  <c r="B357" i="2"/>
  <c r="D357" i="2"/>
  <c r="K357" i="2"/>
  <c r="J357" i="2"/>
  <c r="C409" i="2"/>
  <c r="E409" i="2"/>
  <c r="I409" i="2"/>
  <c r="J409" i="2"/>
  <c r="K409" i="2"/>
  <c r="B409" i="2"/>
  <c r="I364" i="2"/>
  <c r="G444" i="2"/>
  <c r="J444" i="2"/>
  <c r="D444" i="2"/>
  <c r="A444" i="2"/>
  <c r="B444" i="2"/>
  <c r="F456" i="2"/>
  <c r="H456" i="2"/>
  <c r="H191" i="2"/>
  <c r="K191" i="2"/>
  <c r="B191" i="2"/>
  <c r="D191" i="2"/>
  <c r="C191" i="2"/>
  <c r="A311" i="2"/>
  <c r="F311" i="2"/>
  <c r="H311" i="2"/>
  <c r="D311" i="2"/>
  <c r="E510" i="2"/>
  <c r="K510" i="2"/>
  <c r="C510" i="2"/>
  <c r="D510" i="2"/>
  <c r="H510" i="2"/>
  <c r="I510" i="2"/>
  <c r="G238" i="2"/>
  <c r="I238" i="2"/>
  <c r="A238" i="2"/>
  <c r="L542" i="2"/>
  <c r="B542" i="2"/>
  <c r="D542" i="2"/>
  <c r="F542" i="2"/>
  <c r="G542" i="2"/>
  <c r="G481" i="2"/>
  <c r="H481" i="2"/>
  <c r="K481" i="2"/>
  <c r="B481" i="2"/>
  <c r="D481" i="2"/>
  <c r="H500" i="2"/>
  <c r="K500" i="2"/>
  <c r="I500" i="2"/>
  <c r="A500" i="2"/>
  <c r="G500" i="2"/>
  <c r="J500" i="2"/>
  <c r="E238" i="2"/>
  <c r="D429" i="2"/>
  <c r="B456" i="2"/>
  <c r="D398" i="2"/>
  <c r="I392" i="2"/>
  <c r="B392" i="2"/>
  <c r="C392" i="2"/>
  <c r="H392" i="2"/>
  <c r="E392" i="2"/>
  <c r="I480" i="2"/>
  <c r="B480" i="2"/>
  <c r="H480" i="2"/>
  <c r="L480" i="2"/>
  <c r="A480" i="2"/>
  <c r="E465" i="2"/>
  <c r="A465" i="2"/>
  <c r="B465" i="2"/>
  <c r="I465" i="2"/>
  <c r="B529" i="2"/>
  <c r="L529" i="2"/>
  <c r="C529" i="2"/>
  <c r="E529" i="2"/>
  <c r="A529" i="2"/>
  <c r="G529" i="2"/>
  <c r="H529" i="2"/>
  <c r="F114" i="2"/>
  <c r="B114" i="2"/>
  <c r="G114" i="2"/>
  <c r="H114" i="2" s="1"/>
  <c r="A114" i="2"/>
  <c r="C114" i="2"/>
  <c r="E198" i="2"/>
  <c r="H198" i="2"/>
  <c r="C198" i="2"/>
  <c r="D198" i="2"/>
  <c r="L198" i="2"/>
  <c r="C351" i="2"/>
  <c r="K351" i="2"/>
  <c r="D351" i="2"/>
  <c r="F351" i="2"/>
  <c r="B351" i="2"/>
  <c r="G351" i="2"/>
  <c r="A351" i="2"/>
  <c r="L132" i="2"/>
  <c r="B132" i="2"/>
  <c r="J132" i="2"/>
  <c r="H132" i="2"/>
  <c r="E226" i="2"/>
  <c r="D226" i="2"/>
  <c r="J226" i="2"/>
  <c r="H226" i="2"/>
  <c r="G226" i="2"/>
  <c r="B226" i="2"/>
  <c r="E479" i="2"/>
  <c r="F392" i="2"/>
  <c r="K195" i="2"/>
  <c r="G398" i="2"/>
  <c r="B257" i="2"/>
  <c r="L321" i="2"/>
  <c r="D321" i="2"/>
  <c r="F384" i="2"/>
  <c r="L384" i="2"/>
  <c r="J184" i="2"/>
  <c r="G184" i="2"/>
  <c r="A184" i="2"/>
  <c r="H184" i="2"/>
  <c r="F184" i="2"/>
  <c r="K184" i="2"/>
  <c r="I114" i="2"/>
  <c r="K529" i="2"/>
  <c r="C445" i="2"/>
  <c r="J392" i="2"/>
  <c r="I195" i="2"/>
  <c r="G311" i="2"/>
  <c r="A509" i="2"/>
  <c r="J456" i="2"/>
  <c r="A313" i="2"/>
  <c r="G313" i="2"/>
  <c r="H313" i="2"/>
  <c r="A531" i="2"/>
  <c r="I531" i="2"/>
  <c r="H531" i="2"/>
  <c r="B172" i="2"/>
  <c r="A172" i="2"/>
  <c r="D172" i="2"/>
  <c r="E237" i="2"/>
  <c r="J237" i="2"/>
  <c r="A237" i="2"/>
  <c r="L271" i="2"/>
  <c r="J271" i="2"/>
  <c r="K271" i="2"/>
  <c r="F375" i="2"/>
  <c r="G375" i="2"/>
  <c r="B375" i="2"/>
  <c r="L375" i="2"/>
  <c r="J375" i="2"/>
  <c r="I375" i="2"/>
  <c r="A241" i="2"/>
  <c r="L241" i="2"/>
  <c r="D241" i="2"/>
  <c r="J241" i="2"/>
  <c r="E241" i="2"/>
  <c r="F241" i="2"/>
  <c r="B203" i="2"/>
  <c r="K203" i="2"/>
  <c r="A203" i="2"/>
  <c r="J203" i="2"/>
  <c r="C203" i="2"/>
  <c r="E203" i="2"/>
  <c r="F398" i="2"/>
  <c r="L257" i="2"/>
  <c r="J465" i="2"/>
  <c r="D132" i="2"/>
  <c r="I436" i="2"/>
  <c r="D409" i="2"/>
  <c r="I529" i="2"/>
  <c r="K445" i="2"/>
  <c r="D500" i="2"/>
  <c r="L351" i="2"/>
  <c r="I184" i="2"/>
  <c r="C424" i="2"/>
  <c r="I416" i="2"/>
  <c r="G451" i="2"/>
  <c r="E195" i="2"/>
  <c r="K507" i="2"/>
  <c r="D203" i="2"/>
  <c r="H509" i="2"/>
  <c r="K375" i="2"/>
  <c r="K241" i="2"/>
  <c r="H398" i="2"/>
  <c r="F257" i="2"/>
  <c r="G149" i="2"/>
  <c r="F465" i="2"/>
  <c r="A436" i="2"/>
  <c r="L409" i="2"/>
  <c r="F529" i="2"/>
  <c r="L445" i="2"/>
  <c r="L500" i="2"/>
  <c r="H351" i="2"/>
  <c r="E184" i="2"/>
  <c r="F424" i="2"/>
  <c r="F192" i="2"/>
  <c r="L195" i="2"/>
  <c r="C507" i="2"/>
  <c r="F203" i="2"/>
  <c r="I509" i="2"/>
  <c r="C375" i="2"/>
  <c r="C241" i="2"/>
  <c r="I398" i="2"/>
  <c r="A374" i="2"/>
  <c r="C480" i="2"/>
  <c r="B534" i="2"/>
  <c r="H534" i="2"/>
  <c r="D534" i="2"/>
  <c r="E534" i="2"/>
  <c r="C534" i="2"/>
  <c r="A534" i="2"/>
  <c r="A176" i="2"/>
  <c r="D176" i="2"/>
  <c r="G176" i="2"/>
  <c r="B176" i="2"/>
  <c r="F176" i="2"/>
  <c r="L176" i="2"/>
  <c r="E357" i="2"/>
  <c r="B463" i="2"/>
  <c r="H463" i="2"/>
  <c r="F463" i="2"/>
  <c r="A463" i="2"/>
  <c r="G463" i="2"/>
  <c r="C463" i="2"/>
  <c r="I191" i="2"/>
  <c r="D114" i="2"/>
  <c r="I355" i="2"/>
  <c r="A355" i="2"/>
  <c r="H355" i="2"/>
  <c r="B355" i="2"/>
  <c r="J355" i="2"/>
  <c r="C355" i="2"/>
  <c r="E132" i="2"/>
  <c r="D416" i="2"/>
  <c r="K416" i="2"/>
  <c r="E416" i="2"/>
  <c r="F416" i="2"/>
  <c r="J416" i="2"/>
  <c r="B416" i="2"/>
  <c r="I479" i="2"/>
  <c r="L191" i="2"/>
  <c r="C132" i="2"/>
  <c r="B436" i="2"/>
  <c r="G409" i="2"/>
  <c r="D529" i="2"/>
  <c r="F500" i="2"/>
  <c r="J351" i="2"/>
  <c r="B184" i="2"/>
  <c r="K392" i="2"/>
  <c r="H416" i="2"/>
  <c r="L509" i="2"/>
  <c r="A375" i="2"/>
  <c r="I241" i="2"/>
  <c r="B198" i="2"/>
  <c r="F510" i="2"/>
  <c r="A409" i="2"/>
  <c r="J542" i="2"/>
  <c r="I351" i="2"/>
  <c r="L184" i="2"/>
  <c r="G424" i="2"/>
  <c r="E375" i="2"/>
  <c r="B241" i="2"/>
  <c r="C509" i="2"/>
  <c r="E509" i="2"/>
  <c r="J509" i="2"/>
  <c r="K509" i="2"/>
  <c r="B509" i="2"/>
  <c r="F509" i="2"/>
  <c r="E505" i="2"/>
  <c r="C429" i="2"/>
  <c r="B365" i="2"/>
  <c r="K365" i="2"/>
  <c r="C365" i="2"/>
  <c r="I365" i="2"/>
  <c r="L365" i="2"/>
  <c r="A365" i="2"/>
  <c r="J195" i="2"/>
  <c r="H195" i="2"/>
  <c r="C195" i="2"/>
  <c r="F195" i="2"/>
  <c r="D195" i="2"/>
  <c r="G195" i="2"/>
  <c r="H507" i="2"/>
  <c r="I203" i="2"/>
  <c r="F364" i="2"/>
  <c r="K444" i="2"/>
  <c r="E500" i="2"/>
  <c r="H176" i="2"/>
  <c r="C416" i="2"/>
  <c r="L374" i="2"/>
  <c r="E480" i="2"/>
  <c r="C364" i="2"/>
  <c r="K198" i="2"/>
  <c r="C465" i="2"/>
  <c r="B510" i="2"/>
  <c r="F409" i="2"/>
  <c r="C444" i="2"/>
  <c r="I542" i="2"/>
  <c r="B500" i="2"/>
  <c r="E176" i="2"/>
  <c r="I226" i="2"/>
  <c r="A416" i="2"/>
  <c r="E192" i="2"/>
  <c r="A357" i="2"/>
  <c r="F365" i="2"/>
  <c r="G509" i="2"/>
  <c r="H375" i="2"/>
  <c r="H241" i="2"/>
  <c r="L534" i="2"/>
  <c r="K374" i="2"/>
  <c r="F480" i="2"/>
  <c r="F357" i="2"/>
  <c r="F534" i="2"/>
  <c r="L424" i="2"/>
  <c r="H424" i="2"/>
  <c r="I424" i="2"/>
  <c r="D424" i="2"/>
  <c r="E424" i="2"/>
  <c r="B424" i="2"/>
  <c r="J523" i="2"/>
  <c r="I257" i="2"/>
  <c r="K257" i="2"/>
  <c r="C257" i="2"/>
  <c r="G257" i="2"/>
  <c r="J257" i="2"/>
  <c r="D257" i="2"/>
  <c r="I132" i="2"/>
  <c r="K311" i="2"/>
  <c r="L456" i="2"/>
  <c r="D445" i="2"/>
  <c r="E445" i="2"/>
  <c r="J445" i="2"/>
  <c r="A445" i="2"/>
  <c r="G445" i="2"/>
  <c r="I445" i="2"/>
  <c r="A191" i="2"/>
  <c r="L465" i="2"/>
  <c r="L192" i="2"/>
  <c r="B195" i="2"/>
  <c r="H365" i="2"/>
  <c r="K534" i="2"/>
  <c r="G364" i="2"/>
  <c r="F198" i="2"/>
  <c r="H465" i="2"/>
  <c r="A510" i="2"/>
  <c r="H409" i="2"/>
  <c r="H444" i="2"/>
  <c r="A542" i="2"/>
  <c r="C500" i="2"/>
  <c r="C176" i="2"/>
  <c r="A226" i="2"/>
  <c r="A424" i="2"/>
  <c r="F481" i="2"/>
  <c r="I357" i="2"/>
  <c r="J365" i="2"/>
  <c r="J463" i="2"/>
  <c r="I534" i="2"/>
  <c r="D480" i="2"/>
  <c r="J192" i="2"/>
  <c r="H192" i="2"/>
  <c r="D192" i="2"/>
  <c r="G192" i="2"/>
  <c r="B192" i="2"/>
  <c r="C192" i="2"/>
  <c r="A523" i="2"/>
  <c r="L398" i="2"/>
  <c r="E398" i="2"/>
  <c r="J398" i="2"/>
  <c r="K398" i="2"/>
  <c r="C398" i="2"/>
  <c r="B398" i="2"/>
  <c r="F505" i="2"/>
  <c r="C374" i="2"/>
  <c r="G374" i="2"/>
  <c r="F374" i="2"/>
  <c r="D374" i="2"/>
  <c r="J374" i="2"/>
  <c r="B374" i="2"/>
  <c r="K463" i="2"/>
  <c r="C479" i="2"/>
  <c r="D184" i="2"/>
  <c r="J248" i="2"/>
  <c r="C136" i="2"/>
  <c r="B238" i="2"/>
  <c r="J198" i="2"/>
  <c r="K465" i="2"/>
  <c r="H523" i="2"/>
  <c r="K114" i="2"/>
  <c r="C542" i="2"/>
  <c r="K176" i="2"/>
  <c r="L226" i="2"/>
  <c r="K424" i="2"/>
  <c r="D355" i="2"/>
  <c r="K192" i="2"/>
  <c r="C357" i="2"/>
  <c r="B543" i="2"/>
  <c r="G365" i="2"/>
  <c r="L463" i="2"/>
  <c r="G534" i="2"/>
  <c r="H374" i="2"/>
  <c r="G480" i="2"/>
  <c r="B501" i="2"/>
  <c r="G356" i="2"/>
  <c r="K168" i="2"/>
  <c r="C447" i="2"/>
  <c r="C158" i="2"/>
  <c r="A475" i="2"/>
  <c r="F524" i="2"/>
  <c r="F119" i="2"/>
  <c r="D427" i="2"/>
  <c r="D447" i="2"/>
  <c r="B475" i="2"/>
  <c r="J524" i="2"/>
  <c r="B427" i="2"/>
  <c r="J167" i="2"/>
  <c r="G475" i="2"/>
  <c r="G524" i="2"/>
  <c r="J277" i="2"/>
  <c r="K427" i="2"/>
  <c r="A277" i="2"/>
  <c r="J149" i="2"/>
  <c r="F136" i="2"/>
  <c r="B522" i="2"/>
  <c r="G517" i="2"/>
  <c r="H271" i="2"/>
  <c r="I384" i="2"/>
  <c r="C172" i="2"/>
  <c r="L493" i="2"/>
  <c r="F451" i="2"/>
  <c r="C314" i="2"/>
  <c r="E321" i="2"/>
  <c r="G248" i="2"/>
  <c r="L543" i="2"/>
  <c r="C522" i="2"/>
  <c r="H237" i="2"/>
  <c r="I290" i="2"/>
  <c r="J168" i="2"/>
  <c r="K288" i="2"/>
  <c r="A271" i="2"/>
  <c r="E384" i="2"/>
  <c r="H172" i="2"/>
  <c r="D167" i="2"/>
  <c r="H493" i="2"/>
  <c r="J290" i="2"/>
  <c r="E451" i="2"/>
  <c r="I314" i="2"/>
  <c r="E248" i="2"/>
  <c r="C543" i="2"/>
  <c r="L274" i="2"/>
  <c r="G531" i="2"/>
  <c r="K136" i="2"/>
  <c r="K522" i="2"/>
  <c r="D517" i="2"/>
  <c r="F204" i="2"/>
  <c r="C313" i="2"/>
  <c r="D288" i="2"/>
  <c r="F271" i="2"/>
  <c r="A318" i="2"/>
  <c r="H283" i="2"/>
  <c r="H384" i="2"/>
  <c r="J172" i="2"/>
  <c r="B167" i="2"/>
  <c r="B237" i="2"/>
  <c r="I462" i="2"/>
  <c r="I493" i="2"/>
  <c r="B290" i="2"/>
  <c r="F168" i="2"/>
  <c r="A158" i="2"/>
  <c r="L451" i="2"/>
  <c r="A314" i="2"/>
  <c r="G321" i="2"/>
  <c r="G175" i="2"/>
  <c r="H248" i="2"/>
  <c r="I543" i="2"/>
  <c r="L342" i="2"/>
  <c r="D274" i="2"/>
  <c r="E531" i="2"/>
  <c r="H277" i="2"/>
  <c r="K149" i="2"/>
  <c r="D318" i="2"/>
  <c r="B313" i="2"/>
  <c r="K237" i="2"/>
  <c r="A522" i="2"/>
  <c r="I318" i="2"/>
  <c r="F237" i="2"/>
  <c r="L290" i="2"/>
  <c r="D451" i="2"/>
  <c r="J384" i="2"/>
  <c r="L167" i="2"/>
  <c r="C149" i="2"/>
  <c r="D136" i="2"/>
  <c r="I522" i="2"/>
  <c r="E517" i="2"/>
  <c r="J313" i="2"/>
  <c r="D271" i="2"/>
  <c r="E318" i="2"/>
  <c r="K283" i="2"/>
  <c r="G384" i="2"/>
  <c r="K172" i="2"/>
  <c r="A167" i="2"/>
  <c r="L237" i="2"/>
  <c r="J493" i="2"/>
  <c r="E290" i="2"/>
  <c r="G168" i="2"/>
  <c r="B158" i="2"/>
  <c r="A451" i="2"/>
  <c r="L314" i="2"/>
  <c r="E153" i="2"/>
  <c r="C321" i="2"/>
  <c r="J175" i="2"/>
  <c r="I248" i="2"/>
  <c r="K543" i="2"/>
  <c r="H342" i="2"/>
  <c r="F274" i="2"/>
  <c r="J531" i="2"/>
  <c r="D277" i="2"/>
  <c r="D149" i="2"/>
  <c r="I321" i="2"/>
  <c r="B149" i="2"/>
  <c r="I517" i="2"/>
  <c r="B451" i="2"/>
  <c r="J321" i="2"/>
  <c r="C248" i="2"/>
  <c r="E149" i="2"/>
  <c r="I167" i="2"/>
  <c r="C237" i="2"/>
  <c r="B493" i="2"/>
  <c r="K290" i="2"/>
  <c r="B168" i="2"/>
  <c r="J158" i="2"/>
  <c r="C451" i="2"/>
  <c r="B314" i="2"/>
  <c r="A321" i="2"/>
  <c r="L248" i="2"/>
  <c r="F543" i="2"/>
  <c r="E342" i="2"/>
  <c r="L531" i="2"/>
  <c r="E277" i="2"/>
  <c r="L149" i="2"/>
  <c r="F318" i="2"/>
  <c r="D531" i="2"/>
  <c r="I149" i="2"/>
  <c r="A136" i="2"/>
  <c r="C493" i="2"/>
  <c r="B248" i="2"/>
  <c r="E313" i="2"/>
  <c r="E283" i="2"/>
  <c r="J314" i="2"/>
  <c r="B531" i="2"/>
  <c r="A204" i="2"/>
  <c r="D313" i="2"/>
  <c r="E271" i="2"/>
  <c r="H318" i="2"/>
  <c r="G283" i="2"/>
  <c r="C384" i="2"/>
  <c r="L172" i="2"/>
  <c r="I515" i="2"/>
  <c r="H167" i="2"/>
  <c r="D237" i="2"/>
  <c r="F493" i="2"/>
  <c r="F290" i="2"/>
  <c r="I168" i="2"/>
  <c r="K158" i="2"/>
  <c r="I451" i="2"/>
  <c r="G314" i="2"/>
  <c r="K321" i="2"/>
  <c r="K175" i="2"/>
  <c r="A248" i="2"/>
  <c r="G543" i="2"/>
  <c r="C342" i="2"/>
  <c r="K531" i="2"/>
  <c r="I277" i="2"/>
  <c r="F149" i="2"/>
  <c r="G136" i="2"/>
  <c r="I283" i="2"/>
  <c r="K384" i="2"/>
  <c r="K451" i="2"/>
  <c r="K248" i="2"/>
  <c r="J283" i="2"/>
  <c r="D384" i="2"/>
  <c r="F314" i="2"/>
  <c r="C531" i="2"/>
  <c r="C271" i="2"/>
  <c r="K318" i="2"/>
  <c r="E543" i="2"/>
  <c r="D283" i="2"/>
  <c r="G237" i="2"/>
  <c r="L168" i="2"/>
  <c r="L158" i="2"/>
  <c r="B321" i="2"/>
  <c r="I342" i="2"/>
  <c r="B271" i="2"/>
  <c r="C318" i="2"/>
  <c r="A384" i="2"/>
  <c r="G172" i="2"/>
  <c r="K185" i="2"/>
  <c r="L136" i="2"/>
  <c r="G522" i="2"/>
  <c r="C517" i="2"/>
  <c r="H136" i="2"/>
  <c r="J522" i="2"/>
  <c r="K517" i="2"/>
  <c r="D224" i="2"/>
  <c r="L313" i="2"/>
  <c r="I271" i="2"/>
  <c r="J318" i="2"/>
  <c r="F283" i="2"/>
  <c r="B384" i="2"/>
  <c r="F172" i="2"/>
  <c r="D515" i="2"/>
  <c r="E167" i="2"/>
  <c r="I237" i="2"/>
  <c r="K493" i="2"/>
  <c r="A290" i="2"/>
  <c r="E168" i="2"/>
  <c r="I158" i="2"/>
  <c r="J451" i="2"/>
  <c r="E314" i="2"/>
  <c r="H321" i="2"/>
  <c r="H175" i="2"/>
  <c r="D248" i="2"/>
  <c r="H543" i="2"/>
  <c r="A342" i="2"/>
  <c r="F531" i="2"/>
  <c r="C469" i="2"/>
  <c r="C277" i="2"/>
  <c r="A149" i="2"/>
  <c r="J517" i="2"/>
  <c r="H517" i="2"/>
  <c r="F313" i="2"/>
  <c r="G271" i="2"/>
  <c r="C283" i="2"/>
  <c r="E172" i="2"/>
  <c r="H168" i="2"/>
  <c r="F321" i="2"/>
  <c r="A543" i="2"/>
  <c r="I136" i="2"/>
  <c r="I172" i="2"/>
  <c r="A493" i="2"/>
  <c r="D158" i="2"/>
  <c r="J136" i="2"/>
  <c r="F522" i="2"/>
  <c r="A517" i="2"/>
  <c r="I313" i="2"/>
  <c r="L318" i="2"/>
  <c r="B136" i="2"/>
  <c r="E522" i="2"/>
  <c r="F517" i="2"/>
  <c r="K313" i="2"/>
  <c r="L283" i="2"/>
  <c r="K515" i="2"/>
  <c r="A469" i="2"/>
  <c r="C330" i="2"/>
  <c r="H330" i="2"/>
  <c r="K330" i="2"/>
  <c r="B330" i="2"/>
  <c r="E330" i="2"/>
  <c r="G330" i="2"/>
  <c r="A299" i="2"/>
  <c r="J299" i="2"/>
  <c r="G299" i="2"/>
  <c r="C443" i="2"/>
  <c r="E443" i="2"/>
  <c r="L443" i="2"/>
  <c r="I443" i="2"/>
  <c r="B443" i="2"/>
  <c r="D443" i="2"/>
  <c r="C299" i="2"/>
  <c r="H185" i="2"/>
  <c r="H462" i="2"/>
  <c r="G123" i="2"/>
  <c r="J123" i="2"/>
  <c r="C123" i="2"/>
  <c r="E123" i="2"/>
  <c r="K123" i="2"/>
  <c r="L123" i="2"/>
  <c r="H123" i="2"/>
  <c r="J224" i="2"/>
  <c r="E224" i="2"/>
  <c r="G224" i="2"/>
  <c r="F224" i="2"/>
  <c r="L224" i="2"/>
  <c r="B224" i="2"/>
  <c r="B300" i="2"/>
  <c r="A300" i="2"/>
  <c r="I300" i="2"/>
  <c r="H300" i="2"/>
  <c r="D300" i="2"/>
  <c r="J300" i="2"/>
  <c r="K300" i="2"/>
  <c r="I185" i="2"/>
  <c r="E300" i="2"/>
  <c r="F401" i="2"/>
  <c r="A401" i="2"/>
  <c r="D401" i="2"/>
  <c r="G401" i="2"/>
  <c r="E401" i="2"/>
  <c r="H393" i="2"/>
  <c r="I393" i="2"/>
  <c r="K393" i="2"/>
  <c r="L393" i="2"/>
  <c r="B144" i="2"/>
  <c r="G144" i="2"/>
  <c r="L144" i="2"/>
  <c r="I144" i="2"/>
  <c r="F179" i="2"/>
  <c r="F330" i="2"/>
  <c r="J411" i="2"/>
  <c r="D497" i="2"/>
  <c r="G264" i="2"/>
  <c r="D123" i="2"/>
  <c r="B401" i="2"/>
  <c r="F441" i="2"/>
  <c r="J215" i="2"/>
  <c r="B215" i="2"/>
  <c r="A215" i="2"/>
  <c r="G215" i="2"/>
  <c r="K215" i="2"/>
  <c r="E502" i="2"/>
  <c r="L502" i="2"/>
  <c r="B502" i="2"/>
  <c r="C502" i="2"/>
  <c r="D502" i="2"/>
  <c r="A502" i="2"/>
  <c r="G349" i="2"/>
  <c r="F349" i="2"/>
  <c r="C349" i="2"/>
  <c r="J349" i="2"/>
  <c r="I349" i="2"/>
  <c r="B299" i="2"/>
  <c r="L497" i="2"/>
  <c r="H144" i="2"/>
  <c r="A123" i="2"/>
  <c r="C401" i="2"/>
  <c r="H261" i="2"/>
  <c r="A261" i="2"/>
  <c r="C261" i="2"/>
  <c r="G261" i="2"/>
  <c r="F378" i="2"/>
  <c r="C378" i="2"/>
  <c r="K378" i="2"/>
  <c r="H378" i="2"/>
  <c r="B378" i="2"/>
  <c r="E130" i="2"/>
  <c r="J144" i="2"/>
  <c r="A462" i="2"/>
  <c r="C207" i="2"/>
  <c r="D244" i="2"/>
  <c r="J153" i="2"/>
  <c r="L215" i="2"/>
  <c r="D476" i="2"/>
  <c r="G253" i="2"/>
  <c r="J441" i="2"/>
  <c r="H469" i="2"/>
  <c r="H156" i="2"/>
  <c r="G443" i="2"/>
  <c r="J453" i="2"/>
  <c r="C204" i="2"/>
  <c r="L378" i="2"/>
  <c r="G505" i="2"/>
  <c r="D272" i="2"/>
  <c r="K502" i="2"/>
  <c r="J436" i="2"/>
  <c r="J264" i="2"/>
  <c r="F130" i="2"/>
  <c r="F144" i="2"/>
  <c r="F462" i="2"/>
  <c r="I207" i="2"/>
  <c r="A349" i="2"/>
  <c r="B244" i="2"/>
  <c r="H153" i="2"/>
  <c r="D215" i="2"/>
  <c r="A429" i="2"/>
  <c r="L476" i="2"/>
  <c r="K469" i="2"/>
  <c r="E156" i="2"/>
  <c r="F443" i="2"/>
  <c r="E299" i="2"/>
  <c r="H224" i="2"/>
  <c r="A378" i="2"/>
  <c r="I502" i="2"/>
  <c r="A144" i="2"/>
  <c r="D349" i="2"/>
  <c r="E215" i="2"/>
  <c r="J413" i="2"/>
  <c r="G413" i="2"/>
  <c r="E413" i="2"/>
  <c r="B413" i="2"/>
  <c r="C413" i="2"/>
  <c r="A413" i="2"/>
  <c r="H413" i="2"/>
  <c r="A153" i="2"/>
  <c r="D153" i="2"/>
  <c r="I153" i="2"/>
  <c r="G153" i="2"/>
  <c r="L153" i="2"/>
  <c r="K153" i="2"/>
  <c r="L185" i="2"/>
  <c r="C185" i="2"/>
  <c r="A185" i="2"/>
  <c r="J185" i="2"/>
  <c r="G185" i="2"/>
  <c r="B185" i="2"/>
  <c r="D462" i="2"/>
  <c r="K462" i="2"/>
  <c r="B462" i="2"/>
  <c r="G462" i="2"/>
  <c r="E462" i="2"/>
  <c r="L462" i="2"/>
  <c r="B156" i="2"/>
  <c r="L156" i="2"/>
  <c r="K156" i="2"/>
  <c r="F156" i="2"/>
  <c r="C156" i="2"/>
  <c r="D156" i="2"/>
  <c r="G156" i="2"/>
  <c r="K446" i="2"/>
  <c r="A446" i="2"/>
  <c r="D446" i="2"/>
  <c r="B446" i="2"/>
  <c r="L446" i="2"/>
  <c r="C446" i="2"/>
  <c r="K497" i="2"/>
  <c r="C497" i="2"/>
  <c r="G497" i="2"/>
  <c r="I497" i="2"/>
  <c r="F497" i="2"/>
  <c r="H497" i="2"/>
  <c r="B284" i="2"/>
  <c r="A284" i="2"/>
  <c r="D284" i="2"/>
  <c r="K284" i="2"/>
  <c r="J284" i="2"/>
  <c r="F284" i="2"/>
  <c r="D299" i="2"/>
  <c r="K224" i="2"/>
  <c r="H284" i="2"/>
  <c r="B123" i="2"/>
  <c r="G446" i="2"/>
  <c r="E204" i="2"/>
  <c r="G204" i="2"/>
  <c r="J204" i="2"/>
  <c r="H204" i="2"/>
  <c r="B204" i="2"/>
  <c r="I204" i="2"/>
  <c r="G274" i="2"/>
  <c r="H274" i="2"/>
  <c r="K274" i="2"/>
  <c r="A274" i="2"/>
  <c r="J274" i="2"/>
  <c r="B274" i="2"/>
  <c r="E274" i="2"/>
  <c r="B469" i="2"/>
  <c r="G469" i="2"/>
  <c r="I469" i="2"/>
  <c r="L469" i="2"/>
  <c r="B288" i="2"/>
  <c r="A288" i="2"/>
  <c r="L288" i="2"/>
  <c r="F288" i="2"/>
  <c r="H288" i="2"/>
  <c r="C515" i="2"/>
  <c r="E515" i="2"/>
  <c r="J515" i="2"/>
  <c r="G515" i="2"/>
  <c r="H515" i="2"/>
  <c r="A515" i="2"/>
  <c r="B441" i="2"/>
  <c r="A441" i="2"/>
  <c r="I441" i="2"/>
  <c r="H441" i="2"/>
  <c r="K441" i="2"/>
  <c r="L441" i="2"/>
  <c r="B411" i="2"/>
  <c r="E411" i="2"/>
  <c r="H411" i="2"/>
  <c r="K411" i="2"/>
  <c r="D411" i="2"/>
  <c r="A411" i="2"/>
  <c r="I299" i="2"/>
  <c r="C224" i="2"/>
  <c r="L330" i="2"/>
  <c r="C411" i="2"/>
  <c r="F185" i="2"/>
  <c r="F515" i="2"/>
  <c r="I284" i="2"/>
  <c r="F123" i="2"/>
  <c r="F446" i="2"/>
  <c r="K413" i="2"/>
  <c r="D469" i="2"/>
  <c r="A179" i="2"/>
  <c r="I179" i="2"/>
  <c r="D179" i="2"/>
  <c r="B179" i="2"/>
  <c r="E179" i="2"/>
  <c r="H453" i="2"/>
  <c r="C453" i="2"/>
  <c r="D453" i="2"/>
  <c r="I453" i="2"/>
  <c r="E453" i="2"/>
  <c r="L264" i="2"/>
  <c r="D264" i="2"/>
  <c r="F264" i="2"/>
  <c r="E264" i="2"/>
  <c r="A244" i="2"/>
  <c r="F244" i="2"/>
  <c r="H244" i="2"/>
  <c r="J244" i="2"/>
  <c r="C244" i="2"/>
  <c r="L244" i="2"/>
  <c r="G244" i="2"/>
  <c r="H299" i="2"/>
  <c r="C300" i="2"/>
  <c r="I288" i="2"/>
  <c r="E393" i="2"/>
  <c r="K144" i="2"/>
  <c r="G284" i="2"/>
  <c r="L207" i="2"/>
  <c r="K207" i="2"/>
  <c r="J207" i="2"/>
  <c r="G207" i="2"/>
  <c r="H207" i="2"/>
  <c r="B207" i="2"/>
  <c r="E259" i="2"/>
  <c r="B259" i="2"/>
  <c r="J259" i="2"/>
  <c r="L259" i="2"/>
  <c r="F259" i="2"/>
  <c r="K259" i="2"/>
  <c r="A259" i="2"/>
  <c r="C263" i="2"/>
  <c r="F263" i="2"/>
  <c r="E263" i="2"/>
  <c r="I263" i="2"/>
  <c r="H263" i="2"/>
  <c r="B263" i="2"/>
  <c r="A263" i="2"/>
  <c r="D330" i="2"/>
  <c r="F300" i="2"/>
  <c r="C288" i="2"/>
  <c r="A393" i="2"/>
  <c r="C264" i="2"/>
  <c r="I259" i="2"/>
  <c r="E446" i="2"/>
  <c r="L413" i="2"/>
  <c r="G441" i="2"/>
  <c r="J263" i="2"/>
  <c r="E494" i="2"/>
  <c r="D494" i="2"/>
  <c r="I145" i="2"/>
  <c r="E145" i="2"/>
  <c r="G130" i="2"/>
  <c r="H130" i="2"/>
  <c r="C130" i="2"/>
  <c r="D130" i="2"/>
  <c r="B130" i="2"/>
  <c r="I130" i="2"/>
  <c r="K299" i="2"/>
  <c r="J179" i="2"/>
  <c r="J330" i="2"/>
  <c r="A494" i="2"/>
  <c r="D393" i="2"/>
  <c r="B497" i="2"/>
  <c r="H264" i="2"/>
  <c r="L130" i="2"/>
  <c r="E144" i="2"/>
  <c r="E284" i="2"/>
  <c r="I123" i="2"/>
  <c r="I244" i="2"/>
  <c r="G259" i="2"/>
  <c r="H446" i="2"/>
  <c r="D413" i="2"/>
  <c r="D441" i="2"/>
  <c r="L263" i="2"/>
  <c r="H289" i="2"/>
  <c r="I289" i="2"/>
  <c r="A289" i="2"/>
  <c r="F289" i="2"/>
  <c r="J289" i="2"/>
  <c r="D289" i="2"/>
  <c r="B170" i="2"/>
  <c r="H170" i="2"/>
  <c r="C170" i="2"/>
  <c r="G170" i="2"/>
  <c r="I170" i="2"/>
  <c r="F170" i="2"/>
  <c r="L170" i="2"/>
  <c r="B272" i="2"/>
  <c r="L272" i="2"/>
  <c r="C272" i="2"/>
  <c r="A272" i="2"/>
  <c r="H230" i="2"/>
  <c r="D230" i="2"/>
  <c r="L230" i="2"/>
  <c r="J230" i="2"/>
  <c r="E230" i="2"/>
  <c r="B230" i="2"/>
  <c r="G476" i="2"/>
  <c r="I476" i="2"/>
  <c r="F476" i="2"/>
  <c r="J476" i="2"/>
  <c r="L247" i="2"/>
  <c r="F247" i="2"/>
  <c r="C247" i="2"/>
  <c r="B247" i="2"/>
  <c r="I247" i="2"/>
  <c r="J247" i="2"/>
  <c r="A443" i="2"/>
  <c r="L453" i="2"/>
  <c r="G179" i="2"/>
  <c r="A330" i="2"/>
  <c r="D378" i="2"/>
  <c r="G393" i="2"/>
  <c r="I230" i="2"/>
  <c r="J497" i="2"/>
  <c r="K264" i="2"/>
  <c r="J130" i="2"/>
  <c r="C144" i="2"/>
  <c r="C284" i="2"/>
  <c r="F207" i="2"/>
  <c r="G247" i="2"/>
  <c r="K244" i="2"/>
  <c r="F153" i="2"/>
  <c r="E261" i="2"/>
  <c r="H215" i="2"/>
  <c r="C476" i="2"/>
  <c r="I446" i="2"/>
  <c r="I413" i="2"/>
  <c r="E441" i="2"/>
  <c r="D263" i="2"/>
  <c r="E170" i="2"/>
  <c r="I156" i="2"/>
  <c r="F507" i="2"/>
  <c r="I507" i="2"/>
  <c r="E507" i="2"/>
  <c r="L507" i="2"/>
  <c r="A507" i="2"/>
  <c r="B507" i="2"/>
  <c r="G507" i="2"/>
  <c r="D421" i="2"/>
  <c r="G421" i="2"/>
  <c r="J421" i="2"/>
  <c r="K421" i="2"/>
  <c r="L421" i="2"/>
  <c r="D364" i="2"/>
  <c r="L364" i="2"/>
  <c r="H364" i="2"/>
  <c r="E364" i="2"/>
  <c r="A364" i="2"/>
  <c r="B364" i="2"/>
  <c r="I523" i="2"/>
  <c r="G523" i="2"/>
  <c r="F523" i="2"/>
  <c r="B523" i="2"/>
  <c r="E523" i="2"/>
  <c r="D523" i="2"/>
  <c r="G436" i="2"/>
  <c r="E436" i="2"/>
  <c r="C436" i="2"/>
  <c r="F436" i="2"/>
  <c r="A479" i="2"/>
  <c r="J479" i="2"/>
  <c r="G479" i="2"/>
  <c r="D479" i="2"/>
  <c r="I505" i="2"/>
  <c r="K505" i="2"/>
  <c r="D505" i="2"/>
  <c r="B505" i="2"/>
  <c r="J505" i="2"/>
  <c r="C505" i="2"/>
  <c r="K429" i="2"/>
  <c r="E429" i="2"/>
  <c r="F429" i="2"/>
  <c r="G429" i="2"/>
  <c r="H429" i="2"/>
  <c r="L429" i="2"/>
  <c r="I429" i="2"/>
  <c r="K443" i="2"/>
  <c r="B479" i="2"/>
  <c r="K453" i="2"/>
  <c r="L204" i="2"/>
  <c r="L179" i="2"/>
  <c r="I330" i="2"/>
  <c r="J378" i="2"/>
  <c r="H505" i="2"/>
  <c r="J272" i="2"/>
  <c r="L523" i="2"/>
  <c r="G502" i="2"/>
  <c r="D436" i="2"/>
  <c r="A497" i="2"/>
  <c r="A264" i="2"/>
  <c r="I261" i="2"/>
  <c r="J443" i="2"/>
  <c r="L299" i="2"/>
  <c r="G453" i="2"/>
  <c r="D204" i="2"/>
  <c r="I224" i="2"/>
  <c r="I378" i="2"/>
  <c r="E288" i="2"/>
  <c r="L505" i="2"/>
  <c r="K272" i="2"/>
  <c r="H502" i="2"/>
  <c r="K436" i="2"/>
  <c r="D185" i="2"/>
  <c r="L515" i="2"/>
  <c r="I264" i="2"/>
  <c r="K289" i="2"/>
  <c r="D144" i="2"/>
  <c r="C462" i="2"/>
  <c r="D207" i="2"/>
  <c r="E349" i="2"/>
  <c r="J401" i="2"/>
  <c r="C153" i="2"/>
  <c r="F215" i="2"/>
  <c r="B429" i="2"/>
  <c r="E476" i="2"/>
  <c r="C274" i="2"/>
  <c r="F469" i="2"/>
  <c r="J156" i="2"/>
  <c r="A456" i="2"/>
  <c r="I456" i="2"/>
  <c r="K456" i="2"/>
  <c r="I311" i="2"/>
  <c r="L311" i="2"/>
  <c r="B311" i="2"/>
  <c r="L238" i="2"/>
  <c r="D238" i="2"/>
  <c r="I481" i="2"/>
  <c r="E481" i="2"/>
  <c r="L481" i="2"/>
  <c r="F191" i="2"/>
  <c r="C481" i="2"/>
  <c r="J311" i="2"/>
  <c r="G456" i="2"/>
  <c r="F238" i="2"/>
  <c r="J481" i="2"/>
  <c r="C311" i="2"/>
  <c r="E456" i="2"/>
  <c r="E444" i="2"/>
  <c r="I444" i="2"/>
  <c r="G191" i="2"/>
  <c r="J191" i="2"/>
  <c r="L510" i="2"/>
  <c r="G510" i="2"/>
  <c r="K542" i="2"/>
  <c r="H542" i="2"/>
  <c r="C238" i="2"/>
  <c r="F444" i="2"/>
  <c r="H238" i="2"/>
  <c r="E191" i="2"/>
  <c r="J510" i="2"/>
  <c r="L444" i="2"/>
  <c r="E542" i="2"/>
  <c r="A481" i="2"/>
  <c r="E311" i="2"/>
  <c r="C456" i="2"/>
  <c r="A198" i="2"/>
  <c r="D465" i="2"/>
  <c r="G132" i="2"/>
  <c r="J529" i="2"/>
  <c r="E351" i="2"/>
  <c r="L392" i="2"/>
  <c r="K480" i="2"/>
  <c r="L494" i="2"/>
  <c r="J253" i="2"/>
  <c r="B145" i="2"/>
  <c r="G242" i="2"/>
  <c r="D454" i="2"/>
  <c r="D430" i="2"/>
  <c r="K242" i="2"/>
  <c r="K253" i="2"/>
  <c r="C494" i="2"/>
  <c r="G145" i="2"/>
  <c r="K430" i="2"/>
  <c r="I242" i="2"/>
  <c r="I253" i="2"/>
  <c r="G454" i="2"/>
  <c r="L430" i="2"/>
  <c r="I494" i="2"/>
  <c r="L145" i="2"/>
  <c r="J454" i="2"/>
  <c r="K454" i="2"/>
  <c r="K494" i="2"/>
  <c r="F145" i="2"/>
  <c r="J430" i="2"/>
  <c r="L242" i="2"/>
  <c r="C253" i="2"/>
  <c r="H145" i="2"/>
  <c r="B430" i="2"/>
  <c r="D242" i="2"/>
  <c r="D253" i="2"/>
  <c r="F454" i="2"/>
  <c r="B494" i="2"/>
  <c r="E454" i="2"/>
  <c r="F494" i="2"/>
  <c r="C145" i="2"/>
  <c r="H430" i="2"/>
  <c r="H242" i="2"/>
  <c r="A253" i="2"/>
  <c r="J494" i="2"/>
  <c r="A145" i="2"/>
  <c r="G430" i="2"/>
  <c r="A242" i="2"/>
  <c r="H253" i="2"/>
  <c r="H454" i="2"/>
  <c r="I454" i="2"/>
  <c r="G494" i="2"/>
  <c r="K145" i="2"/>
  <c r="E430" i="2"/>
  <c r="F242" i="2"/>
  <c r="L253" i="2"/>
  <c r="J145" i="2"/>
  <c r="I430" i="2"/>
  <c r="E242" i="2"/>
  <c r="E253" i="2"/>
  <c r="L454" i="2"/>
  <c r="H494" i="2"/>
  <c r="D145" i="2"/>
  <c r="C430" i="2"/>
  <c r="B242" i="2"/>
  <c r="F253" i="2"/>
  <c r="A122" i="2"/>
  <c r="K122" i="2"/>
  <c r="L122" i="2"/>
  <c r="F122" i="2"/>
  <c r="G122" i="2"/>
  <c r="J122" i="2"/>
  <c r="E122" i="2"/>
  <c r="I122" i="2"/>
  <c r="H122" i="2"/>
  <c r="D122" i="2"/>
  <c r="C122" i="2"/>
  <c r="B122" i="2"/>
  <c r="C490" i="2"/>
  <c r="L490" i="2"/>
  <c r="D490" i="2"/>
  <c r="A490" i="2"/>
  <c r="B490" i="2"/>
  <c r="I490" i="2"/>
  <c r="G490" i="2"/>
  <c r="J490" i="2"/>
  <c r="H490" i="2"/>
  <c r="K490" i="2"/>
  <c r="F490" i="2"/>
  <c r="E490" i="2"/>
  <c r="E234" i="2"/>
  <c r="F234" i="2"/>
  <c r="D234" i="2"/>
  <c r="H234" i="2"/>
  <c r="B234" i="2"/>
  <c r="G234" i="2"/>
  <c r="J234" i="2"/>
  <c r="C234" i="2"/>
  <c r="A234" i="2"/>
  <c r="L234" i="2"/>
  <c r="K234" i="2"/>
  <c r="I234" i="2"/>
  <c r="D105" i="2"/>
  <c r="A105" i="2"/>
  <c r="B105" i="2"/>
  <c r="J105" i="2"/>
  <c r="F105" i="2"/>
  <c r="K105" i="2"/>
  <c r="C105" i="2"/>
  <c r="E105" i="2"/>
  <c r="I105" i="2"/>
  <c r="G105" i="2"/>
  <c r="H105" i="2" s="1"/>
  <c r="L105" i="2"/>
  <c r="D25" i="2"/>
  <c r="G25" i="2"/>
  <c r="H25" i="2" s="1"/>
  <c r="I25" i="2"/>
  <c r="B25" i="2"/>
  <c r="K25" i="2"/>
  <c r="C25" i="2"/>
  <c r="L25" i="2"/>
  <c r="J25" i="2"/>
  <c r="A25" i="2"/>
  <c r="F25" i="2"/>
  <c r="E25" i="2"/>
  <c r="C81" i="2"/>
  <c r="I81" i="2"/>
  <c r="B81" i="2"/>
  <c r="A81" i="2"/>
  <c r="F81" i="2"/>
  <c r="D81" i="2"/>
  <c r="J81" i="2"/>
  <c r="G81" i="2"/>
  <c r="H81" i="2" s="1"/>
  <c r="E81" i="2"/>
  <c r="K81" i="2"/>
  <c r="L81" i="2"/>
  <c r="A47" i="2"/>
  <c r="L47" i="2"/>
  <c r="I47" i="2"/>
  <c r="G47" i="2"/>
  <c r="H47" i="2" s="1"/>
  <c r="B47" i="2"/>
  <c r="F47" i="2"/>
  <c r="C47" i="2"/>
  <c r="K47" i="2"/>
  <c r="E47" i="2"/>
  <c r="J47" i="2"/>
  <c r="D47" i="2"/>
  <c r="K21" i="2"/>
  <c r="A21" i="2"/>
  <c r="D21" i="2"/>
  <c r="L21" i="2"/>
  <c r="F21" i="2"/>
  <c r="I21" i="2"/>
  <c r="E21" i="2"/>
  <c r="B21" i="2"/>
  <c r="C21" i="2"/>
  <c r="J21" i="2"/>
  <c r="G21" i="2"/>
  <c r="H21" i="2" s="1"/>
  <c r="A194" i="2"/>
  <c r="E194" i="2"/>
  <c r="L194" i="2"/>
  <c r="I194" i="2"/>
  <c r="B194" i="2"/>
  <c r="K194" i="2"/>
  <c r="J194" i="2"/>
  <c r="F194" i="2"/>
  <c r="G194" i="2"/>
  <c r="C194" i="2"/>
  <c r="D194" i="2"/>
  <c r="H194" i="2"/>
  <c r="B319" i="2"/>
  <c r="L319" i="2"/>
  <c r="E319" i="2"/>
  <c r="J319" i="2"/>
  <c r="A319" i="2"/>
  <c r="H319" i="2"/>
  <c r="I319" i="2"/>
  <c r="F319" i="2"/>
  <c r="D319" i="2"/>
  <c r="C319" i="2"/>
  <c r="K319" i="2"/>
  <c r="G319" i="2"/>
  <c r="E426" i="2"/>
  <c r="J426" i="2"/>
  <c r="B426" i="2"/>
  <c r="H426" i="2"/>
  <c r="K426" i="2"/>
  <c r="F426" i="2"/>
  <c r="D426" i="2"/>
  <c r="G426" i="2"/>
  <c r="I426" i="2"/>
  <c r="C426" i="2"/>
  <c r="A426" i="2"/>
  <c r="L426" i="2"/>
  <c r="G407" i="2"/>
  <c r="B407" i="2"/>
  <c r="K407" i="2"/>
  <c r="E407" i="2"/>
  <c r="J407" i="2"/>
  <c r="H407" i="2"/>
  <c r="A407" i="2"/>
  <c r="D407" i="2"/>
  <c r="F407" i="2"/>
  <c r="L407" i="2"/>
  <c r="I407" i="2"/>
  <c r="C407" i="2"/>
  <c r="K273" i="2"/>
  <c r="F273" i="2"/>
  <c r="L273" i="2"/>
  <c r="I273" i="2"/>
  <c r="E273" i="2"/>
  <c r="J273" i="2"/>
  <c r="D273" i="2"/>
  <c r="C273" i="2"/>
  <c r="B273" i="2"/>
  <c r="G273" i="2"/>
  <c r="A273" i="2"/>
  <c r="H273" i="2"/>
  <c r="D91" i="2"/>
  <c r="A91" i="2"/>
  <c r="G91" i="2"/>
  <c r="H91" i="2" s="1"/>
  <c r="K91" i="2"/>
  <c r="L91" i="2"/>
  <c r="J91" i="2"/>
  <c r="I91" i="2"/>
  <c r="F91" i="2"/>
  <c r="B91" i="2"/>
  <c r="C91" i="2"/>
  <c r="E91" i="2"/>
  <c r="L83" i="2"/>
  <c r="C83" i="2"/>
  <c r="A83" i="2"/>
  <c r="I83" i="2"/>
  <c r="E83" i="2"/>
  <c r="D83" i="2"/>
  <c r="B83" i="2"/>
  <c r="F83" i="2"/>
  <c r="K83" i="2"/>
  <c r="G83" i="2"/>
  <c r="H83" i="2" s="1"/>
  <c r="J83" i="2"/>
  <c r="F54" i="2"/>
  <c r="K54" i="2"/>
  <c r="E54" i="2"/>
  <c r="B54" i="2"/>
  <c r="D54" i="2"/>
  <c r="C54" i="2"/>
  <c r="L54" i="2"/>
  <c r="G54" i="2"/>
  <c r="H54" i="2" s="1"/>
  <c r="A54" i="2"/>
  <c r="I54" i="2"/>
  <c r="J54" i="2"/>
  <c r="L24" i="2"/>
  <c r="F24" i="2"/>
  <c r="D24" i="2"/>
  <c r="J24" i="2"/>
  <c r="K24" i="2"/>
  <c r="A24" i="2"/>
  <c r="I24" i="2"/>
  <c r="G24" i="2"/>
  <c r="H24" i="2" s="1"/>
  <c r="E24" i="2"/>
  <c r="B24" i="2"/>
  <c r="C24" i="2"/>
  <c r="G62" i="2"/>
  <c r="H62" i="2" s="1"/>
  <c r="L62" i="2"/>
  <c r="C62" i="2"/>
  <c r="I62" i="2"/>
  <c r="B62" i="2"/>
  <c r="E62" i="2"/>
  <c r="A62" i="2"/>
  <c r="K62" i="2"/>
  <c r="D62" i="2"/>
  <c r="F62" i="2"/>
  <c r="J62" i="2"/>
  <c r="C67" i="2"/>
  <c r="I67" i="2"/>
  <c r="K67" i="2"/>
  <c r="G67" i="2"/>
  <c r="H67" i="2" s="1"/>
  <c r="A67" i="2"/>
  <c r="B67" i="2"/>
  <c r="L67" i="2"/>
  <c r="D67" i="2"/>
  <c r="E67" i="2"/>
  <c r="F67" i="2"/>
  <c r="J67" i="2"/>
  <c r="G37" i="2"/>
  <c r="H37" i="2" s="1"/>
  <c r="B37" i="2"/>
  <c r="K37" i="2"/>
  <c r="J37" i="2"/>
  <c r="F37" i="2"/>
  <c r="E37" i="2"/>
  <c r="I37" i="2"/>
  <c r="A37" i="2"/>
  <c r="D37" i="2"/>
  <c r="L37" i="2"/>
  <c r="C37" i="2"/>
  <c r="L540" i="2"/>
  <c r="F540" i="2"/>
  <c r="I540" i="2"/>
  <c r="C540" i="2"/>
  <c r="A540" i="2"/>
  <c r="K540" i="2"/>
  <c r="D540" i="2"/>
  <c r="G540" i="2"/>
  <c r="H540" i="2"/>
  <c r="J540" i="2"/>
  <c r="E540" i="2"/>
  <c r="B540" i="2"/>
  <c r="I306" i="2"/>
  <c r="F306" i="2"/>
  <c r="H306" i="2"/>
  <c r="L306" i="2"/>
  <c r="J306" i="2"/>
  <c r="G306" i="2"/>
  <c r="D306" i="2"/>
  <c r="B306" i="2"/>
  <c r="K306" i="2"/>
  <c r="E306" i="2"/>
  <c r="A306" i="2"/>
  <c r="C306" i="2"/>
  <c r="A535" i="2"/>
  <c r="D535" i="2"/>
  <c r="J535" i="2"/>
  <c r="B535" i="2"/>
  <c r="G535" i="2"/>
  <c r="I535" i="2"/>
  <c r="H535" i="2"/>
  <c r="K535" i="2"/>
  <c r="F535" i="2"/>
  <c r="E535" i="2"/>
  <c r="C535" i="2"/>
  <c r="L535" i="2"/>
  <c r="H417" i="2"/>
  <c r="G417" i="2"/>
  <c r="C417" i="2"/>
  <c r="I417" i="2"/>
  <c r="A417" i="2"/>
  <c r="J417" i="2"/>
  <c r="B417" i="2"/>
  <c r="K417" i="2"/>
  <c r="L417" i="2"/>
  <c r="D417" i="2"/>
  <c r="E417" i="2"/>
  <c r="F417" i="2"/>
  <c r="G434" i="2"/>
  <c r="B434" i="2"/>
  <c r="J434" i="2"/>
  <c r="I434" i="2"/>
  <c r="A434" i="2"/>
  <c r="K434" i="2"/>
  <c r="L434" i="2"/>
  <c r="C434" i="2"/>
  <c r="E434" i="2"/>
  <c r="D434" i="2"/>
  <c r="H434" i="2"/>
  <c r="F434" i="2"/>
  <c r="I82" i="2"/>
  <c r="D82" i="2"/>
  <c r="G82" i="2"/>
  <c r="H82" i="2" s="1"/>
  <c r="E82" i="2"/>
  <c r="L82" i="2"/>
  <c r="J82" i="2"/>
  <c r="F82" i="2"/>
  <c r="C82" i="2"/>
  <c r="A82" i="2"/>
  <c r="K82" i="2"/>
  <c r="B82" i="2"/>
  <c r="A19" i="2"/>
  <c r="L19" i="2"/>
  <c r="G19" i="2"/>
  <c r="H19" i="2" s="1"/>
  <c r="F19" i="2"/>
  <c r="E19" i="2"/>
  <c r="C19" i="2"/>
  <c r="K19" i="2"/>
  <c r="J19" i="2"/>
  <c r="I19" i="2"/>
  <c r="D19" i="2"/>
  <c r="B19" i="2"/>
  <c r="K68" i="2"/>
  <c r="D68" i="2"/>
  <c r="L68" i="2"/>
  <c r="J68" i="2"/>
  <c r="C68" i="2"/>
  <c r="F68" i="2"/>
  <c r="A68" i="2"/>
  <c r="G68" i="2"/>
  <c r="H68" i="2" s="1"/>
  <c r="E68" i="2"/>
  <c r="B68" i="2"/>
  <c r="I68" i="2"/>
  <c r="D13" i="2"/>
  <c r="B13" i="2"/>
  <c r="J13" i="2"/>
  <c r="E13" i="2"/>
  <c r="K13" i="2"/>
  <c r="F13" i="2"/>
  <c r="L13" i="2"/>
  <c r="A13" i="2"/>
  <c r="C13" i="2"/>
  <c r="I13" i="2"/>
  <c r="G13" i="2"/>
  <c r="H13" i="2" s="1"/>
  <c r="F38" i="2"/>
  <c r="J38" i="2"/>
  <c r="D38" i="2"/>
  <c r="A38" i="2"/>
  <c r="C38" i="2"/>
  <c r="K38" i="2"/>
  <c r="G38" i="2"/>
  <c r="H38" i="2" s="1"/>
  <c r="B38" i="2"/>
  <c r="I38" i="2"/>
  <c r="E38" i="2"/>
  <c r="L38" i="2"/>
  <c r="D400" i="2"/>
  <c r="A400" i="2"/>
  <c r="J400" i="2"/>
  <c r="G400" i="2"/>
  <c r="E400" i="2"/>
  <c r="C400" i="2"/>
  <c r="L400" i="2"/>
  <c r="I400" i="2"/>
  <c r="H400" i="2"/>
  <c r="F400" i="2"/>
  <c r="B400" i="2"/>
  <c r="K400" i="2"/>
  <c r="A301" i="2"/>
  <c r="E301" i="2"/>
  <c r="F301" i="2"/>
  <c r="J301" i="2"/>
  <c r="I301" i="2"/>
  <c r="C301" i="2"/>
  <c r="B301" i="2"/>
  <c r="L301" i="2"/>
  <c r="D301" i="2"/>
  <c r="K301" i="2"/>
  <c r="H301" i="2"/>
  <c r="G301" i="2"/>
  <c r="F359" i="2"/>
  <c r="K359" i="2"/>
  <c r="J359" i="2"/>
  <c r="B359" i="2"/>
  <c r="C359" i="2"/>
  <c r="A359" i="2"/>
  <c r="E359" i="2"/>
  <c r="H359" i="2"/>
  <c r="G359" i="2"/>
  <c r="L359" i="2"/>
  <c r="I359" i="2"/>
  <c r="D359" i="2"/>
  <c r="F200" i="2"/>
  <c r="D200" i="2"/>
  <c r="G200" i="2"/>
  <c r="E200" i="2"/>
  <c r="I200" i="2"/>
  <c r="J200" i="2"/>
  <c r="H200" i="2"/>
  <c r="A200" i="2"/>
  <c r="K200" i="2"/>
  <c r="L200" i="2"/>
  <c r="B200" i="2"/>
  <c r="C200" i="2"/>
  <c r="A106" i="2"/>
  <c r="K106" i="2"/>
  <c r="D106" i="2"/>
  <c r="J106" i="2"/>
  <c r="E106" i="2"/>
  <c r="C106" i="2"/>
  <c r="F106" i="2"/>
  <c r="G106" i="2"/>
  <c r="H106" i="2" s="1"/>
  <c r="B106" i="2"/>
  <c r="L106" i="2"/>
  <c r="I106" i="2"/>
  <c r="L77" i="2"/>
  <c r="B77" i="2"/>
  <c r="E77" i="2"/>
  <c r="C77" i="2"/>
  <c r="J77" i="2"/>
  <c r="G77" i="2"/>
  <c r="H77" i="2" s="1"/>
  <c r="A77" i="2"/>
  <c r="D77" i="2"/>
  <c r="I77" i="2"/>
  <c r="F77" i="2"/>
  <c r="K77" i="2"/>
  <c r="L31" i="2"/>
  <c r="J31" i="2"/>
  <c r="B31" i="2"/>
  <c r="I31" i="2"/>
  <c r="A31" i="2"/>
  <c r="F31" i="2"/>
  <c r="G31" i="2"/>
  <c r="H31" i="2" s="1"/>
  <c r="E31" i="2"/>
  <c r="C31" i="2"/>
  <c r="D31" i="2"/>
  <c r="K31" i="2"/>
  <c r="J69" i="2"/>
  <c r="K69" i="2"/>
  <c r="B69" i="2"/>
  <c r="I69" i="2"/>
  <c r="D69" i="2"/>
  <c r="F69" i="2"/>
  <c r="C69" i="2"/>
  <c r="E69" i="2"/>
  <c r="G69" i="2"/>
  <c r="H69" i="2" s="1"/>
  <c r="L69" i="2"/>
  <c r="A69" i="2"/>
  <c r="E45" i="2"/>
  <c r="J45" i="2"/>
  <c r="F45" i="2"/>
  <c r="I45" i="2"/>
  <c r="C45" i="2"/>
  <c r="D45" i="2"/>
  <c r="B45" i="2"/>
  <c r="A45" i="2"/>
  <c r="K45" i="2"/>
  <c r="G45" i="2"/>
  <c r="H45" i="2" s="1"/>
  <c r="L45" i="2"/>
  <c r="A52" i="2"/>
  <c r="J52" i="2"/>
  <c r="E52" i="2"/>
  <c r="I52" i="2"/>
  <c r="G52" i="2"/>
  <c r="H52" i="2" s="1"/>
  <c r="D52" i="2"/>
  <c r="L52" i="2"/>
  <c r="K52" i="2"/>
  <c r="B52" i="2"/>
  <c r="C52" i="2"/>
  <c r="F52" i="2"/>
  <c r="E26" i="2"/>
  <c r="B26" i="2"/>
  <c r="J26" i="2"/>
  <c r="I26" i="2"/>
  <c r="F26" i="2"/>
  <c r="G26" i="2"/>
  <c r="H26" i="2" s="1"/>
  <c r="A26" i="2"/>
  <c r="K26" i="2"/>
  <c r="D26" i="2"/>
  <c r="L26" i="2"/>
  <c r="C26" i="2"/>
  <c r="G403" i="2"/>
  <c r="L403" i="2"/>
  <c r="B403" i="2"/>
  <c r="F403" i="2"/>
  <c r="I403" i="2"/>
  <c r="J403" i="2"/>
  <c r="D403" i="2"/>
  <c r="C403" i="2"/>
  <c r="H403" i="2"/>
  <c r="E403" i="2"/>
  <c r="A403" i="2"/>
  <c r="K403" i="2"/>
  <c r="J151" i="2"/>
  <c r="L151" i="2"/>
  <c r="K151" i="2"/>
  <c r="I151" i="2"/>
  <c r="E151" i="2"/>
  <c r="A151" i="2"/>
  <c r="D151" i="2"/>
  <c r="G151" i="2"/>
  <c r="C151" i="2"/>
  <c r="B151" i="2"/>
  <c r="F151" i="2"/>
  <c r="H151" i="2"/>
  <c r="E538" i="2"/>
  <c r="J538" i="2"/>
  <c r="C538" i="2"/>
  <c r="H538" i="2"/>
  <c r="F538" i="2"/>
  <c r="D538" i="2"/>
  <c r="A538" i="2"/>
  <c r="L538" i="2"/>
  <c r="K538" i="2"/>
  <c r="I538" i="2"/>
  <c r="G538" i="2"/>
  <c r="B538" i="2"/>
  <c r="F154" i="2"/>
  <c r="H154" i="2"/>
  <c r="E154" i="2"/>
  <c r="G154" i="2"/>
  <c r="J154" i="2"/>
  <c r="A154" i="2"/>
  <c r="B154" i="2"/>
  <c r="C154" i="2"/>
  <c r="L154" i="2"/>
  <c r="K154" i="2"/>
  <c r="D154" i="2"/>
  <c r="I154" i="2"/>
  <c r="I245" i="2"/>
  <c r="A245" i="2"/>
  <c r="L245" i="2"/>
  <c r="G245" i="2"/>
  <c r="C245" i="2"/>
  <c r="F245" i="2"/>
  <c r="J245" i="2"/>
  <c r="H245" i="2"/>
  <c r="E245" i="2"/>
  <c r="K245" i="2"/>
  <c r="D245" i="2"/>
  <c r="B245" i="2"/>
  <c r="E155" i="2"/>
  <c r="L155" i="2"/>
  <c r="G155" i="2"/>
  <c r="I155" i="2"/>
  <c r="H155" i="2"/>
  <c r="J155" i="2"/>
  <c r="K155" i="2"/>
  <c r="B155" i="2"/>
  <c r="D155" i="2"/>
  <c r="F155" i="2"/>
  <c r="C155" i="2"/>
  <c r="A155" i="2"/>
  <c r="D432" i="2"/>
  <c r="L432" i="2"/>
  <c r="E432" i="2"/>
  <c r="K432" i="2"/>
  <c r="B432" i="2"/>
  <c r="I432" i="2"/>
  <c r="G432" i="2"/>
  <c r="A432" i="2"/>
  <c r="F432" i="2"/>
  <c r="C432" i="2"/>
  <c r="H432" i="2"/>
  <c r="J432" i="2"/>
  <c r="F329" i="2"/>
  <c r="L329" i="2"/>
  <c r="C329" i="2"/>
  <c r="I329" i="2"/>
  <c r="A329" i="2"/>
  <c r="B329" i="2"/>
  <c r="G329" i="2"/>
  <c r="J329" i="2"/>
  <c r="E329" i="2"/>
  <c r="K329" i="2"/>
  <c r="H329" i="2"/>
  <c r="D329" i="2"/>
  <c r="B334" i="2"/>
  <c r="E334" i="2"/>
  <c r="L334" i="2"/>
  <c r="F334" i="2"/>
  <c r="H334" i="2"/>
  <c r="J334" i="2"/>
  <c r="D334" i="2"/>
  <c r="C334" i="2"/>
  <c r="K334" i="2"/>
  <c r="G334" i="2"/>
  <c r="A334" i="2"/>
  <c r="I334" i="2"/>
  <c r="B537" i="2"/>
  <c r="H537" i="2"/>
  <c r="K537" i="2"/>
  <c r="I537" i="2"/>
  <c r="E537" i="2"/>
  <c r="J537" i="2"/>
  <c r="G537" i="2"/>
  <c r="F537" i="2"/>
  <c r="L537" i="2"/>
  <c r="A537" i="2"/>
  <c r="D537" i="2"/>
  <c r="C537" i="2"/>
  <c r="D78" i="2"/>
  <c r="C78" i="2"/>
  <c r="E78" i="2"/>
  <c r="A78" i="2"/>
  <c r="G78" i="2"/>
  <c r="H78" i="2" s="1"/>
  <c r="L78" i="2"/>
  <c r="B78" i="2"/>
  <c r="F78" i="2"/>
  <c r="K78" i="2"/>
  <c r="I78" i="2"/>
  <c r="J78" i="2"/>
  <c r="E49" i="2"/>
  <c r="I49" i="2"/>
  <c r="C49" i="2"/>
  <c r="F49" i="2"/>
  <c r="G49" i="2"/>
  <c r="H49" i="2" s="1"/>
  <c r="B49" i="2"/>
  <c r="K49" i="2"/>
  <c r="D49" i="2"/>
  <c r="L49" i="2"/>
  <c r="J49" i="2"/>
  <c r="A49" i="2"/>
  <c r="J18" i="2"/>
  <c r="L18" i="2"/>
  <c r="E18" i="2"/>
  <c r="C18" i="2"/>
  <c r="A18" i="2"/>
  <c r="D18" i="2"/>
  <c r="K18" i="2"/>
  <c r="I18" i="2"/>
  <c r="B18" i="2"/>
  <c r="F18" i="2"/>
  <c r="G18" i="2"/>
  <c r="H18" i="2" s="1"/>
  <c r="K51" i="2"/>
  <c r="F51" i="2"/>
  <c r="I51" i="2"/>
  <c r="A51" i="2"/>
  <c r="E51" i="2"/>
  <c r="C51" i="2"/>
  <c r="J51" i="2"/>
  <c r="G51" i="2"/>
  <c r="H51" i="2" s="1"/>
  <c r="D51" i="2"/>
  <c r="B51" i="2"/>
  <c r="L51" i="2"/>
  <c r="D55" i="2"/>
  <c r="E55" i="2"/>
  <c r="J55" i="2"/>
  <c r="K55" i="2"/>
  <c r="L55" i="2"/>
  <c r="B55" i="2"/>
  <c r="G55" i="2"/>
  <c r="H55" i="2" s="1"/>
  <c r="A55" i="2"/>
  <c r="I55" i="2"/>
  <c r="F55" i="2"/>
  <c r="C55" i="2"/>
  <c r="C30" i="2"/>
  <c r="L30" i="2"/>
  <c r="F30" i="2"/>
  <c r="A30" i="2"/>
  <c r="K30" i="2"/>
  <c r="E30" i="2"/>
  <c r="J30" i="2"/>
  <c r="I30" i="2"/>
  <c r="B30" i="2"/>
  <c r="D30" i="2"/>
  <c r="G30" i="2"/>
  <c r="H30" i="2" s="1"/>
  <c r="G388" i="2"/>
  <c r="E388" i="2"/>
  <c r="A388" i="2"/>
  <c r="D388" i="2"/>
  <c r="F388" i="2"/>
  <c r="K388" i="2"/>
  <c r="I388" i="2"/>
  <c r="B388" i="2"/>
  <c r="H388" i="2"/>
  <c r="C388" i="2"/>
  <c r="L388" i="2"/>
  <c r="J388" i="2"/>
  <c r="D281" i="2"/>
  <c r="G281" i="2"/>
  <c r="B281" i="2"/>
  <c r="J281" i="2"/>
  <c r="C281" i="2"/>
  <c r="I281" i="2"/>
  <c r="H281" i="2"/>
  <c r="E281" i="2"/>
  <c r="L281" i="2"/>
  <c r="F281" i="2"/>
  <c r="A281" i="2"/>
  <c r="K281" i="2"/>
  <c r="F160" i="2"/>
  <c r="K160" i="2"/>
  <c r="A160" i="2"/>
  <c r="I160" i="2"/>
  <c r="D160" i="2"/>
  <c r="B160" i="2"/>
  <c r="H160" i="2"/>
  <c r="L160" i="2"/>
  <c r="E160" i="2"/>
  <c r="G160" i="2"/>
  <c r="J160" i="2"/>
  <c r="C160" i="2"/>
  <c r="F108" i="2"/>
  <c r="J108" i="2"/>
  <c r="C108" i="2"/>
  <c r="A108" i="2"/>
  <c r="D108" i="2"/>
  <c r="E108" i="2"/>
  <c r="K108" i="2"/>
  <c r="I108" i="2"/>
  <c r="G108" i="2"/>
  <c r="H108" i="2" s="1"/>
  <c r="L108" i="2"/>
  <c r="B108" i="2"/>
  <c r="D339" i="2"/>
  <c r="A339" i="2"/>
  <c r="L339" i="2"/>
  <c r="I339" i="2"/>
  <c r="B339" i="2"/>
  <c r="G339" i="2"/>
  <c r="F339" i="2"/>
  <c r="H339" i="2"/>
  <c r="E339" i="2"/>
  <c r="C339" i="2"/>
  <c r="J339" i="2"/>
  <c r="K339" i="2"/>
  <c r="K260" i="2"/>
  <c r="B260" i="2"/>
  <c r="G260" i="2"/>
  <c r="H260" i="2"/>
  <c r="L260" i="2"/>
  <c r="I260" i="2"/>
  <c r="D260" i="2"/>
  <c r="C260" i="2"/>
  <c r="F260" i="2"/>
  <c r="J260" i="2"/>
  <c r="A260" i="2"/>
  <c r="E260" i="2"/>
  <c r="K169" i="2"/>
  <c r="E169" i="2"/>
  <c r="L169" i="2"/>
  <c r="C169" i="2"/>
  <c r="G169" i="2"/>
  <c r="J169" i="2"/>
  <c r="D169" i="2"/>
  <c r="F169" i="2"/>
  <c r="I169" i="2"/>
  <c r="B169" i="2"/>
  <c r="A169" i="2"/>
  <c r="H169" i="2"/>
  <c r="E181" i="2"/>
  <c r="G181" i="2"/>
  <c r="K181" i="2"/>
  <c r="A181" i="2"/>
  <c r="B181" i="2"/>
  <c r="D181" i="2"/>
  <c r="J181" i="2"/>
  <c r="H181" i="2"/>
  <c r="L181" i="2"/>
  <c r="F181" i="2"/>
  <c r="C181" i="2"/>
  <c r="I181" i="2"/>
  <c r="H513" i="2"/>
  <c r="K513" i="2"/>
  <c r="D513" i="2"/>
  <c r="E513" i="2"/>
  <c r="L513" i="2"/>
  <c r="A513" i="2"/>
  <c r="B513" i="2"/>
  <c r="G513" i="2"/>
  <c r="F513" i="2"/>
  <c r="I513" i="2"/>
  <c r="J513" i="2"/>
  <c r="C513" i="2"/>
  <c r="I340" i="2"/>
  <c r="F340" i="2"/>
  <c r="J340" i="2"/>
  <c r="D340" i="2"/>
  <c r="H340" i="2"/>
  <c r="G340" i="2"/>
  <c r="C340" i="2"/>
  <c r="K340" i="2"/>
  <c r="B340" i="2"/>
  <c r="E340" i="2"/>
  <c r="L340" i="2"/>
  <c r="A340" i="2"/>
  <c r="G79" i="2"/>
  <c r="H79" i="2" s="1"/>
  <c r="L79" i="2"/>
  <c r="I79" i="2"/>
  <c r="A79" i="2"/>
  <c r="J79" i="2"/>
  <c r="B79" i="2"/>
  <c r="E79" i="2"/>
  <c r="D79" i="2"/>
  <c r="C79" i="2"/>
  <c r="F79" i="2"/>
  <c r="K79" i="2"/>
  <c r="D70" i="2"/>
  <c r="A70" i="2"/>
  <c r="G70" i="2"/>
  <c r="H70" i="2" s="1"/>
  <c r="L70" i="2"/>
  <c r="J70" i="2"/>
  <c r="E70" i="2"/>
  <c r="C70" i="2"/>
  <c r="I70" i="2"/>
  <c r="B70" i="2"/>
  <c r="F70" i="2"/>
  <c r="K70" i="2"/>
  <c r="G61" i="2"/>
  <c r="H61" i="2" s="1"/>
  <c r="J61" i="2"/>
  <c r="L61" i="2"/>
  <c r="B61" i="2"/>
  <c r="C61" i="2"/>
  <c r="K61" i="2"/>
  <c r="I61" i="2"/>
  <c r="A61" i="2"/>
  <c r="F61" i="2"/>
  <c r="E61" i="2"/>
  <c r="D61" i="2"/>
  <c r="B41" i="2"/>
  <c r="I41" i="2"/>
  <c r="D41" i="2"/>
  <c r="E41" i="2"/>
  <c r="C41" i="2"/>
  <c r="F41" i="2"/>
  <c r="K41" i="2"/>
  <c r="J41" i="2"/>
  <c r="G41" i="2"/>
  <c r="H41" i="2" s="1"/>
  <c r="A41" i="2"/>
  <c r="L41" i="2"/>
  <c r="J39" i="2"/>
  <c r="I39" i="2"/>
  <c r="G39" i="2"/>
  <c r="H39" i="2" s="1"/>
  <c r="B39" i="2"/>
  <c r="L39" i="2"/>
  <c r="F39" i="2"/>
  <c r="E39" i="2"/>
  <c r="D39" i="2"/>
  <c r="A39" i="2"/>
  <c r="C39" i="2"/>
  <c r="K39" i="2"/>
  <c r="K44" i="2"/>
  <c r="B44" i="2"/>
  <c r="E44" i="2"/>
  <c r="I44" i="2"/>
  <c r="G44" i="2"/>
  <c r="H44" i="2" s="1"/>
  <c r="F44" i="2"/>
  <c r="C44" i="2"/>
  <c r="D44" i="2"/>
  <c r="J44" i="2"/>
  <c r="L44" i="2"/>
  <c r="A44" i="2"/>
  <c r="J496" i="2"/>
  <c r="G496" i="2"/>
  <c r="I496" i="2"/>
  <c r="A496" i="2"/>
  <c r="E496" i="2"/>
  <c r="H496" i="2"/>
  <c r="D496" i="2"/>
  <c r="F496" i="2"/>
  <c r="C496" i="2"/>
  <c r="B496" i="2"/>
  <c r="L496" i="2"/>
  <c r="K496" i="2"/>
  <c r="B97" i="2"/>
  <c r="K97" i="2"/>
  <c r="J97" i="2"/>
  <c r="E97" i="2"/>
  <c r="A97" i="2"/>
  <c r="D97" i="2"/>
  <c r="C97" i="2"/>
  <c r="F97" i="2"/>
  <c r="I97" i="2"/>
  <c r="G97" i="2"/>
  <c r="H97" i="2" s="1"/>
  <c r="L97" i="2"/>
  <c r="E520" i="2"/>
  <c r="G520" i="2"/>
  <c r="D520" i="2"/>
  <c r="K520" i="2"/>
  <c r="L520" i="2"/>
  <c r="H520" i="2"/>
  <c r="C520" i="2"/>
  <c r="I520" i="2"/>
  <c r="F520" i="2"/>
  <c r="A520" i="2"/>
  <c r="B520" i="2"/>
  <c r="J520" i="2"/>
  <c r="A525" i="2"/>
  <c r="E525" i="2"/>
  <c r="D525" i="2"/>
  <c r="J525" i="2"/>
  <c r="B525" i="2"/>
  <c r="I525" i="2"/>
  <c r="L525" i="2"/>
  <c r="F525" i="2"/>
  <c r="C525" i="2"/>
  <c r="K525" i="2"/>
  <c r="H525" i="2"/>
  <c r="G525" i="2"/>
  <c r="L368" i="2"/>
  <c r="B368" i="2"/>
  <c r="F368" i="2"/>
  <c r="H368" i="2"/>
  <c r="K368" i="2"/>
  <c r="D368" i="2"/>
  <c r="G368" i="2"/>
  <c r="A368" i="2"/>
  <c r="C368" i="2"/>
  <c r="I368" i="2"/>
  <c r="E368" i="2"/>
  <c r="J368" i="2"/>
  <c r="C89" i="2"/>
  <c r="G89" i="2"/>
  <c r="H89" i="2" s="1"/>
  <c r="B89" i="2"/>
  <c r="J89" i="2"/>
  <c r="A89" i="2"/>
  <c r="I89" i="2"/>
  <c r="K89" i="2"/>
  <c r="F89" i="2"/>
  <c r="L89" i="2"/>
  <c r="E89" i="2"/>
  <c r="D89" i="2"/>
  <c r="K328" i="2"/>
  <c r="L328" i="2"/>
  <c r="H328" i="2"/>
  <c r="J328" i="2"/>
  <c r="I328" i="2"/>
  <c r="D328" i="2"/>
  <c r="C328" i="2"/>
  <c r="B328" i="2"/>
  <c r="G328" i="2"/>
  <c r="E328" i="2"/>
  <c r="A328" i="2"/>
  <c r="F328" i="2"/>
  <c r="D227" i="2"/>
  <c r="H227" i="2"/>
  <c r="E227" i="2"/>
  <c r="C227" i="2"/>
  <c r="J227" i="2"/>
  <c r="F227" i="2"/>
  <c r="B227" i="2"/>
  <c r="A227" i="2"/>
  <c r="K227" i="2"/>
  <c r="G227" i="2"/>
  <c r="I227" i="2"/>
  <c r="L227" i="2"/>
  <c r="L250" i="2"/>
  <c r="B250" i="2"/>
  <c r="E250" i="2"/>
  <c r="I250" i="2"/>
  <c r="D250" i="2"/>
  <c r="F250" i="2"/>
  <c r="J250" i="2"/>
  <c r="A250" i="2"/>
  <c r="C250" i="2"/>
  <c r="G250" i="2"/>
  <c r="H250" i="2"/>
  <c r="K250" i="2"/>
  <c r="A386" i="2"/>
  <c r="F386" i="2"/>
  <c r="E386" i="2"/>
  <c r="D386" i="2"/>
  <c r="H386" i="2"/>
  <c r="G386" i="2"/>
  <c r="C386" i="2"/>
  <c r="J386" i="2"/>
  <c r="K386" i="2"/>
  <c r="L386" i="2"/>
  <c r="I386" i="2"/>
  <c r="B386" i="2"/>
  <c r="F74" i="2"/>
  <c r="E74" i="2"/>
  <c r="C74" i="2"/>
  <c r="I74" i="2"/>
  <c r="B74" i="2"/>
  <c r="A74" i="2"/>
  <c r="J74" i="2"/>
  <c r="K74" i="2"/>
  <c r="G74" i="2"/>
  <c r="H74" i="2" s="1"/>
  <c r="L74" i="2"/>
  <c r="D74" i="2"/>
  <c r="G59" i="2"/>
  <c r="H59" i="2" s="1"/>
  <c r="A59" i="2"/>
  <c r="B59" i="2"/>
  <c r="D59" i="2"/>
  <c r="C59" i="2"/>
  <c r="I59" i="2"/>
  <c r="E59" i="2"/>
  <c r="J59" i="2"/>
  <c r="L59" i="2"/>
  <c r="F59" i="2"/>
  <c r="K59" i="2"/>
  <c r="J72" i="2"/>
  <c r="I72" i="2"/>
  <c r="K72" i="2"/>
  <c r="L72" i="2"/>
  <c r="E72" i="2"/>
  <c r="G72" i="2"/>
  <c r="H72" i="2" s="1"/>
  <c r="D72" i="2"/>
  <c r="F72" i="2"/>
  <c r="C72" i="2"/>
  <c r="B72" i="2"/>
  <c r="A72" i="2"/>
  <c r="J22" i="2"/>
  <c r="B22" i="2"/>
  <c r="D22" i="2"/>
  <c r="L22" i="2"/>
  <c r="K22" i="2"/>
  <c r="E22" i="2"/>
  <c r="I22" i="2"/>
  <c r="A22" i="2"/>
  <c r="G22" i="2"/>
  <c r="H22" i="2" s="1"/>
  <c r="C22" i="2"/>
  <c r="F22" i="2"/>
  <c r="I15" i="2"/>
  <c r="E15" i="2"/>
  <c r="J15" i="2"/>
  <c r="F15" i="2"/>
  <c r="G15" i="2"/>
  <c r="H15" i="2" s="1"/>
  <c r="A15" i="2"/>
  <c r="L15" i="2"/>
  <c r="B15" i="2"/>
  <c r="D15" i="2"/>
  <c r="C15" i="2"/>
  <c r="K15" i="2"/>
  <c r="G40" i="2"/>
  <c r="H40" i="2" s="1"/>
  <c r="F40" i="2"/>
  <c r="A40" i="2"/>
  <c r="K40" i="2"/>
  <c r="B40" i="2"/>
  <c r="J40" i="2"/>
  <c r="I40" i="2"/>
  <c r="L40" i="2"/>
  <c r="E40" i="2"/>
  <c r="C40" i="2"/>
  <c r="D40" i="2"/>
  <c r="A433" i="2"/>
  <c r="H433" i="2"/>
  <c r="I433" i="2"/>
  <c r="K433" i="2"/>
  <c r="E433" i="2"/>
  <c r="C433" i="2"/>
  <c r="L433" i="2"/>
  <c r="D433" i="2"/>
  <c r="G433" i="2"/>
  <c r="J433" i="2"/>
  <c r="F433" i="2"/>
  <c r="B433" i="2"/>
  <c r="I324" i="2"/>
  <c r="C324" i="2"/>
  <c r="G324" i="2"/>
  <c r="F324" i="2"/>
  <c r="H324" i="2"/>
  <c r="K324" i="2"/>
  <c r="D324" i="2"/>
  <c r="E324" i="2"/>
  <c r="J324" i="2"/>
  <c r="B324" i="2"/>
  <c r="L324" i="2"/>
  <c r="A324" i="2"/>
  <c r="A545" i="2"/>
  <c r="J545" i="2"/>
  <c r="L545" i="2"/>
  <c r="C545" i="2"/>
  <c r="H545" i="2"/>
  <c r="B545" i="2"/>
  <c r="D545" i="2"/>
  <c r="K545" i="2"/>
  <c r="G545" i="2"/>
  <c r="I545" i="2"/>
  <c r="E545" i="2"/>
  <c r="F545" i="2"/>
  <c r="H117" i="2"/>
  <c r="A117" i="2"/>
  <c r="B117" i="2"/>
  <c r="E117" i="2"/>
  <c r="D117" i="2"/>
  <c r="J117" i="2"/>
  <c r="L117" i="2"/>
  <c r="I117" i="2"/>
  <c r="K117" i="2"/>
  <c r="C117" i="2"/>
  <c r="F117" i="2"/>
  <c r="G117" i="2"/>
  <c r="I491" i="2"/>
  <c r="D491" i="2"/>
  <c r="H491" i="2"/>
  <c r="B491" i="2"/>
  <c r="A491" i="2"/>
  <c r="C491" i="2"/>
  <c r="G491" i="2"/>
  <c r="K491" i="2"/>
  <c r="E491" i="2"/>
  <c r="J491" i="2"/>
  <c r="L491" i="2"/>
  <c r="F491" i="2"/>
  <c r="E382" i="2"/>
  <c r="B382" i="2"/>
  <c r="G382" i="2"/>
  <c r="C382" i="2"/>
  <c r="L382" i="2"/>
  <c r="F382" i="2"/>
  <c r="D382" i="2"/>
  <c r="A382" i="2"/>
  <c r="K382" i="2"/>
  <c r="J382" i="2"/>
  <c r="I382" i="2"/>
  <c r="H382" i="2"/>
  <c r="K210" i="2"/>
  <c r="A210" i="2"/>
  <c r="C210" i="2"/>
  <c r="G210" i="2"/>
  <c r="J210" i="2"/>
  <c r="D210" i="2"/>
  <c r="E210" i="2"/>
  <c r="B210" i="2"/>
  <c r="F210" i="2"/>
  <c r="I210" i="2"/>
  <c r="L210" i="2"/>
  <c r="H210" i="2"/>
  <c r="J240" i="2"/>
  <c r="D240" i="2"/>
  <c r="I240" i="2"/>
  <c r="A240" i="2"/>
  <c r="G240" i="2"/>
  <c r="F240" i="2"/>
  <c r="L240" i="2"/>
  <c r="C240" i="2"/>
  <c r="B240" i="2"/>
  <c r="E240" i="2"/>
  <c r="H240" i="2"/>
  <c r="K240" i="2"/>
  <c r="C124" i="2"/>
  <c r="A124" i="2"/>
  <c r="F124" i="2"/>
  <c r="K124" i="2"/>
  <c r="B124" i="2"/>
  <c r="G124" i="2"/>
  <c r="L124" i="2"/>
  <c r="H124" i="2"/>
  <c r="I124" i="2"/>
  <c r="E124" i="2"/>
  <c r="J124" i="2"/>
  <c r="D124" i="2"/>
  <c r="I135" i="2"/>
  <c r="B135" i="2"/>
  <c r="D135" i="2"/>
  <c r="H135" i="2"/>
  <c r="E135" i="2"/>
  <c r="A135" i="2"/>
  <c r="J135" i="2"/>
  <c r="F135" i="2"/>
  <c r="G135" i="2"/>
  <c r="C135" i="2"/>
  <c r="L135" i="2"/>
  <c r="K135" i="2"/>
  <c r="A60" i="2"/>
  <c r="J60" i="2"/>
  <c r="D60" i="2"/>
  <c r="C60" i="2"/>
  <c r="L60" i="2"/>
  <c r="I60" i="2"/>
  <c r="E60" i="2"/>
  <c r="B60" i="2"/>
  <c r="F60" i="2"/>
  <c r="K60" i="2"/>
  <c r="G60" i="2"/>
  <c r="H60" i="2" s="1"/>
  <c r="C32" i="2"/>
  <c r="K32" i="2"/>
  <c r="B32" i="2"/>
  <c r="G32" i="2"/>
  <c r="H32" i="2" s="1"/>
  <c r="F32" i="2"/>
  <c r="D32" i="2"/>
  <c r="L32" i="2"/>
  <c r="A32" i="2"/>
  <c r="J32" i="2"/>
  <c r="I32" i="2"/>
  <c r="E32" i="2"/>
  <c r="D66" i="2"/>
  <c r="J66" i="2"/>
  <c r="G66" i="2"/>
  <c r="H66" i="2" s="1"/>
  <c r="F66" i="2"/>
  <c r="A66" i="2"/>
  <c r="K66" i="2"/>
  <c r="I66" i="2"/>
  <c r="B66" i="2"/>
  <c r="E66" i="2"/>
  <c r="C66" i="2"/>
  <c r="L66" i="2"/>
  <c r="K16" i="2"/>
  <c r="A16" i="2"/>
  <c r="J16" i="2"/>
  <c r="G16" i="2"/>
  <c r="H16" i="2" s="1"/>
  <c r="D16" i="2"/>
  <c r="F16" i="2"/>
  <c r="E16" i="2"/>
  <c r="C16" i="2"/>
  <c r="B16" i="2"/>
  <c r="L16" i="2"/>
  <c r="I16" i="2"/>
  <c r="G27" i="2"/>
  <c r="H27" i="2" s="1"/>
  <c r="D27" i="2"/>
  <c r="K27" i="2"/>
  <c r="B27" i="2"/>
  <c r="A27" i="2"/>
  <c r="J27" i="2"/>
  <c r="L27" i="2"/>
  <c r="E27" i="2"/>
  <c r="C27" i="2"/>
  <c r="F27" i="2"/>
  <c r="I27" i="2"/>
  <c r="J34" i="2"/>
  <c r="G34" i="2"/>
  <c r="H34" i="2" s="1"/>
  <c r="L34" i="2"/>
  <c r="B34" i="2"/>
  <c r="K34" i="2"/>
  <c r="D34" i="2"/>
  <c r="A34" i="2"/>
  <c r="C34" i="2"/>
  <c r="F34" i="2"/>
  <c r="E34" i="2"/>
  <c r="I34" i="2"/>
  <c r="A292" i="2"/>
  <c r="E292" i="2"/>
  <c r="L292" i="2"/>
  <c r="B292" i="2"/>
  <c r="F292" i="2"/>
  <c r="H292" i="2"/>
  <c r="G292" i="2"/>
  <c r="C292" i="2"/>
  <c r="D292" i="2"/>
  <c r="J292" i="2"/>
  <c r="K292" i="2"/>
  <c r="I292" i="2"/>
  <c r="I50" i="2"/>
  <c r="C50" i="2"/>
  <c r="K50" i="2"/>
  <c r="D50" i="2"/>
  <c r="B50" i="2"/>
  <c r="G50" i="2"/>
  <c r="H50" i="2" s="1"/>
  <c r="A50" i="2"/>
  <c r="F50" i="2"/>
  <c r="J50" i="2"/>
  <c r="E50" i="2"/>
  <c r="L50" i="2"/>
  <c r="G29" i="2"/>
  <c r="H29" i="2" s="1"/>
  <c r="D29" i="2"/>
  <c r="B29" i="2"/>
  <c r="L29" i="2"/>
  <c r="K29" i="2"/>
  <c r="J29" i="2"/>
  <c r="E29" i="2"/>
  <c r="F29" i="2"/>
  <c r="I29" i="2"/>
  <c r="A29" i="2"/>
  <c r="C29" i="2"/>
  <c r="I239" i="2"/>
  <c r="L239" i="2"/>
  <c r="H239" i="2"/>
  <c r="C239" i="2"/>
  <c r="J239" i="2"/>
  <c r="F239" i="2"/>
  <c r="D239" i="2"/>
  <c r="B239" i="2"/>
  <c r="G239" i="2"/>
  <c r="A239" i="2"/>
  <c r="E239" i="2"/>
  <c r="K239" i="2"/>
  <c r="E140" i="2"/>
  <c r="I140" i="2"/>
  <c r="K140" i="2"/>
  <c r="B140" i="2"/>
  <c r="L140" i="2"/>
  <c r="G140" i="2"/>
  <c r="D140" i="2"/>
  <c r="H140" i="2"/>
  <c r="F140" i="2"/>
  <c r="C140" i="2"/>
  <c r="A140" i="2"/>
  <c r="J140" i="2"/>
  <c r="F370" i="2"/>
  <c r="L370" i="2"/>
  <c r="E370" i="2"/>
  <c r="I370" i="2"/>
  <c r="K370" i="2"/>
  <c r="D370" i="2"/>
  <c r="G370" i="2"/>
  <c r="H370" i="2"/>
  <c r="C370" i="2"/>
  <c r="B370" i="2"/>
  <c r="A370" i="2"/>
  <c r="J370" i="2"/>
  <c r="C536" i="2"/>
  <c r="D536" i="2"/>
  <c r="H536" i="2"/>
  <c r="K536" i="2"/>
  <c r="L536" i="2"/>
  <c r="A536" i="2"/>
  <c r="F536" i="2"/>
  <c r="J536" i="2"/>
  <c r="G536" i="2"/>
  <c r="E536" i="2"/>
  <c r="I536" i="2"/>
  <c r="B536" i="2"/>
  <c r="K269" i="2"/>
  <c r="A269" i="2"/>
  <c r="J269" i="2"/>
  <c r="H269" i="2"/>
  <c r="C269" i="2"/>
  <c r="G269" i="2"/>
  <c r="B269" i="2"/>
  <c r="E269" i="2"/>
  <c r="L269" i="2"/>
  <c r="D269" i="2"/>
  <c r="F269" i="2"/>
  <c r="I269" i="2"/>
  <c r="A518" i="2"/>
  <c r="F518" i="2"/>
  <c r="I518" i="2"/>
  <c r="H518" i="2"/>
  <c r="B518" i="2"/>
  <c r="L518" i="2"/>
  <c r="E518" i="2"/>
  <c r="G518" i="2"/>
  <c r="K518" i="2"/>
  <c r="D518" i="2"/>
  <c r="C518" i="2"/>
  <c r="J518" i="2"/>
  <c r="G129" i="2"/>
  <c r="K129" i="2"/>
  <c r="A129" i="2"/>
  <c r="I129" i="2"/>
  <c r="C129" i="2"/>
  <c r="E129" i="2"/>
  <c r="B129" i="2"/>
  <c r="L129" i="2"/>
  <c r="F129" i="2"/>
  <c r="D129" i="2"/>
  <c r="J129" i="2"/>
  <c r="H129" i="2"/>
  <c r="L86" i="2"/>
  <c r="K86" i="2"/>
  <c r="B86" i="2"/>
  <c r="I86" i="2"/>
  <c r="G86" i="2"/>
  <c r="H86" i="2" s="1"/>
  <c r="C86" i="2"/>
  <c r="A86" i="2"/>
  <c r="D86" i="2"/>
  <c r="E86" i="2"/>
  <c r="F86" i="2"/>
  <c r="J86" i="2"/>
  <c r="G71" i="2"/>
  <c r="H71" i="2" s="1"/>
  <c r="K71" i="2"/>
  <c r="A71" i="2"/>
  <c r="I71" i="2"/>
  <c r="D71" i="2"/>
  <c r="L71" i="2"/>
  <c r="E71" i="2"/>
  <c r="J71" i="2"/>
  <c r="F71" i="2"/>
  <c r="C71" i="2"/>
  <c r="B71" i="2"/>
  <c r="A53" i="2"/>
  <c r="F53" i="2"/>
  <c r="J53" i="2"/>
  <c r="K53" i="2"/>
  <c r="I53" i="2"/>
  <c r="L53" i="2"/>
  <c r="B53" i="2"/>
  <c r="C53" i="2"/>
  <c r="E53" i="2"/>
  <c r="G53" i="2"/>
  <c r="H53" i="2" s="1"/>
  <c r="D53" i="2"/>
  <c r="L20" i="2"/>
  <c r="A20" i="2"/>
  <c r="K20" i="2"/>
  <c r="I20" i="2"/>
  <c r="E20" i="2"/>
  <c r="J20" i="2"/>
  <c r="G20" i="2"/>
  <c r="H20" i="2" s="1"/>
  <c r="D20" i="2"/>
  <c r="C20" i="2"/>
  <c r="F20" i="2"/>
  <c r="B20" i="2"/>
  <c r="K42" i="2"/>
  <c r="J42" i="2"/>
  <c r="I42" i="2"/>
  <c r="G42" i="2"/>
  <c r="H42" i="2" s="1"/>
  <c r="E42" i="2"/>
  <c r="C42" i="2"/>
  <c r="D42" i="2"/>
  <c r="F42" i="2"/>
  <c r="B42" i="2"/>
  <c r="A42" i="2"/>
  <c r="L42" i="2"/>
  <c r="E58" i="2"/>
  <c r="D58" i="2"/>
  <c r="J58" i="2"/>
  <c r="L58" i="2"/>
  <c r="G58" i="2"/>
  <c r="H58" i="2" s="1"/>
  <c r="K58" i="2"/>
  <c r="A58" i="2"/>
  <c r="F58" i="2"/>
  <c r="B58" i="2"/>
  <c r="I58" i="2"/>
  <c r="C58" i="2"/>
  <c r="E46" i="2"/>
  <c r="I46" i="2"/>
  <c r="K46" i="2"/>
  <c r="D46" i="2"/>
  <c r="C46" i="2"/>
  <c r="B46" i="2"/>
  <c r="G46" i="2"/>
  <c r="H46" i="2" s="1"/>
  <c r="J46" i="2"/>
  <c r="F46" i="2"/>
  <c r="A46" i="2"/>
  <c r="L46" i="2"/>
  <c r="B363" i="2"/>
  <c r="I363" i="2"/>
  <c r="K363" i="2"/>
  <c r="C363" i="2"/>
  <c r="A363" i="2"/>
  <c r="E363" i="2"/>
  <c r="L363" i="2"/>
  <c r="H363" i="2"/>
  <c r="D363" i="2"/>
  <c r="G363" i="2"/>
  <c r="J363" i="2"/>
  <c r="F363" i="2"/>
  <c r="C84" i="2"/>
  <c r="L84" i="2"/>
  <c r="A84" i="2"/>
  <c r="F84" i="2"/>
  <c r="B84" i="2"/>
  <c r="J84" i="2"/>
  <c r="I84" i="2"/>
  <c r="D84" i="2"/>
  <c r="E84" i="2"/>
  <c r="G84" i="2"/>
  <c r="H84" i="2" s="1"/>
  <c r="K84" i="2"/>
  <c r="H302" i="2"/>
  <c r="E302" i="2"/>
  <c r="C302" i="2"/>
  <c r="L302" i="2"/>
  <c r="G302" i="2"/>
  <c r="B302" i="2"/>
  <c r="I302" i="2"/>
  <c r="A302" i="2"/>
  <c r="J302" i="2"/>
  <c r="F302" i="2"/>
  <c r="K302" i="2"/>
  <c r="D302" i="2"/>
  <c r="F361" i="2"/>
  <c r="I361" i="2"/>
  <c r="L361" i="2"/>
  <c r="E361" i="2"/>
  <c r="H361" i="2"/>
  <c r="K361" i="2"/>
  <c r="A361" i="2"/>
  <c r="B361" i="2"/>
  <c r="G361" i="2"/>
  <c r="J361" i="2"/>
  <c r="D361" i="2"/>
  <c r="C361" i="2"/>
  <c r="C310" i="2"/>
  <c r="L310" i="2"/>
  <c r="G310" i="2"/>
  <c r="K310" i="2"/>
  <c r="B310" i="2"/>
  <c r="E310" i="2"/>
  <c r="D310" i="2"/>
  <c r="J310" i="2"/>
  <c r="H310" i="2"/>
  <c r="F310" i="2"/>
  <c r="I310" i="2"/>
  <c r="A310" i="2"/>
  <c r="L516" i="2"/>
  <c r="K516" i="2"/>
  <c r="F516" i="2"/>
  <c r="B516" i="2"/>
  <c r="C516" i="2"/>
  <c r="H516" i="2"/>
  <c r="G516" i="2"/>
  <c r="I516" i="2"/>
  <c r="J516" i="2"/>
  <c r="D516" i="2"/>
  <c r="A516" i="2"/>
  <c r="E516" i="2"/>
  <c r="F519" i="2"/>
  <c r="D519" i="2"/>
  <c r="G519" i="2"/>
  <c r="H519" i="2"/>
  <c r="B519" i="2"/>
  <c r="A519" i="2"/>
  <c r="I519" i="2"/>
  <c r="J519" i="2"/>
  <c r="L519" i="2"/>
  <c r="K519" i="2"/>
  <c r="E519" i="2"/>
  <c r="C519" i="2"/>
  <c r="K412" i="2"/>
  <c r="G412" i="2"/>
  <c r="A412" i="2"/>
  <c r="E412" i="2"/>
  <c r="F412" i="2"/>
  <c r="B412" i="2"/>
  <c r="I412" i="2"/>
  <c r="H412" i="2"/>
  <c r="D412" i="2"/>
  <c r="L412" i="2"/>
  <c r="C412" i="2"/>
  <c r="J412" i="2"/>
  <c r="G331" i="2"/>
  <c r="E331" i="2"/>
  <c r="H331" i="2"/>
  <c r="A331" i="2"/>
  <c r="J331" i="2"/>
  <c r="I331" i="2"/>
  <c r="L331" i="2"/>
  <c r="B331" i="2"/>
  <c r="C331" i="2"/>
  <c r="D331" i="2"/>
  <c r="F331" i="2"/>
  <c r="K331" i="2"/>
  <c r="I460" i="2"/>
  <c r="E460" i="2"/>
  <c r="C460" i="2"/>
  <c r="D460" i="2"/>
  <c r="K460" i="2"/>
  <c r="A460" i="2"/>
  <c r="J460" i="2"/>
  <c r="H460" i="2"/>
  <c r="B460" i="2"/>
  <c r="F460" i="2"/>
  <c r="L460" i="2"/>
  <c r="G460" i="2"/>
  <c r="I478" i="2"/>
  <c r="B478" i="2"/>
  <c r="G478" i="2"/>
  <c r="F478" i="2"/>
  <c r="H478" i="2"/>
  <c r="K478" i="2"/>
  <c r="D478" i="2"/>
  <c r="E478" i="2"/>
  <c r="C478" i="2"/>
  <c r="A478" i="2"/>
  <c r="L478" i="2"/>
  <c r="J478" i="2"/>
  <c r="J437" i="2"/>
  <c r="B437" i="2"/>
  <c r="C437" i="2"/>
  <c r="K437" i="2"/>
  <c r="I437" i="2"/>
  <c r="G437" i="2"/>
  <c r="D437" i="2"/>
  <c r="H437" i="2"/>
  <c r="F437" i="2"/>
  <c r="L437" i="2"/>
  <c r="A437" i="2"/>
  <c r="E437" i="2"/>
  <c r="I73" i="2"/>
  <c r="B73" i="2"/>
  <c r="K73" i="2"/>
  <c r="L73" i="2"/>
  <c r="A73" i="2"/>
  <c r="D73" i="2"/>
  <c r="E73" i="2"/>
  <c r="G73" i="2"/>
  <c r="H73" i="2" s="1"/>
  <c r="J73" i="2"/>
  <c r="F73" i="2"/>
  <c r="C73" i="2"/>
  <c r="A76" i="2"/>
  <c r="I76" i="2"/>
  <c r="E76" i="2"/>
  <c r="C76" i="2"/>
  <c r="G76" i="2"/>
  <c r="H76" i="2" s="1"/>
  <c r="K76" i="2"/>
  <c r="D76" i="2"/>
  <c r="F76" i="2"/>
  <c r="L76" i="2"/>
  <c r="J76" i="2"/>
  <c r="B76" i="2"/>
  <c r="L43" i="2"/>
  <c r="A43" i="2"/>
  <c r="I43" i="2"/>
  <c r="G43" i="2"/>
  <c r="H43" i="2" s="1"/>
  <c r="F43" i="2"/>
  <c r="E43" i="2"/>
  <c r="D43" i="2"/>
  <c r="C43" i="2"/>
  <c r="B43" i="2"/>
  <c r="K43" i="2"/>
  <c r="J43" i="2"/>
  <c r="B35" i="2"/>
  <c r="I35" i="2"/>
  <c r="L35" i="2"/>
  <c r="J35" i="2"/>
  <c r="F35" i="2"/>
  <c r="G35" i="2"/>
  <c r="H35" i="2" s="1"/>
  <c r="E35" i="2"/>
  <c r="A35" i="2"/>
  <c r="C35" i="2"/>
  <c r="K35" i="2"/>
  <c r="D35" i="2"/>
  <c r="F48" i="2"/>
  <c r="J48" i="2"/>
  <c r="L48" i="2"/>
  <c r="I48" i="2"/>
  <c r="D48" i="2"/>
  <c r="G48" i="2"/>
  <c r="H48" i="2" s="1"/>
  <c r="K48" i="2"/>
  <c r="E48" i="2"/>
  <c r="C48" i="2"/>
  <c r="B48" i="2"/>
  <c r="A48" i="2"/>
  <c r="E23" i="2"/>
  <c r="C23" i="2"/>
  <c r="K23" i="2"/>
  <c r="D23" i="2"/>
  <c r="B23" i="2"/>
  <c r="I23" i="2"/>
  <c r="A23" i="2"/>
  <c r="L23" i="2"/>
  <c r="J23" i="2"/>
  <c r="G23" i="2"/>
  <c r="H23" i="2" s="1"/>
  <c r="F23" i="2"/>
  <c r="K503" i="2"/>
  <c r="G503" i="2"/>
  <c r="C503" i="2"/>
  <c r="L503" i="2"/>
  <c r="J503" i="2"/>
  <c r="B503" i="2"/>
  <c r="F503" i="2"/>
  <c r="H503" i="2"/>
  <c r="E503" i="2"/>
  <c r="A503" i="2"/>
  <c r="D503" i="2"/>
  <c r="I503" i="2"/>
  <c r="L484" i="2"/>
  <c r="G484" i="2"/>
  <c r="J484" i="2"/>
  <c r="I484" i="2"/>
  <c r="H484" i="2"/>
  <c r="E484" i="2"/>
  <c r="C484" i="2"/>
  <c r="A484" i="2"/>
  <c r="B484" i="2"/>
  <c r="F484" i="2"/>
  <c r="K484" i="2"/>
  <c r="D484" i="2"/>
  <c r="G177" i="2"/>
  <c r="L177" i="2"/>
  <c r="F177" i="2"/>
  <c r="H177" i="2"/>
  <c r="I177" i="2"/>
  <c r="K177" i="2"/>
  <c r="B177" i="2"/>
  <c r="D177" i="2"/>
  <c r="A177" i="2"/>
  <c r="J177" i="2"/>
  <c r="C177" i="2"/>
  <c r="E177" i="2"/>
  <c r="J291" i="2"/>
  <c r="G291" i="2"/>
  <c r="C291" i="2"/>
  <c r="E291" i="2"/>
  <c r="B291" i="2"/>
  <c r="D291" i="2"/>
  <c r="A291" i="2"/>
  <c r="I291" i="2"/>
  <c r="H291" i="2"/>
  <c r="K291" i="2"/>
  <c r="L291" i="2"/>
  <c r="F291" i="2"/>
  <c r="L270" i="2"/>
  <c r="B270" i="2"/>
  <c r="K270" i="2"/>
  <c r="G270" i="2"/>
  <c r="A270" i="2"/>
  <c r="D270" i="2"/>
  <c r="C270" i="2"/>
  <c r="H270" i="2"/>
  <c r="J270" i="2"/>
  <c r="E270" i="2"/>
  <c r="I270" i="2"/>
  <c r="F270" i="2"/>
  <c r="C146" i="2"/>
  <c r="J146" i="2"/>
  <c r="I146" i="2"/>
  <c r="A146" i="2"/>
  <c r="E146" i="2"/>
  <c r="F146" i="2"/>
  <c r="D146" i="2"/>
  <c r="K146" i="2"/>
  <c r="G146" i="2"/>
  <c r="L146" i="2"/>
  <c r="B146" i="2"/>
  <c r="H146" i="2"/>
  <c r="J347" i="2"/>
  <c r="B347" i="2"/>
  <c r="H347" i="2"/>
  <c r="D347" i="2"/>
  <c r="E347" i="2"/>
  <c r="K347" i="2"/>
  <c r="I347" i="2"/>
  <c r="L347" i="2"/>
  <c r="F347" i="2"/>
  <c r="A347" i="2"/>
  <c r="G347" i="2"/>
  <c r="C347" i="2"/>
  <c r="D358" i="2"/>
  <c r="F358" i="2"/>
  <c r="E358" i="2"/>
  <c r="B358" i="2"/>
  <c r="L358" i="2"/>
  <c r="A358" i="2"/>
  <c r="G358" i="2"/>
  <c r="I358" i="2"/>
  <c r="H358" i="2"/>
  <c r="C358" i="2"/>
  <c r="J358" i="2"/>
  <c r="K358" i="2"/>
  <c r="G360" i="2"/>
  <c r="B360" i="2"/>
  <c r="A360" i="2"/>
  <c r="E360" i="2"/>
  <c r="J360" i="2"/>
  <c r="D360" i="2"/>
  <c r="H360" i="2"/>
  <c r="K360" i="2"/>
  <c r="C360" i="2"/>
  <c r="L360" i="2"/>
  <c r="F360" i="2"/>
  <c r="I360" i="2"/>
  <c r="E337" i="2"/>
  <c r="I337" i="2"/>
  <c r="C337" i="2"/>
  <c r="D337" i="2"/>
  <c r="L337" i="2"/>
  <c r="H337" i="2"/>
  <c r="F337" i="2"/>
  <c r="A337" i="2"/>
  <c r="J337" i="2"/>
  <c r="K337" i="2"/>
  <c r="G337" i="2"/>
  <c r="B337" i="2"/>
  <c r="C487" i="2"/>
  <c r="K487" i="2"/>
  <c r="H487" i="2"/>
  <c r="J487" i="2"/>
  <c r="L487" i="2"/>
  <c r="A487" i="2"/>
  <c r="E487" i="2"/>
  <c r="B487" i="2"/>
  <c r="F487" i="2"/>
  <c r="G487" i="2"/>
  <c r="I487" i="2"/>
  <c r="D487" i="2"/>
  <c r="I80" i="2"/>
  <c r="F80" i="2"/>
  <c r="J80" i="2"/>
  <c r="A80" i="2"/>
  <c r="G80" i="2"/>
  <c r="H80" i="2" s="1"/>
  <c r="B80" i="2"/>
  <c r="K80" i="2"/>
  <c r="L80" i="2"/>
  <c r="C80" i="2"/>
  <c r="E80" i="2"/>
  <c r="D80" i="2"/>
  <c r="G63" i="2"/>
  <c r="H63" i="2" s="1"/>
  <c r="D63" i="2"/>
  <c r="E63" i="2"/>
  <c r="F63" i="2"/>
  <c r="J63" i="2"/>
  <c r="B63" i="2"/>
  <c r="K63" i="2"/>
  <c r="L63" i="2"/>
  <c r="I63" i="2"/>
  <c r="C63" i="2"/>
  <c r="A63" i="2"/>
  <c r="A64" i="2"/>
  <c r="G64" i="2"/>
  <c r="H64" i="2" s="1"/>
  <c r="L64" i="2"/>
  <c r="K64" i="2"/>
  <c r="B64" i="2"/>
  <c r="I64" i="2"/>
  <c r="J64" i="2"/>
  <c r="F64" i="2"/>
  <c r="D64" i="2"/>
  <c r="C64" i="2"/>
  <c r="E64" i="2"/>
  <c r="D36" i="2"/>
  <c r="G36" i="2"/>
  <c r="H36" i="2" s="1"/>
  <c r="B36" i="2"/>
  <c r="E36" i="2"/>
  <c r="K36" i="2"/>
  <c r="A36" i="2"/>
  <c r="L36" i="2"/>
  <c r="F36" i="2"/>
  <c r="J36" i="2"/>
  <c r="I36" i="2"/>
  <c r="C36" i="2"/>
  <c r="F33" i="2"/>
  <c r="E33" i="2"/>
  <c r="L33" i="2"/>
  <c r="D33" i="2"/>
  <c r="J33" i="2"/>
  <c r="B33" i="2"/>
  <c r="A33" i="2"/>
  <c r="I33" i="2"/>
  <c r="G33" i="2"/>
  <c r="H33" i="2" s="1"/>
  <c r="C33" i="2"/>
  <c r="K33" i="2"/>
  <c r="E56" i="2"/>
  <c r="F56" i="2"/>
  <c r="K56" i="2"/>
  <c r="L56" i="2"/>
  <c r="G56" i="2"/>
  <c r="H56" i="2" s="1"/>
  <c r="B56" i="2"/>
  <c r="D56" i="2"/>
  <c r="J56" i="2"/>
  <c r="I56" i="2"/>
  <c r="A56" i="2"/>
  <c r="C56" i="2"/>
  <c r="E293" i="2"/>
  <c r="B293" i="2"/>
  <c r="G293" i="2"/>
  <c r="L293" i="2"/>
  <c r="C293" i="2"/>
  <c r="J293" i="2"/>
  <c r="I293" i="2"/>
  <c r="F293" i="2"/>
  <c r="A293" i="2"/>
  <c r="K293" i="2"/>
  <c r="D293" i="2"/>
  <c r="H293" i="2"/>
  <c r="L459" i="2"/>
  <c r="E459" i="2"/>
  <c r="K459" i="2"/>
  <c r="F459" i="2"/>
  <c r="H459" i="2"/>
  <c r="C459" i="2"/>
  <c r="D459" i="2"/>
  <c r="J459" i="2"/>
  <c r="I459" i="2"/>
  <c r="G459" i="2"/>
  <c r="A459" i="2"/>
  <c r="B459" i="2"/>
  <c r="D126" i="2"/>
  <c r="G126" i="2"/>
  <c r="A126" i="2"/>
  <c r="C126" i="2"/>
  <c r="L126" i="2"/>
  <c r="I126" i="2"/>
  <c r="H126" i="2"/>
  <c r="B126" i="2"/>
  <c r="K126" i="2"/>
  <c r="J126" i="2"/>
  <c r="E126" i="2"/>
  <c r="F126" i="2"/>
  <c r="D128" i="2"/>
  <c r="H128" i="2"/>
  <c r="L128" i="2"/>
  <c r="G128" i="2"/>
  <c r="K128" i="2"/>
  <c r="E128" i="2"/>
  <c r="C128" i="2"/>
  <c r="J128" i="2"/>
  <c r="B128" i="2"/>
  <c r="I128" i="2"/>
  <c r="A128" i="2"/>
  <c r="F128" i="2"/>
  <c r="F333" i="2"/>
  <c r="L333" i="2"/>
  <c r="B333" i="2"/>
  <c r="C333" i="2"/>
  <c r="K333" i="2"/>
  <c r="D333" i="2"/>
  <c r="G333" i="2"/>
  <c r="J333" i="2"/>
  <c r="E333" i="2"/>
  <c r="H333" i="2"/>
  <c r="I333" i="2"/>
  <c r="A333" i="2"/>
  <c r="H282" i="2"/>
  <c r="B282" i="2"/>
  <c r="F282" i="2"/>
  <c r="I282" i="2"/>
  <c r="E282" i="2"/>
  <c r="G282" i="2"/>
  <c r="D282" i="2"/>
  <c r="L282" i="2"/>
  <c r="J282" i="2"/>
  <c r="C282" i="2"/>
  <c r="A282" i="2"/>
  <c r="K282" i="2"/>
  <c r="E280" i="2"/>
  <c r="A280" i="2"/>
  <c r="B280" i="2"/>
  <c r="H280" i="2"/>
  <c r="G280" i="2"/>
  <c r="K280" i="2"/>
  <c r="I280" i="2"/>
  <c r="D280" i="2"/>
  <c r="F280" i="2"/>
  <c r="L280" i="2"/>
  <c r="J280" i="2"/>
  <c r="C280" i="2"/>
  <c r="D267" i="2"/>
  <c r="L267" i="2"/>
  <c r="G267" i="2"/>
  <c r="H267" i="2"/>
  <c r="F267" i="2"/>
  <c r="J267" i="2"/>
  <c r="C267" i="2"/>
  <c r="A267" i="2"/>
  <c r="K267" i="2"/>
  <c r="I267" i="2"/>
  <c r="E267" i="2"/>
  <c r="B267" i="2"/>
  <c r="K320" i="2"/>
  <c r="F320" i="2"/>
  <c r="G320" i="2"/>
  <c r="I320" i="2"/>
  <c r="H320" i="2"/>
  <c r="L320" i="2"/>
  <c r="C320" i="2"/>
  <c r="E320" i="2"/>
  <c r="B320" i="2"/>
  <c r="D320" i="2"/>
  <c r="A320" i="2"/>
  <c r="J320" i="2"/>
  <c r="I85" i="2"/>
  <c r="E85" i="2"/>
  <c r="B85" i="2"/>
  <c r="A85" i="2"/>
  <c r="J85" i="2"/>
  <c r="D85" i="2"/>
  <c r="L85" i="2"/>
  <c r="K85" i="2"/>
  <c r="F85" i="2"/>
  <c r="C85" i="2"/>
  <c r="G85" i="2"/>
  <c r="H85" i="2" s="1"/>
  <c r="E75" i="2"/>
  <c r="K75" i="2"/>
  <c r="J75" i="2"/>
  <c r="B75" i="2"/>
  <c r="L75" i="2"/>
  <c r="F75" i="2"/>
  <c r="A75" i="2"/>
  <c r="I75" i="2"/>
  <c r="C75" i="2"/>
  <c r="D75" i="2"/>
  <c r="G75" i="2"/>
  <c r="H75" i="2" s="1"/>
  <c r="D14" i="2"/>
  <c r="L14" i="2"/>
  <c r="I14" i="2"/>
  <c r="K14" i="2"/>
  <c r="J14" i="2"/>
  <c r="G14" i="2"/>
  <c r="H14" i="2" s="1"/>
  <c r="F14" i="2"/>
  <c r="E14" i="2"/>
  <c r="A14" i="2"/>
  <c r="C14" i="2"/>
  <c r="B14" i="2"/>
  <c r="E65" i="2"/>
  <c r="G65" i="2"/>
  <c r="H65" i="2" s="1"/>
  <c r="D65" i="2"/>
  <c r="C65" i="2"/>
  <c r="J65" i="2"/>
  <c r="F65" i="2"/>
  <c r="B65" i="2"/>
  <c r="I65" i="2"/>
  <c r="A65" i="2"/>
  <c r="K65" i="2"/>
  <c r="L65" i="2"/>
  <c r="L17" i="2"/>
  <c r="C17" i="2"/>
  <c r="A17" i="2"/>
  <c r="I17" i="2"/>
  <c r="F17" i="2"/>
  <c r="K17" i="2"/>
  <c r="G17" i="2"/>
  <c r="H17" i="2" s="1"/>
  <c r="J17" i="2"/>
  <c r="D17" i="2"/>
  <c r="B17" i="2"/>
  <c r="E17" i="2"/>
  <c r="E57" i="2"/>
  <c r="F57" i="2"/>
  <c r="L57" i="2"/>
  <c r="B57" i="2"/>
  <c r="D57" i="2"/>
  <c r="J57" i="2"/>
  <c r="C57" i="2"/>
  <c r="I57" i="2"/>
  <c r="K57" i="2"/>
  <c r="G57" i="2"/>
  <c r="H57" i="2" s="1"/>
  <c r="A57" i="2"/>
  <c r="L28" i="2"/>
  <c r="C28" i="2"/>
  <c r="E28" i="2"/>
  <c r="K28" i="2"/>
  <c r="J28" i="2"/>
  <c r="I28" i="2"/>
  <c r="D28" i="2"/>
  <c r="G28" i="2"/>
  <c r="H28" i="2" s="1"/>
  <c r="F28" i="2"/>
  <c r="B28" i="2"/>
  <c r="A28" i="2"/>
  <c r="A506" i="2"/>
  <c r="J506" i="2"/>
  <c r="D506" i="2"/>
  <c r="F506" i="2"/>
  <c r="I506" i="2"/>
  <c r="H506" i="2"/>
  <c r="E506" i="2"/>
  <c r="K506" i="2"/>
  <c r="C506" i="2"/>
  <c r="L506" i="2"/>
  <c r="B506" i="2"/>
  <c r="G506" i="2"/>
  <c r="L4" i="2" l="1"/>
</calcChain>
</file>

<file path=xl/sharedStrings.xml><?xml version="1.0" encoding="utf-8"?>
<sst xmlns="http://schemas.openxmlformats.org/spreadsheetml/2006/main" count="6119" uniqueCount="888">
  <si>
    <t>Cafébemanning 2026–2027 – tidslinje</t>
  </si>
  <si>
    <t>Den här arbetsboken använder inga makron och undviker moderna spillformler. Den är byggd för Excel 2016 eller senare.</t>
  </si>
  <si>
    <t>Vanlig användning</t>
  </si>
  <si>
    <t>1</t>
  </si>
  <si>
    <t>Gå till BEMANNINGSPLAN och filtrera på datum och hall.</t>
  </si>
  <si>
    <t>2</t>
  </si>
  <si>
    <t>Välj Vanligt café eller Minicafé på dagens första rad. Behöver en kanttidsruta inte bemannas väljer du Nej under Café öppet?.</t>
  </si>
  <si>
    <t>3</t>
  </si>
  <si>
    <t>Fyll Caféansvarigt lag. Alla matcher utanför Solnahallen visas, även F19 och vuxenlag. Café öppet? och lagtilldelningen styr cafépassen.</t>
  </si>
  <si>
    <t>4</t>
  </si>
  <si>
    <t>LAGÖVERSIKT visar hur cafépass och timmar fördelas mellan lagen.</t>
  </si>
  <si>
    <t>5</t>
  </si>
  <si>
    <t>CAFÉPASS visar hela schemat. Välj vid behov ett lag, ett datum eller båda.</t>
  </si>
  <si>
    <t>6</t>
  </si>
  <si>
    <t>MATCHER visar underlaget. Visa i plan? är Ja utanför Solnahallen. Tidsrader finns? kontrollerar att matchtiden ryms i BEMANNINGSPLAN.</t>
  </si>
  <si>
    <t>När en ny Profixio-fil kommer</t>
  </si>
  <si>
    <t>Spara en kopia av masterfilen.</t>
  </si>
  <si>
    <t>Ersätt dataraderna på IMPORT PROFIXIO med den nya exporten.</t>
  </si>
  <si>
    <t>Öppna UPPDATERINGSKONTROLL. Där visas nya klasser, nya matcher, flyttade matcher och nya matchdagar.</t>
  </si>
  <si>
    <t>Ändrad eller ny match inom en befintlig dag visas automatiskt i tidslinjen.</t>
  </si>
  <si>
    <t>NY MATCHDAG betyder att BEMANNINGSPLAN saknar halvtimmesrader för datumet. Skapa då en ny masterversion från exporten.</t>
  </si>
  <si>
    <t>Ett framtida makro kan automatisera just detta, men behövs inte för vanlig planering eller mindre ändringar.</t>
  </si>
  <si>
    <t>Masterfil och publicerad fil</t>
  </si>
  <si>
    <t>Masterfilen innehåller planering, regler, klassning och uppdateringskontroll. När bemanningen är klar kan en enklare publicerad fil skapas med CAFÉPASS, MATCHER och gärna IMPORT PROFIXIO som underlag. Planeringsunderlaget är inte bladskyddat så att upplägget kan provas.</t>
  </si>
  <si>
    <t>Cafépass</t>
  </si>
  <si>
    <t>Alla pass visas från början. Välj vid behov ett lag, ett datum eller båda. Vid stängning är sluttiden ungefärlig; håll öppet för enklare köp tills sista matchen är slut.</t>
  </si>
  <si>
    <t>Visa lag:</t>
  </si>
  <si>
    <t>Alla lag</t>
  </si>
  <si>
    <t>Visa datum:</t>
  </si>
  <si>
    <t>Alla datum</t>
  </si>
  <si>
    <t>Antal pass</t>
  </si>
  <si>
    <t>Timmar</t>
  </si>
  <si>
    <t>Datum</t>
  </si>
  <si>
    <t>Dag</t>
  </si>
  <si>
    <t>Hall</t>
  </si>
  <si>
    <t>Från</t>
  </si>
  <si>
    <t>Till</t>
  </si>
  <si>
    <t>Ansvarigt
lag</t>
  </si>
  <si>
    <t>Cafétyp</t>
  </si>
  <si>
    <t>Handla för dagen</t>
  </si>
  <si>
    <t>Öppna</t>
  </si>
  <si>
    <t>Städa, inventera och stäng</t>
  </si>
  <si>
    <t>Kommentar</t>
  </si>
  <si>
    <t>Matcher – aktuellt underlag</t>
  </si>
  <si>
    <t>Sorterat på datum, hall och tid. Vuxenmatcher visas i planeringen bara när en inkluderad barn- eller ungdomsmatch spelas i samma hall samma dag. De är informationsrader och är inte cafégrundande.</t>
  </si>
  <si>
    <t>Matchnr</t>
  </si>
  <si>
    <t>Tid</t>
  </si>
  <si>
    <t>Profixio-klass</t>
  </si>
  <si>
    <t>Lag</t>
  </si>
  <si>
    <t>Typ</t>
  </si>
  <si>
    <t>Hemma</t>
  </si>
  <si>
    <t>Borta</t>
  </si>
  <si>
    <t>AIK-lag i matchen</t>
  </si>
  <si>
    <t>Visa i plan?</t>
  </si>
  <si>
    <t>Matchminuter</t>
  </si>
  <si>
    <t>Beräknat slut</t>
  </si>
  <si>
    <t>Tidsrader finns?</t>
  </si>
  <si>
    <t>Bemanningsplan – en rad per tidsruta</t>
  </si>
  <si>
    <t>Filtrera på datum och hall. Välj cafétyp en gång på dagens första rad. Vuxenmatcher visas som information men styr inte caféets tider. Ändra Café öppet? vid behov och fyll sedan Caféansvarigt lag.</t>
  </si>
  <si>
    <t>Matcher under tidsrutan</t>
  </si>
  <si>
    <t>AIK-lag under
tiden</t>
  </si>
  <si>
    <t>AIK-lag under dagen</t>
  </si>
  <si>
    <t>Café
öppet?</t>
  </si>
  <si>
    <t>Caféansvarigt
lag</t>
  </si>
  <si>
    <t>Cafétyp
(dag)</t>
  </si>
  <si>
    <t>Rek. pass</t>
  </si>
  <si>
    <t>Kontroll</t>
  </si>
  <si>
    <t>Dagsnyckel</t>
  </si>
  <si>
    <t>Café öppnar</t>
  </si>
  <si>
    <t>Café stänger</t>
  </si>
  <si>
    <t>Matchrad 1</t>
  </si>
  <si>
    <t>Matchrad 2</t>
  </si>
  <si>
    <t>Matchrad 3</t>
  </si>
  <si>
    <t>Nytt pass</t>
  </si>
  <si>
    <t>Passnr</t>
  </si>
  <si>
    <t>Passnyckel</t>
  </si>
  <si>
    <t>Pass slutar</t>
  </si>
  <si>
    <t>Öppningsrad</t>
  </si>
  <si>
    <t>Stängningsrad</t>
  </si>
  <si>
    <t>Antal lag</t>
  </si>
  <si>
    <t>Passindex</t>
  </si>
  <si>
    <t>Slutnyckel</t>
  </si>
  <si>
    <t>Aktiv cafétyp</t>
  </si>
  <si>
    <t>Passtimmar</t>
  </si>
  <si>
    <t>Matchrad 4</t>
  </si>
  <si>
    <t>lördag</t>
  </si>
  <si>
    <t>Ulriksdalshallen</t>
  </si>
  <si>
    <t>Nej</t>
  </si>
  <si>
    <t>Vanligt café</t>
  </si>
  <si>
    <t>2026-09-19 | Ulriksdalshallen</t>
  </si>
  <si>
    <t>Ja</t>
  </si>
  <si>
    <t>F18</t>
  </si>
  <si>
    <t>söndag</t>
  </si>
  <si>
    <t>2026-09-20 | Ulriksdalshallen</t>
  </si>
  <si>
    <t>Råsta Park</t>
  </si>
  <si>
    <t>F11</t>
  </si>
  <si>
    <t>2026-09-26 | Råsta Park</t>
  </si>
  <si>
    <t>F13</t>
  </si>
  <si>
    <t>Minicafé</t>
  </si>
  <si>
    <t>2026-10-03 | Råsta Park</t>
  </si>
  <si>
    <t>P16</t>
  </si>
  <si>
    <t>F12</t>
  </si>
  <si>
    <t>2026-10-03 | Ulriksdalshallen</t>
  </si>
  <si>
    <t>F14</t>
  </si>
  <si>
    <t>tisdag</t>
  </si>
  <si>
    <t>F19</t>
  </si>
  <si>
    <t>2026-10-06 | Råsta Park</t>
  </si>
  <si>
    <t>2026-10-10 | Råsta Park</t>
  </si>
  <si>
    <t>2026-10-10 | Ulriksdalshallen</t>
  </si>
  <si>
    <t>2026-10-17 | Råsta Park</t>
  </si>
  <si>
    <t>Tallbackaskolan</t>
  </si>
  <si>
    <t>P10</t>
  </si>
  <si>
    <t>2026-10-17 | Tallbackaskolan</t>
  </si>
  <si>
    <t>2026-10-17 | Ulriksdalshallen</t>
  </si>
  <si>
    <t>2026-10-20 | Tallbackaskolan</t>
  </si>
  <si>
    <t>2026-10-24 | Råsta Park</t>
  </si>
  <si>
    <t>2026-11-03 | Råsta Park</t>
  </si>
  <si>
    <t>P12</t>
  </si>
  <si>
    <t>2026-11-07 | Tallbackaskolan</t>
  </si>
  <si>
    <t>2026-11-07 | Ulriksdalshallen</t>
  </si>
  <si>
    <t>2026-11-10 | Tallbackaskolan</t>
  </si>
  <si>
    <t>2026-11-14 | Råsta Park</t>
  </si>
  <si>
    <t>2026-11-14 | Tallbackaskolan</t>
  </si>
  <si>
    <t>2026-11-14 | Ulriksdalshallen</t>
  </si>
  <si>
    <t>2026-11-17 | Råsta Park</t>
  </si>
  <si>
    <t>2026-11-21 | Råsta Park</t>
  </si>
  <si>
    <t>2026-11-21 | Tallbackaskolan</t>
  </si>
  <si>
    <t>2026-11-21 | Ulriksdalshallen</t>
  </si>
  <si>
    <t>F16</t>
  </si>
  <si>
    <t>2026-11-28 | Råsta Park</t>
  </si>
  <si>
    <t>2026-11-28 | Tallbackaskolan</t>
  </si>
  <si>
    <t>2026-11-28 | Ulriksdalshallen</t>
  </si>
  <si>
    <t>2026-12-01 | Råsta Park</t>
  </si>
  <si>
    <t>2026-12-05 | Råsta Park</t>
  </si>
  <si>
    <t>2026-12-05 | Ulriksdalshallen</t>
  </si>
  <si>
    <t>F9</t>
  </si>
  <si>
    <t>2026-12-12 | Tallbackaskolan</t>
  </si>
  <si>
    <t>2027-01-09 | Råsta Park</t>
  </si>
  <si>
    <t>2027-01-09 | Ulriksdalshallen</t>
  </si>
  <si>
    <t>2027-01-12 | Råsta Park</t>
  </si>
  <si>
    <t>2027-01-16 | Ulriksdalshallen</t>
  </si>
  <si>
    <t>onsdag</t>
  </si>
  <si>
    <t>2027-01-20 | Ulriksdalshallen</t>
  </si>
  <si>
    <t>2027-01-23 | Råsta Park</t>
  </si>
  <si>
    <t>2027-01-23 | Ulriksdalshallen</t>
  </si>
  <si>
    <t>2027-01-26 | Råsta Park</t>
  </si>
  <si>
    <t>2027-01-26 | Tallbackaskolan</t>
  </si>
  <si>
    <t>2027-01-30 | Råsta Park</t>
  </si>
  <si>
    <t>U8</t>
  </si>
  <si>
    <t>2027-01-30 | Ulriksdalshallen</t>
  </si>
  <si>
    <t>P9</t>
  </si>
  <si>
    <t>2027-02-06 | Råsta Park</t>
  </si>
  <si>
    <t>2027-02-06 | Tallbackaskolan</t>
  </si>
  <si>
    <t>2027-02-13 | Råsta Park</t>
  </si>
  <si>
    <t>2027-02-13 | Ulriksdalshallen</t>
  </si>
  <si>
    <t>2027-02-16 | Råsta Park</t>
  </si>
  <si>
    <t>2027-02-20 | Tallbackaskolan</t>
  </si>
  <si>
    <t>2027-02-27 | Råsta Park</t>
  </si>
  <si>
    <t>2027-03-09 | Tallbackaskolan</t>
  </si>
  <si>
    <t>2027-03-13 | Råsta Park</t>
  </si>
  <si>
    <t>2027-03-13 | Tallbackaskolan</t>
  </si>
  <si>
    <t>2027-03-13 | Ulriksdalshallen</t>
  </si>
  <si>
    <t>2027-03-20 | Råsta Park</t>
  </si>
  <si>
    <t>2027-03-20 | Tallbackaskolan</t>
  </si>
  <si>
    <t>2027-03-20 | Ulriksdalshallen</t>
  </si>
  <si>
    <t>2027-04-13 | Råsta Park</t>
  </si>
  <si>
    <t>2027-04-17 | Råsta Park</t>
  </si>
  <si>
    <t>2027-04-17 | Tallbackaskolan</t>
  </si>
  <si>
    <t>Lagöversikt – fördelning över säsongen</t>
  </si>
  <si>
    <t>Jämförelsetalen visar hur bemanningen fördelas i relation till lagens matchdagar och matcher. De är stöd för bedömningen, inte en automatisk rättviseregel.</t>
  </si>
  <si>
    <t>Matchdagar</t>
  </si>
  <si>
    <t>Matcher</t>
  </si>
  <si>
    <t>Pass ≤2 h</t>
  </si>
  <si>
    <t>Cafétimmar</t>
  </si>
  <si>
    <t>Snitt/
pass</t>
  </si>
  <si>
    <t>Pass/
matchdag</t>
  </si>
  <si>
    <t>Timmar/
matchdag</t>
  </si>
  <si>
    <t>Pass/
match</t>
  </si>
  <si>
    <t>Timmar/
match</t>
  </si>
  <si>
    <t>Öppningar</t>
  </si>
  <si>
    <t>Stängningar</t>
  </si>
  <si>
    <t>Uppdateringskontroll – efter ny Profixio-import</t>
  </si>
  <si>
    <t>Använd bara denna flik efter att en ny export har klistrats in. Rött kräver åtgärd. Ändringar inom en befintlig matchdag visas automatiskt i BEMANNINGSPLAN.</t>
  </si>
  <si>
    <t>Antal</t>
  </si>
  <si>
    <t>Vad betyder det?</t>
  </si>
  <si>
    <t>Ändrade/flyttade matcher</t>
  </si>
  <si>
    <t>Kontrollera matchraden nedan. Vid ändrad tid samma dag uppdateras matchvisningen.</t>
  </si>
  <si>
    <t>Borttagna matcher</t>
  </si>
  <si>
    <t>Kontrollera om motsvarande bemanning ska tas bort.</t>
  </si>
  <si>
    <t>Nya matcher</t>
  </si>
  <si>
    <t>Ny match på befintlig dag visas automatiskt i tidslinjen.</t>
  </si>
  <si>
    <t>Saknade tidsrader/klasser</t>
  </si>
  <si>
    <t>Komplettera klassning eller tidsrader. Även en flytt inom samma dag kan kräva längre tidslinje.</t>
  </si>
  <si>
    <t>Matchnr i plan</t>
  </si>
  <si>
    <t>Planerat datum</t>
  </si>
  <si>
    <t>Planerad tid</t>
  </si>
  <si>
    <t>Planerad hall</t>
  </si>
  <si>
    <t>Klass</t>
  </si>
  <si>
    <t>Ingår i underlaget?</t>
  </si>
  <si>
    <t>Aktuellt datum</t>
  </si>
  <si>
    <t>Aktuell tid</t>
  </si>
  <si>
    <t>Aktuell hall</t>
  </si>
  <si>
    <t>Status</t>
  </si>
  <si>
    <t>Aktuellt matchnr</t>
  </si>
  <si>
    <t>26 -1 48113 01</t>
  </si>
  <si>
    <t>USM F18 - Steg 1</t>
  </si>
  <si>
    <t>26 -1 48113 02</t>
  </si>
  <si>
    <t>26 -1 48113 03</t>
  </si>
  <si>
    <t>26 -1 48113 04</t>
  </si>
  <si>
    <t>26 -1 48113 05</t>
  </si>
  <si>
    <t>26 -1 48113 06</t>
  </si>
  <si>
    <t>26 6 1311 002</t>
  </si>
  <si>
    <t>Solnahallen</t>
  </si>
  <si>
    <t>Flickor - F19 Öst - F19 Nivå 1 Öst</t>
  </si>
  <si>
    <t>26 6 1373 004</t>
  </si>
  <si>
    <t>Flickor - F11 Öst - F11 Nivå 2 Öst City</t>
  </si>
  <si>
    <t>26 6 1373 005</t>
  </si>
  <si>
    <t>26 6 1373 006</t>
  </si>
  <si>
    <t>26 6 1351 003</t>
  </si>
  <si>
    <t>Flickor - F13 Öst - F13 Nivå 1 Öst</t>
  </si>
  <si>
    <t>26 6 1352 004</t>
  </si>
  <si>
    <t>Flickor - F13 Öst - F13 Nivå 2 Öst Norra</t>
  </si>
  <si>
    <t>26 6 1524 003</t>
  </si>
  <si>
    <t>Pojkar - P16 Öst - P16 Nivå 3 Öst</t>
  </si>
  <si>
    <t>26 6 1363 003</t>
  </si>
  <si>
    <t>Flickor - F12 Öst - F12 Nivå 2 Öst Norra</t>
  </si>
  <si>
    <t>26 6 1363 002</t>
  </si>
  <si>
    <t>26 6 1363 001</t>
  </si>
  <si>
    <t>26 6 1343 003</t>
  </si>
  <si>
    <t>Flickor - F14 Öst - F14 Nivå 2 Öst Norra</t>
  </si>
  <si>
    <t>26 -1 1121 009</t>
  </si>
  <si>
    <t>Damer - Damallsvenskan</t>
  </si>
  <si>
    <t>26 6 1311 011</t>
  </si>
  <si>
    <t>26 6 1221 013</t>
  </si>
  <si>
    <t>Herrar - Herr 2 Öst</t>
  </si>
  <si>
    <t>26 6 14101 01</t>
  </si>
  <si>
    <t>Höstens Spel - F10 kortplan Öst - Omgång 1</t>
  </si>
  <si>
    <t>26 6 14101 02</t>
  </si>
  <si>
    <t>26 6 14101 03</t>
  </si>
  <si>
    <t>26 6 14101 04</t>
  </si>
  <si>
    <t>26 6 14101 05</t>
  </si>
  <si>
    <t>26 6 1573 015</t>
  </si>
  <si>
    <t>Pojkar - P11 Öst - P11 Nivå 2 Öst City</t>
  </si>
  <si>
    <t>26 -1 1121 014</t>
  </si>
  <si>
    <t>26 6 1524 012</t>
  </si>
  <si>
    <t>26 6 1141 016</t>
  </si>
  <si>
    <t>Damer - Dam 4 Öst - Dam 4 Öst Norra</t>
  </si>
  <si>
    <t>26 6 16101 13</t>
  </si>
  <si>
    <t>Höstens Spel - P10 Kortplan Öst - Omgång 1</t>
  </si>
  <si>
    <t>26 6 16101 14</t>
  </si>
  <si>
    <t>26 6 16101 15</t>
  </si>
  <si>
    <t>26 6 16101 16</t>
  </si>
  <si>
    <t>26 6 16101 17</t>
  </si>
  <si>
    <t>26 6 6415 002</t>
  </si>
  <si>
    <t>Östbollen - F12 Öst - Omgång 1</t>
  </si>
  <si>
    <t>26 6 6415 001</t>
  </si>
  <si>
    <t>26 6 6415 003</t>
  </si>
  <si>
    <t>26 6 6415 004</t>
  </si>
  <si>
    <t>26 6 6415 005</t>
  </si>
  <si>
    <t>26 6 6415 006</t>
  </si>
  <si>
    <t>26 6 1352 015</t>
  </si>
  <si>
    <t>26 6 1351 012</t>
  </si>
  <si>
    <t>26 6 1151 004</t>
  </si>
  <si>
    <t>Damer - Dam trim Öst</t>
  </si>
  <si>
    <t>26 6 1221 026</t>
  </si>
  <si>
    <t>26 -1 1121 028</t>
  </si>
  <si>
    <t>26 6 1311 030</t>
  </si>
  <si>
    <t>26 6 1562 021</t>
  </si>
  <si>
    <t>Pojkar - P12 Öst - P12 Nivå 2 Öst Norra</t>
  </si>
  <si>
    <t>26 6 1562 022</t>
  </si>
  <si>
    <t>26 6 1562 023</t>
  </si>
  <si>
    <t>26 6 1562 024</t>
  </si>
  <si>
    <t>26 6 18126 01</t>
  </si>
  <si>
    <t>Handbollfestival - U8 höst Öst - Omgång 2</t>
  </si>
  <si>
    <t>26 6 18126 03</t>
  </si>
  <si>
    <t>26 6 18126 04</t>
  </si>
  <si>
    <t>26 6 1352 026</t>
  </si>
  <si>
    <t>26 6 1343 010</t>
  </si>
  <si>
    <t>26 6 1151 005</t>
  </si>
  <si>
    <t>26 6 1324 022</t>
  </si>
  <si>
    <t>Flickor - F16 Öst - F16 Nivå 3 Öst</t>
  </si>
  <si>
    <t>26 6 1524 021</t>
  </si>
  <si>
    <t>26 6 1563 021</t>
  </si>
  <si>
    <t>Pojkar - P12 Öst - P12 Nivå 2 Öst Södra</t>
  </si>
  <si>
    <t>26 6 1563 022</t>
  </si>
  <si>
    <t>26 6 1563 024</t>
  </si>
  <si>
    <t>26 6 1563 023</t>
  </si>
  <si>
    <t>26 6 6325 001</t>
  </si>
  <si>
    <t>Östbollen - F13 Öst - Omgång 2</t>
  </si>
  <si>
    <t>26 6 6325 002</t>
  </si>
  <si>
    <t>26 6 6325 003</t>
  </si>
  <si>
    <t>26 6 6325 004</t>
  </si>
  <si>
    <t>26 6 6325 005</t>
  </si>
  <si>
    <t>26 6 6325 006</t>
  </si>
  <si>
    <t>26 6 1141 023</t>
  </si>
  <si>
    <t>26 -1 1121 040</t>
  </si>
  <si>
    <t>26 6 1221 038</t>
  </si>
  <si>
    <t>26 6 1311 039</t>
  </si>
  <si>
    <t>26 6 1524 030</t>
  </si>
  <si>
    <t>26 6 1573 036</t>
  </si>
  <si>
    <t>26 6 6626 001</t>
  </si>
  <si>
    <t>Östbollen - P12 Öst - Omgång 2</t>
  </si>
  <si>
    <t>26 6 6626 002</t>
  </si>
  <si>
    <t>26 6 6626 003</t>
  </si>
  <si>
    <t>26 6 6626 004</t>
  </si>
  <si>
    <t>26 6 6626 005</t>
  </si>
  <si>
    <t>26 6 6626 006</t>
  </si>
  <si>
    <t>26 6 1351 021</t>
  </si>
  <si>
    <t>26 6 1343 017</t>
  </si>
  <si>
    <t>26 6 1141 026</t>
  </si>
  <si>
    <t>26 6 1324 031</t>
  </si>
  <si>
    <t>26 6 1221 050</t>
  </si>
  <si>
    <t>26 6 1562 040</t>
  </si>
  <si>
    <t>26 6 1562 039</t>
  </si>
  <si>
    <t>26 6 1562 038</t>
  </si>
  <si>
    <t>26 6 1563 038</t>
  </si>
  <si>
    <t>26 6 1563 039</t>
  </si>
  <si>
    <t>26 6 1563 040</t>
  </si>
  <si>
    <t>26 6 1363 028</t>
  </si>
  <si>
    <t>26 6 1363 029</t>
  </si>
  <si>
    <t>26 6 1363 030</t>
  </si>
  <si>
    <t>26 6 1351 030</t>
  </si>
  <si>
    <t>26 6 1352 037</t>
  </si>
  <si>
    <t>26 6 1343 024</t>
  </si>
  <si>
    <t>26 -1 1121 050</t>
  </si>
  <si>
    <t>26 6 1311 048</t>
  </si>
  <si>
    <t>26 6 1324 040</t>
  </si>
  <si>
    <t>26 6 1524 039</t>
  </si>
  <si>
    <t>26 6 1141 035</t>
  </si>
  <si>
    <t>26 6 14140 03</t>
  </si>
  <si>
    <t>Höstens Spel - F10 kortplan Öst - Omgång 4</t>
  </si>
  <si>
    <t>26 6 14140 02</t>
  </si>
  <si>
    <t>26 6 14140 01</t>
  </si>
  <si>
    <t>26 6 14140 05</t>
  </si>
  <si>
    <t>26 6 14140 04</t>
  </si>
  <si>
    <t>26 6 1352 048</t>
  </si>
  <si>
    <t>26 -1 1121 062</t>
  </si>
  <si>
    <t>26 6 1221 062</t>
  </si>
  <si>
    <t>26 6 14225 01</t>
  </si>
  <si>
    <t>Höstens Spel - F9 Miniplan Öst - Omgång 4</t>
  </si>
  <si>
    <t>26 6 14225 07</t>
  </si>
  <si>
    <t>26 6 14225 02</t>
  </si>
  <si>
    <t>26 6 14225 08</t>
  </si>
  <si>
    <t>26 6 14225 03</t>
  </si>
  <si>
    <t>26 6 14225 09</t>
  </si>
  <si>
    <t>26 6 14225 04</t>
  </si>
  <si>
    <t>26 6 14225 10</t>
  </si>
  <si>
    <t>26 6 14225 05</t>
  </si>
  <si>
    <t>26 6 14225 11</t>
  </si>
  <si>
    <t>26 6 14225 06</t>
  </si>
  <si>
    <t>26 6 14225 12</t>
  </si>
  <si>
    <t>26 6 1351 039</t>
  </si>
  <si>
    <t>26 6 1221 073</t>
  </si>
  <si>
    <t>26 6 1373 046</t>
  </si>
  <si>
    <t>26 6 1373 047</t>
  </si>
  <si>
    <t>26 6 1373 048</t>
  </si>
  <si>
    <t>26 6 1311 064</t>
  </si>
  <si>
    <t>26 6 1343 035</t>
  </si>
  <si>
    <t>26 -1 1121 074</t>
  </si>
  <si>
    <t>26 6 1352 076</t>
  </si>
  <si>
    <t>26 6 1524 054</t>
  </si>
  <si>
    <t>Arrangörsskap - Vårens spel - Omg1/ P10K F9M P9K/ 23-24jan</t>
  </si>
  <si>
    <t>26 6 1363 055</t>
  </si>
  <si>
    <t>26 6 1363 056</t>
  </si>
  <si>
    <t>26 6 1363 057</t>
  </si>
  <si>
    <t>26 6 1141 046</t>
  </si>
  <si>
    <t>26 6 1221 085</t>
  </si>
  <si>
    <t>26 6 1311 075</t>
  </si>
  <si>
    <t>26 6 1151 014</t>
  </si>
  <si>
    <t>26 6 1324 053</t>
  </si>
  <si>
    <t>Arrangörsskap - Handbollfestival Vår - Omg1/23-24 jan alt 30-31jan</t>
  </si>
  <si>
    <t>Arrangörsskap - Vårens spel - Omg2/ F10K P9M F9K/ 30-31jan</t>
  </si>
  <si>
    <t>26 6 1351 054</t>
  </si>
  <si>
    <t>26 6 1343 044</t>
  </si>
  <si>
    <t>26 6 1524 065</t>
  </si>
  <si>
    <t>26 6 1352 089</t>
  </si>
  <si>
    <t>26 -1 1121 093</t>
  </si>
  <si>
    <t>26 6 1221 098</t>
  </si>
  <si>
    <t>26 6 1324 064</t>
  </si>
  <si>
    <t>Arrangörsskap - Handbollfestival Vår - Omg2/ 13-14feb alt 20-21feb</t>
  </si>
  <si>
    <t>26 6 6436 001</t>
  </si>
  <si>
    <t>Östbollen - F12 Öst - Omgång 3</t>
  </si>
  <si>
    <t>26 6 6436 002</t>
  </si>
  <si>
    <t>26 6 6436 003</t>
  </si>
  <si>
    <t>26 6 6436 004</t>
  </si>
  <si>
    <t>26 6 6436 005</t>
  </si>
  <si>
    <t>26 6 6436 006</t>
  </si>
  <si>
    <t>26 6 1351 065</t>
  </si>
  <si>
    <t>26 6 1141 060</t>
  </si>
  <si>
    <t>26 6 1221 103</t>
  </si>
  <si>
    <t>26 6 1311 086</t>
  </si>
  <si>
    <t>26 6 1141 061</t>
  </si>
  <si>
    <t>26 -1 1121 104</t>
  </si>
  <si>
    <t>Arrangörsskap - Vårens spel - Omg3/ P10K F9M P9K/ 20-21feb</t>
  </si>
  <si>
    <t>26 6 1352 102</t>
  </si>
  <si>
    <t>26 6 1221 115</t>
  </si>
  <si>
    <t>26 -1 1121 117</t>
  </si>
  <si>
    <t>26 6 1221 121</t>
  </si>
  <si>
    <t>26 6 1151 017</t>
  </si>
  <si>
    <t>26 6 1324 075</t>
  </si>
  <si>
    <t>26 6 1373 076</t>
  </si>
  <si>
    <t>26 6 1562 088</t>
  </si>
  <si>
    <t>26 6 1373 077</t>
  </si>
  <si>
    <t>26 6 1562 089</t>
  </si>
  <si>
    <t>26 6 1373 078</t>
  </si>
  <si>
    <t>26 6 1562 090</t>
  </si>
  <si>
    <t>Arrangörsskap - Handbollfestival Vår - Omg3/ 13-14mars alt 20-21mars</t>
  </si>
  <si>
    <t>Arrangörsskap - Vårens spel - Omg4/ F10K P9M F9K/ 13-14mars</t>
  </si>
  <si>
    <t>26 6 1524 077</t>
  </si>
  <si>
    <t>26 6 1141 071</t>
  </si>
  <si>
    <t>26 -1 1121 129</t>
  </si>
  <si>
    <t>26 6 1563 088</t>
  </si>
  <si>
    <t>26 6 1563 089</t>
  </si>
  <si>
    <t>26 6 1563 090</t>
  </si>
  <si>
    <t>Arrangörsskap - Vårens spel - Omg4/ P10K F9M P9K/ 20-21mars</t>
  </si>
  <si>
    <t>26 6 1351 077</t>
  </si>
  <si>
    <t>26 6 1352 116</t>
  </si>
  <si>
    <t>26 6 1343 054</t>
  </si>
  <si>
    <t>26 6 1311 108</t>
  </si>
  <si>
    <t>26 6 1524 088</t>
  </si>
  <si>
    <t>26 6 1324 087</t>
  </si>
  <si>
    <t>26 6 1352 129</t>
  </si>
  <si>
    <t>26 6 1351 088</t>
  </si>
  <si>
    <t>Klassning av Profixio-klasser</t>
  </si>
  <si>
    <t>Gula fält kan ändras. Lag omfattar både första- och andralag. Lägg nya Profixio-klasser på en tom rad.</t>
  </si>
  <si>
    <t>Typ av spel</t>
  </si>
  <si>
    <t>Ingår automatiskt</t>
  </si>
  <si>
    <t>Handbollfestival</t>
  </si>
  <si>
    <t>Preliminärt 180 min – kontrollera arrangemanget.</t>
  </si>
  <si>
    <t>Kontrollera</t>
  </si>
  <si>
    <t>Kortplan/miniplan</t>
  </si>
  <si>
    <t>Dam</t>
  </si>
  <si>
    <t>Seriespel</t>
  </si>
  <si>
    <t>Herr</t>
  </si>
  <si>
    <t>F10</t>
  </si>
  <si>
    <t>P11</t>
  </si>
  <si>
    <t>USM</t>
  </si>
  <si>
    <t>Östbollen</t>
  </si>
  <si>
    <t>Regler och planeringsvärden</t>
  </si>
  <si>
    <t>Gula värden används när tidslinjen skapas. Om dessa ändras efteråt behöver tidslinjen skapas om.</t>
  </si>
  <si>
    <t>Laglista</t>
  </si>
  <si>
    <t>Datumlista</t>
  </si>
  <si>
    <t>Inställning</t>
  </si>
  <si>
    <t>Värde</t>
  </si>
  <si>
    <t>Lagval i CAFÉPASS</t>
  </si>
  <si>
    <t>Minst före första match, yngre lag (min)</t>
  </si>
  <si>
    <t>Välj lag i listan</t>
  </si>
  <si>
    <t>Minst före första match, från 14 år (min)</t>
  </si>
  <si>
    <t>Stängning efter beräknat matchslut (min)</t>
  </si>
  <si>
    <t>15–30</t>
  </si>
  <si>
    <t>Önskad passlängd för rekommendation (tim)</t>
  </si>
  <si>
    <t>Öppning och stängning läggs helst på hel- eller halvtimme. Kvart över eller kvart i används när det ger en rimligare marginal.</t>
  </si>
  <si>
    <t>Spelform/ålder</t>
  </si>
  <si>
    <t>Halvlekar</t>
  </si>
  <si>
    <t>Min/halvlek</t>
  </si>
  <si>
    <t>Paus</t>
  </si>
  <si>
    <t>Total min</t>
  </si>
  <si>
    <t>U8 Handbollfestival</t>
  </si>
  <si>
    <t>Kontrollera mot arrangemangets information.</t>
  </si>
  <si>
    <t>U9–U10 kort/miniplan</t>
  </si>
  <si>
    <t>Preliminärt enligt HF Öst 2025–2026.</t>
  </si>
  <si>
    <t>U11–U12 seriespel</t>
  </si>
  <si>
    <t>U13–U14 seriespel</t>
  </si>
  <si>
    <t>U15–U19 seriespel</t>
  </si>
  <si>
    <t>Östbollen U12–U13</t>
  </si>
  <si>
    <t>Bekräftat i Östbollen 2026–2027.</t>
  </si>
  <si>
    <t>USM U18</t>
  </si>
  <si>
    <t>Kontrollera mot aktuellt USM-reglemente.</t>
  </si>
  <si>
    <t>Arrangemangspost</t>
  </si>
  <si>
    <t>Endast planeringsvärde – kontrollera sluttid.</t>
  </si>
  <si>
    <t>P13</t>
  </si>
  <si>
    <t>P14</t>
  </si>
  <si>
    <t>P18</t>
  </si>
  <si>
    <t>Import från Profixio</t>
  </si>
  <si>
    <t>Vid uppdatering: spara en kopia, radera endast A5:O504 och klistra in den nya exportens datarader från A5. Låt rubrikerna på rad 4 ligga kvar. Sortera vid behov på Speldatum, Spelplats och Starttid.</t>
  </si>
  <si>
    <t>Matchunderlag: Profixio-export 2026-09-17 kl. 23.39.</t>
  </si>
  <si>
    <t>Datum från</t>
  </si>
  <si>
    <t>Speldatum</t>
  </si>
  <si>
    <t>Starttid</t>
  </si>
  <si>
    <t>Spelplats</t>
  </si>
  <si>
    <t>Ansökn.</t>
  </si>
  <si>
    <t>Resultat</t>
  </si>
  <si>
    <t>Arrangerande förening</t>
  </si>
  <si>
    <t>Distrikt</t>
  </si>
  <si>
    <t>Sista dag att tidsätta</t>
  </si>
  <si>
    <t>2026-09-19</t>
  </si>
  <si>
    <t>15:00</t>
  </si>
  <si>
    <t>AIK</t>
  </si>
  <si>
    <t>Eslövs HK</t>
  </si>
  <si>
    <t>16:30</t>
  </si>
  <si>
    <t>HK Aranäs</t>
  </si>
  <si>
    <t>Kiruna HK</t>
  </si>
  <si>
    <t>2026-09-20</t>
  </si>
  <si>
    <t>09:30</t>
  </si>
  <si>
    <t>11:00</t>
  </si>
  <si>
    <t>13:30</t>
  </si>
  <si>
    <t>2026-09-21</t>
  </si>
  <si>
    <t>2026-09-27</t>
  </si>
  <si>
    <t>2026-09-23</t>
  </si>
  <si>
    <t>20:45</t>
  </si>
  <si>
    <t>IK Bolton 1</t>
  </si>
  <si>
    <t>HF Öst</t>
  </si>
  <si>
    <t>2026-09-26</t>
  </si>
  <si>
    <t>09:00</t>
  </si>
  <si>
    <t>Spånga HK 2</t>
  </si>
  <si>
    <t>10:10</t>
  </si>
  <si>
    <t>Sannadals SK</t>
  </si>
  <si>
    <t>11:20</t>
  </si>
  <si>
    <t>12:20</t>
  </si>
  <si>
    <t>AIK 2</t>
  </si>
  <si>
    <t>Uppsala HK 1</t>
  </si>
  <si>
    <t>2026-10-03</t>
  </si>
  <si>
    <t>2026-10-04</t>
  </si>
  <si>
    <t>13:40</t>
  </si>
  <si>
    <t>Täby HBK 4</t>
  </si>
  <si>
    <t>Sollentuna HK 1</t>
  </si>
  <si>
    <t>Skånela IF 1</t>
  </si>
  <si>
    <t>Bollstanäs SK 1</t>
  </si>
  <si>
    <t>16:00</t>
  </si>
  <si>
    <t>Se terminplanen för aktuella omgångsintervall.</t>
  </si>
  <si>
    <t>2026-10-05</t>
  </si>
  <si>
    <t>2026-10-11</t>
  </si>
  <si>
    <t>2026-10-06</t>
  </si>
  <si>
    <t>GT Söder HK Blå</t>
  </si>
  <si>
    <t>2026-10-10</t>
  </si>
  <si>
    <t>Djurgårdens HF</t>
  </si>
  <si>
    <t>11:15</t>
  </si>
  <si>
    <t>Skå IK Grön</t>
  </si>
  <si>
    <t>Täby HBK F10 - 4</t>
  </si>
  <si>
    <t>12:00</t>
  </si>
  <si>
    <t>Skå IK Gul</t>
  </si>
  <si>
    <t>Täby HBK F10-3</t>
  </si>
  <si>
    <t>12:45</t>
  </si>
  <si>
    <t>14:15</t>
  </si>
  <si>
    <t>16:15</t>
  </si>
  <si>
    <t>Uppsala HK Eriksberg</t>
  </si>
  <si>
    <t>Hammarby IF HF 2</t>
  </si>
  <si>
    <t>GF Kroppskultur</t>
  </si>
  <si>
    <t>2026-10-17</t>
  </si>
  <si>
    <t>2026-10-18</t>
  </si>
  <si>
    <t>11:45</t>
  </si>
  <si>
    <t>Kista SC KFUM</t>
  </si>
  <si>
    <t>HK Ceres Norrtälje</t>
  </si>
  <si>
    <t>HK Cliff Blå</t>
  </si>
  <si>
    <t>Spånga HK 1</t>
  </si>
  <si>
    <t>09:45</t>
  </si>
  <si>
    <t>HK Cliff Gul</t>
  </si>
  <si>
    <t>10:30</t>
  </si>
  <si>
    <t>Täby HBK</t>
  </si>
  <si>
    <t>Sollentuna HK</t>
  </si>
  <si>
    <t>Bålsta IF</t>
  </si>
  <si>
    <t>13:00</t>
  </si>
  <si>
    <t>13:45</t>
  </si>
  <si>
    <t>14:45</t>
  </si>
  <si>
    <t>Rimbo HK Roslagen</t>
  </si>
  <si>
    <t>2026-10-19</t>
  </si>
  <si>
    <t>2026-10-25</t>
  </si>
  <si>
    <t>2026-10-20</t>
  </si>
  <si>
    <t>21:00</t>
  </si>
  <si>
    <t>Huddinge HK</t>
  </si>
  <si>
    <t>2026-10-24</t>
  </si>
  <si>
    <t>Tumba HK 2</t>
  </si>
  <si>
    <t>2026-10-28</t>
  </si>
  <si>
    <t>19:00</t>
  </si>
  <si>
    <t>Tumba HBK</t>
  </si>
  <si>
    <t>2026-11-02</t>
  </si>
  <si>
    <t>2026-11-08</t>
  </si>
  <si>
    <t>2026-11-03</t>
  </si>
  <si>
    <t>Täby HBK 1</t>
  </si>
  <si>
    <t>2026-11-07</t>
  </si>
  <si>
    <t>10:00</t>
  </si>
  <si>
    <t>Vallentuna HK</t>
  </si>
  <si>
    <t>12:15</t>
  </si>
  <si>
    <t>AIK F8</t>
  </si>
  <si>
    <t>IK Bolton F8 1</t>
  </si>
  <si>
    <t>Skånela IF Röd Flick</t>
  </si>
  <si>
    <t>Skånela IF vit Flick</t>
  </si>
  <si>
    <t>12:30</t>
  </si>
  <si>
    <t>Åkersberga HK</t>
  </si>
  <si>
    <t>2026-11-09</t>
  </si>
  <si>
    <t>2026-11-15</t>
  </si>
  <si>
    <t>2026-11-10</t>
  </si>
  <si>
    <t>2026-11-14</t>
  </si>
  <si>
    <t>Sannadals SK 2</t>
  </si>
  <si>
    <t>Sannadals SK Vit</t>
  </si>
  <si>
    <t>Skuru IK 2</t>
  </si>
  <si>
    <t>Tyresö Handboll 2</t>
  </si>
  <si>
    <t>Vacant- 37</t>
  </si>
  <si>
    <t>2026-08-12 00:00:00</t>
  </si>
  <si>
    <t>09:50</t>
  </si>
  <si>
    <t>11:10</t>
  </si>
  <si>
    <t>13:20</t>
  </si>
  <si>
    <t>14:10</t>
  </si>
  <si>
    <t>Bajen IF</t>
  </si>
  <si>
    <t>Kärra HF</t>
  </si>
  <si>
    <t>17:30</t>
  </si>
  <si>
    <t>Skogås HK</t>
  </si>
  <si>
    <t>2026-11-16</t>
  </si>
  <si>
    <t>2026-11-22</t>
  </si>
  <si>
    <t>2026-11-17</t>
  </si>
  <si>
    <t>Skuru IK</t>
  </si>
  <si>
    <t>2026-11-21</t>
  </si>
  <si>
    <t>Spånga HK 3</t>
  </si>
  <si>
    <t>11:30</t>
  </si>
  <si>
    <t>Uppsala HK Södra</t>
  </si>
  <si>
    <t>IF Swithiod</t>
  </si>
  <si>
    <t>Vacant- 44</t>
  </si>
  <si>
    <t>2026-08-25 00:00:00</t>
  </si>
  <si>
    <t>Vacant- 45</t>
  </si>
  <si>
    <t>Vacant- 46</t>
  </si>
  <si>
    <t>Gustavsbergs IF HK - Röd</t>
  </si>
  <si>
    <t>Hammarby IF HF 3</t>
  </si>
  <si>
    <t>Bollstanäs SK</t>
  </si>
  <si>
    <t>2026-11-28</t>
  </si>
  <si>
    <t>2026-11-29</t>
  </si>
  <si>
    <t>Årsta AIK HF 3</t>
  </si>
  <si>
    <t>Lidingö SK</t>
  </si>
  <si>
    <t>Uppsala HK 2</t>
  </si>
  <si>
    <t>Årsta AIK HF 1</t>
  </si>
  <si>
    <t>14:00</t>
  </si>
  <si>
    <t>12:10</t>
  </si>
  <si>
    <t>13:10</t>
  </si>
  <si>
    <t>Skå IK</t>
  </si>
  <si>
    <t>15:10</t>
  </si>
  <si>
    <t>Skuru IK 1</t>
  </si>
  <si>
    <t>16:20</t>
  </si>
  <si>
    <t>Skuru IK 3</t>
  </si>
  <si>
    <t>Täby HBK 2</t>
  </si>
  <si>
    <t>Kungälvs HK</t>
  </si>
  <si>
    <t>2026-11-30</t>
  </si>
  <si>
    <t>2026-12-06</t>
  </si>
  <si>
    <t>2026-12-01</t>
  </si>
  <si>
    <t>Tyresö Handboll</t>
  </si>
  <si>
    <t>2026-12-05</t>
  </si>
  <si>
    <t>10:20</t>
  </si>
  <si>
    <t>Åkersberga HK 2</t>
  </si>
  <si>
    <t>Åkersberga HK Röd</t>
  </si>
  <si>
    <t>Åkersberga HK - Svart</t>
  </si>
  <si>
    <t>Kungsängens Sportklubb 2</t>
  </si>
  <si>
    <t>2026-12-12</t>
  </si>
  <si>
    <t>2026-12-13</t>
  </si>
  <si>
    <t>HF Karlskrona</t>
  </si>
  <si>
    <t>Spånga HK</t>
  </si>
  <si>
    <t>Sannadals SK Röd</t>
  </si>
  <si>
    <t>Sannadals SK Gul</t>
  </si>
  <si>
    <t>Bollstanäs SK F9</t>
  </si>
  <si>
    <t>Assyriska Botkyrka SK</t>
  </si>
  <si>
    <t>Kungsängens SK</t>
  </si>
  <si>
    <t>2027-01-09</t>
  </si>
  <si>
    <t>2027-01-10</t>
  </si>
  <si>
    <t>Årsta AIK HF</t>
  </si>
  <si>
    <t>Skuru IK 4</t>
  </si>
  <si>
    <t>12:40</t>
  </si>
  <si>
    <t>2027-01-11</t>
  </si>
  <si>
    <t>2027-01-17</t>
  </si>
  <si>
    <t>2027-01-12</t>
  </si>
  <si>
    <t>Hammarby IF HF</t>
  </si>
  <si>
    <t>2027-01-16</t>
  </si>
  <si>
    <t>Alingsås HK</t>
  </si>
  <si>
    <t>2027-01-19</t>
  </si>
  <si>
    <t>2027-01-21</t>
  </si>
  <si>
    <t>2027-01-20</t>
  </si>
  <si>
    <t>18:00</t>
  </si>
  <si>
    <t>2027-01-23</t>
  </si>
  <si>
    <t>2027-01-24</t>
  </si>
  <si>
    <t>Lidingö SK 2</t>
  </si>
  <si>
    <t>HF Öst 2</t>
  </si>
  <si>
    <t>Uppsala HK Vit</t>
  </si>
  <si>
    <t>HK Tyrold</t>
  </si>
  <si>
    <t>2027-01-25</t>
  </si>
  <si>
    <t>2027-01-31</t>
  </si>
  <si>
    <t>2027-01-26</t>
  </si>
  <si>
    <t>IFK Tumba HK</t>
  </si>
  <si>
    <t>HF Rimbo</t>
  </si>
  <si>
    <t>2027-01-30</t>
  </si>
  <si>
    <t>10:15</t>
  </si>
  <si>
    <t>16:40</t>
  </si>
  <si>
    <t>Hammarby IF HF 1</t>
  </si>
  <si>
    <t>17:50</t>
  </si>
  <si>
    <t>Vassunda IF1</t>
  </si>
  <si>
    <t>2027-02-06</t>
  </si>
  <si>
    <t>2027-02-07</t>
  </si>
  <si>
    <t>Vassunda IF</t>
  </si>
  <si>
    <t>18:30</t>
  </si>
  <si>
    <t>SK Kvarnberga</t>
  </si>
  <si>
    <t>2027-02-13</t>
  </si>
  <si>
    <t>2027-02-14</t>
  </si>
  <si>
    <t>Rimbo Handbollklubb Roslagen</t>
  </si>
  <si>
    <t>Vacant- 75</t>
  </si>
  <si>
    <t>17:00</t>
  </si>
  <si>
    <t>Haninge HK</t>
  </si>
  <si>
    <t>2027-02-15</t>
  </si>
  <si>
    <t>2027-02-21</t>
  </si>
  <si>
    <t>2027-02-16</t>
  </si>
  <si>
    <t>Skånela IF</t>
  </si>
  <si>
    <t>2027-02-20</t>
  </si>
  <si>
    <t>Redbergslids IK</t>
  </si>
  <si>
    <t>13:15</t>
  </si>
  <si>
    <t>2027-02-27</t>
  </si>
  <si>
    <t>2027-02-28</t>
  </si>
  <si>
    <t>HF SIF</t>
  </si>
  <si>
    <t>2027-03-06</t>
  </si>
  <si>
    <t>2027-03-07</t>
  </si>
  <si>
    <t>Lugi HF</t>
  </si>
  <si>
    <t>2027-03-08</t>
  </si>
  <si>
    <t>2027-03-14</t>
  </si>
  <si>
    <t>2027-03-09</t>
  </si>
  <si>
    <t>2027-03-13</t>
  </si>
  <si>
    <t>2027-03-20</t>
  </si>
  <si>
    <t>2027-03-21</t>
  </si>
  <si>
    <t>Årsta AIK HF 2</t>
  </si>
  <si>
    <t>Djurgårdens HF 2</t>
  </si>
  <si>
    <t>HK Drott Halmstad</t>
  </si>
  <si>
    <t>14:30</t>
  </si>
  <si>
    <t>15:40</t>
  </si>
  <si>
    <t>2027-04-12</t>
  </si>
  <si>
    <t>2027-04-18</t>
  </si>
  <si>
    <t>2027-04-13</t>
  </si>
  <si>
    <t>Uppsala HK</t>
  </si>
  <si>
    <t>2027-04-17</t>
  </si>
  <si>
    <t>IK Bolton 4</t>
  </si>
  <si>
    <t>Tyresö Handboll 1</t>
  </si>
  <si>
    <t>För publicering:</t>
  </si>
  <si>
    <t>1. Spara först din arbetsfil.</t>
  </si>
  <si>
    <t>Behåll den som din masterfil med alla planeringsflikar.</t>
  </si>
  <si>
    <t>2. Skapa en separat delningskopia med Spara som.</t>
  </si>
  <si>
    <r>
      <rPr>
        <sz val="10"/>
        <rFont val="Arial"/>
        <family val="2"/>
      </rPr>
      <t xml:space="preserve">Exempel: </t>
    </r>
    <r>
      <rPr>
        <sz val="10"/>
        <rFont val="Arial Unicode MS"/>
        <charset val="1"/>
      </rPr>
      <t>Cafeschema_publicerat_2026-09-20.xlsx</t>
    </r>
    <r>
      <rPr>
        <sz val="10"/>
        <rFont val="Arial"/>
        <family val="2"/>
        <charset val="1"/>
      </rPr>
      <t>. Gör följande steg i kopian, inte i masterfilen.</t>
    </r>
  </si>
  <si>
    <t>3. Kontrollera innehållet innan du skyddar filen.</t>
  </si>
  <si>
    <t>Gå igenom CAFÉPASS: tider, ansvarigt lag, cafétyp, öppnings-/stängningsuppgifter och kommentarer. Kontrollera även eventuella varningar i BEMANNINGSPLAN.</t>
  </si>
  <si>
    <t>4. Ställ rullistorna i CAFÉPASS på Alla lag och Alla datum.</t>
  </si>
  <si>
    <t>Rensa eventuella filter i MATCHER så att mottagaren börjar med en fullständig lista.</t>
  </si>
  <si>
    <t>5. Lås alla celler på användarbladen.</t>
  </si>
  <si>
    <r>
      <rPr>
        <sz val="10"/>
        <rFont val="Arial"/>
        <family val="2"/>
      </rPr>
      <t xml:space="preserve">På varje blad: markera hela bladet via rutan ovanför rad 1 och till vänster om kolumn A. Öppna </t>
    </r>
    <r>
      <rPr>
        <b/>
        <sz val="10"/>
        <rFont val="Arial"/>
        <family val="2"/>
        <charset val="1"/>
      </rPr>
      <t>Formatera celler → Skydd</t>
    </r>
    <r>
      <rPr>
        <sz val="10"/>
        <rFont val="Arial"/>
        <family val="2"/>
        <charset val="1"/>
      </rPr>
      <t xml:space="preserve"> och markera </t>
    </r>
    <r>
      <rPr>
        <b/>
        <sz val="10"/>
        <rFont val="Arial"/>
        <family val="2"/>
        <charset val="1"/>
      </rPr>
      <t>Låst</t>
    </r>
    <r>
      <rPr>
        <sz val="10"/>
        <rFont val="Arial"/>
        <family val="2"/>
        <charset val="1"/>
      </rPr>
      <t>.</t>
    </r>
  </si>
  <si>
    <t>Detta får effekt först när du aktiverar bladskyddet i steg 7.</t>
  </si>
  <si>
    <t>6. Lås upp endast de två rullgardinscellerna i CAFÉPASS.</t>
  </si>
  <si>
    <r>
      <rPr>
        <sz val="10"/>
        <rFont val="Arial"/>
        <family val="2"/>
      </rPr>
      <t xml:space="preserve">I nuvarande version är det </t>
    </r>
    <r>
      <rPr>
        <b/>
        <sz val="10"/>
        <rFont val="Arial"/>
        <family val="2"/>
        <charset val="1"/>
      </rPr>
      <t>B3, lag</t>
    </r>
    <r>
      <rPr>
        <sz val="10"/>
        <rFont val="Arial"/>
        <family val="2"/>
        <charset val="1"/>
      </rPr>
      <t xml:space="preserve">, och </t>
    </r>
    <r>
      <rPr>
        <b/>
        <sz val="10"/>
        <rFont val="Arial"/>
        <family val="2"/>
        <charset val="1"/>
      </rPr>
      <t>E3, datum</t>
    </r>
    <r>
      <rPr>
        <sz val="10"/>
        <rFont val="Arial"/>
        <family val="2"/>
        <charset val="1"/>
      </rPr>
      <t xml:space="preserve">. Markera dem och avmarkera </t>
    </r>
    <r>
      <rPr>
        <b/>
        <sz val="10"/>
        <rFont val="Arial"/>
        <family val="2"/>
        <charset val="1"/>
      </rPr>
      <t>Låst</t>
    </r>
    <r>
      <rPr>
        <sz val="10"/>
        <rFont val="Arial"/>
        <family val="2"/>
        <charset val="1"/>
      </rPr>
      <t xml:space="preserve"> under Formatera celler → Skydd. Övriga celler ska vara låsta.</t>
    </r>
  </si>
  <si>
    <t>7. Aktivera Granska → Skydda blad.</t>
  </si>
  <si>
    <t>Gör detta på CAFÉPASS, MATCHER och eventuellt START HÄR. Tillåt:</t>
  </si>
  <si>
    <r>
      <rPr>
        <b/>
        <sz val="10"/>
        <rFont val="Arial"/>
        <family val="2"/>
      </rPr>
      <t>Markera olåsta celler</t>
    </r>
    <r>
      <rPr>
        <sz val="10"/>
        <rFont val="Arial"/>
        <family val="2"/>
        <charset val="1"/>
      </rPr>
      <t xml:space="preserve"> – behövs för rullistorna.</t>
    </r>
  </si>
  <si>
    <r>
      <rPr>
        <b/>
        <sz val="10"/>
        <rFont val="Arial"/>
        <family val="2"/>
      </rPr>
      <t>Markera låsta celler</t>
    </r>
    <r>
      <rPr>
        <sz val="10"/>
        <rFont val="Arial"/>
        <family val="2"/>
        <charset val="1"/>
      </rPr>
      <t xml:space="preserve"> – praktiskt om någon vill markera eller kopiera information. Det tillåter inte redigering.</t>
    </r>
  </si>
  <si>
    <r>
      <rPr>
        <b/>
        <sz val="10"/>
        <rFont val="Arial"/>
        <family val="2"/>
      </rPr>
      <t>Använd Autofilter</t>
    </r>
    <r>
      <rPr>
        <sz val="10"/>
        <rFont val="Arial"/>
        <family val="2"/>
        <charset val="1"/>
      </rPr>
      <t xml:space="preserve"> – behövs för befintliga tabellfilter, särskilt i MATCHER.</t>
    </r>
  </si>
  <si>
    <t>Lämna ändring av cellformat, infogning/radering av rader och kolumner samt sortering avstängt. Använd gärna ett enkelt administratörslösenord och spara det där nästa koordinator kan hitta det.</t>
  </si>
  <si>
    <t>8. Dölj övriga blad – radera dem inte.</t>
  </si>
  <si>
    <r>
      <rPr>
        <sz val="10"/>
        <rFont val="Arial"/>
        <family val="2"/>
      </rPr>
      <t xml:space="preserve">Högerklicka på respektive flik och välj </t>
    </r>
    <r>
      <rPr>
        <b/>
        <sz val="10"/>
        <rFont val="Arial"/>
        <family val="2"/>
        <charset val="1"/>
      </rPr>
      <t>Dölj</t>
    </r>
    <r>
      <rPr>
        <sz val="10"/>
        <rFont val="Arial"/>
        <family val="2"/>
        <charset val="1"/>
      </rPr>
      <t>. De behövs fortfarande för formlerna i användarvyerna.</t>
    </r>
  </si>
  <si>
    <t>9. Skydda arbetsbokens struktur.</t>
  </si>
  <si>
    <r>
      <rPr>
        <sz val="10"/>
        <rFont val="Arial"/>
        <family val="2"/>
      </rPr>
      <t xml:space="preserve">Välj </t>
    </r>
    <r>
      <rPr>
        <b/>
        <sz val="10"/>
        <rFont val="Arial"/>
        <family val="2"/>
        <charset val="1"/>
      </rPr>
      <t>Granska → Skydda arbetsbok → Struktur</t>
    </r>
    <r>
      <rPr>
        <sz val="10"/>
        <rFont val="Arial"/>
        <family val="2"/>
        <charset val="1"/>
      </rPr>
      <t>. Det hindrar mottagaren från att av misstag visa, flytta, döpa om eller radera blad. Bladskydd och strukturskydd är två separata saker.</t>
    </r>
  </si>
  <si>
    <t>10. Spara, stäng och öppna delningskopian igen för ett sluttest.</t>
  </si>
  <si>
    <t>Kontrollera att du kan välja lag och datum, använda filtren i MATCHER och att en vanlig datacell inte går att skriva över. Kontrollera även att Minicafé och uppgifterna visas för ett planerat pass.</t>
  </si>
  <si>
    <r>
      <rPr>
        <sz val="10"/>
        <rFont val="Arial"/>
        <family val="2"/>
        <charset val="1"/>
      </rPr>
      <t xml:space="preserve">Vid nästa ändring arbetar du vidare i </t>
    </r>
    <r>
      <rPr>
        <b/>
        <sz val="10"/>
        <rFont val="Arial"/>
        <family val="2"/>
        <charset val="1"/>
      </rPr>
      <t>masterfilen</t>
    </r>
    <r>
      <rPr>
        <sz val="10"/>
        <rFont val="Arial"/>
        <family val="2"/>
        <charset val="1"/>
      </rPr>
      <t xml:space="preserve"> och skapar en ny delningskopia. Ändra inte schemat separat i båda filerna.</t>
    </r>
  </si>
  <si>
    <t>Om filen – uppbyggnad, ändringar och uppdatering</t>
  </si>
  <si>
    <t>Arbetsboken använder vanliga Excel-formler och rullistor. Den innehåller inga makron och ingen Power Query.</t>
  </si>
  <si>
    <t>1. Så hänger flikarna ihop</t>
  </si>
  <si>
    <t>Flik</t>
  </si>
  <si>
    <t>Roll</t>
  </si>
  <si>
    <t>Dataflöde</t>
  </si>
  <si>
    <t>START HÄR</t>
  </si>
  <si>
    <t>Kort användarinstruktion och färgförklaring.</t>
  </si>
  <si>
    <t>IMPORT PROFIXIO → MATCHER → BEMANNINGSPLAN → CAFÉPASS och LAGÖVERSIKT</t>
  </si>
  <si>
    <t>CAFÉPASS</t>
  </si>
  <si>
    <t>Publicerbar användarvy med lag- och datumval. Alla pass innebär bemanning; kryss anger handling, öppning och stängning. Minicafé får inget kryss för handling.</t>
  </si>
  <si>
    <t>MATCHER</t>
  </si>
  <si>
    <t>Bearbetad matchlista från Profixio. Sorterad per datum, hall och tid.</t>
  </si>
  <si>
    <t>BEMANNINGSPLAN</t>
  </si>
  <si>
    <t>Koordinatorns arbetsyta. En rad per halvtimme; gula fält är manuella val.</t>
  </si>
  <si>
    <t>Vanliga funktioner</t>
  </si>
  <si>
    <t>LAGÖVERSIKT</t>
  </si>
  <si>
    <t>Kontroll av fördelning: matchdagar, matcher, pass, timmar och passlängder per lag.</t>
  </si>
  <si>
    <t>IF och IFERROR styr villkor och tomma resultat. INDEX/MATCH och VLOOKUP hämtar rätt rad. COUNTIF/COUNTIFS och SUMPRODUCT räknar pass och timmar. SEARCH kontrollerar lag, och ROUNDUP används för rekommenderat antal pass. Rullistor bygger på dataverifiering och färgindikatorer på villkorsstyrd formatering. Dolda hjälpkolumner håller ihop passen.</t>
  </si>
  <si>
    <t>UPPDATERINGSKONTROLL</t>
  </si>
  <si>
    <t>Jämför matcherna som planen byggdes på med den aktuella importen.</t>
  </si>
  <si>
    <t>KLASSNING</t>
  </si>
  <si>
    <t>Översätter Profixios klassnamn till lag, spelform, om matchen ska tas med och matchtid.</t>
  </si>
  <si>
    <t>REGLER</t>
  </si>
  <si>
    <t>Planeringsvärden, laglista och datumlista. Vissa regeländringar kräver att tidslinjen byggs om.</t>
  </si>
  <si>
    <t>IMPORT PROFIXIO</t>
  </si>
  <si>
    <t>Rådata från den senaste Profixio-exporten. Klistra bara in inom den angivna ytan.</t>
  </si>
  <si>
    <t>2. Små ändringar du kan göra själv</t>
  </si>
  <si>
    <t>Situation</t>
  </si>
  <si>
    <t>Gör så här</t>
  </si>
  <si>
    <t>Tänk på</t>
  </si>
  <si>
    <t>Tilldela eller ändra ett pass</t>
  </si>
  <si>
    <t>Välj lag i gul kolumn J i BEMANNINGSPLAN. Samma lag på sammanhängande rader blir ett pass.</t>
  </si>
  <si>
    <t>Kontroll ska helst visa Klar.</t>
  </si>
  <si>
    <t>Kortare öppettid</t>
  </si>
  <si>
    <t>Välj Nej i gul kolumn I för de halvtimmar som inte ska bemannas.</t>
  </si>
  <si>
    <t>CAFÉPASS börjar och slutar vid första respektive sista bemannade tidsrutan.</t>
  </si>
  <si>
    <t>Välj Minicafé i kolumn K på dagens första rad för aktuell hall.</t>
  </si>
  <si>
    <t>Låt valet stå kvar där även om just första halvtimmen sätts till Nej. Minicafé får ingen uppgift att handla för dagen.</t>
  </si>
  <si>
    <t>Egen information till laget</t>
  </si>
  <si>
    <t>Skriv kort text i gul kolumn L Kommentar.</t>
  </si>
  <si>
    <t>Kommentaren följer med till CAFÉPASS.</t>
  </si>
  <si>
    <t>Ny eller okänd Profixio-klass</t>
  </si>
  <si>
    <t>Lägg klassnamnet exakt som i Profixio på en tom rad i KLASSNING och fyll i lag, spelform och matchminuter.</t>
  </si>
  <si>
    <t>Alla klasser ingår automatiskt. Solnahallen undantas i MATCHER. Cafébeslutet tas i BEMANNINGSPLAN.</t>
  </si>
  <si>
    <t>Ändra planeringsvärde</t>
  </si>
  <si>
    <t>Ändra bara gula värden i REGLER.</t>
  </si>
  <si>
    <t>Värden som styr start/slut eller tidsrader slår inte igenom fullt ut förrän tidslinjen byggs om.</t>
  </si>
  <si>
    <t>Kontrollera resultat</t>
  </si>
  <si>
    <t>Titta i CAFÉPASS och LAGÖVERSIKT efter ändringen.</t>
  </si>
  <si>
    <t>Om Excel inte räknar om: använd Formler &gt; Beräkna nu eller Ctrl+Alt+F9.</t>
  </si>
  <si>
    <t>3. Uppdatera med en ny Profixio-nedladdning</t>
  </si>
  <si>
    <t>Steg</t>
  </si>
  <si>
    <t>Kontroll före nästa steg</t>
  </si>
  <si>
    <t>Spara en kopia av arbetsboken med datum i filnamnet. Behåll även den orörda Profixio-exporten.</t>
  </si>
  <si>
    <t>Du ska kunna gå tillbaka om något klistras in fel.</t>
  </si>
  <si>
    <t>Öppna den nya Profixio-filen och kontrollera att kolumnerna fortfarande motsvarar Matchnr till Kommentar.</t>
  </si>
  <si>
    <t>Om kolumnordningen har ändrats: klistra inte in förrän mappningen är kontrollerad.</t>
  </si>
  <si>
    <t>I denna arbetsbok: gå till IMPORT PROFIXIO. Markera och radera endast innehållet i A5:O504. Rör inte rubrikerna på rad 4.</t>
  </si>
  <si>
    <t>Gamla datarader ska vara borta; formler finns inte i importytan.</t>
  </si>
  <si>
    <t>Kopiera Profixios datarader utan rubrik och klistra in med start i A5. Klistra helst in värden.</t>
  </si>
  <si>
    <t>Inga data får hamna utanför kolumn O.</t>
  </si>
  <si>
    <t>Om exporten innehåller fler än 500 matcher: stoppa här. Formlerna i MATCHER och kontrollerna slutar på rad 504 och måste förlängas först.</t>
  </si>
  <si>
    <t>Sista importerade matchen ska ligga senast på rad 504.</t>
  </si>
  <si>
    <t>Sortera hela importområdet A:O på Speldatum, därefter Spelplats och Starttid. Ta alltid med alla 15 kolumner i sorteringen.</t>
  </si>
  <si>
    <t>En enskild sorterad kolumn skulle blanda ihop matchuppgifterna.</t>
  </si>
  <si>
    <t>Gå till MATCHER och kontrollera kolumnerna Lag, Typ, Visa i plan? och Matchminuter.</t>
  </si>
  <si>
    <t>SAKNAS eller 0 minuter betyder normalt att KLASSNING behöver kompletteras.</t>
  </si>
  <si>
    <t>Komplettera KLASSNING med exakt klassnamn, lag, spelform och matchminuter. Ingen klass behöver aktiveras.</t>
  </si>
  <si>
    <t>MATCHER ska därefter visa rimliga värden och beräknat slut.</t>
  </si>
  <si>
    <t>Öppna UPPDATERINGSKONTROLL. Läs antalen högst upp och filtrera statuskolumnerna vid behov.</t>
  </si>
  <si>
    <t>Rött eller texten ÄNDRAD, FLYTTAD, BORTTAGEN, NY MATCH, NY MATCHDAG eller NY KLASS kräver kontroll.</t>
  </si>
  <si>
    <t>För ändrad eller ny match på en redan befintlig dag och i en hall som redan har tidsrader: kontrollera BEMANNINGSPLAN.</t>
  </si>
  <si>
    <t>Matchvisningen uppdateras inom befintliga tidsrader. Tidsrader finns? varnar om starten eller slutet ligger utanför tidslinjen.</t>
  </si>
  <si>
    <t>Om en match har flyttats tidigare eller senare än den befintliga tidslinjen: bygg inte vidare blint.</t>
  </si>
  <si>
    <t>Det kan behövas fler halvtimmar och nya formler i de dolda hjälpkolumnerna.</t>
  </si>
  <si>
    <t>För borttagen match: avgör om dagen fortfarande ska ha café och om öppnings-/stängningstiden ska kortas.</t>
  </si>
  <si>
    <t>Ta bort eller ändra bemanning med Ja/Nej och lagval, inte genom att radera rader.</t>
  </si>
  <si>
    <t>För helt ny matchdag, ny hall den dagen eller fler än 500 importerade matcher: skapa en ny masterversion.</t>
  </si>
  <si>
    <t>Detta är den strukturella uppdateringen. Tidsrader, tabeller, rullistor och fasta formelintervall måste utökas samordnat.</t>
  </si>
  <si>
    <t>När alla kontroller är klara: kontrollera CAFÉPASS per lag och datum samt rimligheten i LAGÖVERSIKT.</t>
  </si>
  <si>
    <t>Spara som ny version. Publicera först därefter.</t>
  </si>
  <si>
    <t>4. Sådant som lätt bryter filen</t>
  </si>
  <si>
    <t>Ändra inte fliknamn. Formlerna hänvisar till namn som BEMANNINGSPLAN, MATCHER och REGLER.</t>
  </si>
  <si>
    <t>Radera, flytta eller sortera inte enstaka rader i BEMANNINGSPLAN, MATCHER eller CAFÉPASS. Använd filtren och de gula inmatningsfälten.</t>
  </si>
  <si>
    <t>Skriv inte över grå eller blå beräkningsfält och inte i dolda hjälpkolumner. De kopplar samman tidsrutor, pass och användarvyer.</t>
  </si>
  <si>
    <t>Klistra inte en ny export ovanpå gamla rader utan att först tömma A5:O504. Annars kan borttagna matcher ligga kvar.</t>
  </si>
  <si>
    <t>Infoga inte nya planeringsrader utan att samtidigt utöka tabeller, rullistor, villkorsstyrd formatering och alla berörda formelintervall.</t>
  </si>
  <si>
    <t>Ta en versionskopia före strukturella ändringar. Små planeringsändringar är enkla att backa; en trasig formelkedja är svårare att upptäcka.</t>
  </si>
  <si>
    <t>Laglistor och omklassning</t>
  </si>
  <si>
    <t>U8 samt F9–F18 och P9–P18 är förberedda. Ändra lag för en Profixio-klass i KLASSNING, kolumn B. Låt Profixio-klassens namn stå kvar.</t>
  </si>
  <si>
    <t>Laglistan finns i REGLER I6:I26. Åldersklasserna 15 och 17 används inte av förbundet och finns därför inte i listan.</t>
  </si>
  <si>
    <t>Ändrad klassning uppdaterar MATCHER, AIK-lag under dagen, antalet lag och lagöversikten. Redan tilldelade cafépass byter inte ansvarigt lag automatiskt.</t>
  </si>
  <si>
    <t>Nya matchdagar, hallar och ändrade öppettider kan fortfarande kräva nya eller justerade tidsrader. Omklassning bygger inte om tidslinjen.</t>
  </si>
  <si>
    <t>Nya regler för urval och cafébeslut</t>
  </si>
  <si>
    <t>KLASSNING – Ingår automatiskt</t>
  </si>
  <si>
    <t>Ersätter Ta med?. Alla registrerade klasser ingår. Fältet beräknas och är inte ett cafébeslut.</t>
  </si>
  <si>
    <t>MATCHER – Visa i plan?</t>
  </si>
  <si>
    <t>Ja för alla matcher utanför Solnahallen, oavsett lag och oavsett om café ska vara öppet.</t>
  </si>
  <si>
    <t>MATCHER – Tidsrader finns?</t>
  </si>
  <si>
    <t>Ersätter Cafégrundande?. Kontrollerar att matchens start och slut täcks av tidsrader. SAKNAS TIDSRADER betyder att tidslinjen måste kompletteras.</t>
  </si>
  <si>
    <t>BEMANNINGSPLAN – Café öppet?</t>
  </si>
  <si>
    <t>Ja + ansvarigt lag ger cafépass. Nej ger inget cafépass, men matchinformationen finns kvar. Nya tider är Ja utan tilldelat lag tills du tar ställning.</t>
  </si>
  <si>
    <t>Öppning, stängning och kommentarer</t>
  </si>
  <si>
    <t>Kryssen följer första och sista bemannade tidsrutan. En kommentar inom passet visas i CAFÉPASS även om den inte står på passets första rad.</t>
  </si>
  <si>
    <t>Bevarad planering</t>
  </si>
  <si>
    <t>De tidigare 479 tidsradernas tider, öppet/stängt, ansvariga lag, cafétyp och kommentarer är bevarade. 75 tidsrader har lagts till. Nya dagar med enbart äldre lag har Minicafé som ändringsbart förslag.</t>
  </si>
  <si>
    <t>Nya Profixio-nedladdningar</t>
  </si>
  <si>
    <t>Nya klasser visas automatiskt utanför Solnahallen men måste klassas för lag och matchtid. Nya datum, hallar eller tider utanför tidslinjen kräver fortfarande nya tidsrader. Se UPPDATERINGSKONTROLL.</t>
  </si>
  <si>
    <t>Vårens spel, deltagande lag sköter café</t>
  </si>
  <si>
    <t>Stäm av med AIK Dam som spelar efteråt</t>
  </si>
  <si>
    <t>OBS: lång paus efteråt, caféet stängs förmodligen, stäm av överlämning med F13!</t>
  </si>
  <si>
    <t>Match mellan besökande P11-lag. P12 preliminärt – inväntar klubbens besked.</t>
  </si>
  <si>
    <t>OBS: lång paus innan, stäm av överlämning med F10! Minicafé räcker säkert.</t>
  </si>
  <si>
    <r>
      <rPr>
        <b/>
        <sz val="12"/>
        <color theme="1"/>
        <rFont val="Aptos"/>
        <family val="2"/>
      </rPr>
      <t>Bemanna caféet</t>
    </r>
    <r>
      <rPr>
        <sz val="12"/>
        <color theme="1"/>
        <rFont val="Aptos"/>
        <family val="2"/>
      </rPr>
      <t xml:space="preserve"> under angiven tid. Kom ihåg att en </t>
    </r>
    <r>
      <rPr>
        <b/>
        <sz val="12"/>
        <color theme="1"/>
        <rFont val="Aptos"/>
        <family val="2"/>
      </rPr>
      <t>matchvärd behövs</t>
    </r>
    <r>
      <rPr>
        <sz val="12"/>
        <color theme="1"/>
        <rFont val="Aptos"/>
        <family val="2"/>
      </rPr>
      <t xml:space="preserve"> under tiden. Öppning / stängning samt uppdrag att handla för dagen anges med "X".</t>
    </r>
  </si>
  <si>
    <t>Sorterat på datum, hall och tid. Vuxenmatcher visas i planeringen som information.</t>
  </si>
  <si>
    <t>ATT TÄNKA PÅ</t>
  </si>
  <si>
    <t>Så använder du filen</t>
  </si>
  <si>
    <t>- Lagets caféansvarig fördelar passet mellan föräldrarna.</t>
  </si>
  <si>
    <t>- Caféansvarig stämmer av överlämning av cafépåse, nyckel eller nyckelkort före och efter passet.</t>
  </si>
  <si>
    <t>- Sista laget städar, inventerar och lämnar information vidare enligt instruktionerna.</t>
  </si>
  <si>
    <t>- Laget som bemannar caféet utser också en vuxen matchvärd.</t>
  </si>
  <si>
    <t>- Från U12 behöver sekretariatet bemannas (2 personer som har gått utbildningen).</t>
  </si>
  <si>
    <t>- För yngre lag behövs en person som sköter tidtagningen.</t>
  </si>
  <si>
    <t>- Första laget på dagen ansvarar för inköp till hela dagen (undantag: minicafé).</t>
  </si>
  <si>
    <t>I fliken CAFEPASS</t>
  </si>
  <si>
    <t>Välj en dag för att se alla cafépass samma dag och planera överlämning.</t>
  </si>
  <si>
    <t>I fliken MATCHER finns matchplanen enligt Profixio för olika speldagar, hallar och lag.</t>
  </si>
  <si>
    <t>Mer detaljer finns i det separata instruktionsdokumentet.</t>
  </si>
  <si>
    <t>- Se vilken cafétyp som anges för passet:</t>
  </si>
  <si>
    <r>
      <rPr>
        <sz val="12"/>
        <color theme="1"/>
        <rFont val="Aptos"/>
        <family val="2"/>
      </rPr>
      <t xml:space="preserve">- </t>
    </r>
    <r>
      <rPr>
        <b/>
        <sz val="12"/>
        <color theme="1"/>
        <rFont val="Aptos"/>
        <family val="2"/>
      </rPr>
      <t>Visa lag:</t>
    </r>
  </si>
  <si>
    <r>
      <rPr>
        <sz val="12"/>
        <color theme="1"/>
        <rFont val="Aptos"/>
        <family val="2"/>
      </rPr>
      <t xml:space="preserve">- </t>
    </r>
    <r>
      <rPr>
        <b/>
        <sz val="12"/>
        <color theme="1"/>
        <rFont val="Aptos"/>
        <family val="2"/>
      </rPr>
      <t xml:space="preserve">Visa datum: </t>
    </r>
  </si>
  <si>
    <r>
      <rPr>
        <b/>
        <sz val="12"/>
        <color theme="1"/>
        <rFont val="Aptos"/>
        <family val="2"/>
      </rPr>
      <t>Vanligt café</t>
    </r>
    <r>
      <rPr>
        <sz val="12"/>
        <color theme="1"/>
        <rFont val="Aptos"/>
        <family val="2"/>
      </rPr>
      <t>:</t>
    </r>
  </si>
  <si>
    <t>Servera hela utbudet, även mat. Planera också hembakat.</t>
  </si>
  <si>
    <r>
      <rPr>
        <b/>
        <sz val="12"/>
        <color theme="1"/>
        <rFont val="Aptos"/>
        <family val="2"/>
      </rPr>
      <t>Minicafé</t>
    </r>
    <r>
      <rPr>
        <sz val="12"/>
        <color theme="1"/>
        <rFont val="Aptos"/>
        <family val="2"/>
      </rPr>
      <t>:</t>
    </r>
    <r>
      <rPr>
        <sz val="12"/>
        <rFont val="Aptos"/>
        <family val="2"/>
      </rPr>
      <t xml:space="preserve"> </t>
    </r>
  </si>
  <si>
    <t>Ett enklare utbud av det som finns i hallen (inga inköp eller matförberedelser).</t>
  </si>
  <si>
    <t>- Ta hänsyn till eventuell kommentar för särskild information som gäller just det passet.</t>
  </si>
  <si>
    <t>Välj ditt lag för att se lagets alla cafépass.</t>
  </si>
  <si>
    <r>
      <t>(</t>
    </r>
    <r>
      <rPr>
        <i/>
        <sz val="12"/>
        <color theme="1"/>
        <rFont val="Aptos"/>
        <family val="2"/>
      </rPr>
      <t>Visa lag måste då stå på Alla lag.</t>
    </r>
    <r>
      <rPr>
        <sz val="12"/>
        <color theme="1"/>
        <rFont val="Apto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</si>
</sst>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_);_(@_)"/>
    <numFmt numFmtId="165" formatCode="_(* #,##0_);_(* \(#,##0\);_(* \-_);_(@_)"/>
    <numFmt numFmtId="166" formatCode="_(\$* #,##0.00_);_(\$* \(#,##0.00\);_(\$* \-??_);_(@_)"/>
    <numFmt numFmtId="167" formatCode="_(\$* #,##0_);_(\$* \(#,##0\);_(\$* \-_);_(@_)"/>
    <numFmt numFmtId="168" formatCode="yyyy\-mm\-dd"/>
    <numFmt numFmtId="169" formatCode="0.0"/>
    <numFmt numFmtId="170" formatCode="h:mm"/>
  </numFmts>
  <fonts count="37">
    <font>
      <sz val="10"/>
      <name val="Arial"/>
      <family val="2"/>
    </font>
    <font>
      <sz val="10"/>
      <name val="Arial"/>
      <family val="2"/>
    </font>
    <font>
      <sz val="11"/>
      <name val="Calibri"/>
      <family val="2"/>
    </font>
    <font>
      <b/>
      <sz val="17"/>
      <color rgb="FFFFFFFF"/>
      <name val="Aptos Display"/>
      <family val="2"/>
    </font>
    <font>
      <sz val="10"/>
      <color rgb="FF262626"/>
      <name val="Aptos"/>
      <family val="2"/>
    </font>
    <font>
      <b/>
      <sz val="10"/>
      <color rgb="FF262626"/>
      <name val="Aptos"/>
      <family val="2"/>
    </font>
    <font>
      <sz val="1"/>
      <color rgb="FFFFFFFF"/>
      <name val="Aptos"/>
      <family val="2"/>
    </font>
    <font>
      <sz val="10"/>
      <color rgb="FF222222"/>
      <name val="Aptos"/>
      <family val="2"/>
    </font>
    <font>
      <sz val="10"/>
      <color rgb="FF222222"/>
      <name val="Arial"/>
      <family val="2"/>
    </font>
    <font>
      <sz val="8"/>
      <name val="Arial"/>
      <family val="2"/>
    </font>
    <font>
      <b/>
      <sz val="10"/>
      <color rgb="FFFFFFFF"/>
      <name val="Aptos"/>
      <family val="2"/>
    </font>
    <font>
      <b/>
      <sz val="10"/>
      <color rgb="FF222222"/>
      <name val="Aptos"/>
      <family val="2"/>
    </font>
    <font>
      <sz val="11"/>
      <color rgb="FF222222"/>
      <name val="Arial"/>
      <family val="2"/>
    </font>
    <font>
      <b/>
      <sz val="10"/>
      <name val="Arial"/>
      <family val="2"/>
    </font>
    <font>
      <sz val="10"/>
      <name val="Arial Unicode MS"/>
      <charset val="1"/>
    </font>
    <font>
      <sz val="10"/>
      <name val="Arial"/>
      <family val="2"/>
      <charset val="1"/>
    </font>
    <font>
      <b/>
      <sz val="10"/>
      <name val="Arial"/>
      <family val="2"/>
      <charset val="1"/>
    </font>
    <font>
      <b/>
      <sz val="15"/>
      <color rgb="FFFFFFFF"/>
      <name val="Arial"/>
      <family val="2"/>
    </font>
    <font>
      <sz val="10"/>
      <color rgb="FF404040"/>
      <name val="Arial"/>
      <family val="2"/>
    </font>
    <font>
      <sz val="11"/>
      <name val="Arial"/>
      <family val="2"/>
    </font>
    <font>
      <b/>
      <sz val="11"/>
      <color rgb="FF1F1F1F"/>
      <name val="Arial"/>
      <family val="2"/>
    </font>
    <font>
      <b/>
      <sz val="10"/>
      <color rgb="FFFFFFFF"/>
      <name val="Arial"/>
      <family val="2"/>
    </font>
    <font>
      <b/>
      <sz val="10"/>
      <color rgb="FF404040"/>
      <name val="Arial"/>
      <family val="2"/>
    </font>
    <font>
      <b/>
      <sz val="11"/>
      <color rgb="FF404040"/>
      <name val="Arial"/>
      <family val="2"/>
    </font>
    <font>
      <sz val="10"/>
      <color rgb="FF7F0000"/>
      <name val="Arial"/>
      <family val="2"/>
    </font>
    <font>
      <b/>
      <sz val="11"/>
      <color rgb="FF222222"/>
      <name val="Arial"/>
      <family val="2"/>
    </font>
    <font>
      <sz val="10"/>
      <color rgb="FF222222"/>
      <name val="Aptos"/>
      <family val="2"/>
      <charset val="1"/>
    </font>
    <font>
      <b/>
      <sz val="17"/>
      <color theme="0"/>
      <name val="Aptos Display"/>
      <family val="2"/>
    </font>
    <font>
      <sz val="12"/>
      <color theme="1"/>
      <name val="Aptos"/>
      <family val="2"/>
    </font>
    <font>
      <b/>
      <sz val="12"/>
      <color theme="1"/>
      <name val="Aptos"/>
      <family val="2"/>
    </font>
    <font>
      <b/>
      <sz val="11"/>
      <color theme="0"/>
      <name val="Aptos"/>
      <family val="2"/>
    </font>
    <font>
      <b/>
      <sz val="11"/>
      <color theme="0"/>
      <name val="Arial"/>
      <family val="2"/>
    </font>
    <font>
      <b/>
      <sz val="10"/>
      <color theme="0"/>
      <name val="Aptos"/>
      <family val="2"/>
    </font>
    <font>
      <sz val="10"/>
      <color theme="1"/>
      <name val="Aptos"/>
      <family val="2"/>
    </font>
    <font>
      <b/>
      <sz val="10"/>
      <color theme="1"/>
      <name val="Aptos"/>
      <family val="2"/>
    </font>
    <font>
      <sz val="12"/>
      <name val="Aptos"/>
      <family val="2"/>
    </font>
    <font>
      <i/>
      <sz val="12"/>
      <color theme="1"/>
      <name val="Aptos"/>
      <family val="2"/>
    </font>
  </fonts>
  <fills count="23">
    <fill>
      <patternFill patternType="none"/>
    </fill>
    <fill>
      <patternFill patternType="gray125"/>
    </fill>
    <fill>
      <patternFill patternType="solid">
        <fgColor rgb="FF1A1A1A"/>
        <bgColor rgb="FF1C1C1C"/>
      </patternFill>
    </fill>
    <fill>
      <patternFill patternType="solid">
        <fgColor rgb="FFFFF2CC"/>
        <bgColor rgb="FFFFF0CD"/>
      </patternFill>
    </fill>
    <fill>
      <patternFill patternType="solid">
        <fgColor rgb="FFE6E8EB"/>
        <bgColor rgb="FFE7E7E7"/>
      </patternFill>
    </fill>
    <fill>
      <patternFill patternType="solid">
        <fgColor rgb="FFF4F5F6"/>
        <bgColor rgb="FFF3F5F6"/>
      </patternFill>
    </fill>
    <fill>
      <patternFill patternType="solid">
        <fgColor rgb="FFECF3F8"/>
        <bgColor rgb="FFF2F3F4"/>
      </patternFill>
    </fill>
    <fill>
      <patternFill patternType="solid">
        <fgColor rgb="FFF5F6F7"/>
        <bgColor rgb="FFF4F5F6"/>
      </patternFill>
    </fill>
    <fill>
      <patternFill patternType="solid">
        <fgColor rgb="FFFFFFFF"/>
        <bgColor rgb="FFF5F6F7"/>
      </patternFill>
    </fill>
    <fill>
      <patternFill patternType="solid">
        <fgColor rgb="FFF3F5F6"/>
        <bgColor rgb="FFF4F5F6"/>
      </patternFill>
    </fill>
    <fill>
      <patternFill patternType="solid">
        <fgColor rgb="FFF2F3F4"/>
        <bgColor rgb="FFF2F2F2"/>
      </patternFill>
    </fill>
    <fill>
      <patternFill patternType="solid">
        <fgColor rgb="FF1C1C1C"/>
        <bgColor rgb="FF1A1A1A"/>
      </patternFill>
    </fill>
    <fill>
      <patternFill patternType="solid">
        <fgColor rgb="FFDCE6F1"/>
        <bgColor rgb="FFDCEAF7"/>
      </patternFill>
    </fill>
    <fill>
      <patternFill patternType="solid">
        <fgColor rgb="FFF2F2F2"/>
        <bgColor rgb="FFF2F3F4"/>
      </patternFill>
    </fill>
    <fill>
      <patternFill patternType="solid">
        <fgColor rgb="FFFFF9E6"/>
        <bgColor rgb="FFF5F6F7"/>
      </patternFill>
    </fill>
    <fill>
      <patternFill patternType="solid">
        <fgColor rgb="FFFCE8E6"/>
        <bgColor rgb="FFFCE4D6"/>
      </patternFill>
    </fill>
    <fill>
      <patternFill patternType="solid">
        <fgColor theme="1"/>
        <bgColor rgb="FF1C1C1C"/>
      </patternFill>
    </fill>
    <fill>
      <patternFill patternType="solid">
        <fgColor theme="0" tint="-4.9989318521683403E-2"/>
        <bgColor rgb="FFF3F5F6"/>
      </patternFill>
    </fill>
    <fill>
      <patternFill patternType="solid">
        <fgColor theme="1" tint="0.14999847407452621"/>
        <bgColor rgb="FF404040"/>
      </patternFill>
    </fill>
    <fill>
      <patternFill patternType="solid">
        <fgColor theme="1" tint="0.14999847407452621"/>
        <bgColor rgb="FF1C1C1C"/>
      </patternFill>
    </fill>
    <fill>
      <patternFill patternType="solid">
        <fgColor rgb="FFFFE28F"/>
        <bgColor rgb="FFFFF0CD"/>
      </patternFill>
    </fill>
    <fill>
      <patternFill patternType="solid">
        <fgColor theme="0"/>
        <bgColor indexed="64"/>
      </patternFill>
    </fill>
    <fill>
      <patternFill patternType="solid">
        <fgColor theme="0"/>
        <bgColor rgb="FFF2F3F4"/>
      </patternFill>
    </fill>
  </fills>
  <borders count="31">
    <border>
      <left/>
      <right/>
      <top/>
      <bottom/>
      <diagonal/>
    </border>
    <border>
      <left style="thin">
        <color rgb="FFC9A227"/>
      </left>
      <right style="thin">
        <color rgb="FFC9A227"/>
      </right>
      <top style="thin">
        <color rgb="FFC9A227"/>
      </top>
      <bottom style="thin">
        <color rgb="FFC9A227"/>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rgb="FFC9A227"/>
      </left>
      <right/>
      <top/>
      <bottom/>
      <diagonal/>
    </border>
    <border>
      <left/>
      <right style="thin">
        <color rgb="FFC9A227"/>
      </right>
      <top/>
      <bottom/>
      <diagonal/>
    </border>
    <border>
      <left style="thin">
        <color rgb="FFC9A227"/>
      </left>
      <right/>
      <top/>
      <bottom style="thin">
        <color rgb="FFC9A227"/>
      </bottom>
      <diagonal/>
    </border>
    <border>
      <left/>
      <right/>
      <top/>
      <bottom style="medium">
        <color rgb="FF6F7C82"/>
      </bottom>
      <diagonal/>
    </border>
    <border>
      <left style="thin">
        <color rgb="FFC9A227"/>
      </left>
      <right/>
      <top/>
      <bottom style="medium">
        <color rgb="FF6F7C82"/>
      </bottom>
      <diagonal/>
    </border>
    <border>
      <left/>
      <right style="thin">
        <color rgb="FFC9A227"/>
      </right>
      <top/>
      <bottom style="medium">
        <color rgb="FF6F7C82"/>
      </bottom>
      <diagonal/>
    </border>
    <border>
      <left/>
      <right/>
      <top style="medium">
        <color rgb="FF777777"/>
      </top>
      <bottom/>
      <diagonal/>
    </border>
    <border>
      <left style="thin">
        <color rgb="FFC9A227"/>
      </left>
      <right/>
      <top style="medium">
        <color rgb="FF777777"/>
      </top>
      <bottom/>
      <diagonal/>
    </border>
    <border>
      <left/>
      <right style="thin">
        <color rgb="FFC9A227"/>
      </right>
      <top style="medium">
        <color rgb="FF777777"/>
      </top>
      <bottom/>
      <diagonal/>
    </border>
    <border>
      <left style="thin">
        <color rgb="FFC9A227"/>
      </left>
      <right/>
      <top style="thin">
        <color rgb="FFC9A227"/>
      </top>
      <bottom style="thin">
        <color rgb="FFC9A227"/>
      </bottom>
      <diagonal/>
    </border>
    <border>
      <left/>
      <right/>
      <top/>
      <bottom style="thin">
        <color rgb="FFC9A227"/>
      </bottom>
      <diagonal/>
    </border>
    <border>
      <left/>
      <right style="thin">
        <color rgb="FFC9A227"/>
      </right>
      <top/>
      <bottom style="thin">
        <color rgb="FFC9A227"/>
      </bottom>
      <diagonal/>
    </border>
    <border>
      <left style="thin">
        <color rgb="FFC9A227"/>
      </left>
      <right style="thin">
        <color rgb="FFC9A227"/>
      </right>
      <top style="thin">
        <color rgb="FFC9A227"/>
      </top>
      <bottom/>
      <diagonal/>
    </border>
    <border>
      <left style="thin">
        <color rgb="FFC9A227"/>
      </left>
      <right style="thin">
        <color rgb="FFC9A227"/>
      </right>
      <top/>
      <bottom/>
      <diagonal/>
    </border>
    <border>
      <left style="thin">
        <color rgb="FFC9A227"/>
      </left>
      <right/>
      <top style="thin">
        <color rgb="FFC9A227"/>
      </top>
      <bottom/>
      <diagonal/>
    </border>
    <border>
      <left/>
      <right/>
      <top style="thin">
        <color rgb="FFC9A227"/>
      </top>
      <bottom/>
      <diagonal/>
    </border>
    <border>
      <left/>
      <right style="thin">
        <color rgb="FFC9A227"/>
      </right>
      <top style="thin">
        <color rgb="FFC9A227"/>
      </top>
      <bottom/>
      <diagonal/>
    </border>
    <border>
      <left style="thin">
        <color rgb="FFC9A227"/>
      </left>
      <right style="thin">
        <color rgb="FFC9A227"/>
      </right>
      <top/>
      <bottom style="thin">
        <color rgb="FFC9A227"/>
      </bottom>
      <diagonal/>
    </border>
    <border>
      <left style="thin">
        <color rgb="FFB4C6E7"/>
      </left>
      <right style="thin">
        <color rgb="FFB4C6E7"/>
      </right>
      <top style="thin">
        <color rgb="FFB4C6E7"/>
      </top>
      <bottom style="thin">
        <color rgb="FFB4C6E7"/>
      </bottom>
      <diagonal/>
    </border>
    <border>
      <left/>
      <right style="thin">
        <color rgb="FFFFFFFF"/>
      </right>
      <top/>
      <bottom/>
      <diagonal/>
    </border>
    <border>
      <left style="thin">
        <color rgb="FFFFFFFF"/>
      </left>
      <right/>
      <top/>
      <bottom/>
      <diagonal/>
    </border>
    <border>
      <left style="thin">
        <color rgb="FFD9D9D9"/>
      </left>
      <right style="thin">
        <color rgb="FFD9D9D9"/>
      </right>
      <top style="thin">
        <color rgb="FFD9D9D9"/>
      </top>
      <bottom style="thin">
        <color rgb="FFD9D9D9"/>
      </bottom>
      <diagonal/>
    </border>
    <border>
      <left style="thin">
        <color rgb="FFFFFFFF"/>
      </left>
      <right style="thin">
        <color rgb="FFFFFFFF"/>
      </right>
      <top/>
      <bottom/>
      <diagonal/>
    </border>
    <border>
      <left/>
      <right/>
      <top/>
      <bottom style="thin">
        <color rgb="FFF4CCCC"/>
      </bottom>
      <diagonal/>
    </border>
    <border>
      <left/>
      <right/>
      <top style="thin">
        <color rgb="FFF4CCCC"/>
      </top>
      <bottom style="thin">
        <color rgb="FFF4CCCC"/>
      </bottom>
      <diagonal/>
    </border>
    <border>
      <left/>
      <right/>
      <top style="thin">
        <color rgb="FFF4CCCC"/>
      </top>
      <bottom/>
      <diagonal/>
    </border>
  </borders>
  <cellStyleXfs count="37">
    <xf numFmtId="0" fontId="0" fillId="0" borderId="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cellStyleXfs>
  <cellXfs count="205">
    <xf numFmtId="0" fontId="0" fillId="0" borderId="0" xfId="0"/>
    <xf numFmtId="0" fontId="4" fillId="0" borderId="0" xfId="22" applyFont="1" applyBorder="1" applyAlignment="1"/>
    <xf numFmtId="0" fontId="5" fillId="4" borderId="0" xfId="22" applyFont="1" applyFill="1" applyBorder="1" applyAlignment="1"/>
    <xf numFmtId="0" fontId="5" fillId="0" borderId="0" xfId="22" applyFont="1" applyBorder="1" applyAlignment="1">
      <alignment horizontal="center"/>
    </xf>
    <xf numFmtId="0" fontId="4" fillId="0" borderId="0" xfId="22" applyFont="1" applyBorder="1" applyAlignment="1">
      <alignment wrapText="1"/>
    </xf>
    <xf numFmtId="0" fontId="5" fillId="0" borderId="0" xfId="22" applyFont="1" applyBorder="1" applyAlignment="1">
      <alignment horizontal="right"/>
    </xf>
    <xf numFmtId="0" fontId="6" fillId="0" borderId="0" xfId="22" applyFont="1" applyBorder="1" applyAlignment="1">
      <alignment vertical="top"/>
    </xf>
    <xf numFmtId="0" fontId="1" fillId="0" borderId="0" xfId="25" applyFont="1" applyAlignment="1">
      <alignment vertical="top"/>
    </xf>
    <xf numFmtId="168" fontId="7" fillId="7" borderId="2" xfId="29" applyNumberFormat="1" applyFont="1" applyFill="1" applyBorder="1" applyAlignment="1">
      <alignment horizontal="center" vertical="center" wrapText="1"/>
    </xf>
    <xf numFmtId="0" fontId="7" fillId="7" borderId="2" xfId="29" applyFont="1" applyFill="1" applyBorder="1" applyAlignment="1">
      <alignment horizontal="center" vertical="center" wrapText="1"/>
    </xf>
    <xf numFmtId="0" fontId="7" fillId="7" borderId="2" xfId="29" applyFont="1" applyFill="1" applyBorder="1" applyAlignment="1">
      <alignment vertical="center" wrapText="1"/>
    </xf>
    <xf numFmtId="170" fontId="7" fillId="7" borderId="2" xfId="29" applyNumberFormat="1" applyFont="1" applyFill="1" applyBorder="1" applyAlignment="1">
      <alignment horizontal="center" vertical="center" wrapText="1"/>
    </xf>
    <xf numFmtId="169" fontId="7" fillId="7" borderId="2" xfId="29" applyNumberFormat="1" applyFont="1" applyFill="1" applyBorder="1" applyAlignment="1">
      <alignment horizontal="center" vertical="center" wrapText="1"/>
    </xf>
    <xf numFmtId="169" fontId="8" fillId="7" borderId="2" xfId="29" applyNumberFormat="1" applyFont="1" applyFill="1" applyBorder="1" applyAlignment="1">
      <alignment horizontal="center" vertical="center" wrapText="1"/>
    </xf>
    <xf numFmtId="168" fontId="7" fillId="7" borderId="2" xfId="29" applyNumberFormat="1" applyFont="1" applyFill="1" applyBorder="1" applyAlignment="1">
      <alignment vertical="center" wrapText="1"/>
    </xf>
    <xf numFmtId="0" fontId="6" fillId="5" borderId="0" xfId="22" applyFont="1" applyFill="1" applyBorder="1" applyAlignment="1"/>
    <xf numFmtId="170" fontId="6" fillId="5" borderId="0" xfId="22" applyNumberFormat="1" applyFont="1" applyFill="1" applyBorder="1" applyAlignment="1"/>
    <xf numFmtId="168" fontId="7" fillId="7" borderId="3" xfId="29" applyNumberFormat="1" applyFont="1" applyFill="1" applyBorder="1" applyAlignment="1">
      <alignment horizontal="center" vertical="center" wrapText="1"/>
    </xf>
    <xf numFmtId="0" fontId="7" fillId="7" borderId="3" xfId="29" applyFont="1" applyFill="1" applyBorder="1" applyAlignment="1">
      <alignment horizontal="center" vertical="center" wrapText="1"/>
    </xf>
    <xf numFmtId="0" fontId="7" fillId="7" borderId="3" xfId="29" applyFont="1" applyFill="1" applyBorder="1" applyAlignment="1">
      <alignment vertical="center" wrapText="1"/>
    </xf>
    <xf numFmtId="170" fontId="7" fillId="7" borderId="3" xfId="29" applyNumberFormat="1" applyFont="1" applyFill="1" applyBorder="1" applyAlignment="1">
      <alignment horizontal="center" vertical="center" wrapText="1"/>
    </xf>
    <xf numFmtId="169" fontId="7" fillId="7" borderId="3" xfId="29" applyNumberFormat="1" applyFont="1" applyFill="1" applyBorder="1" applyAlignment="1">
      <alignment horizontal="center" vertical="center" wrapText="1"/>
    </xf>
    <xf numFmtId="169" fontId="8" fillId="7" borderId="3" xfId="29" applyNumberFormat="1" applyFont="1" applyFill="1" applyBorder="1" applyAlignment="1">
      <alignment horizontal="center" vertical="center" wrapText="1"/>
    </xf>
    <xf numFmtId="168" fontId="7" fillId="7" borderId="3" xfId="29" applyNumberFormat="1" applyFont="1" applyFill="1" applyBorder="1" applyAlignment="1">
      <alignment vertical="center" wrapText="1"/>
    </xf>
    <xf numFmtId="0" fontId="8" fillId="0" borderId="3" xfId="29" applyFont="1" applyBorder="1" applyAlignment="1">
      <alignment vertical="center" wrapText="1"/>
    </xf>
    <xf numFmtId="0" fontId="1" fillId="0" borderId="3" xfId="29" applyBorder="1" applyAlignment="1"/>
    <xf numFmtId="0" fontId="9" fillId="0" borderId="3" xfId="29" applyFont="1" applyBorder="1" applyAlignment="1">
      <alignment wrapText="1"/>
    </xf>
    <xf numFmtId="0" fontId="1" fillId="0" borderId="4" xfId="29" applyBorder="1" applyAlignment="1"/>
    <xf numFmtId="0" fontId="9" fillId="0" borderId="4" xfId="29" applyFont="1" applyBorder="1" applyAlignment="1">
      <alignment wrapText="1"/>
    </xf>
    <xf numFmtId="0" fontId="10" fillId="2" borderId="0" xfId="22" applyFont="1" applyFill="1" applyBorder="1" applyAlignment="1">
      <alignment vertical="center" wrapText="1"/>
    </xf>
    <xf numFmtId="0" fontId="6" fillId="0" borderId="0" xfId="22" applyFont="1" applyBorder="1" applyAlignment="1"/>
    <xf numFmtId="0" fontId="4" fillId="5" borderId="0" xfId="22" applyFont="1" applyFill="1" applyBorder="1" applyAlignment="1"/>
    <xf numFmtId="168" fontId="4" fillId="5" borderId="0" xfId="29" applyNumberFormat="1" applyFont="1" applyFill="1" applyBorder="1" applyAlignment="1"/>
    <xf numFmtId="20" fontId="4" fillId="5" borderId="0" xfId="29" applyNumberFormat="1" applyFont="1" applyFill="1" applyBorder="1" applyAlignment="1"/>
    <xf numFmtId="0" fontId="4" fillId="6" borderId="0" xfId="22" applyFont="1" applyFill="1" applyBorder="1" applyAlignment="1"/>
    <xf numFmtId="20" fontId="4" fillId="6" borderId="0" xfId="29" applyNumberFormat="1" applyFont="1" applyFill="1" applyBorder="1" applyAlignment="1"/>
    <xf numFmtId="0" fontId="1" fillId="0" borderId="0" xfId="25" applyFont="1" applyAlignment="1">
      <alignment horizontal="center"/>
    </xf>
    <xf numFmtId="0" fontId="1" fillId="0" borderId="0" xfId="25" applyFont="1" applyAlignment="1">
      <alignment horizontal="left"/>
    </xf>
    <xf numFmtId="0" fontId="4" fillId="0" borderId="0" xfId="22" applyFont="1" applyBorder="1" applyAlignment="1">
      <alignment horizontal="center"/>
    </xf>
    <xf numFmtId="0" fontId="4" fillId="0" borderId="0" xfId="22" applyFont="1" applyBorder="1" applyAlignment="1">
      <alignment horizontal="left"/>
    </xf>
    <xf numFmtId="0" fontId="10" fillId="2" borderId="0" xfId="22" applyFont="1" applyFill="1" applyBorder="1" applyAlignment="1">
      <alignment horizontal="center" vertical="top" wrapText="1"/>
    </xf>
    <xf numFmtId="0" fontId="10" fillId="2" borderId="0" xfId="22" applyFont="1" applyFill="1" applyBorder="1" applyAlignment="1">
      <alignment vertical="top" wrapText="1"/>
    </xf>
    <xf numFmtId="168" fontId="7" fillId="8" borderId="0" xfId="29" applyNumberFormat="1" applyFont="1" applyFill="1" applyBorder="1" applyAlignment="1">
      <alignment horizontal="center" vertical="center" wrapText="1"/>
    </xf>
    <xf numFmtId="0" fontId="7" fillId="8" borderId="0" xfId="29" applyFont="1" applyFill="1" applyBorder="1" applyAlignment="1">
      <alignment horizontal="center" vertical="center" wrapText="1"/>
    </xf>
    <xf numFmtId="20" fontId="7" fillId="8" borderId="0" xfId="29" applyNumberFormat="1" applyFont="1" applyFill="1" applyBorder="1" applyAlignment="1">
      <alignment horizontal="center" vertical="center" wrapText="1"/>
    </xf>
    <xf numFmtId="0" fontId="7" fillId="8" borderId="0" xfId="29" applyFont="1" applyFill="1" applyBorder="1" applyAlignment="1">
      <alignment vertical="center" wrapText="1"/>
    </xf>
    <xf numFmtId="0" fontId="7" fillId="3" borderId="5" xfId="29" applyFont="1" applyFill="1" applyBorder="1" applyAlignment="1">
      <alignment horizontal="center" vertical="center" wrapText="1"/>
    </xf>
    <xf numFmtId="0" fontId="7" fillId="3" borderId="0" xfId="29" applyFont="1" applyFill="1" applyBorder="1" applyAlignment="1">
      <alignment horizontal="center" vertical="center" wrapText="1"/>
    </xf>
    <xf numFmtId="0" fontId="7" fillId="3" borderId="6" xfId="29" applyFont="1" applyFill="1" applyBorder="1" applyAlignment="1">
      <alignment horizontal="center" vertical="center" wrapText="1"/>
    </xf>
    <xf numFmtId="0" fontId="7" fillId="3" borderId="6" xfId="29" applyFont="1" applyFill="1" applyBorder="1" applyAlignment="1">
      <alignment horizontal="left" vertical="center" wrapText="1"/>
    </xf>
    <xf numFmtId="0" fontId="7" fillId="9" borderId="0" xfId="29" applyFont="1" applyFill="1" applyBorder="1" applyAlignment="1">
      <alignment horizontal="center" vertical="center" wrapText="1"/>
    </xf>
    <xf numFmtId="0" fontId="7" fillId="9" borderId="7" xfId="29" applyFont="1" applyFill="1" applyBorder="1" applyAlignment="1">
      <alignment horizontal="center" vertical="center" wrapText="1"/>
    </xf>
    <xf numFmtId="168" fontId="7" fillId="8" borderId="8" xfId="29" applyNumberFormat="1" applyFont="1" applyFill="1" applyBorder="1" applyAlignment="1">
      <alignment horizontal="center" vertical="center" wrapText="1"/>
    </xf>
    <xf numFmtId="0" fontId="7" fillId="8" borderId="8" xfId="29" applyFont="1" applyFill="1" applyBorder="1" applyAlignment="1">
      <alignment horizontal="center" vertical="center" wrapText="1"/>
    </xf>
    <xf numFmtId="20" fontId="7" fillId="8" borderId="8" xfId="29" applyNumberFormat="1" applyFont="1" applyFill="1" applyBorder="1" applyAlignment="1">
      <alignment horizontal="center" vertical="center" wrapText="1"/>
    </xf>
    <xf numFmtId="0" fontId="7" fillId="8" borderId="8" xfId="29" applyFont="1" applyFill="1" applyBorder="1" applyAlignment="1">
      <alignment vertical="center" wrapText="1"/>
    </xf>
    <xf numFmtId="0" fontId="7" fillId="3" borderId="9" xfId="29" applyFont="1" applyFill="1" applyBorder="1" applyAlignment="1">
      <alignment horizontal="center" vertical="center" wrapText="1"/>
    </xf>
    <xf numFmtId="0" fontId="7" fillId="3" borderId="8" xfId="29" applyFont="1" applyFill="1" applyBorder="1" applyAlignment="1">
      <alignment horizontal="center" vertical="center" wrapText="1"/>
    </xf>
    <xf numFmtId="0" fontId="7" fillId="3" borderId="10" xfId="29" applyFont="1" applyFill="1" applyBorder="1" applyAlignment="1">
      <alignment horizontal="center" vertical="center" wrapText="1"/>
    </xf>
    <xf numFmtId="0" fontId="7" fillId="3" borderId="10" xfId="29" applyFont="1" applyFill="1" applyBorder="1" applyAlignment="1">
      <alignment horizontal="left" vertical="center" wrapText="1"/>
    </xf>
    <xf numFmtId="0" fontId="7" fillId="9" borderId="8" xfId="29" applyFont="1" applyFill="1" applyBorder="1" applyAlignment="1">
      <alignment horizontal="center" vertical="center" wrapText="1"/>
    </xf>
    <xf numFmtId="168" fontId="7" fillId="8" borderId="11" xfId="29" applyNumberFormat="1" applyFont="1" applyFill="1" applyBorder="1" applyAlignment="1">
      <alignment horizontal="center" vertical="center" wrapText="1"/>
    </xf>
    <xf numFmtId="0" fontId="7" fillId="8" borderId="11" xfId="29" applyFont="1" applyFill="1" applyBorder="1" applyAlignment="1">
      <alignment horizontal="center" vertical="center" wrapText="1"/>
    </xf>
    <xf numFmtId="20" fontId="7" fillId="8" borderId="11" xfId="29" applyNumberFormat="1" applyFont="1" applyFill="1" applyBorder="1" applyAlignment="1">
      <alignment horizontal="center" vertical="center" wrapText="1"/>
    </xf>
    <xf numFmtId="0" fontId="7" fillId="8" borderId="11" xfId="29" applyFont="1" applyFill="1" applyBorder="1" applyAlignment="1">
      <alignment vertical="center" wrapText="1"/>
    </xf>
    <xf numFmtId="0" fontId="7" fillId="3" borderId="12" xfId="29" applyFont="1" applyFill="1" applyBorder="1" applyAlignment="1">
      <alignment horizontal="center" vertical="center" wrapText="1"/>
    </xf>
    <xf numFmtId="0" fontId="7" fillId="3" borderId="11" xfId="29" applyFont="1" applyFill="1" applyBorder="1" applyAlignment="1">
      <alignment horizontal="center" vertical="center" wrapText="1"/>
    </xf>
    <xf numFmtId="0" fontId="7" fillId="3" borderId="13" xfId="29" applyFont="1" applyFill="1" applyBorder="1" applyAlignment="1">
      <alignment horizontal="center" vertical="center" wrapText="1"/>
    </xf>
    <xf numFmtId="0" fontId="7" fillId="3" borderId="13" xfId="29" applyFont="1" applyFill="1" applyBorder="1" applyAlignment="1">
      <alignment horizontal="left" vertical="center" wrapText="1"/>
    </xf>
    <xf numFmtId="0" fontId="7" fillId="9" borderId="11" xfId="29" applyFont="1" applyFill="1" applyBorder="1" applyAlignment="1">
      <alignment horizontal="center" vertical="center" wrapText="1"/>
    </xf>
    <xf numFmtId="0" fontId="7" fillId="9" borderId="14" xfId="29" applyFont="1" applyFill="1" applyBorder="1" applyAlignment="1">
      <alignment horizontal="center" vertical="center" wrapText="1"/>
    </xf>
    <xf numFmtId="0" fontId="11" fillId="3" borderId="6" xfId="29" applyFont="1" applyFill="1" applyBorder="1" applyAlignment="1">
      <alignment horizontal="left" vertical="center" wrapText="1"/>
    </xf>
    <xf numFmtId="0" fontId="11" fillId="3" borderId="10" xfId="29" applyFont="1" applyFill="1" applyBorder="1" applyAlignment="1">
      <alignment horizontal="left" vertical="center" wrapText="1"/>
    </xf>
    <xf numFmtId="0" fontId="7" fillId="3" borderId="7" xfId="29" applyFont="1" applyFill="1" applyBorder="1" applyAlignment="1">
      <alignment horizontal="center" vertical="center" wrapText="1"/>
    </xf>
    <xf numFmtId="0" fontId="7" fillId="3" borderId="15" xfId="29" applyFont="1" applyFill="1" applyBorder="1" applyAlignment="1">
      <alignment horizontal="center" vertical="center" wrapText="1"/>
    </xf>
    <xf numFmtId="0" fontId="7" fillId="3" borderId="16" xfId="29" applyFont="1" applyFill="1" applyBorder="1" applyAlignment="1">
      <alignment horizontal="center" vertical="center" wrapText="1"/>
    </xf>
    <xf numFmtId="0" fontId="10" fillId="2" borderId="0" xfId="22" applyFont="1" applyFill="1" applyBorder="1" applyAlignment="1">
      <alignment horizontal="left" vertical="top" wrapText="1"/>
    </xf>
    <xf numFmtId="0" fontId="6" fillId="0" borderId="0" xfId="22" applyFont="1" applyBorder="1" applyAlignment="1">
      <alignment horizontal="left" vertical="top"/>
    </xf>
    <xf numFmtId="0" fontId="1" fillId="0" borderId="0" xfId="25" applyFont="1" applyAlignment="1">
      <alignment horizontal="left" vertical="top"/>
    </xf>
    <xf numFmtId="0" fontId="7" fillId="7" borderId="17" xfId="29" applyFont="1" applyFill="1" applyBorder="1" applyAlignment="1"/>
    <xf numFmtId="0" fontId="7" fillId="6" borderId="0" xfId="29" applyFont="1" applyFill="1" applyBorder="1" applyAlignment="1">
      <alignment horizontal="center"/>
    </xf>
    <xf numFmtId="169" fontId="7" fillId="6" borderId="0" xfId="29" applyNumberFormat="1" applyFont="1" applyFill="1" applyBorder="1" applyAlignment="1">
      <alignment horizontal="center"/>
    </xf>
    <xf numFmtId="0" fontId="7" fillId="3" borderId="17" xfId="29" applyFont="1" applyFill="1" applyBorder="1" applyAlignment="1"/>
    <xf numFmtId="0" fontId="7" fillId="7" borderId="18" xfId="29" applyFont="1" applyFill="1" applyBorder="1" applyAlignment="1"/>
    <xf numFmtId="0" fontId="7" fillId="3" borderId="18" xfId="29" applyFont="1" applyFill="1" applyBorder="1" applyAlignment="1"/>
    <xf numFmtId="0" fontId="4" fillId="7" borderId="18" xfId="24" applyFont="1" applyFill="1" applyBorder="1" applyAlignment="1"/>
    <xf numFmtId="0" fontId="4" fillId="6" borderId="0" xfId="22" applyFont="1" applyFill="1" applyBorder="1" applyAlignment="1">
      <alignment horizontal="center"/>
    </xf>
    <xf numFmtId="169" fontId="4" fillId="6" borderId="0" xfId="22" applyNumberFormat="1" applyFont="1" applyFill="1" applyBorder="1" applyAlignment="1">
      <alignment horizontal="center"/>
    </xf>
    <xf numFmtId="0" fontId="4" fillId="3" borderId="18" xfId="22" applyFont="1" applyFill="1" applyBorder="1" applyAlignment="1"/>
    <xf numFmtId="168" fontId="4" fillId="5" borderId="0" xfId="30" applyNumberFormat="1" applyFont="1" applyFill="1" applyBorder="1" applyAlignment="1"/>
    <xf numFmtId="20" fontId="4" fillId="5" borderId="0" xfId="30" applyNumberFormat="1" applyFont="1" applyFill="1" applyBorder="1" applyAlignment="1"/>
    <xf numFmtId="168" fontId="4" fillId="6" borderId="0" xfId="22" applyNumberFormat="1" applyFont="1" applyFill="1" applyBorder="1" applyAlignment="1"/>
    <xf numFmtId="170" fontId="4" fillId="6" borderId="0" xfId="22" applyNumberFormat="1" applyFont="1" applyFill="1" applyBorder="1" applyAlignment="1"/>
    <xf numFmtId="0" fontId="10" fillId="2" borderId="0" xfId="22" applyFont="1" applyFill="1" applyBorder="1" applyAlignment="1">
      <alignment horizontal="center" vertical="center" wrapText="1"/>
    </xf>
    <xf numFmtId="0" fontId="4" fillId="3" borderId="19" xfId="22" applyFont="1" applyFill="1" applyBorder="1" applyAlignment="1"/>
    <xf numFmtId="0" fontId="4" fillId="3" borderId="20" xfId="22" applyFont="1" applyFill="1" applyBorder="1" applyAlignment="1"/>
    <xf numFmtId="0" fontId="4" fillId="10" borderId="20" xfId="25" applyFont="1" applyFill="1" applyBorder="1" applyAlignment="1">
      <alignment horizontal="center"/>
    </xf>
    <xf numFmtId="0" fontId="4" fillId="3" borderId="20" xfId="22" applyFont="1" applyFill="1" applyBorder="1" applyAlignment="1">
      <alignment horizontal="center"/>
    </xf>
    <xf numFmtId="0" fontId="4" fillId="3" borderId="21" xfId="22" applyFont="1" applyFill="1" applyBorder="1" applyAlignment="1"/>
    <xf numFmtId="0" fontId="4" fillId="3" borderId="5" xfId="22" applyFont="1" applyFill="1" applyBorder="1" applyAlignment="1"/>
    <xf numFmtId="0" fontId="4" fillId="3" borderId="0" xfId="22" applyFont="1" applyFill="1" applyBorder="1" applyAlignment="1"/>
    <xf numFmtId="0" fontId="4" fillId="10" borderId="0" xfId="25" applyFont="1" applyFill="1" applyBorder="1" applyAlignment="1">
      <alignment horizontal="center"/>
    </xf>
    <xf numFmtId="0" fontId="4" fillId="3" borderId="0" xfId="22" applyFont="1" applyFill="1" applyBorder="1" applyAlignment="1">
      <alignment horizontal="center"/>
    </xf>
    <xf numFmtId="0" fontId="4" fillId="3" borderId="6" xfId="22" applyFont="1" applyFill="1" applyBorder="1" applyAlignment="1"/>
    <xf numFmtId="0" fontId="4" fillId="3" borderId="7" xfId="22" applyFont="1" applyFill="1" applyBorder="1" applyAlignment="1"/>
    <xf numFmtId="0" fontId="4" fillId="3" borderId="15" xfId="22" applyFont="1" applyFill="1" applyBorder="1" applyAlignment="1"/>
    <xf numFmtId="0" fontId="4" fillId="10" borderId="15" xfId="25" applyFont="1" applyFill="1" applyBorder="1" applyAlignment="1">
      <alignment horizontal="center"/>
    </xf>
    <xf numFmtId="0" fontId="4" fillId="3" borderId="15" xfId="22" applyFont="1" applyFill="1" applyBorder="1" applyAlignment="1">
      <alignment horizontal="center"/>
    </xf>
    <xf numFmtId="0" fontId="4" fillId="3" borderId="16" xfId="22" applyFont="1" applyFill="1" applyBorder="1" applyAlignment="1"/>
    <xf numFmtId="0" fontId="12" fillId="7" borderId="0" xfId="24" applyFont="1" applyFill="1" applyBorder="1" applyAlignment="1"/>
    <xf numFmtId="0" fontId="4" fillId="3" borderId="17" xfId="22" applyFont="1" applyFill="1" applyBorder="1" applyAlignment="1"/>
    <xf numFmtId="0" fontId="7" fillId="3" borderId="18" xfId="29" applyFont="1" applyFill="1" applyBorder="1" applyAlignment="1">
      <alignment vertical="center"/>
    </xf>
    <xf numFmtId="168" fontId="4" fillId="3" borderId="18" xfId="29" applyNumberFormat="1" applyFont="1" applyFill="1" applyBorder="1" applyAlignment="1"/>
    <xf numFmtId="169" fontId="4" fillId="3" borderId="22" xfId="22" applyNumberFormat="1" applyFont="1" applyFill="1" applyBorder="1" applyAlignment="1"/>
    <xf numFmtId="0" fontId="7" fillId="3" borderId="22" xfId="29" applyFont="1" applyFill="1" applyBorder="1" applyAlignment="1">
      <alignment vertical="center"/>
    </xf>
    <xf numFmtId="0" fontId="7" fillId="3" borderId="0" xfId="29" applyFont="1" applyFill="1" applyBorder="1" applyAlignment="1">
      <alignment vertical="center"/>
    </xf>
    <xf numFmtId="0" fontId="8" fillId="3" borderId="0" xfId="29" applyFont="1" applyFill="1" applyBorder="1" applyAlignment="1">
      <alignment vertical="center"/>
    </xf>
    <xf numFmtId="0" fontId="8" fillId="3" borderId="0" xfId="29" applyFont="1" applyFill="1" applyBorder="1" applyAlignment="1"/>
    <xf numFmtId="168" fontId="4" fillId="3" borderId="22" xfId="29" applyNumberFormat="1" applyFont="1" applyFill="1" applyBorder="1" applyAlignment="1"/>
    <xf numFmtId="168" fontId="1" fillId="0" borderId="0" xfId="29" applyNumberFormat="1" applyFont="1" applyBorder="1" applyAlignment="1"/>
    <xf numFmtId="0" fontId="13" fillId="0" borderId="0" xfId="25" applyFont="1" applyAlignment="1">
      <alignment horizontal="left" vertical="center"/>
    </xf>
    <xf numFmtId="0" fontId="19" fillId="0" borderId="0" xfId="22" applyFont="1" applyBorder="1" applyAlignment="1">
      <alignment vertical="center"/>
    </xf>
    <xf numFmtId="0" fontId="21" fillId="11" borderId="24" xfId="22" applyFont="1" applyFill="1" applyBorder="1" applyAlignment="1">
      <alignment vertical="center" wrapText="1"/>
    </xf>
    <xf numFmtId="0" fontId="21" fillId="11" borderId="25" xfId="22" applyFont="1" applyFill="1" applyBorder="1" applyAlignment="1">
      <alignment vertical="center" wrapText="1"/>
    </xf>
    <xf numFmtId="0" fontId="22" fillId="0" borderId="0" xfId="22" applyFont="1" applyBorder="1" applyAlignment="1">
      <alignment vertical="top"/>
    </xf>
    <xf numFmtId="0" fontId="18" fillId="0" borderId="0" xfId="22" applyFont="1" applyBorder="1" applyAlignment="1">
      <alignment vertical="top" wrapText="1"/>
    </xf>
    <xf numFmtId="0" fontId="19" fillId="0" borderId="0" xfId="22" applyFont="1" applyBorder="1" applyAlignment="1">
      <alignment vertical="top"/>
    </xf>
    <xf numFmtId="0" fontId="21" fillId="11" borderId="24" xfId="22" applyFont="1" applyFill="1" applyBorder="1" applyAlignment="1">
      <alignment vertical="top" wrapText="1"/>
    </xf>
    <xf numFmtId="0" fontId="21" fillId="11" borderId="27" xfId="22" applyFont="1" applyFill="1" applyBorder="1" applyAlignment="1">
      <alignment vertical="top" wrapText="1"/>
    </xf>
    <xf numFmtId="0" fontId="21" fillId="11" borderId="25" xfId="22" applyFont="1" applyFill="1" applyBorder="1" applyAlignment="1">
      <alignment vertical="top" wrapText="1"/>
    </xf>
    <xf numFmtId="0" fontId="22" fillId="0" borderId="0" xfId="22" applyFont="1" applyBorder="1" applyAlignment="1">
      <alignment vertical="top" wrapText="1"/>
    </xf>
    <xf numFmtId="0" fontId="18" fillId="14" borderId="0" xfId="22" applyFont="1" applyFill="1" applyBorder="1" applyAlignment="1">
      <alignment vertical="top" wrapText="1"/>
    </xf>
    <xf numFmtId="0" fontId="22" fillId="0" borderId="0" xfId="22" applyFont="1" applyBorder="1" applyAlignment="1">
      <alignment horizontal="center" vertical="top"/>
    </xf>
    <xf numFmtId="0" fontId="25" fillId="0" borderId="0" xfId="24" applyFont="1" applyBorder="1" applyAlignment="1">
      <alignment vertical="center" wrapText="1"/>
    </xf>
    <xf numFmtId="0" fontId="25" fillId="0" borderId="0" xfId="25" applyFont="1" applyBorder="1" applyAlignment="1">
      <alignment vertical="center" wrapText="1"/>
    </xf>
    <xf numFmtId="0" fontId="12" fillId="0" borderId="0" xfId="25" applyFont="1" applyBorder="1" applyAlignment="1">
      <alignment vertical="center" wrapText="1"/>
    </xf>
    <xf numFmtId="0" fontId="0" fillId="0" borderId="0" xfId="0"/>
    <xf numFmtId="0" fontId="6" fillId="5" borderId="0" xfId="22" applyFont="1" applyFill="1" applyBorder="1" applyAlignment="1"/>
    <xf numFmtId="0" fontId="6" fillId="0" borderId="0" xfId="22" applyFont="1" applyBorder="1" applyAlignment="1"/>
    <xf numFmtId="168" fontId="7" fillId="8" borderId="0" xfId="29" applyNumberFormat="1" applyFont="1" applyFill="1" applyBorder="1" applyAlignment="1">
      <alignment horizontal="center" vertical="center" wrapText="1"/>
    </xf>
    <xf numFmtId="0" fontId="7" fillId="8" borderId="0" xfId="29" applyFont="1" applyFill="1" applyBorder="1" applyAlignment="1">
      <alignment horizontal="center" vertical="center" wrapText="1"/>
    </xf>
    <xf numFmtId="20" fontId="7" fillId="8" borderId="0" xfId="29" applyNumberFormat="1" applyFont="1" applyFill="1" applyBorder="1" applyAlignment="1">
      <alignment horizontal="center" vertical="center" wrapText="1"/>
    </xf>
    <xf numFmtId="0" fontId="7" fillId="8" borderId="0" xfId="29" applyFont="1" applyFill="1" applyBorder="1" applyAlignment="1">
      <alignment vertical="center" wrapText="1"/>
    </xf>
    <xf numFmtId="0" fontId="7" fillId="3" borderId="5" xfId="29" applyFont="1" applyFill="1" applyBorder="1" applyAlignment="1">
      <alignment horizontal="center" vertical="center" wrapText="1"/>
    </xf>
    <xf numFmtId="0" fontId="7" fillId="3" borderId="0" xfId="29" applyFont="1" applyFill="1" applyBorder="1" applyAlignment="1">
      <alignment horizontal="center" vertical="center" wrapText="1"/>
    </xf>
    <xf numFmtId="0" fontId="7" fillId="3" borderId="6" xfId="29" applyFont="1" applyFill="1" applyBorder="1" applyAlignment="1">
      <alignment horizontal="center" vertical="center" wrapText="1"/>
    </xf>
    <xf numFmtId="0" fontId="7" fillId="3" borderId="6" xfId="29" applyFont="1" applyFill="1" applyBorder="1" applyAlignment="1">
      <alignment horizontal="left" vertical="center" wrapText="1"/>
    </xf>
    <xf numFmtId="0" fontId="7" fillId="9" borderId="0" xfId="29" applyFont="1" applyFill="1" applyBorder="1" applyAlignment="1">
      <alignment horizontal="center" vertical="center" wrapText="1"/>
    </xf>
    <xf numFmtId="168" fontId="7" fillId="8" borderId="8" xfId="29" applyNumberFormat="1" applyFont="1" applyFill="1" applyBorder="1" applyAlignment="1">
      <alignment horizontal="center" vertical="center" wrapText="1"/>
    </xf>
    <xf numFmtId="0" fontId="7" fillId="8" borderId="8" xfId="29" applyFont="1" applyFill="1" applyBorder="1" applyAlignment="1">
      <alignment horizontal="center" vertical="center" wrapText="1"/>
    </xf>
    <xf numFmtId="20" fontId="7" fillId="8" borderId="8" xfId="29" applyNumberFormat="1" applyFont="1" applyFill="1" applyBorder="1" applyAlignment="1">
      <alignment horizontal="center" vertical="center" wrapText="1"/>
    </xf>
    <xf numFmtId="0" fontId="7" fillId="8" borderId="8" xfId="29" applyFont="1" applyFill="1" applyBorder="1" applyAlignment="1">
      <alignment vertical="center" wrapText="1"/>
    </xf>
    <xf numFmtId="0" fontId="7" fillId="3" borderId="9" xfId="29" applyFont="1" applyFill="1" applyBorder="1" applyAlignment="1">
      <alignment horizontal="center" vertical="center" wrapText="1"/>
    </xf>
    <xf numFmtId="0" fontId="7" fillId="3" borderId="8" xfId="29" applyFont="1" applyFill="1" applyBorder="1" applyAlignment="1">
      <alignment horizontal="center" vertical="center" wrapText="1"/>
    </xf>
    <xf numFmtId="0" fontId="7" fillId="3" borderId="10" xfId="29" applyFont="1" applyFill="1" applyBorder="1" applyAlignment="1">
      <alignment horizontal="center" vertical="center" wrapText="1"/>
    </xf>
    <xf numFmtId="0" fontId="7" fillId="3" borderId="10" xfId="29" applyFont="1" applyFill="1" applyBorder="1" applyAlignment="1">
      <alignment horizontal="left" vertical="center" wrapText="1"/>
    </xf>
    <xf numFmtId="0" fontId="7" fillId="9" borderId="8" xfId="29" applyFont="1" applyFill="1" applyBorder="1" applyAlignment="1">
      <alignment horizontal="center" vertical="center" wrapText="1"/>
    </xf>
    <xf numFmtId="0" fontId="26" fillId="3" borderId="6" xfId="29" applyFont="1" applyFill="1" applyBorder="1" applyAlignment="1">
      <alignment horizontal="left" vertical="center" wrapText="1"/>
    </xf>
    <xf numFmtId="0" fontId="26" fillId="3" borderId="13" xfId="29" applyFont="1" applyFill="1" applyBorder="1" applyAlignment="1">
      <alignment horizontal="left" vertical="center" wrapText="1"/>
    </xf>
    <xf numFmtId="0" fontId="0" fillId="0" borderId="0" xfId="0" applyAlignment="1">
      <alignment vertical="center"/>
    </xf>
    <xf numFmtId="0" fontId="15" fillId="0" borderId="0" xfId="26" applyFont="1" applyAlignment="1">
      <alignment vertical="center"/>
    </xf>
    <xf numFmtId="0" fontId="1" fillId="0" borderId="0" xfId="25" applyFont="1" applyAlignment="1">
      <alignment horizontal="left" vertical="center" indent="1"/>
    </xf>
    <xf numFmtId="0" fontId="13" fillId="0" borderId="0" xfId="25" applyFont="1" applyAlignment="1">
      <alignment horizontal="left" vertical="center" indent="2"/>
    </xf>
    <xf numFmtId="0" fontId="30" fillId="18" borderId="0" xfId="27" applyFont="1" applyFill="1" applyBorder="1" applyAlignment="1">
      <alignment horizontal="center" vertical="top" wrapText="1"/>
    </xf>
    <xf numFmtId="0" fontId="30" fillId="18" borderId="0" xfId="27" applyFont="1" applyFill="1" applyBorder="1" applyAlignment="1">
      <alignment vertical="top" wrapText="1"/>
    </xf>
    <xf numFmtId="0" fontId="31" fillId="18" borderId="0" xfId="27" applyFont="1" applyFill="1" applyBorder="1" applyAlignment="1">
      <alignment horizontal="center" vertical="top" wrapText="1"/>
    </xf>
    <xf numFmtId="0" fontId="32" fillId="19" borderId="0" xfId="22" applyFont="1" applyFill="1" applyBorder="1" applyAlignment="1">
      <alignment vertical="center" wrapText="1"/>
    </xf>
    <xf numFmtId="0" fontId="34" fillId="21" borderId="0" xfId="22" applyFont="1" applyFill="1" applyBorder="1" applyAlignment="1"/>
    <xf numFmtId="0" fontId="34" fillId="21" borderId="0" xfId="27" applyFont="1" applyFill="1" applyBorder="1" applyAlignment="1">
      <alignment horizontal="right"/>
    </xf>
    <xf numFmtId="0" fontId="33" fillId="21" borderId="0" xfId="27" applyFont="1" applyFill="1" applyBorder="1" applyAlignment="1">
      <alignment horizontal="right"/>
    </xf>
    <xf numFmtId="0" fontId="33" fillId="21" borderId="0" xfId="27" applyFont="1" applyFill="1" applyBorder="1" applyAlignment="1">
      <alignment horizontal="left"/>
    </xf>
    <xf numFmtId="169" fontId="33" fillId="22" borderId="0" xfId="27" applyNumberFormat="1" applyFont="1" applyFill="1" applyBorder="1" applyAlignment="1">
      <alignment horizontal="left"/>
    </xf>
    <xf numFmtId="0" fontId="27" fillId="16" borderId="0" xfId="22" applyFont="1" applyFill="1" applyBorder="1" applyAlignment="1">
      <alignment vertical="center"/>
    </xf>
    <xf numFmtId="0" fontId="28" fillId="17" borderId="0" xfId="22" applyFont="1" applyFill="1" applyBorder="1" applyAlignment="1">
      <alignment vertical="center" wrapText="1"/>
    </xf>
    <xf numFmtId="0" fontId="28" fillId="17" borderId="0" xfId="22" applyFont="1" applyFill="1" applyBorder="1" applyAlignment="1">
      <alignment horizontal="left" vertical="center" wrapText="1"/>
    </xf>
    <xf numFmtId="0" fontId="29" fillId="17" borderId="0" xfId="22" quotePrefix="1" applyFont="1" applyFill="1" applyBorder="1" applyAlignment="1">
      <alignment horizontal="left" vertical="center" wrapText="1"/>
    </xf>
    <xf numFmtId="0" fontId="28" fillId="17" borderId="0" xfId="22" applyFont="1" applyFill="1" applyBorder="1" applyAlignment="1">
      <alignment horizontal="left" vertical="center" wrapText="1" indent="2"/>
    </xf>
    <xf numFmtId="0" fontId="4" fillId="5" borderId="0" xfId="22" applyFont="1" applyFill="1" applyBorder="1" applyAlignment="1">
      <alignment horizontal="left" vertical="center" wrapText="1"/>
    </xf>
    <xf numFmtId="0" fontId="3" fillId="2" borderId="0" xfId="22" applyFont="1" applyFill="1" applyBorder="1" applyAlignment="1">
      <alignment horizontal="left" vertical="center"/>
    </xf>
    <xf numFmtId="0" fontId="5" fillId="4" borderId="0" xfId="22" applyFont="1" applyFill="1" applyBorder="1" applyAlignment="1">
      <alignment horizontal="left"/>
    </xf>
    <xf numFmtId="0" fontId="4" fillId="3" borderId="0" xfId="22" applyFont="1" applyFill="1" applyBorder="1" applyAlignment="1">
      <alignment horizontal="left" vertical="center" wrapText="1"/>
    </xf>
    <xf numFmtId="0" fontId="28" fillId="17" borderId="0" xfId="22" applyFont="1" applyFill="1" applyBorder="1" applyAlignment="1">
      <alignment horizontal="left" vertical="center" wrapText="1"/>
    </xf>
    <xf numFmtId="0" fontId="28" fillId="17" borderId="0" xfId="22" quotePrefix="1" applyFont="1" applyFill="1" applyBorder="1" applyAlignment="1">
      <alignment horizontal="left" vertical="center" wrapText="1"/>
    </xf>
    <xf numFmtId="0" fontId="27" fillId="16" borderId="0" xfId="22" applyFont="1" applyFill="1" applyBorder="1" applyAlignment="1">
      <alignment vertical="center"/>
    </xf>
    <xf numFmtId="0" fontId="28" fillId="17" borderId="0" xfId="22" applyFont="1" applyFill="1" applyBorder="1" applyAlignment="1">
      <alignment vertical="center" wrapText="1"/>
    </xf>
    <xf numFmtId="0" fontId="27" fillId="19" borderId="0" xfId="22" applyFont="1" applyFill="1" applyBorder="1" applyAlignment="1">
      <alignment vertical="center"/>
    </xf>
    <xf numFmtId="0" fontId="33" fillId="17" borderId="0" xfId="22" applyFont="1" applyFill="1" applyBorder="1" applyAlignment="1">
      <alignment vertical="center" wrapText="1"/>
    </xf>
    <xf numFmtId="0" fontId="3" fillId="2" borderId="0" xfId="22" applyFont="1" applyFill="1" applyBorder="1" applyAlignment="1">
      <alignment vertical="center"/>
    </xf>
    <xf numFmtId="0" fontId="4" fillId="3" borderId="0" xfId="22" applyFont="1" applyFill="1" applyBorder="1" applyAlignment="1">
      <alignment vertical="center" wrapText="1"/>
    </xf>
    <xf numFmtId="0" fontId="4" fillId="5" borderId="0" xfId="22" applyFont="1" applyFill="1" applyBorder="1" applyAlignment="1">
      <alignment vertical="center" wrapText="1"/>
    </xf>
    <xf numFmtId="0" fontId="4" fillId="5" borderId="0" xfId="22" applyFont="1" applyFill="1" applyBorder="1" applyAlignment="1">
      <alignment wrapText="1"/>
    </xf>
    <xf numFmtId="0" fontId="12" fillId="0" borderId="0" xfId="25" applyFont="1" applyBorder="1" applyAlignment="1">
      <alignment vertical="center" wrapText="1"/>
    </xf>
    <xf numFmtId="0" fontId="25" fillId="0" borderId="0" xfId="25" applyFont="1" applyBorder="1" applyAlignment="1">
      <alignment vertical="center" wrapText="1"/>
    </xf>
    <xf numFmtId="0" fontId="24" fillId="15" borderId="30" xfId="22" applyFont="1" applyFill="1" applyBorder="1" applyAlignment="1">
      <alignment vertical="center" wrapText="1"/>
    </xf>
    <xf numFmtId="0" fontId="12" fillId="0" borderId="0" xfId="24" applyFont="1" applyBorder="1" applyAlignment="1">
      <alignment vertical="center" wrapText="1"/>
    </xf>
    <xf numFmtId="0" fontId="24" fillId="15" borderId="28" xfId="22" applyFont="1" applyFill="1" applyBorder="1" applyAlignment="1">
      <alignment vertical="center" wrapText="1"/>
    </xf>
    <xf numFmtId="0" fontId="24" fillId="15" borderId="29" xfId="22" applyFont="1" applyFill="1" applyBorder="1" applyAlignment="1">
      <alignment vertical="center" wrapText="1"/>
    </xf>
    <xf numFmtId="0" fontId="21" fillId="11" borderId="0" xfId="22" applyFont="1" applyFill="1" applyBorder="1" applyAlignment="1">
      <alignment vertical="center" wrapText="1"/>
    </xf>
    <xf numFmtId="0" fontId="18" fillId="13" borderId="26" xfId="22" applyFont="1" applyFill="1" applyBorder="1" applyAlignment="1">
      <alignment vertical="center" wrapText="1"/>
    </xf>
    <xf numFmtId="0" fontId="20" fillId="12" borderId="23" xfId="22" applyFont="1" applyFill="1" applyBorder="1" applyAlignment="1">
      <alignment vertical="top"/>
    </xf>
    <xf numFmtId="0" fontId="20" fillId="12" borderId="23" xfId="22" applyFont="1" applyFill="1" applyBorder="1" applyAlignment="1">
      <alignment vertical="center"/>
    </xf>
    <xf numFmtId="0" fontId="17" fillId="11" borderId="0" xfId="22" applyFont="1" applyFill="1" applyBorder="1" applyAlignment="1">
      <alignment vertical="center"/>
    </xf>
    <xf numFmtId="0" fontId="18" fillId="3" borderId="0" xfId="22" applyFont="1" applyFill="1" applyBorder="1" applyAlignment="1">
      <alignment vertical="center"/>
    </xf>
    <xf numFmtId="0" fontId="23" fillId="13" borderId="26" xfId="22" applyFont="1" applyFill="1" applyBorder="1" applyAlignment="1">
      <alignment horizontal="center" vertical="center" wrapText="1"/>
    </xf>
    <xf numFmtId="0" fontId="33" fillId="20" borderId="1" xfId="29" applyFont="1" applyFill="1" applyBorder="1" applyAlignment="1" applyProtection="1">
      <protection locked="0"/>
    </xf>
  </cellXfs>
  <cellStyles count="37">
    <cellStyle name="Comma [0] 2" xfId="6" xr:uid="{00000000-0005-0000-0000-00000B000000}"/>
    <cellStyle name="Comma [0] 3" xfId="7" xr:uid="{00000000-0005-0000-0000-00000C000000}"/>
    <cellStyle name="Comma [0] 4" xfId="8" xr:uid="{00000000-0005-0000-0000-00000D000000}"/>
    <cellStyle name="Comma [0] 5" xfId="9" xr:uid="{00000000-0005-0000-0000-00000E000000}"/>
    <cellStyle name="Comma [0] 6" xfId="10" xr:uid="{00000000-0005-0000-0000-00000F000000}"/>
    <cellStyle name="Comma 1" xfId="1" xr:uid="{00000000-0005-0000-0000-000006000000}"/>
    <cellStyle name="Comma 2" xfId="2" xr:uid="{00000000-0005-0000-0000-000007000000}"/>
    <cellStyle name="Comma 3" xfId="3" xr:uid="{00000000-0005-0000-0000-000008000000}"/>
    <cellStyle name="Comma 4" xfId="4" xr:uid="{00000000-0005-0000-0000-000009000000}"/>
    <cellStyle name="Comma 5" xfId="5" xr:uid="{00000000-0005-0000-0000-00000A000000}"/>
    <cellStyle name="Currency [0] 4" xfId="16" xr:uid="{00000000-0005-0000-0000-000015000000}"/>
    <cellStyle name="Currency [0] 5" xfId="17" xr:uid="{00000000-0005-0000-0000-000016000000}"/>
    <cellStyle name="Currency [0] 6" xfId="18" xr:uid="{00000000-0005-0000-0000-000017000000}"/>
    <cellStyle name="Currency [0] 7" xfId="19" xr:uid="{00000000-0005-0000-0000-000018000000}"/>
    <cellStyle name="Currency [0] 8" xfId="20" xr:uid="{00000000-0005-0000-0000-000019000000}"/>
    <cellStyle name="Currency 3" xfId="11" xr:uid="{00000000-0005-0000-0000-000010000000}"/>
    <cellStyle name="Currency 4" xfId="12" xr:uid="{00000000-0005-0000-0000-000011000000}"/>
    <cellStyle name="Currency 5" xfId="13" xr:uid="{00000000-0005-0000-0000-000012000000}"/>
    <cellStyle name="Currency 6" xfId="14" xr:uid="{00000000-0005-0000-0000-000013000000}"/>
    <cellStyle name="Currency 7" xfId="15" xr:uid="{00000000-0005-0000-0000-000014000000}"/>
    <cellStyle name="Normal" xfId="0" builtinId="0"/>
    <cellStyle name="Normal 1" xfId="22" xr:uid="{00000000-0005-0000-0000-00001B000000}"/>
    <cellStyle name="Normal 10" xfId="23" xr:uid="{00000000-0005-0000-0000-00001C000000}"/>
    <cellStyle name="Normal 11" xfId="21" xr:uid="{00000000-0005-0000-0000-00001A000000}"/>
    <cellStyle name="Normal 2" xfId="24" xr:uid="{00000000-0005-0000-0000-00001D000000}"/>
    <cellStyle name="Normal 3" xfId="25" xr:uid="{00000000-0005-0000-0000-00001E000000}"/>
    <cellStyle name="Normal 4" xfId="26" xr:uid="{00000000-0005-0000-0000-00001F000000}"/>
    <cellStyle name="Normal 5" xfId="27" xr:uid="{00000000-0005-0000-0000-000020000000}"/>
    <cellStyle name="Normal 6" xfId="28" xr:uid="{00000000-0005-0000-0000-000021000000}"/>
    <cellStyle name="Normal 7" xfId="29" xr:uid="{00000000-0005-0000-0000-000022000000}"/>
    <cellStyle name="Normal 8" xfId="30" xr:uid="{00000000-0005-0000-0000-000023000000}"/>
    <cellStyle name="Normal 9" xfId="31" xr:uid="{00000000-0005-0000-0000-000024000000}"/>
    <cellStyle name="Percent 10" xfId="32" xr:uid="{00000000-0005-0000-0000-000025000000}"/>
    <cellStyle name="Percent 11" xfId="33" xr:uid="{00000000-0005-0000-0000-000026000000}"/>
    <cellStyle name="Percent 6" xfId="34" xr:uid="{00000000-0005-0000-0000-000027000000}"/>
    <cellStyle name="Percent 7" xfId="35" xr:uid="{00000000-0005-0000-0000-000028000000}"/>
    <cellStyle name="Percent 9" xfId="36" xr:uid="{00000000-0005-0000-0000-000029000000}"/>
  </cellStyles>
  <dxfs count="24">
    <dxf>
      <font>
        <b/>
        <color rgb="FF9C0006"/>
      </font>
      <fill>
        <patternFill>
          <bgColor rgb="FFF4CCCC"/>
        </patternFill>
      </fill>
    </dxf>
    <dxf>
      <font>
        <color rgb="FF9C5700"/>
      </font>
      <fill>
        <patternFill>
          <bgColor rgb="FFFCE4D6"/>
        </patternFill>
      </fill>
    </dxf>
    <dxf>
      <font>
        <color rgb="FF356B42"/>
      </font>
      <fill>
        <patternFill>
          <bgColor rgb="FFEAF4EC"/>
        </patternFill>
      </fill>
    </dxf>
    <dxf>
      <font>
        <b/>
        <color rgb="FF9C0006"/>
      </font>
      <fill>
        <patternFill>
          <bgColor rgb="FFF4CCCC"/>
        </patternFill>
      </fill>
    </dxf>
    <dxf>
      <font>
        <color rgb="FF9C5700"/>
      </font>
      <fill>
        <patternFill>
          <bgColor rgb="FFFCE4D6"/>
        </patternFill>
      </fill>
    </dxf>
    <dxf>
      <font>
        <color rgb="FF356B42"/>
      </font>
      <fill>
        <patternFill>
          <bgColor rgb="FFEAF4EC"/>
        </patternFill>
      </fill>
    </dxf>
    <dxf>
      <font>
        <color rgb="FF808080"/>
      </font>
    </dxf>
    <dxf>
      <font>
        <color rgb="FFA6A6A6"/>
      </font>
      <fill>
        <patternFill>
          <bgColor theme="0" tint="-0.14999847407452621"/>
        </patternFill>
      </fill>
    </dxf>
    <dxf>
      <font>
        <color rgb="FFA6A6A6"/>
      </font>
      <fill>
        <patternFill>
          <bgColor theme="0" tint="-0.14999847407452621"/>
        </patternFill>
      </fill>
    </dxf>
    <dxf>
      <font>
        <color rgb="FF808080"/>
      </font>
    </dxf>
    <dxf>
      <font>
        <color rgb="FF9C0006"/>
      </font>
      <fill>
        <patternFill>
          <bgColor rgb="FFF9D8D8"/>
        </patternFill>
      </fill>
    </dxf>
    <dxf>
      <font>
        <color rgb="FF9C5700"/>
      </font>
      <fill>
        <patternFill>
          <bgColor rgb="FFFCE3C3"/>
        </patternFill>
      </fill>
    </dxf>
    <dxf>
      <font>
        <color rgb="FF9C6500"/>
      </font>
      <fill>
        <patternFill>
          <bgColor rgb="FFFFF0CD"/>
        </patternFill>
      </fill>
    </dxf>
    <dxf>
      <font>
        <color rgb="FF36563A"/>
      </font>
      <fill>
        <patternFill>
          <bgColor rgb="FFEDF4EC"/>
        </patternFill>
      </fill>
    </dxf>
    <dxf>
      <font>
        <b/>
        <color rgb="FF9C0006"/>
      </font>
      <fill>
        <patternFill>
          <bgColor rgb="FFF4CCCC"/>
        </patternFill>
      </fill>
    </dxf>
    <dxf>
      <font>
        <b/>
        <color rgb="FF9C5700"/>
      </font>
      <fill>
        <patternFill>
          <bgColor rgb="FFFCE4D6"/>
        </patternFill>
      </fill>
    </dxf>
    <dxf>
      <font>
        <color rgb="FF9C5700"/>
      </font>
      <fill>
        <patternFill>
          <bgColor rgb="FFFCE4D6"/>
        </patternFill>
      </fill>
    </dxf>
    <dxf>
      <font>
        <color rgb="FF666666"/>
      </font>
      <fill>
        <patternFill>
          <bgColor rgb="FFE7E6E6"/>
        </patternFill>
      </fill>
    </dxf>
    <dxf>
      <font>
        <color rgb="FF2E6B3B"/>
      </font>
      <fill>
        <patternFill>
          <bgColor rgb="FFE2F0D9"/>
        </patternFill>
      </fill>
    </dxf>
    <dxf>
      <font>
        <color rgb="FF808080"/>
      </font>
      <fill>
        <patternFill>
          <bgColor rgb="FFE7E7E7"/>
        </patternFill>
      </fill>
    </dxf>
    <dxf>
      <font>
        <color rgb="FF7F7F7F"/>
      </font>
      <fill>
        <patternFill>
          <bgColor rgb="FFE7E6E6"/>
        </patternFill>
      </fill>
    </dxf>
    <dxf>
      <font>
        <color rgb="FF7F7F7F"/>
      </font>
      <fill>
        <patternFill>
          <bgColor rgb="FFE7E6E6"/>
        </patternFill>
      </fill>
    </dxf>
    <dxf>
      <font>
        <strike val="0"/>
        <outline val="0"/>
        <shadow val="0"/>
        <u val="none"/>
        <vertAlign val="baseline"/>
        <sz val="10"/>
        <color theme="0"/>
        <name val="Aptos"/>
        <charset val="1"/>
        <scheme val="none"/>
      </font>
      <fill>
        <patternFill patternType="solid">
          <fgColor rgb="FF1C1C1C"/>
          <bgColor theme="1" tint="0.14999847407452621"/>
        </patternFill>
      </fill>
    </dxf>
    <dxf>
      <font>
        <strike val="0"/>
        <outline val="0"/>
        <shadow val="0"/>
        <u val="none"/>
        <vertAlign val="baseline"/>
        <sz val="11"/>
        <color theme="0"/>
      </font>
      <fill>
        <patternFill patternType="solid">
          <fgColor rgb="FF404040"/>
          <bgColor theme="1" tint="0.14999847407452621"/>
        </patternFill>
      </fill>
    </dxf>
  </dxfs>
  <tableStyles count="0"/>
  <colors>
    <indexedColors>
      <rgbColor rgb="FF000000"/>
      <rgbColor rgb="FFFFFFFF"/>
      <rgbColor rgb="FFFF0000"/>
      <rgbColor rgb="FFF2F2F2"/>
      <rgbColor rgb="FF0000FF"/>
      <rgbColor rgb="FFFFF0CD"/>
      <rgbColor rgb="FFF4F5F6"/>
      <rgbColor rgb="FFE7E7E7"/>
      <rgbColor rgb="FF7F0000"/>
      <rgbColor rgb="FF2E6B3B"/>
      <rgbColor rgb="FF1A1A1A"/>
      <rgbColor rgb="FF9C6500"/>
      <rgbColor rgb="FF800080"/>
      <rgbColor rgb="FF36563A"/>
      <rgbColor rgb="FFB4C6E7"/>
      <rgbColor rgb="FF808080"/>
      <rgbColor rgb="FF7F7F7F"/>
      <rgbColor rgb="FF777777"/>
      <rgbColor rgb="FFFFF9E6"/>
      <rgbColor rgb="FFDCEAF7"/>
      <rgbColor rgb="FF660066"/>
      <rgbColor rgb="FFFBE3D6"/>
      <rgbColor rgb="FFF3F5F6"/>
      <rgbColor rgb="FFD1D1D1"/>
      <rgbColor rgb="FF1C1C1C"/>
      <rgbColor rgb="FFF5F6F7"/>
      <rgbColor rgb="FFFCE4D6"/>
      <rgbColor rgb="FFECF3F8"/>
      <rgbColor rgb="FF800080"/>
      <rgbColor rgb="FF9C0006"/>
      <rgbColor rgb="FFF2F3F4"/>
      <rgbColor rgb="FF0000FF"/>
      <rgbColor rgb="FFEDF4EC"/>
      <rgbColor rgb="FFEAF4EC"/>
      <rgbColor rgb="FFD9F2D0"/>
      <rgbColor rgb="FFFFF2CC"/>
      <rgbColor rgb="FFD9D9D9"/>
      <rgbColor rgb="FFF9D8D8"/>
      <rgbColor rgb="FFDCE6F1"/>
      <rgbColor rgb="FFF4CCCC"/>
      <rgbColor rgb="FF6F7C82"/>
      <rgbColor rgb="FFE6E8EB"/>
      <rgbColor rgb="FFE2F0D9"/>
      <rgbColor rgb="FFFCE3C3"/>
      <rgbColor rgb="FFC9A227"/>
      <rgbColor rgb="FFE7E6E6"/>
      <rgbColor rgb="FF666666"/>
      <rgbColor rgb="FFA6A6A6"/>
      <rgbColor rgb="FF243E50"/>
      <rgbColor rgb="FF356B42"/>
      <rgbColor rgb="FF1F1F1F"/>
      <rgbColor rgb="FF222222"/>
      <rgbColor rgb="FF9C5700"/>
      <rgbColor rgb="FFFCE8E6"/>
      <rgbColor rgb="FF404040"/>
      <rgbColor rgb="FF262626"/>
      <rgbColor rgb="00003366"/>
      <rgbColor rgb="00339966"/>
      <rgbColor rgb="00003300"/>
      <rgbColor rgb="00333300"/>
      <rgbColor rgb="00993300"/>
      <rgbColor rgb="00993366"/>
      <rgbColor rgb="00333399"/>
      <rgbColor rgb="00333333"/>
    </indexedColors>
    <mruColors>
      <color rgb="FFFFE2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3</xdr:col>
      <xdr:colOff>0</xdr:colOff>
      <xdr:row>35</xdr:row>
      <xdr:rowOff>155428</xdr:rowOff>
    </xdr:to>
    <xdr:pic>
      <xdr:nvPicPr>
        <xdr:cNvPr id="4" name="Picture 3">
          <a:extLst>
            <a:ext uri="{FF2B5EF4-FFF2-40B4-BE49-F238E27FC236}">
              <a16:creationId xmlns:a16="http://schemas.microsoft.com/office/drawing/2014/main" id="{9DDDA017-2FD3-E1FD-C855-A7272A856787}"/>
            </a:ext>
          </a:extLst>
        </xdr:cNvPr>
        <xdr:cNvPicPr>
          <a:picLocks noChangeAspect="1"/>
        </xdr:cNvPicPr>
      </xdr:nvPicPr>
      <xdr:blipFill>
        <a:blip xmlns:r="http://schemas.openxmlformats.org/officeDocument/2006/relationships" r:embed="rId1"/>
        <a:stretch>
          <a:fillRect/>
        </a:stretch>
      </xdr:blipFill>
      <xdr:spPr>
        <a:xfrm>
          <a:off x="0" y="4514850"/>
          <a:ext cx="6867525" cy="2260453"/>
        </a:xfrm>
        <a:prstGeom prst="rect">
          <a:avLst/>
        </a:prstGeom>
        <a:ln w="28575">
          <a:solidFill>
            <a:schemeClr val="tx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CafePassV4" displayName="CafePassV4" ref="A6:L548" totalsRowShown="0" headerRowDxfId="23">
  <autoFilter ref="A6:L548" xr:uid="{00000000-000C-0000-FFFF-FFFF00000000}"/>
  <tableColumns count="12">
    <tableColumn id="1" xr3:uid="{00000000-0010-0000-0000-000001000000}" name="Datum"/>
    <tableColumn id="2" xr3:uid="{00000000-0010-0000-0000-000002000000}" name="Dag"/>
    <tableColumn id="3" xr3:uid="{00000000-0010-0000-0000-000003000000}" name="Hall"/>
    <tableColumn id="4" xr3:uid="{00000000-0010-0000-0000-000004000000}" name="Från"/>
    <tableColumn id="5" xr3:uid="{00000000-0010-0000-0000-000005000000}" name="Till"/>
    <tableColumn id="6" xr3:uid="{00000000-0010-0000-0000-000006000000}" name="Ansvarigt_x000a_lag"/>
    <tableColumn id="7" xr3:uid="{00000000-0010-0000-0000-000007000000}" name="Cafétyp"/>
    <tableColumn id="8" xr3:uid="{00000000-0010-0000-0000-000008000000}" name="Handla för dagen"/>
    <tableColumn id="9" xr3:uid="{00000000-0010-0000-0000-000009000000}" name="Öppna"/>
    <tableColumn id="10" xr3:uid="{00000000-0010-0000-0000-00000A000000}" name="Städa, inventera och stäng"/>
    <tableColumn id="11" xr3:uid="{00000000-0010-0000-0000-00000B000000}" name="Kommentar"/>
    <tableColumn id="12" xr3:uid="{00000000-0010-0000-0000-00000C000000}" name="Timmar"/>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MatcherV4" displayName="MatcherV4" ref="A4:N504" totalsRowShown="0" headerRowDxfId="22">
  <autoFilter ref="A4:N504" xr:uid="{00000000-000C-0000-FFFF-FFFF01000000}"/>
  <tableColumns count="14">
    <tableColumn id="1" xr3:uid="{00000000-0010-0000-0100-000001000000}" name="Matchnr"/>
    <tableColumn id="2" xr3:uid="{00000000-0010-0000-0100-000002000000}" name="Datum"/>
    <tableColumn id="3" xr3:uid="{00000000-0010-0000-0100-000003000000}" name="Tid"/>
    <tableColumn id="4" xr3:uid="{00000000-0010-0000-0100-000004000000}" name="Hall"/>
    <tableColumn id="5" xr3:uid="{00000000-0010-0000-0100-000005000000}" name="Profixio-klass"/>
    <tableColumn id="6" xr3:uid="{00000000-0010-0000-0100-000006000000}" name="Lag"/>
    <tableColumn id="7" xr3:uid="{00000000-0010-0000-0100-000007000000}" name="Typ"/>
    <tableColumn id="8" xr3:uid="{00000000-0010-0000-0100-000008000000}" name="Hemma"/>
    <tableColumn id="9" xr3:uid="{00000000-0010-0000-0100-000009000000}" name="Borta"/>
    <tableColumn id="10" xr3:uid="{00000000-0010-0000-0100-00000A000000}" name="AIK-lag i matchen"/>
    <tableColumn id="11" xr3:uid="{00000000-0010-0000-0100-00000B000000}" name="Visa i plan?"/>
    <tableColumn id="12" xr3:uid="{00000000-0010-0000-0100-00000C000000}" name="Matchminuter"/>
    <tableColumn id="13" xr3:uid="{00000000-0010-0000-0100-00000D000000}" name="Beräknat slut"/>
    <tableColumn id="14" xr3:uid="{00000000-0010-0000-0100-00000E000000}" name="Tidsrader finns?"/>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BemanningsplanV4" displayName="BemanningsplanV4" ref="A4:N546" totalsRowShown="0">
  <autoFilter ref="A4:N546" xr:uid="{00000000-000C-0000-FFFF-FFFF02000000}"/>
  <tableColumns count="14">
    <tableColumn id="1" xr3:uid="{00000000-0010-0000-0200-000001000000}" name="Datum"/>
    <tableColumn id="2" xr3:uid="{00000000-0010-0000-0200-000002000000}" name="Dag"/>
    <tableColumn id="3" xr3:uid="{00000000-0010-0000-0200-000003000000}" name="Hall"/>
    <tableColumn id="4" xr3:uid="{00000000-0010-0000-0200-000004000000}" name="Från"/>
    <tableColumn id="5" xr3:uid="{00000000-0010-0000-0200-000005000000}" name="Till"/>
    <tableColumn id="6" xr3:uid="{00000000-0010-0000-0200-000006000000}" name="Matcher under tidsrutan"/>
    <tableColumn id="7" xr3:uid="{00000000-0010-0000-0200-000007000000}" name="AIK-lag under_x000a_tiden"/>
    <tableColumn id="8" xr3:uid="{00000000-0010-0000-0200-000008000000}" name="AIK-lag under dagen"/>
    <tableColumn id="9" xr3:uid="{00000000-0010-0000-0200-000009000000}" name="Café_x000a_öppet?"/>
    <tableColumn id="10" xr3:uid="{00000000-0010-0000-0200-00000A000000}" name="Caféansvarigt_x000a_lag"/>
    <tableColumn id="11" xr3:uid="{00000000-0010-0000-0200-00000B000000}" name="Cafétyp_x000a_(dag)"/>
    <tableColumn id="12" xr3:uid="{00000000-0010-0000-0200-00000C000000}" name="Kommentar"/>
    <tableColumn id="13" xr3:uid="{00000000-0010-0000-0200-00000D000000}" name="Rek. pass"/>
    <tableColumn id="14" xr3:uid="{00000000-0010-0000-0200-00000E000000}" name="Kontroll"/>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LagoversiktV4" displayName="LagoversiktV4" ref="A4:N25" totalsRowShown="0">
  <tableColumns count="14">
    <tableColumn id="1" xr3:uid="{00000000-0010-0000-0300-000001000000}" name="Lag"/>
    <tableColumn id="2" xr3:uid="{00000000-0010-0000-0300-000002000000}" name="Matchdagar"/>
    <tableColumn id="3" xr3:uid="{00000000-0010-0000-0300-000003000000}" name="Matcher"/>
    <tableColumn id="4" xr3:uid="{00000000-0010-0000-0300-000004000000}" name="Cafépass"/>
    <tableColumn id="5" xr3:uid="{00000000-0010-0000-0300-000005000000}" name="Pass ≤2 h"/>
    <tableColumn id="6" xr3:uid="{00000000-0010-0000-0300-000006000000}" name="Cafétimmar"/>
    <tableColumn id="7" xr3:uid="{00000000-0010-0000-0300-000007000000}" name="Snitt/_x000a_pass"/>
    <tableColumn id="8" xr3:uid="{00000000-0010-0000-0300-000008000000}" name="Pass/_x000a_matchdag"/>
    <tableColumn id="9" xr3:uid="{00000000-0010-0000-0300-000009000000}" name="Timmar/_x000a_matchdag"/>
    <tableColumn id="10" xr3:uid="{00000000-0010-0000-0300-00000A000000}" name="Pass/_x000a_match"/>
    <tableColumn id="11" xr3:uid="{00000000-0010-0000-0300-00000B000000}" name="Timmar/_x000a_match"/>
    <tableColumn id="12" xr3:uid="{00000000-0010-0000-0300-00000C000000}" name="Öppningar"/>
    <tableColumn id="13" xr3:uid="{00000000-0010-0000-0300-00000D000000}" name="Stängningar"/>
    <tableColumn id="14" xr3:uid="{00000000-0010-0000-0300-00000E000000}" name="Kommentar"/>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KlassningV4" displayName="KlassningV4" ref="A4:F74" totalsRowShown="0">
  <tableColumns count="6">
    <tableColumn id="1" xr3:uid="{00000000-0010-0000-0400-000001000000}" name="Profixio-klass"/>
    <tableColumn id="2" xr3:uid="{00000000-0010-0000-0400-000002000000}" name="Lag"/>
    <tableColumn id="3" xr3:uid="{00000000-0010-0000-0400-000003000000}" name="Typ av spel"/>
    <tableColumn id="4" xr3:uid="{00000000-0010-0000-0400-000004000000}" name="Ingår automatiskt"/>
    <tableColumn id="5" xr3:uid="{00000000-0010-0000-0400-000005000000}" name="Matchminuter"/>
    <tableColumn id="6" xr3:uid="{00000000-0010-0000-0400-000006000000}" name="Kommentar"/>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ProfixioImportV3" displayName="ProfixioImportV3" ref="A4:O504" totalsRowShown="0">
  <autoFilter ref="A4:O504" xr:uid="{00000000-0009-0000-0100-000006000000}"/>
  <tableColumns count="15">
    <tableColumn id="1" xr3:uid="{00000000-0010-0000-0500-000001000000}" name="Matchnr"/>
    <tableColumn id="2" xr3:uid="{00000000-0010-0000-0500-000002000000}" name="Datum från"/>
    <tableColumn id="3" xr3:uid="{00000000-0010-0000-0500-000003000000}" name="Till"/>
    <tableColumn id="4" xr3:uid="{00000000-0010-0000-0500-000004000000}" name="Speldatum"/>
    <tableColumn id="5" xr3:uid="{00000000-0010-0000-0500-000005000000}" name="Starttid"/>
    <tableColumn id="6" xr3:uid="{00000000-0010-0000-0500-000006000000}" name="Spelplats"/>
    <tableColumn id="7" xr3:uid="{00000000-0010-0000-0500-000007000000}" name="Ansökn."/>
    <tableColumn id="8" xr3:uid="{00000000-0010-0000-0500-000008000000}" name="Hemma"/>
    <tableColumn id="9" xr3:uid="{00000000-0010-0000-0500-000009000000}" name="Borta"/>
    <tableColumn id="10" xr3:uid="{00000000-0010-0000-0500-00000A000000}" name="Resultat"/>
    <tableColumn id="11" xr3:uid="{00000000-0010-0000-0500-00000B000000}" name="Klass"/>
    <tableColumn id="12" xr3:uid="{00000000-0010-0000-0500-00000C000000}" name="Arrangerande förening"/>
    <tableColumn id="13" xr3:uid="{00000000-0010-0000-0500-00000D000000}" name="Distrikt"/>
    <tableColumn id="14" xr3:uid="{00000000-0010-0000-0500-00000E000000}" name="Sista dag att tidsätta"/>
    <tableColumn id="15" xr3:uid="{00000000-0010-0000-0500-00000F000000}" name="Kommentar"/>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CEAF7"/>
  </sheetPr>
  <dimension ref="A1:B23"/>
  <sheetViews>
    <sheetView showGridLines="0" zoomScaleNormal="100" workbookViewId="0">
      <selection activeCell="B28" sqref="B28"/>
    </sheetView>
  </sheetViews>
  <sheetFormatPr defaultColWidth="8.54296875" defaultRowHeight="12.5"/>
  <cols>
    <col min="1" max="1" width="2" bestFit="1" customWidth="1"/>
    <col min="2" max="2" width="115.1796875" customWidth="1"/>
  </cols>
  <sheetData>
    <row r="1" spans="1:2" ht="22">
      <c r="A1" s="178" t="s">
        <v>0</v>
      </c>
      <c r="B1" s="178"/>
    </row>
    <row r="2" spans="1:2" ht="6.75" customHeight="1">
      <c r="A2" s="1"/>
      <c r="B2" s="1"/>
    </row>
    <row r="3" spans="1:2" ht="13">
      <c r="A3" s="180" t="s">
        <v>1</v>
      </c>
      <c r="B3" s="180"/>
    </row>
    <row r="4" spans="1:2" ht="6.75" customHeight="1">
      <c r="A4" s="1"/>
      <c r="B4" s="1"/>
    </row>
    <row r="5" spans="1:2" ht="13">
      <c r="A5" s="179" t="s">
        <v>2</v>
      </c>
      <c r="B5" s="179"/>
    </row>
    <row r="6" spans="1:2" ht="13">
      <c r="A6" s="3" t="s">
        <v>3</v>
      </c>
      <c r="B6" s="4" t="s">
        <v>4</v>
      </c>
    </row>
    <row r="7" spans="1:2" ht="13">
      <c r="A7" s="3" t="s">
        <v>5</v>
      </c>
      <c r="B7" s="4" t="s">
        <v>6</v>
      </c>
    </row>
    <row r="8" spans="1:2" ht="13">
      <c r="A8" s="3" t="s">
        <v>7</v>
      </c>
      <c r="B8" s="4" t="s">
        <v>8</v>
      </c>
    </row>
    <row r="9" spans="1:2" ht="13">
      <c r="A9" s="3" t="s">
        <v>9</v>
      </c>
      <c r="B9" s="4" t="s">
        <v>10</v>
      </c>
    </row>
    <row r="10" spans="1:2" ht="13">
      <c r="A10" s="3" t="s">
        <v>11</v>
      </c>
      <c r="B10" s="4" t="s">
        <v>12</v>
      </c>
    </row>
    <row r="11" spans="1:2" ht="13">
      <c r="A11" s="3" t="s">
        <v>13</v>
      </c>
      <c r="B11" s="4" t="s">
        <v>14</v>
      </c>
    </row>
    <row r="12" spans="1:2" ht="13">
      <c r="A12" s="3"/>
      <c r="B12" s="4"/>
    </row>
    <row r="13" spans="1:2" ht="13">
      <c r="A13" s="179" t="s">
        <v>15</v>
      </c>
      <c r="B13" s="179"/>
    </row>
    <row r="14" spans="1:2" ht="13">
      <c r="A14" s="3" t="s">
        <v>3</v>
      </c>
      <c r="B14" s="4" t="s">
        <v>16</v>
      </c>
    </row>
    <row r="15" spans="1:2" ht="13">
      <c r="A15" s="3" t="s">
        <v>5</v>
      </c>
      <c r="B15" s="4" t="s">
        <v>17</v>
      </c>
    </row>
    <row r="16" spans="1:2" ht="13">
      <c r="A16" s="3" t="s">
        <v>7</v>
      </c>
      <c r="B16" s="4" t="s">
        <v>18</v>
      </c>
    </row>
    <row r="17" spans="1:2" ht="13">
      <c r="A17" s="3" t="s">
        <v>9</v>
      </c>
      <c r="B17" s="4" t="s">
        <v>19</v>
      </c>
    </row>
    <row r="18" spans="1:2" ht="13">
      <c r="A18" s="3" t="s">
        <v>11</v>
      </c>
      <c r="B18" s="4" t="s">
        <v>20</v>
      </c>
    </row>
    <row r="19" spans="1:2" ht="13">
      <c r="A19" s="3" t="s">
        <v>13</v>
      </c>
      <c r="B19" s="4" t="s">
        <v>21</v>
      </c>
    </row>
    <row r="20" spans="1:2" ht="13">
      <c r="A20" s="1"/>
      <c r="B20" s="1"/>
    </row>
    <row r="21" spans="1:2" ht="13">
      <c r="A21" s="179" t="s">
        <v>22</v>
      </c>
      <c r="B21" s="179"/>
    </row>
    <row r="22" spans="1:2" ht="13.4" customHeight="1">
      <c r="A22" s="177" t="s">
        <v>23</v>
      </c>
      <c r="B22" s="177"/>
    </row>
    <row r="23" spans="1:2" ht="12.75" customHeight="1">
      <c r="A23" s="177"/>
      <c r="B23" s="177"/>
    </row>
  </sheetData>
  <mergeCells count="6">
    <mergeCell ref="A22:B23"/>
    <mergeCell ref="A1:B1"/>
    <mergeCell ref="A21:B21"/>
    <mergeCell ref="A13:B13"/>
    <mergeCell ref="A5:B5"/>
    <mergeCell ref="A3:B3"/>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CEAF7"/>
  </sheetPr>
  <dimension ref="A1:A27"/>
  <sheetViews>
    <sheetView zoomScaleNormal="100" workbookViewId="0">
      <selection activeCell="B28" sqref="B28"/>
    </sheetView>
  </sheetViews>
  <sheetFormatPr defaultColWidth="8.54296875" defaultRowHeight="12.5"/>
  <cols>
    <col min="1" max="1" width="162.453125" style="159" customWidth="1"/>
    <col min="2" max="16384" width="8.54296875" style="159"/>
  </cols>
  <sheetData>
    <row r="1" spans="1:1" ht="16.5" customHeight="1">
      <c r="A1" s="159" t="s">
        <v>722</v>
      </c>
    </row>
    <row r="2" spans="1:1" ht="16.5" customHeight="1">
      <c r="A2" s="120" t="s">
        <v>723</v>
      </c>
    </row>
    <row r="3" spans="1:1" ht="16.5" customHeight="1">
      <c r="A3" s="161" t="s">
        <v>724</v>
      </c>
    </row>
    <row r="4" spans="1:1" ht="16.5" customHeight="1">
      <c r="A4" s="120" t="s">
        <v>725</v>
      </c>
    </row>
    <row r="5" spans="1:1" ht="16.5" customHeight="1">
      <c r="A5" s="161" t="s">
        <v>726</v>
      </c>
    </row>
    <row r="6" spans="1:1" ht="16.5" customHeight="1">
      <c r="A6" s="120" t="s">
        <v>727</v>
      </c>
    </row>
    <row r="7" spans="1:1" ht="16.5" customHeight="1">
      <c r="A7" s="161" t="s">
        <v>728</v>
      </c>
    </row>
    <row r="8" spans="1:1" ht="16.5" customHeight="1">
      <c r="A8" s="120" t="s">
        <v>729</v>
      </c>
    </row>
    <row r="9" spans="1:1" ht="16.5" customHeight="1">
      <c r="A9" s="161" t="s">
        <v>730</v>
      </c>
    </row>
    <row r="10" spans="1:1" ht="16.5" customHeight="1">
      <c r="A10" s="120" t="s">
        <v>731</v>
      </c>
    </row>
    <row r="11" spans="1:1" ht="16.5" customHeight="1">
      <c r="A11" s="161" t="s">
        <v>732</v>
      </c>
    </row>
    <row r="12" spans="1:1" ht="16.5" customHeight="1">
      <c r="A12" s="161" t="s">
        <v>733</v>
      </c>
    </row>
    <row r="13" spans="1:1" ht="16.5" customHeight="1">
      <c r="A13" s="120" t="s">
        <v>734</v>
      </c>
    </row>
    <row r="14" spans="1:1" ht="16.5" customHeight="1">
      <c r="A14" s="161" t="s">
        <v>735</v>
      </c>
    </row>
    <row r="15" spans="1:1" ht="16.5" customHeight="1">
      <c r="A15" s="120" t="s">
        <v>736</v>
      </c>
    </row>
    <row r="16" spans="1:1" ht="16.5" customHeight="1">
      <c r="A16" s="161" t="s">
        <v>737</v>
      </c>
    </row>
    <row r="17" spans="1:1" ht="16.5" customHeight="1">
      <c r="A17" s="162" t="s">
        <v>738</v>
      </c>
    </row>
    <row r="18" spans="1:1" ht="16.5" customHeight="1">
      <c r="A18" s="162" t="s">
        <v>739</v>
      </c>
    </row>
    <row r="19" spans="1:1" ht="16.5" customHeight="1">
      <c r="A19" s="162" t="s">
        <v>740</v>
      </c>
    </row>
    <row r="20" spans="1:1" ht="16.5" customHeight="1">
      <c r="A20" s="161" t="s">
        <v>741</v>
      </c>
    </row>
    <row r="21" spans="1:1" ht="16.5" customHeight="1">
      <c r="A21" s="120" t="s">
        <v>742</v>
      </c>
    </row>
    <row r="22" spans="1:1" ht="16.5" customHeight="1">
      <c r="A22" s="161" t="s">
        <v>743</v>
      </c>
    </row>
    <row r="23" spans="1:1" ht="16.5" customHeight="1">
      <c r="A23" s="120" t="s">
        <v>744</v>
      </c>
    </row>
    <row r="24" spans="1:1" ht="16.5" customHeight="1">
      <c r="A24" s="161" t="s">
        <v>745</v>
      </c>
    </row>
    <row r="25" spans="1:1" ht="16.5" customHeight="1">
      <c r="A25" s="120" t="s">
        <v>746</v>
      </c>
    </row>
    <row r="26" spans="1:1" ht="16.5" customHeight="1">
      <c r="A26" s="161" t="s">
        <v>747</v>
      </c>
    </row>
    <row r="27" spans="1:1" ht="16.5" customHeight="1">
      <c r="A27" s="160" t="s">
        <v>748</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BDC6-5907-48A0-B289-3F362815F165}">
  <sheetPr>
    <tabColor theme="9" tint="0.79998168889431442"/>
  </sheetPr>
  <dimension ref="A1:C21"/>
  <sheetViews>
    <sheetView tabSelected="1" workbookViewId="0"/>
  </sheetViews>
  <sheetFormatPr defaultRowHeight="12.5"/>
  <cols>
    <col min="1" max="1" width="3.81640625" style="136" customWidth="1"/>
    <col min="2" max="2" width="18.81640625" style="136" bestFit="1" customWidth="1"/>
    <col min="3" max="3" width="75.6328125" style="136" bestFit="1" customWidth="1"/>
    <col min="4" max="16384" width="8.7265625" style="136"/>
  </cols>
  <sheetData>
    <row r="1" spans="1:3" ht="22">
      <c r="A1" s="172" t="s">
        <v>865</v>
      </c>
      <c r="B1" s="172"/>
      <c r="C1" s="172"/>
    </row>
    <row r="2" spans="1:3" s="159" customFormat="1" ht="16">
      <c r="A2" s="182" t="s">
        <v>867</v>
      </c>
      <c r="B2" s="182"/>
      <c r="C2" s="181"/>
    </row>
    <row r="3" spans="1:3" s="159" customFormat="1" ht="16">
      <c r="A3" s="182" t="s">
        <v>868</v>
      </c>
      <c r="B3" s="182"/>
      <c r="C3" s="181"/>
    </row>
    <row r="4" spans="1:3" s="159" customFormat="1" ht="16">
      <c r="A4" s="182" t="s">
        <v>873</v>
      </c>
      <c r="B4" s="182"/>
      <c r="C4" s="181"/>
    </row>
    <row r="5" spans="1:3" s="159" customFormat="1" ht="16">
      <c r="A5" s="182" t="s">
        <v>869</v>
      </c>
      <c r="B5" s="182"/>
      <c r="C5" s="181"/>
    </row>
    <row r="6" spans="1:3" s="159" customFormat="1" ht="16">
      <c r="A6" s="182" t="s">
        <v>870</v>
      </c>
      <c r="B6" s="182"/>
      <c r="C6" s="181"/>
    </row>
    <row r="7" spans="1:3" s="159" customFormat="1" ht="16">
      <c r="A7" s="182" t="s">
        <v>871</v>
      </c>
      <c r="B7" s="182"/>
      <c r="C7" s="181"/>
    </row>
    <row r="8" spans="1:3" s="159" customFormat="1" ht="16">
      <c r="A8" s="182" t="s">
        <v>872</v>
      </c>
      <c r="B8" s="182"/>
      <c r="C8" s="181"/>
    </row>
    <row r="10" spans="1:3" ht="22">
      <c r="A10" s="172" t="s">
        <v>866</v>
      </c>
      <c r="B10" s="172"/>
      <c r="C10" s="172"/>
    </row>
    <row r="11" spans="1:3" ht="16">
      <c r="A11" s="181" t="s">
        <v>874</v>
      </c>
      <c r="B11" s="181"/>
      <c r="C11" s="181"/>
    </row>
    <row r="12" spans="1:3" ht="16">
      <c r="A12" s="174"/>
      <c r="B12" s="175" t="s">
        <v>879</v>
      </c>
      <c r="C12" s="174" t="s">
        <v>886</v>
      </c>
    </row>
    <row r="13" spans="1:3" ht="16">
      <c r="A13" s="174"/>
      <c r="B13" s="175" t="s">
        <v>880</v>
      </c>
      <c r="C13" s="174" t="s">
        <v>875</v>
      </c>
    </row>
    <row r="14" spans="1:3" ht="16">
      <c r="A14" s="174"/>
      <c r="B14" s="174"/>
      <c r="C14" s="174" t="s">
        <v>887</v>
      </c>
    </row>
    <row r="15" spans="1:3" ht="16">
      <c r="A15" s="174"/>
      <c r="B15" s="182" t="s">
        <v>878</v>
      </c>
      <c r="C15" s="181"/>
    </row>
    <row r="16" spans="1:3" ht="16" customHeight="1">
      <c r="A16" s="174"/>
      <c r="B16" s="176" t="s">
        <v>881</v>
      </c>
      <c r="C16" s="173" t="s">
        <v>882</v>
      </c>
    </row>
    <row r="17" spans="1:3" ht="16" customHeight="1">
      <c r="A17" s="174"/>
      <c r="B17" s="176" t="s">
        <v>883</v>
      </c>
      <c r="C17" s="173" t="s">
        <v>884</v>
      </c>
    </row>
    <row r="18" spans="1:3" ht="16">
      <c r="A18" s="174"/>
      <c r="B18" s="182" t="s">
        <v>885</v>
      </c>
      <c r="C18" s="181"/>
    </row>
    <row r="19" spans="1:3" ht="16">
      <c r="A19" s="181" t="s">
        <v>876</v>
      </c>
      <c r="B19" s="181"/>
      <c r="C19" s="181"/>
    </row>
    <row r="21" spans="1:3" ht="22">
      <c r="A21" s="172" t="s">
        <v>877</v>
      </c>
      <c r="B21" s="172"/>
      <c r="C21" s="172"/>
    </row>
  </sheetData>
  <sheetProtection sheet="1" objects="1" scenarios="1"/>
  <mergeCells count="11">
    <mergeCell ref="A2:C2"/>
    <mergeCell ref="A8:C8"/>
    <mergeCell ref="A5:C5"/>
    <mergeCell ref="A6:C6"/>
    <mergeCell ref="A7:C7"/>
    <mergeCell ref="A3:C3"/>
    <mergeCell ref="A11:C11"/>
    <mergeCell ref="B15:C15"/>
    <mergeCell ref="B18:C18"/>
    <mergeCell ref="A19:C19"/>
    <mergeCell ref="A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F2D0"/>
  </sheetPr>
  <dimension ref="A1:P560"/>
  <sheetViews>
    <sheetView showGridLines="0" zoomScaleNormal="100" workbookViewId="0">
      <selection sqref="A1:L1"/>
    </sheetView>
  </sheetViews>
  <sheetFormatPr defaultColWidth="8.54296875" defaultRowHeight="12.5"/>
  <cols>
    <col min="1" max="1" width="10.81640625" style="136" customWidth="1"/>
    <col min="2" max="2" width="7.1796875" style="136" customWidth="1"/>
    <col min="3" max="3" width="15.26953125" style="136" customWidth="1"/>
    <col min="4" max="4" width="10.54296875" style="136" customWidth="1"/>
    <col min="5" max="5" width="9.26953125" style="136" customWidth="1"/>
    <col min="6" max="6" width="16.26953125" style="136" customWidth="1"/>
    <col min="7" max="7" width="11.1796875" style="136" customWidth="1"/>
    <col min="8" max="8" width="10.453125" style="136" customWidth="1"/>
    <col min="9" max="9" width="9.453125" style="136" customWidth="1"/>
    <col min="10" max="10" width="19" style="136" customWidth="1"/>
    <col min="11" max="11" width="38" style="136" customWidth="1"/>
    <col min="12" max="12" width="8.453125" style="136" bestFit="1" customWidth="1"/>
    <col min="13" max="13" width="9.54296875" style="136" hidden="1" customWidth="1"/>
    <col min="14" max="14" width="12.54296875" style="136" hidden="1" customWidth="1"/>
    <col min="15" max="15" width="2.81640625" style="136" customWidth="1"/>
    <col min="16" max="16" width="0.7265625" style="136" customWidth="1"/>
    <col min="17" max="16384" width="8.54296875" style="136"/>
  </cols>
  <sheetData>
    <row r="1" spans="1:16" ht="22">
      <c r="A1" s="183" t="s">
        <v>24</v>
      </c>
      <c r="B1" s="183" t="s">
        <v>24</v>
      </c>
      <c r="C1" s="183" t="s">
        <v>24</v>
      </c>
      <c r="D1" s="183" t="s">
        <v>24</v>
      </c>
      <c r="E1" s="183" t="s">
        <v>24</v>
      </c>
      <c r="F1" s="183" t="s">
        <v>24</v>
      </c>
      <c r="G1" s="183" t="s">
        <v>24</v>
      </c>
      <c r="H1" s="183" t="s">
        <v>24</v>
      </c>
      <c r="I1" s="183" t="s">
        <v>24</v>
      </c>
      <c r="J1" s="183" t="s">
        <v>24</v>
      </c>
      <c r="K1" s="183"/>
      <c r="L1" s="183"/>
      <c r="M1" s="1"/>
      <c r="N1" s="1"/>
      <c r="O1" s="1"/>
      <c r="P1" s="1"/>
    </row>
    <row r="2" spans="1:16" ht="23.25" customHeight="1">
      <c r="A2" s="184" t="s">
        <v>863</v>
      </c>
      <c r="B2" s="184" t="s">
        <v>25</v>
      </c>
      <c r="C2" s="184" t="s">
        <v>25</v>
      </c>
      <c r="D2" s="184" t="s">
        <v>25</v>
      </c>
      <c r="E2" s="184" t="s">
        <v>25</v>
      </c>
      <c r="F2" s="184" t="s">
        <v>25</v>
      </c>
      <c r="G2" s="184" t="s">
        <v>25</v>
      </c>
      <c r="H2" s="184" t="s">
        <v>25</v>
      </c>
      <c r="I2" s="184" t="s">
        <v>25</v>
      </c>
      <c r="J2" s="184" t="s">
        <v>25</v>
      </c>
      <c r="K2" s="184"/>
      <c r="L2" s="184"/>
      <c r="M2" s="1"/>
      <c r="N2" s="1"/>
      <c r="O2" s="1"/>
      <c r="P2" s="1"/>
    </row>
    <row r="3" spans="1:16" ht="13">
      <c r="A3" s="1"/>
      <c r="B3" s="1"/>
      <c r="C3" s="1"/>
      <c r="D3" s="1"/>
      <c r="E3" s="1"/>
      <c r="F3" s="1"/>
      <c r="G3" s="1"/>
      <c r="H3" s="1"/>
      <c r="I3" s="1"/>
      <c r="J3" s="1"/>
      <c r="K3" s="1"/>
      <c r="L3" s="1"/>
      <c r="M3" s="1"/>
      <c r="N3" s="1"/>
      <c r="O3" s="1"/>
      <c r="P3" s="1"/>
    </row>
    <row r="4" spans="1:16" ht="13">
      <c r="A4" s="167" t="s">
        <v>26</v>
      </c>
      <c r="B4" s="204" t="s">
        <v>27</v>
      </c>
      <c r="C4" s="1"/>
      <c r="D4" s="167" t="s">
        <v>28</v>
      </c>
      <c r="E4" s="204" t="s">
        <v>29</v>
      </c>
      <c r="F4" s="1"/>
      <c r="G4" s="5"/>
      <c r="H4" s="5"/>
      <c r="I4" s="168" t="s">
        <v>30</v>
      </c>
      <c r="J4" s="171">
        <f>COUNT($O$7:$O$548)</f>
        <v>109</v>
      </c>
      <c r="K4" s="169" t="s">
        <v>31</v>
      </c>
      <c r="L4" s="170">
        <f>SUM(L7:L548)</f>
        <v>226.25000000000071</v>
      </c>
      <c r="M4" s="1"/>
      <c r="N4" s="1"/>
      <c r="O4" s="1"/>
      <c r="P4" s="1"/>
    </row>
    <row r="5" spans="1:16" ht="13">
      <c r="A5" s="1"/>
      <c r="B5" s="1"/>
      <c r="C5" s="1"/>
      <c r="D5" s="1"/>
      <c r="E5" s="1"/>
      <c r="F5" s="1"/>
      <c r="G5" s="1"/>
      <c r="H5" s="1"/>
      <c r="I5" s="1"/>
      <c r="J5" s="1"/>
      <c r="K5" s="1"/>
      <c r="L5" s="1"/>
      <c r="M5" s="1"/>
      <c r="N5" s="1"/>
      <c r="O5" s="1"/>
      <c r="P5" s="1"/>
    </row>
    <row r="6" spans="1:16" s="7" customFormat="1" ht="29">
      <c r="A6" s="163" t="s">
        <v>32</v>
      </c>
      <c r="B6" s="163" t="s">
        <v>33</v>
      </c>
      <c r="C6" s="164" t="s">
        <v>34</v>
      </c>
      <c r="D6" s="163" t="s">
        <v>35</v>
      </c>
      <c r="E6" s="163" t="s">
        <v>36</v>
      </c>
      <c r="F6" s="163" t="s">
        <v>37</v>
      </c>
      <c r="G6" s="164" t="s">
        <v>38</v>
      </c>
      <c r="H6" s="163" t="s">
        <v>39</v>
      </c>
      <c r="I6" s="163" t="s">
        <v>40</v>
      </c>
      <c r="J6" s="165" t="s">
        <v>41</v>
      </c>
      <c r="K6" s="164" t="s">
        <v>42</v>
      </c>
      <c r="L6" s="164" t="s">
        <v>31</v>
      </c>
      <c r="M6" s="6"/>
      <c r="N6" s="6"/>
      <c r="O6" s="6"/>
      <c r="P6" s="6"/>
    </row>
    <row r="7" spans="1:16" ht="27.75" customHeight="1">
      <c r="A7" s="8">
        <f>IF($P7="","",INDEX(BEMANNINGSPLAN!$A$5:$A$546,$P7))</f>
        <v>46284</v>
      </c>
      <c r="B7" s="9" t="str">
        <f>IF($P7="","",INDEX(BEMANNINGSPLAN!$B$5:$B$546,$P7))</f>
        <v>lördag</v>
      </c>
      <c r="C7" s="10" t="str">
        <f>IF($P7="","",INDEX(BEMANNINGSPLAN!$C$5:$C$546,$P7))</f>
        <v>Ulriksdalshallen</v>
      </c>
      <c r="D7" s="11">
        <f>IF($P7="","",INDEX(BEMANNINGSPLAN!$D$5:$D$546,$P7))</f>
        <v>0.58333333333333304</v>
      </c>
      <c r="E7" s="11">
        <f>IF($P7="","",SUMIF(BEMANNINGSPLAN!$W$5:$W$546,INDEX(BEMANNINGSPLAN!$W$5:$W$546,$P7),BEMANNINGSPLAN!$X$5:$X$546))</f>
        <v>0.73958333333333304</v>
      </c>
      <c r="F7" s="9" t="str">
        <f>IF($P7="","",INDEX(BEMANNINGSPLAN!$J$5:$J$546,$P7))</f>
        <v>F19</v>
      </c>
      <c r="G7" s="10" t="str">
        <f>IF($P7="","",INDEX(BEMANNINGSPLAN!$AD$5:$AD$546,$P7))</f>
        <v>Vanligt café</v>
      </c>
      <c r="H7" s="9" t="str">
        <f>IF($P7="","",IF(AND(INDEX(BEMANNINGSPLAN!$Y$5:$Y$546,$P7)=1,G7&lt;&gt;"Minicafé"),"X",""))</f>
        <v>X</v>
      </c>
      <c r="I7" s="12" t="str">
        <f>IF($P7="","",IF(INDEX(BEMANNINGSPLAN!$Y$5:$Y$546,$P7)=1,"X",""))</f>
        <v>X</v>
      </c>
      <c r="J7" s="13" t="str">
        <f>IF($P7="","",IF(SUMIF(BEMANNINGSPLAN!$W$5:$W$546,INDEX(BEMANNINGSPLAN!$W$5:$W$546,$P7),BEMANNINGSPLAN!$Z$5:$Z$546)=1,"X",""))</f>
        <v>X</v>
      </c>
      <c r="K7" s="14" t="str">
        <f>IF($P7="","",IFERROR(LOOKUP(2,1/((BEMANNINGSPLAN!$W$5:$W$546=INDEX(BEMANNINGSPLAN!$W$5:$W$546,$P7))*(BEMANNINGSPLAN!$L$5:$L$546&lt;&gt;"")),BEMANNINGSPLAN!$L$5:$L$546),""))</f>
        <v/>
      </c>
      <c r="L7" s="9">
        <f>IF($P7="","",INDEX(BEMANNINGSPLAN!$AE$5:$AE$546,$P7))</f>
        <v>3.75</v>
      </c>
      <c r="M7" s="137"/>
      <c r="N7" s="16"/>
      <c r="O7" s="16" t="str">
        <f>IF(AND(BEMANNINGSPLAN!U5=1,OR($B$4="Alla lag",BEMANNINGSPLAN!J5=$B$4),OR($E$4="Alla datum",BEMANNINGSPLAN!A5=$E$4)),COUNT($O$6:O6)+1,"")</f>
        <v/>
      </c>
      <c r="P7" s="137">
        <f t="shared" ref="P7:P70" si="0">IFERROR(MATCH(ROW()-ROW($P$7)+1,$O$7:$O$548,0),"")</f>
        <v>5</v>
      </c>
    </row>
    <row r="8" spans="1:16" ht="27.75" customHeight="1">
      <c r="A8" s="17">
        <f>IF($P8="","",INDEX(BEMANNINGSPLAN!$A$5:$A$546,$P8))</f>
        <v>46285</v>
      </c>
      <c r="B8" s="18" t="str">
        <f>IF($P8="","",INDEX(BEMANNINGSPLAN!$B$5:$B$546,$P8))</f>
        <v>söndag</v>
      </c>
      <c r="C8" s="19" t="str">
        <f>IF($P8="","",INDEX(BEMANNINGSPLAN!$C$5:$C$546,$P8))</f>
        <v>Ulriksdalshallen</v>
      </c>
      <c r="D8" s="20">
        <f>IF($P8="","",INDEX(BEMANNINGSPLAN!$D$5:$D$546,$P8))</f>
        <v>0.35416666666666702</v>
      </c>
      <c r="E8" s="20">
        <f>IF($P8="","",SUMIF(BEMANNINGSPLAN!$W$5:$W$546,INDEX(BEMANNINGSPLAN!$W$5:$W$546,$P8),BEMANNINGSPLAN!$X$5:$X$546))</f>
        <v>0.67708333333333304</v>
      </c>
      <c r="F8" s="18" t="str">
        <f>IF($P8="","",INDEX(BEMANNINGSPLAN!$J$5:$J$546,$P8))</f>
        <v>F19</v>
      </c>
      <c r="G8" s="19" t="str">
        <f>IF($P8="","",INDEX(BEMANNINGSPLAN!$AD$5:$AD$546,$P8))</f>
        <v>Vanligt café</v>
      </c>
      <c r="H8" s="18" t="str">
        <f>IF($P8="","",IF(AND(INDEX(BEMANNINGSPLAN!$Y$5:$Y$546,$P8)=1,G8&lt;&gt;"Minicafé"),"X",""))</f>
        <v>X</v>
      </c>
      <c r="I8" s="21" t="str">
        <f>IF($P8="","",IF(INDEX(BEMANNINGSPLAN!$Y$5:$Y$546,$P8)=1,"X",""))</f>
        <v>X</v>
      </c>
      <c r="J8" s="22" t="str">
        <f>IF($P8="","",IF(SUMIF(BEMANNINGSPLAN!$W$5:$W$546,INDEX(BEMANNINGSPLAN!$W$5:$W$546,$P8),BEMANNINGSPLAN!$Z$5:$Z$546)=1,"X",""))</f>
        <v>X</v>
      </c>
      <c r="K8" s="23" t="str">
        <f>IF($P8="","",IFERROR(LOOKUP(2,1/((BEMANNINGSPLAN!$W$5:$W$546=INDEX(BEMANNINGSPLAN!$W$5:$W$546,$P8))*(BEMANNINGSPLAN!$L$5:$L$546&lt;&gt;"")),BEMANNINGSPLAN!$L$5:$L$546),""))</f>
        <v/>
      </c>
      <c r="L8" s="18">
        <f>IF($P8="","",INDEX(BEMANNINGSPLAN!$AE$5:$AE$546,$P8))</f>
        <v>7.749999999999984</v>
      </c>
      <c r="M8" s="137"/>
      <c r="N8" s="16"/>
      <c r="O8" s="16" t="str">
        <f>IF(AND(BEMANNINGSPLAN!U6=1,OR($B$4="Alla lag",BEMANNINGSPLAN!J6=$B$4),OR($E$4="Alla datum",BEMANNINGSPLAN!A6=$E$4)),COUNT($O$6:O7)+1,"")</f>
        <v/>
      </c>
      <c r="P8" s="137">
        <f t="shared" si="0"/>
        <v>19</v>
      </c>
    </row>
    <row r="9" spans="1:16" ht="27.75" customHeight="1">
      <c r="A9" s="17">
        <f>IF($P9="","",INDEX(BEMANNINGSPLAN!$A$5:$A$546,$P9))</f>
        <v>46291</v>
      </c>
      <c r="B9" s="18" t="str">
        <f>IF($P9="","",INDEX(BEMANNINGSPLAN!$B$5:$B$546,$P9))</f>
        <v>lördag</v>
      </c>
      <c r="C9" s="19" t="str">
        <f>IF($P9="","",INDEX(BEMANNINGSPLAN!$C$5:$C$546,$P9))</f>
        <v>Råsta Park</v>
      </c>
      <c r="D9" s="20">
        <f>IF($P9="","",INDEX(BEMANNINGSPLAN!$D$5:$D$546,$P9))</f>
        <v>0.33333333333333298</v>
      </c>
      <c r="E9" s="20">
        <f>IF($P9="","",SUMIF(BEMANNINGSPLAN!$W$5:$W$546,INDEX(BEMANNINGSPLAN!$W$5:$W$546,$P9),BEMANNINGSPLAN!$X$5:$X$546))</f>
        <v>0.5</v>
      </c>
      <c r="F9" s="18" t="str">
        <f>IF($P9="","",INDEX(BEMANNINGSPLAN!$J$5:$J$546,$P9))</f>
        <v>F11</v>
      </c>
      <c r="G9" s="19" t="str">
        <f>IF($P9="","",INDEX(BEMANNINGSPLAN!$AD$5:$AD$546,$P9))</f>
        <v>Vanligt café</v>
      </c>
      <c r="H9" s="18" t="str">
        <f>IF($P9="","",IF(AND(INDEX(BEMANNINGSPLAN!$Y$5:$Y$546,$P9)=1,G9&lt;&gt;"Minicafé"),"X",""))</f>
        <v>X</v>
      </c>
      <c r="I9" s="21" t="str">
        <f>IF($P9="","",IF(INDEX(BEMANNINGSPLAN!$Y$5:$Y$546,$P9)=1,"X",""))</f>
        <v>X</v>
      </c>
      <c r="J9" s="22" t="str">
        <f>IF($P9="","",IF(SUMIF(BEMANNINGSPLAN!$W$5:$W$546,INDEX(BEMANNINGSPLAN!$W$5:$W$546,$P9),BEMANNINGSPLAN!$Z$5:$Z$546)=1,"X",""))</f>
        <v/>
      </c>
      <c r="K9" s="23" t="str">
        <f>IF($P9="","",IFERROR(LOOKUP(2,1/((BEMANNINGSPLAN!$W$5:$W$546=INDEX(BEMANNINGSPLAN!$W$5:$W$546,$P9))*(BEMANNINGSPLAN!$L$5:$L$546&lt;&gt;"")),BEMANNINGSPLAN!$L$5:$L$546),""))</f>
        <v/>
      </c>
      <c r="L9" s="18">
        <f>IF($P9="","",INDEX(BEMANNINGSPLAN!$AE$5:$AE$546,$P9))</f>
        <v>4.0000000000000089</v>
      </c>
      <c r="M9" s="137"/>
      <c r="N9" s="16"/>
      <c r="O9" s="16" t="str">
        <f>IF(AND(BEMANNINGSPLAN!U7=1,OR($B$4="Alla lag",BEMANNINGSPLAN!J7=$B$4),OR($E$4="Alla datum",BEMANNINGSPLAN!A7=$E$4)),COUNT($O$6:O8)+1,"")</f>
        <v/>
      </c>
      <c r="P9" s="137">
        <f t="shared" si="0"/>
        <v>35</v>
      </c>
    </row>
    <row r="10" spans="1:16" ht="27.75" customHeight="1">
      <c r="A10" s="17">
        <f>IF($P10="","",INDEX(BEMANNINGSPLAN!$A$5:$A$546,$P10))</f>
        <v>46291</v>
      </c>
      <c r="B10" s="18" t="str">
        <f>IF($P10="","",INDEX(BEMANNINGSPLAN!$B$5:$B$546,$P10))</f>
        <v>lördag</v>
      </c>
      <c r="C10" s="19" t="str">
        <f>IF($P10="","",INDEX(BEMANNINGSPLAN!$C$5:$C$546,$P10))</f>
        <v>Råsta Park</v>
      </c>
      <c r="D10" s="20">
        <f>IF($P10="","",INDEX(BEMANNINGSPLAN!$D$5:$D$546,$P10))</f>
        <v>0.5</v>
      </c>
      <c r="E10" s="20">
        <f>IF($P10="","",SUMIF(BEMANNINGSPLAN!$W$5:$W$546,INDEX(BEMANNINGSPLAN!$W$5:$W$546,$P10),BEMANNINGSPLAN!$X$5:$X$546))</f>
        <v>0.60416666666666696</v>
      </c>
      <c r="F10" s="18" t="str">
        <f>IF($P10="","",INDEX(BEMANNINGSPLAN!$J$5:$J$546,$P10))</f>
        <v>F13</v>
      </c>
      <c r="G10" s="19" t="str">
        <f>IF($P10="","",INDEX(BEMANNINGSPLAN!$AD$5:$AD$546,$P10))</f>
        <v>Vanligt café</v>
      </c>
      <c r="H10" s="18" t="str">
        <f>IF($P10="","",IF(AND(INDEX(BEMANNINGSPLAN!$Y$5:$Y$546,$P10)=1,G10&lt;&gt;"Minicafé"),"X",""))</f>
        <v/>
      </c>
      <c r="I10" s="21" t="str">
        <f>IF($P10="","",IF(INDEX(BEMANNINGSPLAN!$Y$5:$Y$546,$P10)=1,"X",""))</f>
        <v/>
      </c>
      <c r="J10" s="22" t="str">
        <f>IF($P10="","",IF(SUMIF(BEMANNINGSPLAN!$W$5:$W$546,INDEX(BEMANNINGSPLAN!$W$5:$W$546,$P10),BEMANNINGSPLAN!$Z$5:$Z$546)=1,"X",""))</f>
        <v>X</v>
      </c>
      <c r="K10" s="23" t="str">
        <f>IF($P10="","",IFERROR(LOOKUP(2,1/((BEMANNINGSPLAN!$W$5:$W$546=INDEX(BEMANNINGSPLAN!$W$5:$W$546,$P10))*(BEMANNINGSPLAN!$L$5:$L$546&lt;&gt;"")),BEMANNINGSPLAN!$L$5:$L$546),""))</f>
        <v/>
      </c>
      <c r="L10" s="18">
        <f>IF($P10="","",INDEX(BEMANNINGSPLAN!$AE$5:$AE$546,$P10))</f>
        <v>2.5000000000000071</v>
      </c>
      <c r="M10" s="137"/>
      <c r="N10" s="16"/>
      <c r="O10" s="16" t="str">
        <f>IF(AND(BEMANNINGSPLAN!U8=1,OR($B$4="Alla lag",BEMANNINGSPLAN!J8=$B$4),OR($E$4="Alla datum",BEMANNINGSPLAN!A8=$E$4)),COUNT($O$6:O9)+1,"")</f>
        <v/>
      </c>
      <c r="P10" s="137">
        <f t="shared" si="0"/>
        <v>43</v>
      </c>
    </row>
    <row r="11" spans="1:16" ht="27.75" customHeight="1">
      <c r="A11" s="17">
        <f>IF($P11="","",INDEX(BEMANNINGSPLAN!$A$5:$A$546,$P11))</f>
        <v>46298</v>
      </c>
      <c r="B11" s="18" t="str">
        <f>IF($P11="","",INDEX(BEMANNINGSPLAN!$B$5:$B$546,$P11))</f>
        <v>lördag</v>
      </c>
      <c r="C11" s="19" t="str">
        <f>IF($P11="","",INDEX(BEMANNINGSPLAN!$C$5:$C$546,$P11))</f>
        <v>Råsta Park</v>
      </c>
      <c r="D11" s="20">
        <f>IF($P11="","",INDEX(BEMANNINGSPLAN!$D$5:$D$546,$P11))</f>
        <v>0.5625</v>
      </c>
      <c r="E11" s="20">
        <f>IF($P11="","",SUMIF(BEMANNINGSPLAN!$W$5:$W$546,INDEX(BEMANNINGSPLAN!$W$5:$W$546,$P11),BEMANNINGSPLAN!$X$5:$X$546))</f>
        <v>0.625</v>
      </c>
      <c r="F11" s="18" t="str">
        <f>IF($P11="","",INDEX(BEMANNINGSPLAN!$J$5:$J$546,$P11))</f>
        <v>P16</v>
      </c>
      <c r="G11" s="19" t="str">
        <f>IF($P11="","",INDEX(BEMANNINGSPLAN!$AD$5:$AD$546,$P11))</f>
        <v>Minicafé</v>
      </c>
      <c r="H11" s="18" t="str">
        <f>IF($P11="","",IF(AND(INDEX(BEMANNINGSPLAN!$Y$5:$Y$546,$P11)=1,G11&lt;&gt;"Minicafé"),"X",""))</f>
        <v/>
      </c>
      <c r="I11" s="21" t="str">
        <f>IF($P11="","",IF(INDEX(BEMANNINGSPLAN!$Y$5:$Y$546,$P11)=1,"X",""))</f>
        <v>X</v>
      </c>
      <c r="J11" s="22" t="str">
        <f>IF($P11="","",IF(SUMIF(BEMANNINGSPLAN!$W$5:$W$546,INDEX(BEMANNINGSPLAN!$W$5:$W$546,$P11),BEMANNINGSPLAN!$Z$5:$Z$546)=1,"X",""))</f>
        <v>X</v>
      </c>
      <c r="K11" s="23" t="str">
        <f>IF($P11="","",IFERROR(LOOKUP(2,1/((BEMANNINGSPLAN!$W$5:$W$546=INDEX(BEMANNINGSPLAN!$W$5:$W$546,$P11))*(BEMANNINGSPLAN!$L$5:$L$546&lt;&gt;"")),BEMANNINGSPLAN!$L$5:$L$546),""))</f>
        <v/>
      </c>
      <c r="L11" s="18">
        <f>IF($P11="","",INDEX(BEMANNINGSPLAN!$AE$5:$AE$546,$P11))</f>
        <v>1.5</v>
      </c>
      <c r="M11" s="137"/>
      <c r="N11" s="16"/>
      <c r="O11" s="16">
        <f>IF(AND(BEMANNINGSPLAN!U9=1,OR($B$4="Alla lag",BEMANNINGSPLAN!J9=$B$4),OR($E$4="Alla datum",BEMANNINGSPLAN!A9=$E$4)),COUNT($O$6:O10)+1,"")</f>
        <v>1</v>
      </c>
      <c r="P11" s="137">
        <f t="shared" si="0"/>
        <v>50</v>
      </c>
    </row>
    <row r="12" spans="1:16" ht="27.75" customHeight="1">
      <c r="A12" s="17">
        <f>IF($P12="","",INDEX(BEMANNINGSPLAN!$A$5:$A$546,$P12))</f>
        <v>46298</v>
      </c>
      <c r="B12" s="18" t="str">
        <f>IF($P12="","",INDEX(BEMANNINGSPLAN!$B$5:$B$546,$P12))</f>
        <v>lördag</v>
      </c>
      <c r="C12" s="19" t="str">
        <f>IF($P12="","",INDEX(BEMANNINGSPLAN!$C$5:$C$546,$P12))</f>
        <v>Ulriksdalshallen</v>
      </c>
      <c r="D12" s="20">
        <f>IF($P12="","",INDEX(BEMANNINGSPLAN!$D$5:$D$546,$P12))</f>
        <v>0.33333333333333298</v>
      </c>
      <c r="E12" s="20">
        <f>IF($P12="","",SUMIF(BEMANNINGSPLAN!$W$5:$W$546,INDEX(BEMANNINGSPLAN!$W$5:$W$546,$P12),BEMANNINGSPLAN!$X$5:$X$546))</f>
        <v>0.5</v>
      </c>
      <c r="F12" s="18" t="str">
        <f>IF($P12="","",INDEX(BEMANNINGSPLAN!$J$5:$J$546,$P12))</f>
        <v>F12</v>
      </c>
      <c r="G12" s="19" t="str">
        <f>IF($P12="","",INDEX(BEMANNINGSPLAN!$AD$5:$AD$546,$P12))</f>
        <v>Vanligt café</v>
      </c>
      <c r="H12" s="18" t="str">
        <f>IF($P12="","",IF(AND(INDEX(BEMANNINGSPLAN!$Y$5:$Y$546,$P12)=1,G12&lt;&gt;"Minicafé"),"X",""))</f>
        <v>X</v>
      </c>
      <c r="I12" s="21" t="str">
        <f>IF($P12="","",IF(INDEX(BEMANNINGSPLAN!$Y$5:$Y$546,$P12)=1,"X",""))</f>
        <v>X</v>
      </c>
      <c r="J12" s="22" t="str">
        <f>IF($P12="","",IF(SUMIF(BEMANNINGSPLAN!$W$5:$W$546,INDEX(BEMANNINGSPLAN!$W$5:$W$546,$P12),BEMANNINGSPLAN!$Z$5:$Z$546)=1,"X",""))</f>
        <v/>
      </c>
      <c r="K12" s="23" t="str">
        <f>IF($P12="","",IFERROR(LOOKUP(2,1/((BEMANNINGSPLAN!$W$5:$W$546=INDEX(BEMANNINGSPLAN!$W$5:$W$546,$P12))*(BEMANNINGSPLAN!$L$5:$L$546&lt;&gt;"")),BEMANNINGSPLAN!$L$5:$L$546),""))</f>
        <v/>
      </c>
      <c r="L12" s="18">
        <f>IF($P12="","",INDEX(BEMANNINGSPLAN!$AE$5:$AE$546,$P12))</f>
        <v>4.0000000000000089</v>
      </c>
      <c r="M12" s="137"/>
      <c r="N12" s="16"/>
      <c r="O12" s="16" t="str">
        <f>IF(AND(BEMANNINGSPLAN!U10=1,OR($B$4="Alla lag",BEMANNINGSPLAN!J10=$B$4),OR($E$4="Alla datum",BEMANNINGSPLAN!A10=$E$4)),COUNT($O$6:O11)+1,"")</f>
        <v/>
      </c>
      <c r="P12" s="137">
        <f t="shared" si="0"/>
        <v>53</v>
      </c>
    </row>
    <row r="13" spans="1:16" ht="27.75" customHeight="1">
      <c r="A13" s="17">
        <f>IF($P13="","",INDEX(BEMANNINGSPLAN!$A$5:$A$546,$P13))</f>
        <v>46298</v>
      </c>
      <c r="B13" s="18" t="str">
        <f>IF($P13="","",INDEX(BEMANNINGSPLAN!$B$5:$B$546,$P13))</f>
        <v>lördag</v>
      </c>
      <c r="C13" s="19" t="str">
        <f>IF($P13="","",INDEX(BEMANNINGSPLAN!$C$5:$C$546,$P13))</f>
        <v>Ulriksdalshallen</v>
      </c>
      <c r="D13" s="20">
        <f>IF($P13="","",INDEX(BEMANNINGSPLAN!$D$5:$D$546,$P13))</f>
        <v>0.5</v>
      </c>
      <c r="E13" s="20">
        <f>IF($P13="","",SUMIF(BEMANNINGSPLAN!$W$5:$W$546,INDEX(BEMANNINGSPLAN!$W$5:$W$546,$P13),BEMANNINGSPLAN!$X$5:$X$546))</f>
        <v>0.5625</v>
      </c>
      <c r="F13" s="18" t="str">
        <f>IF($P13="","",INDEX(BEMANNINGSPLAN!$J$5:$J$546,$P13))</f>
        <v>F14</v>
      </c>
      <c r="G13" s="19" t="str">
        <f>IF($P13="","",INDEX(BEMANNINGSPLAN!$AD$5:$AD$546,$P13))</f>
        <v>Vanligt café</v>
      </c>
      <c r="H13" s="18" t="str">
        <f>IF($P13="","",IF(AND(INDEX(BEMANNINGSPLAN!$Y$5:$Y$546,$P13)=1,G13&lt;&gt;"Minicafé"),"X",""))</f>
        <v/>
      </c>
      <c r="I13" s="21" t="str">
        <f>IF($P13="","",IF(INDEX(BEMANNINGSPLAN!$Y$5:$Y$546,$P13)=1,"X",""))</f>
        <v/>
      </c>
      <c r="J13" s="22" t="str">
        <f>IF($P13="","",IF(SUMIF(BEMANNINGSPLAN!$W$5:$W$546,INDEX(BEMANNINGSPLAN!$W$5:$W$546,$P13),BEMANNINGSPLAN!$Z$5:$Z$546)=1,"X",""))</f>
        <v>X</v>
      </c>
      <c r="K13" s="23" t="str">
        <f>IF($P13="","",IFERROR(LOOKUP(2,1/((BEMANNINGSPLAN!$W$5:$W$546=INDEX(BEMANNINGSPLAN!$W$5:$W$546,$P13))*(BEMANNINGSPLAN!$L$5:$L$546&lt;&gt;"")),BEMANNINGSPLAN!$L$5:$L$546),""))</f>
        <v/>
      </c>
      <c r="L13" s="18">
        <f>IF($P13="","",INDEX(BEMANNINGSPLAN!$AE$5:$AE$546,$P13))</f>
        <v>1.5</v>
      </c>
      <c r="M13" s="137"/>
      <c r="N13" s="16"/>
      <c r="O13" s="16" t="str">
        <f>IF(AND(BEMANNINGSPLAN!U11=1,OR($B$4="Alla lag",BEMANNINGSPLAN!J11=$B$4),OR($E$4="Alla datum",BEMANNINGSPLAN!A11=$E$4)),COUNT($O$6:O12)+1,"")</f>
        <v/>
      </c>
      <c r="P13" s="137">
        <f t="shared" si="0"/>
        <v>61</v>
      </c>
    </row>
    <row r="14" spans="1:16" ht="27.75" customHeight="1">
      <c r="A14" s="17">
        <f>IF($P14="","",INDEX(BEMANNINGSPLAN!$A$5:$A$546,$P14))</f>
        <v>46301</v>
      </c>
      <c r="B14" s="18" t="str">
        <f>IF($P14="","",INDEX(BEMANNINGSPLAN!$B$5:$B$546,$P14))</f>
        <v>tisdag</v>
      </c>
      <c r="C14" s="19" t="str">
        <f>IF($P14="","",INDEX(BEMANNINGSPLAN!$C$5:$C$546,$P14))</f>
        <v>Råsta Park</v>
      </c>
      <c r="D14" s="20">
        <f>IF($P14="","",INDEX(BEMANNINGSPLAN!$D$5:$D$546,$P14))</f>
        <v>0.83333333333333304</v>
      </c>
      <c r="E14" s="20">
        <f>IF($P14="","",SUMIF(BEMANNINGSPLAN!$W$5:$W$546,INDEX(BEMANNINGSPLAN!$W$5:$W$546,$P14),BEMANNINGSPLAN!$X$5:$X$546))</f>
        <v>0.91666666666666696</v>
      </c>
      <c r="F14" s="18" t="str">
        <f>IF($P14="","",INDEX(BEMANNINGSPLAN!$J$5:$J$546,$P14))</f>
        <v>F19</v>
      </c>
      <c r="G14" s="19" t="str">
        <f>IF($P14="","",INDEX(BEMANNINGSPLAN!$AD$5:$AD$546,$P14))</f>
        <v>Minicafé</v>
      </c>
      <c r="H14" s="18" t="str">
        <f>IF($P14="","",IF(AND(INDEX(BEMANNINGSPLAN!$Y$5:$Y$546,$P14)=1,G14&lt;&gt;"Minicafé"),"X",""))</f>
        <v/>
      </c>
      <c r="I14" s="21" t="str">
        <f>IF($P14="","",IF(INDEX(BEMANNINGSPLAN!$Y$5:$Y$546,$P14)=1,"X",""))</f>
        <v>X</v>
      </c>
      <c r="J14" s="22" t="str">
        <f>IF($P14="","",IF(SUMIF(BEMANNINGSPLAN!$W$5:$W$546,INDEX(BEMANNINGSPLAN!$W$5:$W$546,$P14),BEMANNINGSPLAN!$Z$5:$Z$546)=1,"X",""))</f>
        <v>X</v>
      </c>
      <c r="K14" s="23" t="str">
        <f>IF($P14="","",IFERROR(LOOKUP(2,1/((BEMANNINGSPLAN!$W$5:$W$546=INDEX(BEMANNINGSPLAN!$W$5:$W$546,$P14))*(BEMANNINGSPLAN!$L$5:$L$546&lt;&gt;"")),BEMANNINGSPLAN!$L$5:$L$546),""))</f>
        <v/>
      </c>
      <c r="L14" s="18">
        <f>IF($P14="","",INDEX(BEMANNINGSPLAN!$AE$5:$AE$546,$P14))</f>
        <v>2.0000000000000142</v>
      </c>
      <c r="M14" s="137"/>
      <c r="N14" s="16"/>
      <c r="O14" s="16" t="str">
        <f>IF(AND(BEMANNINGSPLAN!U12=1,OR($B$4="Alla lag",BEMANNINGSPLAN!J12=$B$4),OR($E$4="Alla datum",BEMANNINGSPLAN!A12=$E$4)),COUNT($O$6:O13)+1,"")</f>
        <v/>
      </c>
      <c r="P14" s="137">
        <f t="shared" si="0"/>
        <v>64</v>
      </c>
    </row>
    <row r="15" spans="1:16" ht="27.75" customHeight="1">
      <c r="A15" s="17">
        <f>IF($P15="","",INDEX(BEMANNINGSPLAN!$A$5:$A$546,$P15))</f>
        <v>46305</v>
      </c>
      <c r="B15" s="18" t="str">
        <f>IF($P15="","",INDEX(BEMANNINGSPLAN!$B$5:$B$546,$P15))</f>
        <v>lördag</v>
      </c>
      <c r="C15" s="19" t="str">
        <f>IF($P15="","",INDEX(BEMANNINGSPLAN!$C$5:$C$546,$P15))</f>
        <v>Ulriksdalshallen</v>
      </c>
      <c r="D15" s="20">
        <f>IF($P15="","",INDEX(BEMANNINGSPLAN!$D$5:$D$546,$P15))</f>
        <v>0.42708333333333298</v>
      </c>
      <c r="E15" s="20">
        <f>IF($P15="","",SUMIF(BEMANNINGSPLAN!$W$5:$W$546,INDEX(BEMANNINGSPLAN!$W$5:$W$546,$P15),BEMANNINGSPLAN!$X$5:$X$546))</f>
        <v>0.64583333333333304</v>
      </c>
      <c r="F15" s="18" t="str">
        <f>IF($P15="","",INDEX(BEMANNINGSPLAN!$J$5:$J$546,$P15))</f>
        <v>F10</v>
      </c>
      <c r="G15" s="19" t="str">
        <f>IF($P15="","",INDEX(BEMANNINGSPLAN!$AD$5:$AD$546,$P15))</f>
        <v>Vanligt café</v>
      </c>
      <c r="H15" s="18" t="str">
        <f>IF($P15="","",IF(AND(INDEX(BEMANNINGSPLAN!$Y$5:$Y$546,$P15)=1,G15&lt;&gt;"Minicafé"),"X",""))</f>
        <v>X</v>
      </c>
      <c r="I15" s="21" t="str">
        <f>IF($P15="","",IF(INDEX(BEMANNINGSPLAN!$Y$5:$Y$546,$P15)=1,"X",""))</f>
        <v>X</v>
      </c>
      <c r="J15" s="22" t="str">
        <f>IF($P15="","",IF(SUMIF(BEMANNINGSPLAN!$W$5:$W$546,INDEX(BEMANNINGSPLAN!$W$5:$W$546,$P15),BEMANNINGSPLAN!$Z$5:$Z$546)=1,"X",""))</f>
        <v/>
      </c>
      <c r="K15" s="23" t="str">
        <f>IF($P15="","",IFERROR(LOOKUP(2,1/((BEMANNINGSPLAN!$W$5:$W$546=INDEX(BEMANNINGSPLAN!$W$5:$W$546,$P15))*(BEMANNINGSPLAN!$L$5:$L$546&lt;&gt;"")),BEMANNINGSPLAN!$L$5:$L$546),""))</f>
        <v/>
      </c>
      <c r="L15" s="18">
        <f>IF($P15="","",INDEX(BEMANNINGSPLAN!$AE$5:$AE$546,$P15))</f>
        <v>5.2500000000000018</v>
      </c>
      <c r="M15" s="137"/>
      <c r="N15" s="16"/>
      <c r="O15" s="16" t="str">
        <f>IF(AND(BEMANNINGSPLAN!U13=1,OR($B$4="Alla lag",BEMANNINGSPLAN!J13=$B$4),OR($E$4="Alla datum",BEMANNINGSPLAN!A13=$E$4)),COUNT($O$6:O14)+1,"")</f>
        <v/>
      </c>
      <c r="P15" s="137">
        <f t="shared" si="0"/>
        <v>73</v>
      </c>
    </row>
    <row r="16" spans="1:16" ht="27.75" customHeight="1">
      <c r="A16" s="17">
        <f>IF($P16="","",INDEX(BEMANNINGSPLAN!$A$5:$A$546,$P16))</f>
        <v>46305</v>
      </c>
      <c r="B16" s="18" t="str">
        <f>IF($P16="","",INDEX(BEMANNINGSPLAN!$B$5:$B$546,$P16))</f>
        <v>lördag</v>
      </c>
      <c r="C16" s="19" t="str">
        <f>IF($P16="","",INDEX(BEMANNINGSPLAN!$C$5:$C$546,$P16))</f>
        <v>Ulriksdalshallen</v>
      </c>
      <c r="D16" s="20">
        <f>IF($P16="","",INDEX(BEMANNINGSPLAN!$D$5:$D$546,$P16))</f>
        <v>0.64583333333333304</v>
      </c>
      <c r="E16" s="20">
        <f>IF($P16="","",SUMIF(BEMANNINGSPLAN!$W$5:$W$546,INDEX(BEMANNINGSPLAN!$W$5:$W$546,$P16),BEMANNINGSPLAN!$X$5:$X$546))</f>
        <v>0.71875</v>
      </c>
      <c r="F16" s="18" t="str">
        <f>IF($P16="","",INDEX(BEMANNINGSPLAN!$J$5:$J$546,$P16))</f>
        <v>P12</v>
      </c>
      <c r="G16" s="19" t="str">
        <f>IF($P16="","",INDEX(BEMANNINGSPLAN!$AD$5:$AD$546,$P16))</f>
        <v>Vanligt café</v>
      </c>
      <c r="H16" s="18" t="str">
        <f>IF($P16="","",IF(AND(INDEX(BEMANNINGSPLAN!$Y$5:$Y$546,$P16)=1,G16&lt;&gt;"Minicafé"),"X",""))</f>
        <v/>
      </c>
      <c r="I16" s="21" t="str">
        <f>IF($P16="","",IF(INDEX(BEMANNINGSPLAN!$Y$5:$Y$546,$P16)=1,"X",""))</f>
        <v/>
      </c>
      <c r="J16" s="22" t="str">
        <f>IF($P16="","",IF(SUMIF(BEMANNINGSPLAN!$W$5:$W$546,INDEX(BEMANNINGSPLAN!$W$5:$W$546,$P16),BEMANNINGSPLAN!$Z$5:$Z$546)=1,"X",""))</f>
        <v>X</v>
      </c>
      <c r="K16" s="23" t="str">
        <f>IF($P16="","",IFERROR(LOOKUP(2,1/((BEMANNINGSPLAN!$W$5:$W$546=INDEX(BEMANNINGSPLAN!$W$5:$W$546,$P16))*(BEMANNINGSPLAN!$L$5:$L$546&lt;&gt;"")),BEMANNINGSPLAN!$L$5:$L$546),""))</f>
        <v>Match mellan besökande P11-lag. P12 preliminärt – inväntar klubbens besked.</v>
      </c>
      <c r="L16" s="18">
        <f>IF($P16="","",INDEX(BEMANNINGSPLAN!$AE$5:$AE$546,$P16))</f>
        <v>1.7500000000000071</v>
      </c>
      <c r="M16" s="137"/>
      <c r="N16" s="16"/>
      <c r="O16" s="16" t="str">
        <f>IF(AND(BEMANNINGSPLAN!U14=1,OR($B$4="Alla lag",BEMANNINGSPLAN!J14=$B$4),OR($E$4="Alla datum",BEMANNINGSPLAN!A14=$E$4)),COUNT($O$6:O15)+1,"")</f>
        <v/>
      </c>
      <c r="P16" s="137">
        <f t="shared" si="0"/>
        <v>84</v>
      </c>
    </row>
    <row r="17" spans="1:16" ht="27.75" customHeight="1">
      <c r="A17" s="17">
        <f>IF($P17="","",INDEX(BEMANNINGSPLAN!$A$5:$A$546,$P17))</f>
        <v>46312</v>
      </c>
      <c r="B17" s="18" t="str">
        <f>IF($P17="","",INDEX(BEMANNINGSPLAN!$B$5:$B$546,$P17))</f>
        <v>lördag</v>
      </c>
      <c r="C17" s="19" t="str">
        <f>IF($P17="","",INDEX(BEMANNINGSPLAN!$C$5:$C$546,$P17))</f>
        <v>Råsta Park</v>
      </c>
      <c r="D17" s="20">
        <f>IF($P17="","",INDEX(BEMANNINGSPLAN!$D$5:$D$546,$P17))</f>
        <v>0.47916666666666702</v>
      </c>
      <c r="E17" s="20">
        <f>IF($P17="","",SUMIF(BEMANNINGSPLAN!$W$5:$W$546,INDEX(BEMANNINGSPLAN!$W$5:$W$546,$P17),BEMANNINGSPLAN!$X$5:$X$546))</f>
        <v>0.54166666666666696</v>
      </c>
      <c r="F17" s="18" t="str">
        <f>IF($P17="","",INDEX(BEMANNINGSPLAN!$J$5:$J$546,$P17))</f>
        <v>P16</v>
      </c>
      <c r="G17" s="19" t="str">
        <f>IF($P17="","",INDEX(BEMANNINGSPLAN!$AD$5:$AD$546,$P17))</f>
        <v>Minicafé</v>
      </c>
      <c r="H17" s="18" t="str">
        <f>IF($P17="","",IF(AND(INDEX(BEMANNINGSPLAN!$Y$5:$Y$546,$P17)=1,G17&lt;&gt;"Minicafé"),"X",""))</f>
        <v/>
      </c>
      <c r="I17" s="21" t="str">
        <f>IF($P17="","",IF(INDEX(BEMANNINGSPLAN!$Y$5:$Y$546,$P17)=1,"X",""))</f>
        <v>X</v>
      </c>
      <c r="J17" s="22" t="str">
        <f>IF($P17="","",IF(SUMIF(BEMANNINGSPLAN!$W$5:$W$546,INDEX(BEMANNINGSPLAN!$W$5:$W$546,$P17),BEMANNINGSPLAN!$Z$5:$Z$546)=1,"X",""))</f>
        <v>X</v>
      </c>
      <c r="K17" s="23" t="str">
        <f>IF($P17="","",IFERROR(LOOKUP(2,1/((BEMANNINGSPLAN!$W$5:$W$546=INDEX(BEMANNINGSPLAN!$W$5:$W$546,$P17))*(BEMANNINGSPLAN!$L$5:$L$546&lt;&gt;"")),BEMANNINGSPLAN!$L$5:$L$546),""))</f>
        <v>Stäm av med AIK Dam som spelar efteråt</v>
      </c>
      <c r="L17" s="18">
        <f>IF($P17="","",INDEX(BEMANNINGSPLAN!$AE$5:$AE$546,$P17))</f>
        <v>1.4999999999999987</v>
      </c>
      <c r="M17" s="137"/>
      <c r="N17" s="16"/>
      <c r="O17" s="16" t="str">
        <f>IF(AND(BEMANNINGSPLAN!U15=1,OR($B$4="Alla lag",BEMANNINGSPLAN!J15=$B$4),OR($E$4="Alla datum",BEMANNINGSPLAN!A15=$E$4)),COUNT($O$6:O16)+1,"")</f>
        <v/>
      </c>
      <c r="P17" s="137">
        <f t="shared" si="0"/>
        <v>89</v>
      </c>
    </row>
    <row r="18" spans="1:16" ht="27.75" customHeight="1">
      <c r="A18" s="17">
        <f>IF($P18="","",INDEX(BEMANNINGSPLAN!$A$5:$A$546,$P18))</f>
        <v>46312</v>
      </c>
      <c r="B18" s="18" t="str">
        <f>IF($P18="","",INDEX(BEMANNINGSPLAN!$B$5:$B$546,$P18))</f>
        <v>lördag</v>
      </c>
      <c r="C18" s="19" t="str">
        <f>IF($P18="","",INDEX(BEMANNINGSPLAN!$C$5:$C$546,$P18))</f>
        <v>Tallbackaskolan</v>
      </c>
      <c r="D18" s="20">
        <f>IF($P18="","",INDEX(BEMANNINGSPLAN!$D$5:$D$546,$P18))</f>
        <v>0.33333333333333298</v>
      </c>
      <c r="E18" s="20">
        <f>IF($P18="","",SUMIF(BEMANNINGSPLAN!$W$5:$W$546,INDEX(BEMANNINGSPLAN!$W$5:$W$546,$P18),BEMANNINGSPLAN!$X$5:$X$546))</f>
        <v>0.53125</v>
      </c>
      <c r="F18" s="18" t="str">
        <f>IF($P18="","",INDEX(BEMANNINGSPLAN!$J$5:$J$546,$P18))</f>
        <v>P10</v>
      </c>
      <c r="G18" s="19" t="str">
        <f>IF($P18="","",INDEX(BEMANNINGSPLAN!$AD$5:$AD$546,$P18))</f>
        <v>Vanligt café</v>
      </c>
      <c r="H18" s="18" t="str">
        <f>IF($P18="","",IF(AND(INDEX(BEMANNINGSPLAN!$Y$5:$Y$546,$P18)=1,G18&lt;&gt;"Minicafé"),"X",""))</f>
        <v>X</v>
      </c>
      <c r="I18" s="21" t="str">
        <f>IF($P18="","",IF(INDEX(BEMANNINGSPLAN!$Y$5:$Y$546,$P18)=1,"X",""))</f>
        <v>X</v>
      </c>
      <c r="J18" s="22" t="str">
        <f>IF($P18="","",IF(SUMIF(BEMANNINGSPLAN!$W$5:$W$546,INDEX(BEMANNINGSPLAN!$W$5:$W$546,$P18),BEMANNINGSPLAN!$Z$5:$Z$546)=1,"X",""))</f>
        <v>X</v>
      </c>
      <c r="K18" s="23" t="str">
        <f>IF($P18="","",IFERROR(LOOKUP(2,1/((BEMANNINGSPLAN!$W$5:$W$546=INDEX(BEMANNINGSPLAN!$W$5:$W$546,$P18))*(BEMANNINGSPLAN!$L$5:$L$546&lt;&gt;"")),BEMANNINGSPLAN!$L$5:$L$546),""))</f>
        <v/>
      </c>
      <c r="L18" s="18">
        <f>IF($P18="","",INDEX(BEMANNINGSPLAN!$AE$5:$AE$546,$P18))</f>
        <v>4.7500000000000089</v>
      </c>
      <c r="M18" s="137"/>
      <c r="N18" s="16"/>
      <c r="O18" s="16" t="str">
        <f>IF(AND(BEMANNINGSPLAN!U16=1,OR($B$4="Alla lag",BEMANNINGSPLAN!J16=$B$4),OR($E$4="Alla datum",BEMANNINGSPLAN!A16=$E$4)),COUNT($O$6:O17)+1,"")</f>
        <v/>
      </c>
      <c r="P18" s="137">
        <f t="shared" si="0"/>
        <v>97</v>
      </c>
    </row>
    <row r="19" spans="1:16" ht="27.75" customHeight="1">
      <c r="A19" s="17">
        <f>IF($P19="","",INDEX(BEMANNINGSPLAN!$A$5:$A$546,$P19))</f>
        <v>46312</v>
      </c>
      <c r="B19" s="18" t="str">
        <f>IF($P19="","",INDEX(BEMANNINGSPLAN!$B$5:$B$546,$P19))</f>
        <v>lördag</v>
      </c>
      <c r="C19" s="19" t="str">
        <f>IF($P19="","",INDEX(BEMANNINGSPLAN!$C$5:$C$546,$P19))</f>
        <v>Ulriksdalshallen</v>
      </c>
      <c r="D19" s="20">
        <f>IF($P19="","",INDEX(BEMANNINGSPLAN!$D$5:$D$546,$P19))</f>
        <v>0.33333333333333298</v>
      </c>
      <c r="E19" s="20">
        <f>IF($P19="","",SUMIF(BEMANNINGSPLAN!$W$5:$W$546,INDEX(BEMANNINGSPLAN!$W$5:$W$546,$P19),BEMANNINGSPLAN!$X$5:$X$546))</f>
        <v>0.60416666666666696</v>
      </c>
      <c r="F19" s="18" t="str">
        <f>IF($P19="","",INDEX(BEMANNINGSPLAN!$J$5:$J$546,$P19))</f>
        <v>F12</v>
      </c>
      <c r="G19" s="19" t="str">
        <f>IF($P19="","",INDEX(BEMANNINGSPLAN!$AD$5:$AD$546,$P19))</f>
        <v>Vanligt café</v>
      </c>
      <c r="H19" s="18" t="str">
        <f>IF($P19="","",IF(AND(INDEX(BEMANNINGSPLAN!$Y$5:$Y$546,$P19)=1,G19&lt;&gt;"Minicafé"),"X",""))</f>
        <v>X</v>
      </c>
      <c r="I19" s="21" t="str">
        <f>IF($P19="","",IF(INDEX(BEMANNINGSPLAN!$Y$5:$Y$546,$P19)=1,"X",""))</f>
        <v>X</v>
      </c>
      <c r="J19" s="22" t="str">
        <f>IF($P19="","",IF(SUMIF(BEMANNINGSPLAN!$W$5:$W$546,INDEX(BEMANNINGSPLAN!$W$5:$W$546,$P19),BEMANNINGSPLAN!$Z$5:$Z$546)=1,"X",""))</f>
        <v/>
      </c>
      <c r="K19" s="23" t="str">
        <f>IF($P19="","",IFERROR(LOOKUP(2,1/((BEMANNINGSPLAN!$W$5:$W$546=INDEX(BEMANNINGSPLAN!$W$5:$W$546,$P19))*(BEMANNINGSPLAN!$L$5:$L$546&lt;&gt;"")),BEMANNINGSPLAN!$L$5:$L$546),""))</f>
        <v/>
      </c>
      <c r="L19" s="18">
        <f>IF($P19="","",INDEX(BEMANNINGSPLAN!$AE$5:$AE$546,$P19))</f>
        <v>6.500000000000016</v>
      </c>
      <c r="M19" s="137"/>
      <c r="N19" s="16"/>
      <c r="O19" s="16" t="str">
        <f>IF(AND(BEMANNINGSPLAN!U17=1,OR($B$4="Alla lag",BEMANNINGSPLAN!J17=$B$4),OR($E$4="Alla datum",BEMANNINGSPLAN!A17=$E$4)),COUNT($O$6:O18)+1,"")</f>
        <v/>
      </c>
      <c r="P19" s="137">
        <f t="shared" si="0"/>
        <v>107</v>
      </c>
    </row>
    <row r="20" spans="1:16" ht="27.75" customHeight="1">
      <c r="A20" s="17">
        <f>IF($P20="","",INDEX(BEMANNINGSPLAN!$A$5:$A$546,$P20))</f>
        <v>46312</v>
      </c>
      <c r="B20" s="18" t="str">
        <f>IF($P20="","",INDEX(BEMANNINGSPLAN!$B$5:$B$546,$P20))</f>
        <v>lördag</v>
      </c>
      <c r="C20" s="19" t="str">
        <f>IF($P20="","",INDEX(BEMANNINGSPLAN!$C$5:$C$546,$P20))</f>
        <v>Ulriksdalshallen</v>
      </c>
      <c r="D20" s="20">
        <f>IF($P20="","",INDEX(BEMANNINGSPLAN!$D$5:$D$546,$P20))</f>
        <v>0.60416666666666696</v>
      </c>
      <c r="E20" s="20">
        <f>IF($P20="","",SUMIF(BEMANNINGSPLAN!$W$5:$W$546,INDEX(BEMANNINGSPLAN!$W$5:$W$546,$P20),BEMANNINGSPLAN!$X$5:$X$546))</f>
        <v>0.70833333333333304</v>
      </c>
      <c r="F20" s="18" t="str">
        <f>IF($P20="","",INDEX(BEMANNINGSPLAN!$J$5:$J$546,$P20))</f>
        <v>F13</v>
      </c>
      <c r="G20" s="19" t="str">
        <f>IF($P20="","",INDEX(BEMANNINGSPLAN!$AD$5:$AD$546,$P20))</f>
        <v>Vanligt café</v>
      </c>
      <c r="H20" s="18" t="str">
        <f>IF($P20="","",IF(AND(INDEX(BEMANNINGSPLAN!$Y$5:$Y$546,$P20)=1,G20&lt;&gt;"Minicafé"),"X",""))</f>
        <v/>
      </c>
      <c r="I20" s="21" t="str">
        <f>IF($P20="","",IF(INDEX(BEMANNINGSPLAN!$Y$5:$Y$546,$P20)=1,"X",""))</f>
        <v/>
      </c>
      <c r="J20" s="22" t="str">
        <f>IF($P20="","",IF(SUMIF(BEMANNINGSPLAN!$W$5:$W$546,INDEX(BEMANNINGSPLAN!$W$5:$W$546,$P20),BEMANNINGSPLAN!$Z$5:$Z$546)=1,"X",""))</f>
        <v>X</v>
      </c>
      <c r="K20" s="23" t="str">
        <f>IF($P20="","",IFERROR(LOOKUP(2,1/((BEMANNINGSPLAN!$W$5:$W$546=INDEX(BEMANNINGSPLAN!$W$5:$W$546,$P20))*(BEMANNINGSPLAN!$L$5:$L$546&lt;&gt;"")),BEMANNINGSPLAN!$L$5:$L$546),""))</f>
        <v/>
      </c>
      <c r="L20" s="18">
        <f>IF($P20="","",INDEX(BEMANNINGSPLAN!$AE$5:$AE$546,$P20))</f>
        <v>2.4999999999999858</v>
      </c>
      <c r="M20" s="137"/>
      <c r="N20" s="16"/>
      <c r="O20" s="16" t="str">
        <f>IF(AND(BEMANNINGSPLAN!U18=1,OR($B$4="Alla lag",BEMANNINGSPLAN!J18=$B$4),OR($E$4="Alla datum",BEMANNINGSPLAN!A18=$E$4)),COUNT($O$6:O19)+1,"")</f>
        <v/>
      </c>
      <c r="P20" s="137">
        <f t="shared" si="0"/>
        <v>120</v>
      </c>
    </row>
    <row r="21" spans="1:16" ht="27.75" customHeight="1">
      <c r="A21" s="17">
        <f>IF($P21="","",INDEX(BEMANNINGSPLAN!$A$5:$A$546,$P21))</f>
        <v>46329</v>
      </c>
      <c r="B21" s="18" t="str">
        <f>IF($P21="","",INDEX(BEMANNINGSPLAN!$B$5:$B$546,$P21))</f>
        <v>tisdag</v>
      </c>
      <c r="C21" s="19" t="str">
        <f>IF($P21="","",INDEX(BEMANNINGSPLAN!$C$5:$C$546,$P21))</f>
        <v>Råsta Park</v>
      </c>
      <c r="D21" s="20">
        <f>IF($P21="","",INDEX(BEMANNINGSPLAN!$D$5:$D$546,$P21))</f>
        <v>0.83333333333333304</v>
      </c>
      <c r="E21" s="20">
        <f>IF($P21="","",SUMIF(BEMANNINGSPLAN!$W$5:$W$546,INDEX(BEMANNINGSPLAN!$W$5:$W$546,$P21),BEMANNINGSPLAN!$X$5:$X$546))</f>
        <v>0.91666666666666696</v>
      </c>
      <c r="F21" s="18" t="str">
        <f>IF($P21="","",INDEX(BEMANNINGSPLAN!$J$5:$J$546,$P21))</f>
        <v>F19</v>
      </c>
      <c r="G21" s="19" t="str">
        <f>IF($P21="","",INDEX(BEMANNINGSPLAN!$AD$5:$AD$546,$P21))</f>
        <v>Minicafé</v>
      </c>
      <c r="H21" s="18" t="str">
        <f>IF($P21="","",IF(AND(INDEX(BEMANNINGSPLAN!$Y$5:$Y$546,$P21)=1,G21&lt;&gt;"Minicafé"),"X",""))</f>
        <v/>
      </c>
      <c r="I21" s="21" t="str">
        <f>IF($P21="","",IF(INDEX(BEMANNINGSPLAN!$Y$5:$Y$546,$P21)=1,"X",""))</f>
        <v>X</v>
      </c>
      <c r="J21" s="22" t="str">
        <f>IF($P21="","",IF(SUMIF(BEMANNINGSPLAN!$W$5:$W$546,INDEX(BEMANNINGSPLAN!$W$5:$W$546,$P21),BEMANNINGSPLAN!$Z$5:$Z$546)=1,"X",""))</f>
        <v>X</v>
      </c>
      <c r="K21" s="23" t="str">
        <f>IF($P21="","",IFERROR(LOOKUP(2,1/((BEMANNINGSPLAN!$W$5:$W$546=INDEX(BEMANNINGSPLAN!$W$5:$W$546,$P21))*(BEMANNINGSPLAN!$L$5:$L$546&lt;&gt;"")),BEMANNINGSPLAN!$L$5:$L$546),""))</f>
        <v/>
      </c>
      <c r="L21" s="18">
        <f>IF($P21="","",INDEX(BEMANNINGSPLAN!$AE$5:$AE$546,$P21))</f>
        <v>2.0000000000000142</v>
      </c>
      <c r="M21" s="137"/>
      <c r="N21" s="16"/>
      <c r="O21" s="16" t="str">
        <f>IF(AND(BEMANNINGSPLAN!U19=1,OR($B$4="Alla lag",BEMANNINGSPLAN!J19=$B$4),OR($E$4="Alla datum",BEMANNINGSPLAN!A19=$E$4)),COUNT($O$6:O20)+1,"")</f>
        <v/>
      </c>
      <c r="P21" s="137">
        <f t="shared" si="0"/>
        <v>135</v>
      </c>
    </row>
    <row r="22" spans="1:16" ht="27.75" customHeight="1">
      <c r="A22" s="17">
        <f>IF($P22="","",INDEX(BEMANNINGSPLAN!$A$5:$A$546,$P22))</f>
        <v>46333</v>
      </c>
      <c r="B22" s="18" t="str">
        <f>IF($P22="","",INDEX(BEMANNINGSPLAN!$B$5:$B$546,$P22))</f>
        <v>lördag</v>
      </c>
      <c r="C22" s="19" t="str">
        <f>IF($P22="","",INDEX(BEMANNINGSPLAN!$C$5:$C$546,$P22))</f>
        <v>Tallbackaskolan</v>
      </c>
      <c r="D22" s="20">
        <f>IF($P22="","",INDEX(BEMANNINGSPLAN!$D$5:$D$546,$P22))</f>
        <v>0.33333333333333298</v>
      </c>
      <c r="E22" s="20">
        <f>IF($P22="","",SUMIF(BEMANNINGSPLAN!$W$5:$W$546,INDEX(BEMANNINGSPLAN!$W$5:$W$546,$P22),BEMANNINGSPLAN!$X$5:$X$546))</f>
        <v>0.55208333333333304</v>
      </c>
      <c r="F22" s="18" t="str">
        <f>IF($P22="","",INDEX(BEMANNINGSPLAN!$J$5:$J$546,$P22))</f>
        <v>P12</v>
      </c>
      <c r="G22" s="19" t="str">
        <f>IF($P22="","",INDEX(BEMANNINGSPLAN!$AD$5:$AD$546,$P22))</f>
        <v>Vanligt café</v>
      </c>
      <c r="H22" s="18" t="str">
        <f>IF($P22="","",IF(AND(INDEX(BEMANNINGSPLAN!$Y$5:$Y$546,$P22)=1,G22&lt;&gt;"Minicafé"),"X",""))</f>
        <v>X</v>
      </c>
      <c r="I22" s="21" t="str">
        <f>IF($P22="","",IF(INDEX(BEMANNINGSPLAN!$Y$5:$Y$546,$P22)=1,"X",""))</f>
        <v>X</v>
      </c>
      <c r="J22" s="22" t="str">
        <f>IF($P22="","",IF(SUMIF(BEMANNINGSPLAN!$W$5:$W$546,INDEX(BEMANNINGSPLAN!$W$5:$W$546,$P22),BEMANNINGSPLAN!$Z$5:$Z$546)=1,"X",""))</f>
        <v>X</v>
      </c>
      <c r="K22" s="23" t="str">
        <f>IF($P22="","",IFERROR(LOOKUP(2,1/((BEMANNINGSPLAN!$W$5:$W$546=INDEX(BEMANNINGSPLAN!$W$5:$W$546,$P22))*(BEMANNINGSPLAN!$L$5:$L$546&lt;&gt;"")),BEMANNINGSPLAN!$L$5:$L$546),""))</f>
        <v/>
      </c>
      <c r="L22" s="18">
        <f>IF($P22="","",INDEX(BEMANNINGSPLAN!$AE$5:$AE$546,$P22))</f>
        <v>5.2500000000000018</v>
      </c>
      <c r="M22" s="137"/>
      <c r="N22" s="16"/>
      <c r="O22" s="16" t="str">
        <f>IF(AND(BEMANNINGSPLAN!U20=1,OR($B$4="Alla lag",BEMANNINGSPLAN!J20=$B$4),OR($E$4="Alla datum",BEMANNINGSPLAN!A20=$E$4)),COUNT($O$6:O21)+1,"")</f>
        <v/>
      </c>
      <c r="P22" s="137">
        <f t="shared" si="0"/>
        <v>139</v>
      </c>
    </row>
    <row r="23" spans="1:16" ht="27.75" customHeight="1">
      <c r="A23" s="17">
        <f>IF($P23="","",INDEX(BEMANNINGSPLAN!$A$5:$A$546,$P23))</f>
        <v>46333</v>
      </c>
      <c r="B23" s="18" t="str">
        <f>IF($P23="","",INDEX(BEMANNINGSPLAN!$B$5:$B$546,$P23))</f>
        <v>lördag</v>
      </c>
      <c r="C23" s="19" t="str">
        <f>IF($P23="","",INDEX(BEMANNINGSPLAN!$C$5:$C$546,$P23))</f>
        <v>Ulriksdalshallen</v>
      </c>
      <c r="D23" s="20">
        <f>IF($P23="","",INDEX(BEMANNINGSPLAN!$D$5:$D$546,$P23))</f>
        <v>0.33333333333333298</v>
      </c>
      <c r="E23" s="20">
        <f>IF($P23="","",SUMIF(BEMANNINGSPLAN!$W$5:$W$546,INDEX(BEMANNINGSPLAN!$W$5:$W$546,$P23),BEMANNINGSPLAN!$X$5:$X$546))</f>
        <v>0.5</v>
      </c>
      <c r="F23" s="18" t="str">
        <f>IF($P23="","",INDEX(BEMANNINGSPLAN!$J$5:$J$546,$P23))</f>
        <v>U8</v>
      </c>
      <c r="G23" s="19" t="str">
        <f>IF($P23="","",INDEX(BEMANNINGSPLAN!$AD$5:$AD$546,$P23))</f>
        <v>Vanligt café</v>
      </c>
      <c r="H23" s="18" t="str">
        <f>IF($P23="","",IF(AND(INDEX(BEMANNINGSPLAN!$Y$5:$Y$546,$P23)=1,G23&lt;&gt;"Minicafé"),"X",""))</f>
        <v>X</v>
      </c>
      <c r="I23" s="21" t="str">
        <f>IF($P23="","",IF(INDEX(BEMANNINGSPLAN!$Y$5:$Y$546,$P23)=1,"X",""))</f>
        <v>X</v>
      </c>
      <c r="J23" s="22" t="str">
        <f>IF($P23="","",IF(SUMIF(BEMANNINGSPLAN!$W$5:$W$546,INDEX(BEMANNINGSPLAN!$W$5:$W$546,$P23),BEMANNINGSPLAN!$Z$5:$Z$546)=1,"X",""))</f>
        <v/>
      </c>
      <c r="K23" s="23" t="str">
        <f>IF($P23="","",IFERROR(LOOKUP(2,1/((BEMANNINGSPLAN!$W$5:$W$546=INDEX(BEMANNINGSPLAN!$W$5:$W$546,$P23))*(BEMANNINGSPLAN!$L$5:$L$546&lt;&gt;"")),BEMANNINGSPLAN!$L$5:$L$546),""))</f>
        <v/>
      </c>
      <c r="L23" s="18">
        <f>IF($P23="","",INDEX(BEMANNINGSPLAN!$AE$5:$AE$546,$P23))</f>
        <v>4.0000000000000089</v>
      </c>
      <c r="M23" s="137"/>
      <c r="N23" s="16"/>
      <c r="O23" s="16" t="str">
        <f>IF(AND(BEMANNINGSPLAN!U21=1,OR($B$4="Alla lag",BEMANNINGSPLAN!J21=$B$4),OR($E$4="Alla datum",BEMANNINGSPLAN!A21=$E$4)),COUNT($O$6:O22)+1,"")</f>
        <v/>
      </c>
      <c r="P23" s="137">
        <f t="shared" si="0"/>
        <v>150</v>
      </c>
    </row>
    <row r="24" spans="1:16" ht="27.75" customHeight="1">
      <c r="A24" s="17">
        <f>IF($P24="","",INDEX(BEMANNINGSPLAN!$A$5:$A$546,$P24))</f>
        <v>46333</v>
      </c>
      <c r="B24" s="18" t="str">
        <f>IF($P24="","",INDEX(BEMANNINGSPLAN!$B$5:$B$546,$P24))</f>
        <v>lördag</v>
      </c>
      <c r="C24" s="19" t="str">
        <f>IF($P24="","",INDEX(BEMANNINGSPLAN!$C$5:$C$546,$P24))</f>
        <v>Ulriksdalshallen</v>
      </c>
      <c r="D24" s="20">
        <f>IF($P24="","",INDEX(BEMANNINGSPLAN!$D$5:$D$546,$P24))</f>
        <v>0.5</v>
      </c>
      <c r="E24" s="20">
        <f>IF($P24="","",SUMIF(BEMANNINGSPLAN!$W$5:$W$546,INDEX(BEMANNINGSPLAN!$W$5:$W$546,$P24),BEMANNINGSPLAN!$X$5:$X$546))</f>
        <v>0.625</v>
      </c>
      <c r="F24" s="18" t="str">
        <f>IF($P24="","",INDEX(BEMANNINGSPLAN!$J$5:$J$546,$P24))</f>
        <v>F13</v>
      </c>
      <c r="G24" s="19" t="str">
        <f>IF($P24="","",INDEX(BEMANNINGSPLAN!$AD$5:$AD$546,$P24))</f>
        <v>Vanligt café</v>
      </c>
      <c r="H24" s="18" t="str">
        <f>IF($P24="","",IF(AND(INDEX(BEMANNINGSPLAN!$Y$5:$Y$546,$P24)=1,G24&lt;&gt;"Minicafé"),"X",""))</f>
        <v/>
      </c>
      <c r="I24" s="21" t="str">
        <f>IF($P24="","",IF(INDEX(BEMANNINGSPLAN!$Y$5:$Y$546,$P24)=1,"X",""))</f>
        <v/>
      </c>
      <c r="J24" s="22" t="str">
        <f>IF($P24="","",IF(SUMIF(BEMANNINGSPLAN!$W$5:$W$546,INDEX(BEMANNINGSPLAN!$W$5:$W$546,$P24),BEMANNINGSPLAN!$Z$5:$Z$546)=1,"X",""))</f>
        <v>X</v>
      </c>
      <c r="K24" s="23" t="str">
        <f>IF($P24="","",IFERROR(LOOKUP(2,1/((BEMANNINGSPLAN!$W$5:$W$546=INDEX(BEMANNINGSPLAN!$W$5:$W$546,$P24))*(BEMANNINGSPLAN!$L$5:$L$546&lt;&gt;"")),BEMANNINGSPLAN!$L$5:$L$546),""))</f>
        <v/>
      </c>
      <c r="L24" s="18">
        <f>IF($P24="","",INDEX(BEMANNINGSPLAN!$AE$5:$AE$546,$P24))</f>
        <v>3</v>
      </c>
      <c r="M24" s="137"/>
      <c r="N24" s="16"/>
      <c r="O24" s="16" t="str">
        <f>IF(AND(BEMANNINGSPLAN!U22=1,OR($B$4="Alla lag",BEMANNINGSPLAN!J22=$B$4),OR($E$4="Alla datum",BEMANNINGSPLAN!A22=$E$4)),COUNT($O$6:O23)+1,"")</f>
        <v/>
      </c>
      <c r="P24" s="137">
        <f t="shared" si="0"/>
        <v>158</v>
      </c>
    </row>
    <row r="25" spans="1:16" ht="27.75" customHeight="1">
      <c r="A25" s="17">
        <f>IF($P25="","",INDEX(BEMANNINGSPLAN!$A$5:$A$546,$P25))</f>
        <v>46340</v>
      </c>
      <c r="B25" s="18" t="str">
        <f>IF($P25="","",INDEX(BEMANNINGSPLAN!$B$5:$B$546,$P25))</f>
        <v>lördag</v>
      </c>
      <c r="C25" s="19" t="str">
        <f>IF($P25="","",INDEX(BEMANNINGSPLAN!$C$5:$C$546,$P25))</f>
        <v>Råsta Park</v>
      </c>
      <c r="D25" s="20">
        <f>IF($P25="","",INDEX(BEMANNINGSPLAN!$D$5:$D$546,$P25))</f>
        <v>0.5</v>
      </c>
      <c r="E25" s="20">
        <f>IF($P25="","",SUMIF(BEMANNINGSPLAN!$W$5:$W$546,INDEX(BEMANNINGSPLAN!$W$5:$W$546,$P25),BEMANNINGSPLAN!$X$5:$X$546))</f>
        <v>0.625</v>
      </c>
      <c r="F25" s="18" t="str">
        <f>IF($P25="","",INDEX(BEMANNINGSPLAN!$J$5:$J$546,$P25))</f>
        <v>P16</v>
      </c>
      <c r="G25" s="19" t="str">
        <f>IF($P25="","",INDEX(BEMANNINGSPLAN!$AD$5:$AD$546,$P25))</f>
        <v>Vanligt café</v>
      </c>
      <c r="H25" s="18" t="str">
        <f>IF($P25="","",IF(AND(INDEX(BEMANNINGSPLAN!$Y$5:$Y$546,$P25)=1,G25&lt;&gt;"Minicafé"),"X",""))</f>
        <v>X</v>
      </c>
      <c r="I25" s="21" t="str">
        <f>IF($P25="","",IF(INDEX(BEMANNINGSPLAN!$Y$5:$Y$546,$P25)=1,"X",""))</f>
        <v>X</v>
      </c>
      <c r="J25" s="22" t="str">
        <f>IF($P25="","",IF(SUMIF(BEMANNINGSPLAN!$W$5:$W$546,INDEX(BEMANNINGSPLAN!$W$5:$W$546,$P25),BEMANNINGSPLAN!$Z$5:$Z$546)=1,"X",""))</f>
        <v>X</v>
      </c>
      <c r="K25" s="23" t="str">
        <f>IF($P25="","",IFERROR(LOOKUP(2,1/((BEMANNINGSPLAN!$W$5:$W$546=INDEX(BEMANNINGSPLAN!$W$5:$W$546,$P25))*(BEMANNINGSPLAN!$L$5:$L$546&lt;&gt;"")),BEMANNINGSPLAN!$L$5:$L$546),""))</f>
        <v/>
      </c>
      <c r="L25" s="18">
        <f>IF($P25="","",INDEX(BEMANNINGSPLAN!$AE$5:$AE$546,$P25))</f>
        <v>3</v>
      </c>
      <c r="M25" s="137"/>
      <c r="N25" s="16"/>
      <c r="O25" s="16">
        <f>IF(AND(BEMANNINGSPLAN!U23=1,OR($B$4="Alla lag",BEMANNINGSPLAN!J23=$B$4),OR($E$4="Alla datum",BEMANNINGSPLAN!A23=$E$4)),COUNT($O$6:O24)+1,"")</f>
        <v>2</v>
      </c>
      <c r="P25" s="137">
        <f t="shared" si="0"/>
        <v>170</v>
      </c>
    </row>
    <row r="26" spans="1:16" ht="27.75" customHeight="1">
      <c r="A26" s="17">
        <f>IF($P26="","",INDEX(BEMANNINGSPLAN!$A$5:$A$546,$P26))</f>
        <v>46340</v>
      </c>
      <c r="B26" s="18" t="str">
        <f>IF($P26="","",INDEX(BEMANNINGSPLAN!$B$5:$B$546,$P26))</f>
        <v>lördag</v>
      </c>
      <c r="C26" s="19" t="str">
        <f>IF($P26="","",INDEX(BEMANNINGSPLAN!$C$5:$C$546,$P26))</f>
        <v>Tallbackaskolan</v>
      </c>
      <c r="D26" s="20">
        <f>IF($P26="","",INDEX(BEMANNINGSPLAN!$D$5:$D$546,$P26))</f>
        <v>0.33333333333333298</v>
      </c>
      <c r="E26" s="20">
        <f>IF($P26="","",SUMIF(BEMANNINGSPLAN!$W$5:$W$546,INDEX(BEMANNINGSPLAN!$W$5:$W$546,$P26),BEMANNINGSPLAN!$X$5:$X$546))</f>
        <v>0.55208333333333304</v>
      </c>
      <c r="F26" s="18" t="str">
        <f>IF($P26="","",INDEX(BEMANNINGSPLAN!$J$5:$J$546,$P26))</f>
        <v>P12</v>
      </c>
      <c r="G26" s="19" t="str">
        <f>IF($P26="","",INDEX(BEMANNINGSPLAN!$AD$5:$AD$546,$P26))</f>
        <v>Vanligt café</v>
      </c>
      <c r="H26" s="18" t="str">
        <f>IF($P26="","",IF(AND(INDEX(BEMANNINGSPLAN!$Y$5:$Y$546,$P26)=1,G26&lt;&gt;"Minicafé"),"X",""))</f>
        <v>X</v>
      </c>
      <c r="I26" s="21" t="str">
        <f>IF($P26="","",IF(INDEX(BEMANNINGSPLAN!$Y$5:$Y$546,$P26)=1,"X",""))</f>
        <v>X</v>
      </c>
      <c r="J26" s="22" t="str">
        <f>IF($P26="","",IF(SUMIF(BEMANNINGSPLAN!$W$5:$W$546,INDEX(BEMANNINGSPLAN!$W$5:$W$546,$P26),BEMANNINGSPLAN!$Z$5:$Z$546)=1,"X",""))</f>
        <v>X</v>
      </c>
      <c r="K26" s="23" t="str">
        <f>IF($P26="","",IFERROR(LOOKUP(2,1/((BEMANNINGSPLAN!$W$5:$W$546=INDEX(BEMANNINGSPLAN!$W$5:$W$546,$P26))*(BEMANNINGSPLAN!$L$5:$L$546&lt;&gt;"")),BEMANNINGSPLAN!$L$5:$L$546),""))</f>
        <v/>
      </c>
      <c r="L26" s="18">
        <f>IF($P26="","",INDEX(BEMANNINGSPLAN!$AE$5:$AE$546,$P26))</f>
        <v>5.2500000000000018</v>
      </c>
      <c r="M26" s="137"/>
      <c r="N26" s="16"/>
      <c r="O26" s="16" t="str">
        <f>IF(AND(BEMANNINGSPLAN!U24=1,OR($B$4="Alla lag",BEMANNINGSPLAN!J24=$B$4),OR($E$4="Alla datum",BEMANNINGSPLAN!A24=$E$4)),COUNT($O$6:O25)+1,"")</f>
        <v/>
      </c>
      <c r="P26" s="137">
        <f t="shared" si="0"/>
        <v>176</v>
      </c>
    </row>
    <row r="27" spans="1:16" ht="27.75" customHeight="1">
      <c r="A27" s="17">
        <f>IF($P27="","",INDEX(BEMANNINGSPLAN!$A$5:$A$546,$P27))</f>
        <v>46340</v>
      </c>
      <c r="B27" s="18" t="str">
        <f>IF($P27="","",INDEX(BEMANNINGSPLAN!$B$5:$B$546,$P27))</f>
        <v>lördag</v>
      </c>
      <c r="C27" s="19" t="str">
        <f>IF($P27="","",INDEX(BEMANNINGSPLAN!$C$5:$C$546,$P27))</f>
        <v>Ulriksdalshallen</v>
      </c>
      <c r="D27" s="20">
        <f>IF($P27="","",INDEX(BEMANNINGSPLAN!$D$5:$D$546,$P27))</f>
        <v>0.33333333333333298</v>
      </c>
      <c r="E27" s="20">
        <f>IF($P27="","",SUMIF(BEMANNINGSPLAN!$W$5:$W$546,INDEX(BEMANNINGSPLAN!$W$5:$W$546,$P27),BEMANNINGSPLAN!$X$5:$X$546))</f>
        <v>0.625</v>
      </c>
      <c r="F27" s="18" t="str">
        <f>IF($P27="","",INDEX(BEMANNINGSPLAN!$J$5:$J$546,$P27))</f>
        <v>F13</v>
      </c>
      <c r="G27" s="19" t="str">
        <f>IF($P27="","",INDEX(BEMANNINGSPLAN!$AD$5:$AD$546,$P27))</f>
        <v>Vanligt café</v>
      </c>
      <c r="H27" s="18" t="str">
        <f>IF($P27="","",IF(AND(INDEX(BEMANNINGSPLAN!$Y$5:$Y$546,$P27)=1,G27&lt;&gt;"Minicafé"),"X",""))</f>
        <v>X</v>
      </c>
      <c r="I27" s="21" t="str">
        <f>IF($P27="","",IF(INDEX(BEMANNINGSPLAN!$Y$5:$Y$546,$P27)=1,"X",""))</f>
        <v>X</v>
      </c>
      <c r="J27" s="22" t="str">
        <f>IF($P27="","",IF(SUMIF(BEMANNINGSPLAN!$W$5:$W$546,INDEX(BEMANNINGSPLAN!$W$5:$W$546,$P27),BEMANNINGSPLAN!$Z$5:$Z$546)=1,"X",""))</f>
        <v>X</v>
      </c>
      <c r="K27" s="23" t="str">
        <f>IF($P27="","",IFERROR(LOOKUP(2,1/((BEMANNINGSPLAN!$W$5:$W$546=INDEX(BEMANNINGSPLAN!$W$5:$W$546,$P27))*(BEMANNINGSPLAN!$L$5:$L$546&lt;&gt;"")),BEMANNINGSPLAN!$L$5:$L$546),""))</f>
        <v/>
      </c>
      <c r="L27" s="18">
        <f>IF($P27="","",INDEX(BEMANNINGSPLAN!$AE$5:$AE$546,$P27))</f>
        <v>7.0000000000000089</v>
      </c>
      <c r="M27" s="137"/>
      <c r="N27" s="16"/>
      <c r="O27" s="16" t="str">
        <f>IF(AND(BEMANNINGSPLAN!U25=1,OR($B$4="Alla lag",BEMANNINGSPLAN!J25=$B$4),OR($E$4="Alla datum",BEMANNINGSPLAN!A25=$E$4)),COUNT($O$6:O26)+1,"")</f>
        <v/>
      </c>
      <c r="P27" s="137">
        <f t="shared" si="0"/>
        <v>187</v>
      </c>
    </row>
    <row r="28" spans="1:16" ht="27.75" customHeight="1">
      <c r="A28" s="17">
        <f>IF($P28="","",INDEX(BEMANNINGSPLAN!$A$5:$A$546,$P28))</f>
        <v>46343</v>
      </c>
      <c r="B28" s="18" t="str">
        <f>IF($P28="","",INDEX(BEMANNINGSPLAN!$B$5:$B$546,$P28))</f>
        <v>tisdag</v>
      </c>
      <c r="C28" s="19" t="str">
        <f>IF($P28="","",INDEX(BEMANNINGSPLAN!$C$5:$C$546,$P28))</f>
        <v>Råsta Park</v>
      </c>
      <c r="D28" s="20">
        <f>IF($P28="","",INDEX(BEMANNINGSPLAN!$D$5:$D$546,$P28))</f>
        <v>0.83333333333333304</v>
      </c>
      <c r="E28" s="20">
        <f>IF($P28="","",SUMIF(BEMANNINGSPLAN!$W$5:$W$546,INDEX(BEMANNINGSPLAN!$W$5:$W$546,$P28),BEMANNINGSPLAN!$X$5:$X$546))</f>
        <v>0.91666666666666696</v>
      </c>
      <c r="F28" s="18" t="str">
        <f>IF($P28="","",INDEX(BEMANNINGSPLAN!$J$5:$J$546,$P28))</f>
        <v>F19</v>
      </c>
      <c r="G28" s="19" t="str">
        <f>IF($P28="","",INDEX(BEMANNINGSPLAN!$AD$5:$AD$546,$P28))</f>
        <v>Minicafé</v>
      </c>
      <c r="H28" s="18" t="str">
        <f>IF($P28="","",IF(AND(INDEX(BEMANNINGSPLAN!$Y$5:$Y$546,$P28)=1,G28&lt;&gt;"Minicafé"),"X",""))</f>
        <v/>
      </c>
      <c r="I28" s="21" t="str">
        <f>IF($P28="","",IF(INDEX(BEMANNINGSPLAN!$Y$5:$Y$546,$P28)=1,"X",""))</f>
        <v>X</v>
      </c>
      <c r="J28" s="22" t="str">
        <f>IF($P28="","",IF(SUMIF(BEMANNINGSPLAN!$W$5:$W$546,INDEX(BEMANNINGSPLAN!$W$5:$W$546,$P28),BEMANNINGSPLAN!$Z$5:$Z$546)=1,"X",""))</f>
        <v>X</v>
      </c>
      <c r="K28" s="23" t="str">
        <f>IF($P28="","",IFERROR(LOOKUP(2,1/((BEMANNINGSPLAN!$W$5:$W$546=INDEX(BEMANNINGSPLAN!$W$5:$W$546,$P28))*(BEMANNINGSPLAN!$L$5:$L$546&lt;&gt;"")),BEMANNINGSPLAN!$L$5:$L$546),""))</f>
        <v/>
      </c>
      <c r="L28" s="18">
        <f>IF($P28="","",INDEX(BEMANNINGSPLAN!$AE$5:$AE$546,$P28))</f>
        <v>2.0000000000000142</v>
      </c>
      <c r="M28" s="137"/>
      <c r="N28" s="16"/>
      <c r="O28" s="16" t="str">
        <f>IF(AND(BEMANNINGSPLAN!U26=1,OR($B$4="Alla lag",BEMANNINGSPLAN!J26=$B$4),OR($E$4="Alla datum",BEMANNINGSPLAN!A26=$E$4)),COUNT($O$6:O27)+1,"")</f>
        <v/>
      </c>
      <c r="P28" s="137">
        <f t="shared" si="0"/>
        <v>201</v>
      </c>
    </row>
    <row r="29" spans="1:16" ht="27.75" customHeight="1">
      <c r="A29" s="17">
        <f>IF($P29="","",INDEX(BEMANNINGSPLAN!$A$5:$A$546,$P29))</f>
        <v>46347</v>
      </c>
      <c r="B29" s="18" t="str">
        <f>IF($P29="","",INDEX(BEMANNINGSPLAN!$B$5:$B$546,$P29))</f>
        <v>lördag</v>
      </c>
      <c r="C29" s="19" t="str">
        <f>IF($P29="","",INDEX(BEMANNINGSPLAN!$C$5:$C$546,$P29))</f>
        <v>Råsta Park</v>
      </c>
      <c r="D29" s="20">
        <f>IF($P29="","",INDEX(BEMANNINGSPLAN!$D$5:$D$546,$P29))</f>
        <v>0.5625</v>
      </c>
      <c r="E29" s="20">
        <f>IF($P29="","",SUMIF(BEMANNINGSPLAN!$W$5:$W$546,INDEX(BEMANNINGSPLAN!$W$5:$W$546,$P29),BEMANNINGSPLAN!$X$5:$X$546))</f>
        <v>0.625</v>
      </c>
      <c r="F29" s="18" t="str">
        <f>IF($P29="","",INDEX(BEMANNINGSPLAN!$J$5:$J$546,$P29))</f>
        <v>P16</v>
      </c>
      <c r="G29" s="19" t="str">
        <f>IF($P29="","",INDEX(BEMANNINGSPLAN!$AD$5:$AD$546,$P29))</f>
        <v>Minicafé</v>
      </c>
      <c r="H29" s="18" t="str">
        <f>IF($P29="","",IF(AND(INDEX(BEMANNINGSPLAN!$Y$5:$Y$546,$P29)=1,G29&lt;&gt;"Minicafé"),"X",""))</f>
        <v/>
      </c>
      <c r="I29" s="21" t="str">
        <f>IF($P29="","",IF(INDEX(BEMANNINGSPLAN!$Y$5:$Y$546,$P29)=1,"X",""))</f>
        <v>X</v>
      </c>
      <c r="J29" s="22" t="str">
        <f>IF($P29="","",IF(SUMIF(BEMANNINGSPLAN!$W$5:$W$546,INDEX(BEMANNINGSPLAN!$W$5:$W$546,$P29),BEMANNINGSPLAN!$Z$5:$Z$546)=1,"X",""))</f>
        <v>X</v>
      </c>
      <c r="K29" s="23" t="str">
        <f>IF($P29="","",IFERROR(LOOKUP(2,1/((BEMANNINGSPLAN!$W$5:$W$546=INDEX(BEMANNINGSPLAN!$W$5:$W$546,$P29))*(BEMANNINGSPLAN!$L$5:$L$546&lt;&gt;"")),BEMANNINGSPLAN!$L$5:$L$546),""))</f>
        <v/>
      </c>
      <c r="L29" s="18">
        <f>IF($P29="","",INDEX(BEMANNINGSPLAN!$AE$5:$AE$546,$P29))</f>
        <v>1.5</v>
      </c>
      <c r="M29" s="137"/>
      <c r="N29" s="16"/>
      <c r="O29" s="16" t="str">
        <f>IF(AND(BEMANNINGSPLAN!U27=1,OR($B$4="Alla lag",BEMANNINGSPLAN!J27=$B$4),OR($E$4="Alla datum",BEMANNINGSPLAN!A27=$E$4)),COUNT($O$6:O28)+1,"")</f>
        <v/>
      </c>
      <c r="P29" s="137">
        <f t="shared" si="0"/>
        <v>207</v>
      </c>
    </row>
    <row r="30" spans="1:16" ht="27.75" customHeight="1">
      <c r="A30" s="17">
        <f>IF($P30="","",INDEX(BEMANNINGSPLAN!$A$5:$A$546,$P30))</f>
        <v>46347</v>
      </c>
      <c r="B30" s="18" t="str">
        <f>IF($P30="","",INDEX(BEMANNINGSPLAN!$B$5:$B$546,$P30))</f>
        <v>lördag</v>
      </c>
      <c r="C30" s="19" t="str">
        <f>IF($P30="","",INDEX(BEMANNINGSPLAN!$C$5:$C$546,$P30))</f>
        <v>Tallbackaskolan</v>
      </c>
      <c r="D30" s="20">
        <f>IF($P30="","",INDEX(BEMANNINGSPLAN!$D$5:$D$546,$P30))</f>
        <v>0.4375</v>
      </c>
      <c r="E30" s="20">
        <f>IF($P30="","",SUMIF(BEMANNINGSPLAN!$W$5:$W$546,INDEX(BEMANNINGSPLAN!$W$5:$W$546,$P30),BEMANNINGSPLAN!$X$5:$X$546))</f>
        <v>0.52083333333333304</v>
      </c>
      <c r="F30" s="18" t="str">
        <f>IF($P30="","",INDEX(BEMANNINGSPLAN!$J$5:$J$546,$P30))</f>
        <v>P12</v>
      </c>
      <c r="G30" s="19" t="str">
        <f>IF($P30="","",INDEX(BEMANNINGSPLAN!$AD$5:$AD$546,$P30))</f>
        <v>Minicafé</v>
      </c>
      <c r="H30" s="18" t="str">
        <f>IF($P30="","",IF(AND(INDEX(BEMANNINGSPLAN!$Y$5:$Y$546,$P30)=1,G30&lt;&gt;"Minicafé"),"X",""))</f>
        <v/>
      </c>
      <c r="I30" s="21" t="str">
        <f>IF($P30="","",IF(INDEX(BEMANNINGSPLAN!$Y$5:$Y$546,$P30)=1,"X",""))</f>
        <v>X</v>
      </c>
      <c r="J30" s="22" t="str">
        <f>IF($P30="","",IF(SUMIF(BEMANNINGSPLAN!$W$5:$W$546,INDEX(BEMANNINGSPLAN!$W$5:$W$546,$P30),BEMANNINGSPLAN!$Z$5:$Z$546)=1,"X",""))</f>
        <v>X</v>
      </c>
      <c r="K30" s="23" t="str">
        <f>IF($P30="","",IFERROR(LOOKUP(2,1/((BEMANNINGSPLAN!$W$5:$W$546=INDEX(BEMANNINGSPLAN!$W$5:$W$546,$P30))*(BEMANNINGSPLAN!$L$5:$L$546&lt;&gt;"")),BEMANNINGSPLAN!$L$5:$L$546),""))</f>
        <v>Match mellan besökande P11-lag. P12 preliminärt – inväntar klubbens besked.</v>
      </c>
      <c r="L30" s="18">
        <f>IF($P30="","",INDEX(BEMANNINGSPLAN!$AE$5:$AE$546,$P30))</f>
        <v>1.9999999999999929</v>
      </c>
      <c r="M30" s="137"/>
      <c r="N30" s="16"/>
      <c r="O30" s="16" t="str">
        <f>IF(AND(BEMANNINGSPLAN!U28=1,OR($B$4="Alla lag",BEMANNINGSPLAN!J28=$B$4),OR($E$4="Alla datum",BEMANNINGSPLAN!A28=$E$4)),COUNT($O$6:O29)+1,"")</f>
        <v/>
      </c>
      <c r="P30" s="137">
        <f t="shared" si="0"/>
        <v>210</v>
      </c>
    </row>
    <row r="31" spans="1:16" ht="27.75" customHeight="1">
      <c r="A31" s="17">
        <f>IF($P31="","",INDEX(BEMANNINGSPLAN!$A$5:$A$546,$P31))</f>
        <v>46347</v>
      </c>
      <c r="B31" s="18" t="str">
        <f>IF($P31="","",INDEX(BEMANNINGSPLAN!$B$5:$B$546,$P31))</f>
        <v>lördag</v>
      </c>
      <c r="C31" s="19" t="str">
        <f>IF($P31="","",INDEX(BEMANNINGSPLAN!$C$5:$C$546,$P31))</f>
        <v>Ulriksdalshallen</v>
      </c>
      <c r="D31" s="20">
        <f>IF($P31="","",INDEX(BEMANNINGSPLAN!$D$5:$D$546,$P31))</f>
        <v>0.33333333333333298</v>
      </c>
      <c r="E31" s="20">
        <f>IF($P31="","",SUMIF(BEMANNINGSPLAN!$W$5:$W$546,INDEX(BEMANNINGSPLAN!$W$5:$W$546,$P31),BEMANNINGSPLAN!$X$5:$X$546))</f>
        <v>0.58333333333333304</v>
      </c>
      <c r="F31" s="18" t="str">
        <f>IF($P31="","",INDEX(BEMANNINGSPLAN!$J$5:$J$546,$P31))</f>
        <v>P12</v>
      </c>
      <c r="G31" s="19" t="str">
        <f>IF($P31="","",INDEX(BEMANNINGSPLAN!$AD$5:$AD$546,$P31))</f>
        <v>Vanligt café</v>
      </c>
      <c r="H31" s="18" t="str">
        <f>IF($P31="","",IF(AND(INDEX(BEMANNINGSPLAN!$Y$5:$Y$546,$P31)=1,G31&lt;&gt;"Minicafé"),"X",""))</f>
        <v>X</v>
      </c>
      <c r="I31" s="21" t="str">
        <f>IF($P31="","",IF(INDEX(BEMANNINGSPLAN!$Y$5:$Y$546,$P31)=1,"X",""))</f>
        <v>X</v>
      </c>
      <c r="J31" s="22" t="str">
        <f>IF($P31="","",IF(SUMIF(BEMANNINGSPLAN!$W$5:$W$546,INDEX(BEMANNINGSPLAN!$W$5:$W$546,$P31),BEMANNINGSPLAN!$Z$5:$Z$546)=1,"X",""))</f>
        <v/>
      </c>
      <c r="K31" s="23" t="str">
        <f>IF($P31="","",IFERROR(LOOKUP(2,1/((BEMANNINGSPLAN!$W$5:$W$546=INDEX(BEMANNINGSPLAN!$W$5:$W$546,$P31))*(BEMANNINGSPLAN!$L$5:$L$546&lt;&gt;"")),BEMANNINGSPLAN!$L$5:$L$546),""))</f>
        <v/>
      </c>
      <c r="L31" s="18">
        <f>IF($P31="","",INDEX(BEMANNINGSPLAN!$AE$5:$AE$546,$P31))</f>
        <v>6.0000000000000018</v>
      </c>
      <c r="M31" s="137"/>
      <c r="N31" s="16"/>
      <c r="O31" s="16" t="str">
        <f>IF(AND(BEMANNINGSPLAN!U29=1,OR($B$4="Alla lag",BEMANNINGSPLAN!J29=$B$4),OR($E$4="Alla datum",BEMANNINGSPLAN!A29=$E$4)),COUNT($O$6:O30)+1,"")</f>
        <v/>
      </c>
      <c r="P31" s="137">
        <f t="shared" si="0"/>
        <v>214</v>
      </c>
    </row>
    <row r="32" spans="1:16" ht="27.75" customHeight="1">
      <c r="A32" s="17">
        <f>IF($P32="","",INDEX(BEMANNINGSPLAN!$A$5:$A$546,$P32))</f>
        <v>46347</v>
      </c>
      <c r="B32" s="18" t="str">
        <f>IF($P32="","",INDEX(BEMANNINGSPLAN!$B$5:$B$546,$P32))</f>
        <v>lördag</v>
      </c>
      <c r="C32" s="19" t="str">
        <f>IF($P32="","",INDEX(BEMANNINGSPLAN!$C$5:$C$546,$P32))</f>
        <v>Ulriksdalshallen</v>
      </c>
      <c r="D32" s="20">
        <f>IF($P32="","",INDEX(BEMANNINGSPLAN!$D$5:$D$546,$P32))</f>
        <v>0.58333333333333304</v>
      </c>
      <c r="E32" s="20">
        <f>IF($P32="","",SUMIF(BEMANNINGSPLAN!$W$5:$W$546,INDEX(BEMANNINGSPLAN!$W$5:$W$546,$P32),BEMANNINGSPLAN!$X$5:$X$546))</f>
        <v>0.70833333333333304</v>
      </c>
      <c r="F32" s="18" t="str">
        <f>IF($P32="","",INDEX(BEMANNINGSPLAN!$J$5:$J$546,$P32))</f>
        <v>F14</v>
      </c>
      <c r="G32" s="19" t="str">
        <f>IF($P32="","",INDEX(BEMANNINGSPLAN!$AD$5:$AD$546,$P32))</f>
        <v>Vanligt café</v>
      </c>
      <c r="H32" s="18" t="str">
        <f>IF($P32="","",IF(AND(INDEX(BEMANNINGSPLAN!$Y$5:$Y$546,$P32)=1,G32&lt;&gt;"Minicafé"),"X",""))</f>
        <v/>
      </c>
      <c r="I32" s="21" t="str">
        <f>IF($P32="","",IF(INDEX(BEMANNINGSPLAN!$Y$5:$Y$546,$P32)=1,"X",""))</f>
        <v/>
      </c>
      <c r="J32" s="22" t="str">
        <f>IF($P32="","",IF(SUMIF(BEMANNINGSPLAN!$W$5:$W$546,INDEX(BEMANNINGSPLAN!$W$5:$W$546,$P32),BEMANNINGSPLAN!$Z$5:$Z$546)=1,"X",""))</f>
        <v>X</v>
      </c>
      <c r="K32" s="23" t="str">
        <f>IF($P32="","",IFERROR(LOOKUP(2,1/((BEMANNINGSPLAN!$W$5:$W$546=INDEX(BEMANNINGSPLAN!$W$5:$W$546,$P32))*(BEMANNINGSPLAN!$L$5:$L$546&lt;&gt;"")),BEMANNINGSPLAN!$L$5:$L$546),""))</f>
        <v/>
      </c>
      <c r="L32" s="18">
        <f>IF($P32="","",INDEX(BEMANNINGSPLAN!$AE$5:$AE$546,$P32))</f>
        <v>3</v>
      </c>
      <c r="M32" s="137"/>
      <c r="N32" s="16"/>
      <c r="O32" s="16" t="str">
        <f>IF(AND(BEMANNINGSPLAN!U30=1,OR($B$4="Alla lag",BEMANNINGSPLAN!J30=$B$4),OR($E$4="Alla datum",BEMANNINGSPLAN!A30=$E$4)),COUNT($O$6:O31)+1,"")</f>
        <v/>
      </c>
      <c r="P32" s="137">
        <f t="shared" si="0"/>
        <v>226</v>
      </c>
    </row>
    <row r="33" spans="1:16" ht="27.75" customHeight="1">
      <c r="A33" s="17">
        <f>IF($P33="","",INDEX(BEMANNINGSPLAN!$A$5:$A$546,$P33))</f>
        <v>46354</v>
      </c>
      <c r="B33" s="18" t="str">
        <f>IF($P33="","",INDEX(BEMANNINGSPLAN!$B$5:$B$546,$P33))</f>
        <v>lördag</v>
      </c>
      <c r="C33" s="19" t="str">
        <f>IF($P33="","",INDEX(BEMANNINGSPLAN!$C$5:$C$546,$P33))</f>
        <v>Råsta Park</v>
      </c>
      <c r="D33" s="20">
        <f>IF($P33="","",INDEX(BEMANNINGSPLAN!$D$5:$D$546,$P33))</f>
        <v>0.45833333333333298</v>
      </c>
      <c r="E33" s="20">
        <f>IF($P33="","",SUMIF(BEMANNINGSPLAN!$W$5:$W$546,INDEX(BEMANNINGSPLAN!$W$5:$W$546,$P33),BEMANNINGSPLAN!$X$5:$X$546))</f>
        <v>0.54166666666666696</v>
      </c>
      <c r="F33" s="18" t="str">
        <f>IF($P33="","",INDEX(BEMANNINGSPLAN!$J$5:$J$546,$P33))</f>
        <v>F16</v>
      </c>
      <c r="G33" s="19" t="str">
        <f>IF($P33="","",INDEX(BEMANNINGSPLAN!$AD$5:$AD$546,$P33))</f>
        <v>Minicafé</v>
      </c>
      <c r="H33" s="18" t="str">
        <f>IF($P33="","",IF(AND(INDEX(BEMANNINGSPLAN!$Y$5:$Y$546,$P33)=1,G33&lt;&gt;"Minicafé"),"X",""))</f>
        <v/>
      </c>
      <c r="I33" s="21" t="str">
        <f>IF($P33="","",IF(INDEX(BEMANNINGSPLAN!$Y$5:$Y$546,$P33)=1,"X",""))</f>
        <v>X</v>
      </c>
      <c r="J33" s="22" t="str">
        <f>IF($P33="","",IF(SUMIF(BEMANNINGSPLAN!$W$5:$W$546,INDEX(BEMANNINGSPLAN!$W$5:$W$546,$P33),BEMANNINGSPLAN!$Z$5:$Z$546)=1,"X",""))</f>
        <v>X</v>
      </c>
      <c r="K33" s="23" t="str">
        <f>IF($P33="","",IFERROR(LOOKUP(2,1/((BEMANNINGSPLAN!$W$5:$W$546=INDEX(BEMANNINGSPLAN!$W$5:$W$546,$P33))*(BEMANNINGSPLAN!$L$5:$L$546&lt;&gt;"")),BEMANNINGSPLAN!$L$5:$L$546),""))</f>
        <v/>
      </c>
      <c r="L33" s="18">
        <f>IF($P33="","",INDEX(BEMANNINGSPLAN!$AE$5:$AE$546,$P33))</f>
        <v>2.0000000000000155</v>
      </c>
      <c r="M33" s="137"/>
      <c r="N33" s="16"/>
      <c r="O33" s="16" t="str">
        <f>IF(AND(BEMANNINGSPLAN!U31=1,OR($B$4="Alla lag",BEMANNINGSPLAN!J31=$B$4),OR($E$4="Alla datum",BEMANNINGSPLAN!A31=$E$4)),COUNT($O$6:O32)+1,"")</f>
        <v/>
      </c>
      <c r="P33" s="137">
        <f t="shared" si="0"/>
        <v>232</v>
      </c>
    </row>
    <row r="34" spans="1:16" ht="27.75" customHeight="1">
      <c r="A34" s="17">
        <f>IF($P34="","",INDEX(BEMANNINGSPLAN!$A$5:$A$546,$P34))</f>
        <v>46354</v>
      </c>
      <c r="B34" s="18" t="str">
        <f>IF($P34="","",INDEX(BEMANNINGSPLAN!$B$5:$B$546,$P34))</f>
        <v>lördag</v>
      </c>
      <c r="C34" s="19" t="str">
        <f>IF($P34="","",INDEX(BEMANNINGSPLAN!$C$5:$C$546,$P34))</f>
        <v>Tallbackaskolan</v>
      </c>
      <c r="D34" s="20">
        <f>IF($P34="","",INDEX(BEMANNINGSPLAN!$D$5:$D$546,$P34))</f>
        <v>0.33333333333333298</v>
      </c>
      <c r="E34" s="20">
        <f>IF($P34="","",SUMIF(BEMANNINGSPLAN!$W$5:$W$546,INDEX(BEMANNINGSPLAN!$W$5:$W$546,$P34),BEMANNINGSPLAN!$X$5:$X$546))</f>
        <v>0.625</v>
      </c>
      <c r="F34" s="18" t="str">
        <f>IF($P34="","",INDEX(BEMANNINGSPLAN!$J$5:$J$546,$P34))</f>
        <v>P12</v>
      </c>
      <c r="G34" s="19" t="str">
        <f>IF($P34="","",INDEX(BEMANNINGSPLAN!$AD$5:$AD$546,$P34))</f>
        <v>Vanligt café</v>
      </c>
      <c r="H34" s="18" t="str">
        <f>IF($P34="","",IF(AND(INDEX(BEMANNINGSPLAN!$Y$5:$Y$546,$P34)=1,G34&lt;&gt;"Minicafé"),"X",""))</f>
        <v>X</v>
      </c>
      <c r="I34" s="21" t="str">
        <f>IF($P34="","",IF(INDEX(BEMANNINGSPLAN!$Y$5:$Y$546,$P34)=1,"X",""))</f>
        <v>X</v>
      </c>
      <c r="J34" s="22" t="str">
        <f>IF($P34="","",IF(SUMIF(BEMANNINGSPLAN!$W$5:$W$546,INDEX(BEMANNINGSPLAN!$W$5:$W$546,$P34),BEMANNINGSPLAN!$Z$5:$Z$546)=1,"X",""))</f>
        <v>X</v>
      </c>
      <c r="K34" s="23" t="str">
        <f>IF($P34="","",IFERROR(LOOKUP(2,1/((BEMANNINGSPLAN!$W$5:$W$546=INDEX(BEMANNINGSPLAN!$W$5:$W$546,$P34))*(BEMANNINGSPLAN!$L$5:$L$546&lt;&gt;"")),BEMANNINGSPLAN!$L$5:$L$546),""))</f>
        <v/>
      </c>
      <c r="L34" s="18">
        <f>IF($P34="","",INDEX(BEMANNINGSPLAN!$AE$5:$AE$546,$P34))</f>
        <v>7.0000000000000089</v>
      </c>
      <c r="M34" s="137"/>
      <c r="N34" s="16"/>
      <c r="O34" s="16" t="str">
        <f>IF(AND(BEMANNINGSPLAN!U32=1,OR($B$4="Alla lag",BEMANNINGSPLAN!J32=$B$4),OR($E$4="Alla datum",BEMANNINGSPLAN!A32=$E$4)),COUNT($O$6:O33)+1,"")</f>
        <v/>
      </c>
      <c r="P34" s="137">
        <f t="shared" si="0"/>
        <v>241</v>
      </c>
    </row>
    <row r="35" spans="1:16" ht="27.75" customHeight="1">
      <c r="A35" s="17">
        <f>IF($P35="","",INDEX(BEMANNINGSPLAN!$A$5:$A$546,$P35))</f>
        <v>46354</v>
      </c>
      <c r="B35" s="18" t="str">
        <f>IF($P35="","",INDEX(BEMANNINGSPLAN!$B$5:$B$546,$P35))</f>
        <v>lördag</v>
      </c>
      <c r="C35" s="19" t="str">
        <f>IF($P35="","",INDEX(BEMANNINGSPLAN!$C$5:$C$546,$P35))</f>
        <v>Ulriksdalshallen</v>
      </c>
      <c r="D35" s="20">
        <f>IF($P35="","",INDEX(BEMANNINGSPLAN!$D$5:$D$546,$P35))</f>
        <v>0.46875</v>
      </c>
      <c r="E35" s="20">
        <f>IF($P35="","",SUMIF(BEMANNINGSPLAN!$W$5:$W$546,INDEX(BEMANNINGSPLAN!$W$5:$W$546,$P35),BEMANNINGSPLAN!$X$5:$X$546))</f>
        <v>0.625</v>
      </c>
      <c r="F35" s="18" t="str">
        <f>IF($P35="","",INDEX(BEMANNINGSPLAN!$J$5:$J$546,$P35))</f>
        <v>F12</v>
      </c>
      <c r="G35" s="19" t="str">
        <f>IF($P35="","",INDEX(BEMANNINGSPLAN!$AD$5:$AD$546,$P35))</f>
        <v>Vanligt café</v>
      </c>
      <c r="H35" s="18" t="str">
        <f>IF($P35="","",IF(AND(INDEX(BEMANNINGSPLAN!$Y$5:$Y$546,$P35)=1,G35&lt;&gt;"Minicafé"),"X",""))</f>
        <v>X</v>
      </c>
      <c r="I35" s="21" t="str">
        <f>IF($P35="","",IF(INDEX(BEMANNINGSPLAN!$Y$5:$Y$546,$P35)=1,"X",""))</f>
        <v>X</v>
      </c>
      <c r="J35" s="22" t="str">
        <f>IF($P35="","",IF(SUMIF(BEMANNINGSPLAN!$W$5:$W$546,INDEX(BEMANNINGSPLAN!$W$5:$W$546,$P35),BEMANNINGSPLAN!$Z$5:$Z$546)=1,"X",""))</f>
        <v/>
      </c>
      <c r="K35" s="23" t="str">
        <f>IF($P35="","",IFERROR(LOOKUP(2,1/((BEMANNINGSPLAN!$W$5:$W$546=INDEX(BEMANNINGSPLAN!$W$5:$W$546,$P35))*(BEMANNINGSPLAN!$L$5:$L$546&lt;&gt;"")),BEMANNINGSPLAN!$L$5:$L$546),""))</f>
        <v/>
      </c>
      <c r="L35" s="18">
        <f>IF($P35="","",INDEX(BEMANNINGSPLAN!$AE$5:$AE$546,$P35))</f>
        <v>3.75</v>
      </c>
      <c r="M35" s="137"/>
      <c r="N35" s="16"/>
      <c r="O35" s="16" t="str">
        <f>IF(AND(BEMANNINGSPLAN!U33=1,OR($B$4="Alla lag",BEMANNINGSPLAN!J33=$B$4),OR($E$4="Alla datum",BEMANNINGSPLAN!A33=$E$4)),COUNT($O$6:O34)+1,"")</f>
        <v/>
      </c>
      <c r="P35" s="137">
        <f t="shared" si="0"/>
        <v>255</v>
      </c>
    </row>
    <row r="36" spans="1:16" ht="27.75" customHeight="1">
      <c r="A36" s="17">
        <f>IF($P36="","",INDEX(BEMANNINGSPLAN!$A$5:$A$546,$P36))</f>
        <v>46354</v>
      </c>
      <c r="B36" s="18" t="str">
        <f>IF($P36="","",INDEX(BEMANNINGSPLAN!$B$5:$B$546,$P36))</f>
        <v>lördag</v>
      </c>
      <c r="C36" s="19" t="str">
        <f>IF($P36="","",INDEX(BEMANNINGSPLAN!$C$5:$C$546,$P36))</f>
        <v>Ulriksdalshallen</v>
      </c>
      <c r="D36" s="20">
        <f>IF($P36="","",INDEX(BEMANNINGSPLAN!$D$5:$D$546,$P36))</f>
        <v>0.625</v>
      </c>
      <c r="E36" s="20">
        <f>IF($P36="","",SUMIF(BEMANNINGSPLAN!$W$5:$W$546,INDEX(BEMANNINGSPLAN!$W$5:$W$546,$P36),BEMANNINGSPLAN!$X$5:$X$546))</f>
        <v>0.77083333333333304</v>
      </c>
      <c r="F36" s="18" t="str">
        <f>IF($P36="","",INDEX(BEMANNINGSPLAN!$J$5:$J$546,$P36))</f>
        <v>F13</v>
      </c>
      <c r="G36" s="19" t="str">
        <f>IF($P36="","",INDEX(BEMANNINGSPLAN!$AD$5:$AD$546,$P36))</f>
        <v>Vanligt café</v>
      </c>
      <c r="H36" s="18" t="str">
        <f>IF($P36="","",IF(AND(INDEX(BEMANNINGSPLAN!$Y$5:$Y$546,$P36)=1,G36&lt;&gt;"Minicafé"),"X",""))</f>
        <v/>
      </c>
      <c r="I36" s="21" t="str">
        <f>IF($P36="","",IF(INDEX(BEMANNINGSPLAN!$Y$5:$Y$546,$P36)=1,"X",""))</f>
        <v/>
      </c>
      <c r="J36" s="22" t="str">
        <f>IF($P36="","",IF(SUMIF(BEMANNINGSPLAN!$W$5:$W$546,INDEX(BEMANNINGSPLAN!$W$5:$W$546,$P36),BEMANNINGSPLAN!$Z$5:$Z$546)=1,"X",""))</f>
        <v>X</v>
      </c>
      <c r="K36" s="23" t="str">
        <f>IF($P36="","",IFERROR(LOOKUP(2,1/((BEMANNINGSPLAN!$W$5:$W$546=INDEX(BEMANNINGSPLAN!$W$5:$W$546,$P36))*(BEMANNINGSPLAN!$L$5:$L$546&lt;&gt;"")),BEMANNINGSPLAN!$L$5:$L$546),""))</f>
        <v/>
      </c>
      <c r="L36" s="18">
        <f>IF($P36="","",INDEX(BEMANNINGSPLAN!$AE$5:$AE$546,$P36))</f>
        <v>3.4999999999999929</v>
      </c>
      <c r="M36" s="137"/>
      <c r="N36" s="16"/>
      <c r="O36" s="16" t="str">
        <f>IF(AND(BEMANNINGSPLAN!U34=1,OR($B$4="Alla lag",BEMANNINGSPLAN!J34=$B$4),OR($E$4="Alla datum",BEMANNINGSPLAN!A34=$E$4)),COUNT($O$6:O35)+1,"")</f>
        <v/>
      </c>
      <c r="P36" s="137">
        <f t="shared" si="0"/>
        <v>263</v>
      </c>
    </row>
    <row r="37" spans="1:16" ht="27.75" customHeight="1">
      <c r="A37" s="17">
        <f>IF($P37="","",INDEX(BEMANNINGSPLAN!$A$5:$A$546,$P37))</f>
        <v>46357</v>
      </c>
      <c r="B37" s="18" t="str">
        <f>IF($P37="","",INDEX(BEMANNINGSPLAN!$B$5:$B$546,$P37))</f>
        <v>tisdag</v>
      </c>
      <c r="C37" s="19" t="str">
        <f>IF($P37="","",INDEX(BEMANNINGSPLAN!$C$5:$C$546,$P37))</f>
        <v>Råsta Park</v>
      </c>
      <c r="D37" s="20">
        <f>IF($P37="","",INDEX(BEMANNINGSPLAN!$D$5:$D$546,$P37))</f>
        <v>0.83333333333333304</v>
      </c>
      <c r="E37" s="20">
        <f>IF($P37="","",SUMIF(BEMANNINGSPLAN!$W$5:$W$546,INDEX(BEMANNINGSPLAN!$W$5:$W$546,$P37),BEMANNINGSPLAN!$X$5:$X$546))</f>
        <v>0.91666666666666696</v>
      </c>
      <c r="F37" s="18" t="str">
        <f>IF($P37="","",INDEX(BEMANNINGSPLAN!$J$5:$J$546,$P37))</f>
        <v>F19</v>
      </c>
      <c r="G37" s="19" t="str">
        <f>IF($P37="","",INDEX(BEMANNINGSPLAN!$AD$5:$AD$546,$P37))</f>
        <v>Minicafé</v>
      </c>
      <c r="H37" s="18" t="str">
        <f>IF($P37="","",IF(AND(INDEX(BEMANNINGSPLAN!$Y$5:$Y$546,$P37)=1,G37&lt;&gt;"Minicafé"),"X",""))</f>
        <v/>
      </c>
      <c r="I37" s="21" t="str">
        <f>IF($P37="","",IF(INDEX(BEMANNINGSPLAN!$Y$5:$Y$546,$P37)=1,"X",""))</f>
        <v>X</v>
      </c>
      <c r="J37" s="22" t="str">
        <f>IF($P37="","",IF(SUMIF(BEMANNINGSPLAN!$W$5:$W$546,INDEX(BEMANNINGSPLAN!$W$5:$W$546,$P37),BEMANNINGSPLAN!$Z$5:$Z$546)=1,"X",""))</f>
        <v>X</v>
      </c>
      <c r="K37" s="23" t="str">
        <f>IF($P37="","",IFERROR(LOOKUP(2,1/((BEMANNINGSPLAN!$W$5:$W$546=INDEX(BEMANNINGSPLAN!$W$5:$W$546,$P37))*(BEMANNINGSPLAN!$L$5:$L$546&lt;&gt;"")),BEMANNINGSPLAN!$L$5:$L$546),""))</f>
        <v/>
      </c>
      <c r="L37" s="18">
        <f>IF($P37="","",INDEX(BEMANNINGSPLAN!$AE$5:$AE$546,$P37))</f>
        <v>2.0000000000000142</v>
      </c>
      <c r="M37" s="137"/>
      <c r="N37" s="16"/>
      <c r="O37" s="16" t="str">
        <f>IF(AND(BEMANNINGSPLAN!U35=1,OR($B$4="Alla lag",BEMANNINGSPLAN!J35=$B$4),OR($E$4="Alla datum",BEMANNINGSPLAN!A35=$E$4)),COUNT($O$6:O36)+1,"")</f>
        <v/>
      </c>
      <c r="P37" s="137">
        <f t="shared" si="0"/>
        <v>270</v>
      </c>
    </row>
    <row r="38" spans="1:16" ht="27.75" customHeight="1">
      <c r="A38" s="17">
        <f>IF($P38="","",INDEX(BEMANNINGSPLAN!$A$5:$A$546,$P38))</f>
        <v>46361</v>
      </c>
      <c r="B38" s="18" t="str">
        <f>IF($P38="","",INDEX(BEMANNINGSPLAN!$B$5:$B$546,$P38))</f>
        <v>lördag</v>
      </c>
      <c r="C38" s="19" t="str">
        <f>IF($P38="","",INDEX(BEMANNINGSPLAN!$C$5:$C$546,$P38))</f>
        <v>Råsta Park</v>
      </c>
      <c r="D38" s="20">
        <f>IF($P38="","",INDEX(BEMANNINGSPLAN!$D$5:$D$546,$P38))</f>
        <v>0.39583333333333298</v>
      </c>
      <c r="E38" s="20">
        <f>IF($P38="","",SUMIF(BEMANNINGSPLAN!$W$5:$W$546,INDEX(BEMANNINGSPLAN!$W$5:$W$546,$P38),BEMANNINGSPLAN!$X$5:$X$546))</f>
        <v>0.54166666666666696</v>
      </c>
      <c r="F38" s="18" t="str">
        <f>IF($P38="","",INDEX(BEMANNINGSPLAN!$J$5:$J$546,$P38))</f>
        <v>F16</v>
      </c>
      <c r="G38" s="19" t="str">
        <f>IF($P38="","",INDEX(BEMANNINGSPLAN!$AD$5:$AD$546,$P38))</f>
        <v>Vanligt café</v>
      </c>
      <c r="H38" s="18" t="str">
        <f>IF($P38="","",IF(AND(INDEX(BEMANNINGSPLAN!$Y$5:$Y$546,$P38)=1,G38&lt;&gt;"Minicafé"),"X",""))</f>
        <v>X</v>
      </c>
      <c r="I38" s="21" t="str">
        <f>IF($P38="","",IF(INDEX(BEMANNINGSPLAN!$Y$5:$Y$546,$P38)=1,"X",""))</f>
        <v>X</v>
      </c>
      <c r="J38" s="22" t="str">
        <f>IF($P38="","",IF(SUMIF(BEMANNINGSPLAN!$W$5:$W$546,INDEX(BEMANNINGSPLAN!$W$5:$W$546,$P38),BEMANNINGSPLAN!$Z$5:$Z$546)=1,"X",""))</f>
        <v>X</v>
      </c>
      <c r="K38" s="23" t="str">
        <f>IF($P38="","",IFERROR(LOOKUP(2,1/((BEMANNINGSPLAN!$W$5:$W$546=INDEX(BEMANNINGSPLAN!$W$5:$W$546,$P38))*(BEMANNINGSPLAN!$L$5:$L$546&lt;&gt;"")),BEMANNINGSPLAN!$L$5:$L$546),""))</f>
        <v>Stäm av med AIK Dam som spelar efteråt</v>
      </c>
      <c r="L38" s="18">
        <f>IF($P38="","",INDEX(BEMANNINGSPLAN!$AE$5:$AE$546,$P38))</f>
        <v>3.5000000000000155</v>
      </c>
      <c r="M38" s="137"/>
      <c r="N38" s="16"/>
      <c r="O38" s="16" t="str">
        <f>IF(AND(BEMANNINGSPLAN!U36=1,OR($B$4="Alla lag",BEMANNINGSPLAN!J36=$B$4),OR($E$4="Alla datum",BEMANNINGSPLAN!A36=$E$4)),COUNT($O$6:O37)+1,"")</f>
        <v/>
      </c>
      <c r="P38" s="137">
        <f t="shared" si="0"/>
        <v>274</v>
      </c>
    </row>
    <row r="39" spans="1:16" ht="27.75" customHeight="1">
      <c r="A39" s="17">
        <f>IF($P39="","",INDEX(BEMANNINGSPLAN!$A$5:$A$546,$P39))</f>
        <v>46361</v>
      </c>
      <c r="B39" s="18" t="str">
        <f>IF($P39="","",INDEX(BEMANNINGSPLAN!$B$5:$B$546,$P39))</f>
        <v>lördag</v>
      </c>
      <c r="C39" s="19" t="str">
        <f>IF($P39="","",INDEX(BEMANNINGSPLAN!$C$5:$C$546,$P39))</f>
        <v>Ulriksdalshallen</v>
      </c>
      <c r="D39" s="20">
        <f>IF($P39="","",INDEX(BEMANNINGSPLAN!$D$5:$D$546,$P39))</f>
        <v>0.33333333333333298</v>
      </c>
      <c r="E39" s="20">
        <f>IF($P39="","",SUMIF(BEMANNINGSPLAN!$W$5:$W$546,INDEX(BEMANNINGSPLAN!$W$5:$W$546,$P39),BEMANNINGSPLAN!$X$5:$X$546))</f>
        <v>0.54166666666666696</v>
      </c>
      <c r="F39" s="18" t="str">
        <f>IF($P39="","",INDEX(BEMANNINGSPLAN!$J$5:$J$546,$P39))</f>
        <v>F10</v>
      </c>
      <c r="G39" s="19" t="str">
        <f>IF($P39="","",INDEX(BEMANNINGSPLAN!$AD$5:$AD$546,$P39))</f>
        <v>Vanligt café</v>
      </c>
      <c r="H39" s="18" t="str">
        <f>IF($P39="","",IF(AND(INDEX(BEMANNINGSPLAN!$Y$5:$Y$546,$P39)=1,G39&lt;&gt;"Minicafé"),"X",""))</f>
        <v>X</v>
      </c>
      <c r="I39" s="21" t="str">
        <f>IF($P39="","",IF(INDEX(BEMANNINGSPLAN!$Y$5:$Y$546,$P39)=1,"X",""))</f>
        <v>X</v>
      </c>
      <c r="J39" s="22" t="str">
        <f>IF($P39="","",IF(SUMIF(BEMANNINGSPLAN!$W$5:$W$546,INDEX(BEMANNINGSPLAN!$W$5:$W$546,$P39),BEMANNINGSPLAN!$Z$5:$Z$546)=1,"X",""))</f>
        <v/>
      </c>
      <c r="K39" s="23" t="str">
        <f>IF($P39="","",IFERROR(LOOKUP(2,1/((BEMANNINGSPLAN!$W$5:$W$546=INDEX(BEMANNINGSPLAN!$W$5:$W$546,$P39))*(BEMANNINGSPLAN!$L$5:$L$546&lt;&gt;"")),BEMANNINGSPLAN!$L$5:$L$546),""))</f>
        <v>OBS: lång paus efteråt, caféet stängs förmodligen, stäm av överlämning med F13!</v>
      </c>
      <c r="L39" s="18">
        <f>IF($P39="","",INDEX(BEMANNINGSPLAN!$AE$5:$AE$546,$P39))</f>
        <v>5.000000000000016</v>
      </c>
      <c r="M39" s="137"/>
      <c r="N39" s="16"/>
      <c r="O39" s="16" t="str">
        <f>IF(AND(BEMANNINGSPLAN!U37=1,OR($B$4="Alla lag",BEMANNINGSPLAN!J37=$B$4),OR($E$4="Alla datum",BEMANNINGSPLAN!A37=$E$4)),COUNT($O$6:O38)+1,"")</f>
        <v/>
      </c>
      <c r="P39" s="137">
        <f t="shared" si="0"/>
        <v>286</v>
      </c>
    </row>
    <row r="40" spans="1:16" ht="27.75" customHeight="1">
      <c r="A40" s="17">
        <f>IF($P40="","",INDEX(BEMANNINGSPLAN!$A$5:$A$546,$P40))</f>
        <v>46361</v>
      </c>
      <c r="B40" s="18" t="str">
        <f>IF($P40="","",INDEX(BEMANNINGSPLAN!$B$5:$B$546,$P40))</f>
        <v>lördag</v>
      </c>
      <c r="C40" s="19" t="str">
        <f>IF($P40="","",INDEX(BEMANNINGSPLAN!$C$5:$C$546,$P40))</f>
        <v>Ulriksdalshallen</v>
      </c>
      <c r="D40" s="20">
        <f>IF($P40="","",INDEX(BEMANNINGSPLAN!$D$5:$D$546,$P40))</f>
        <v>0.64583333333333304</v>
      </c>
      <c r="E40" s="20">
        <f>IF($P40="","",SUMIF(BEMANNINGSPLAN!$W$5:$W$546,INDEX(BEMANNINGSPLAN!$W$5:$W$546,$P40),BEMANNINGSPLAN!$X$5:$X$546))</f>
        <v>0.70833333333333304</v>
      </c>
      <c r="F40" s="18" t="str">
        <f>IF($P40="","",INDEX(BEMANNINGSPLAN!$J$5:$J$546,$P40))</f>
        <v>F13</v>
      </c>
      <c r="G40" s="19" t="str">
        <f>IF($P40="","",INDEX(BEMANNINGSPLAN!$AD$5:$AD$546,$P40))</f>
        <v>Vanligt café</v>
      </c>
      <c r="H40" s="18" t="str">
        <f>IF($P40="","",IF(AND(INDEX(BEMANNINGSPLAN!$Y$5:$Y$546,$P40)=1,G40&lt;&gt;"Minicafé"),"X",""))</f>
        <v/>
      </c>
      <c r="I40" s="21" t="str">
        <f>IF($P40="","",IF(INDEX(BEMANNINGSPLAN!$Y$5:$Y$546,$P40)=1,"X",""))</f>
        <v/>
      </c>
      <c r="J40" s="22" t="str">
        <f>IF($P40="","",IF(SUMIF(BEMANNINGSPLAN!$W$5:$W$546,INDEX(BEMANNINGSPLAN!$W$5:$W$546,$P40),BEMANNINGSPLAN!$Z$5:$Z$546)=1,"X",""))</f>
        <v>X</v>
      </c>
      <c r="K40" s="23" t="str">
        <f>IF($P40="","",IFERROR(LOOKUP(2,1/((BEMANNINGSPLAN!$W$5:$W$546=INDEX(BEMANNINGSPLAN!$W$5:$W$546,$P40))*(BEMANNINGSPLAN!$L$5:$L$546&lt;&gt;"")),BEMANNINGSPLAN!$L$5:$L$546),""))</f>
        <v>OBS: lång paus innan, stäm av överlämning med F10! Minicafé räcker säkert.</v>
      </c>
      <c r="L40" s="18">
        <f>IF($P40="","",INDEX(BEMANNINGSPLAN!$AE$5:$AE$546,$P40))</f>
        <v>1.5</v>
      </c>
      <c r="M40" s="137"/>
      <c r="N40" s="16"/>
      <c r="O40" s="16" t="str">
        <f>IF(AND(BEMANNINGSPLAN!U38=1,OR($B$4="Alla lag",BEMANNINGSPLAN!J38=$B$4),OR($E$4="Alla datum",BEMANNINGSPLAN!A38=$E$4)),COUNT($O$6:O39)+1,"")</f>
        <v/>
      </c>
      <c r="P40" s="137">
        <f t="shared" si="0"/>
        <v>301</v>
      </c>
    </row>
    <row r="41" spans="1:16" ht="27.75" customHeight="1">
      <c r="A41" s="17">
        <f>IF($P41="","",INDEX(BEMANNINGSPLAN!$A$5:$A$546,$P41))</f>
        <v>46368</v>
      </c>
      <c r="B41" s="18" t="str">
        <f>IF($P41="","",INDEX(BEMANNINGSPLAN!$B$5:$B$546,$P41))</f>
        <v>lördag</v>
      </c>
      <c r="C41" s="19" t="str">
        <f>IF($P41="","",INDEX(BEMANNINGSPLAN!$C$5:$C$546,$P41))</f>
        <v>Tallbackaskolan</v>
      </c>
      <c r="D41" s="20">
        <f>IF($P41="","",INDEX(BEMANNINGSPLAN!$D$5:$D$546,$P41))</f>
        <v>0.33333333333333298</v>
      </c>
      <c r="E41" s="20">
        <f>IF($P41="","",SUMIF(BEMANNINGSPLAN!$W$5:$W$546,INDEX(BEMANNINGSPLAN!$W$5:$W$546,$P41),BEMANNINGSPLAN!$X$5:$X$546))</f>
        <v>0.5</v>
      </c>
      <c r="F41" s="18" t="str">
        <f>IF($P41="","",INDEX(BEMANNINGSPLAN!$J$5:$J$546,$P41))</f>
        <v>F9</v>
      </c>
      <c r="G41" s="19" t="str">
        <f>IF($P41="","",INDEX(BEMANNINGSPLAN!$AD$5:$AD$546,$P41))</f>
        <v>Vanligt café</v>
      </c>
      <c r="H41" s="18" t="str">
        <f>IF($P41="","",IF(AND(INDEX(BEMANNINGSPLAN!$Y$5:$Y$546,$P41)=1,G41&lt;&gt;"Minicafé"),"X",""))</f>
        <v>X</v>
      </c>
      <c r="I41" s="21" t="str">
        <f>IF($P41="","",IF(INDEX(BEMANNINGSPLAN!$Y$5:$Y$546,$P41)=1,"X",""))</f>
        <v>X</v>
      </c>
      <c r="J41" s="22" t="str">
        <f>IF($P41="","",IF(SUMIF(BEMANNINGSPLAN!$W$5:$W$546,INDEX(BEMANNINGSPLAN!$W$5:$W$546,$P41),BEMANNINGSPLAN!$Z$5:$Z$546)=1,"X",""))</f>
        <v/>
      </c>
      <c r="K41" s="23" t="str">
        <f>IF($P41="","",IFERROR(LOOKUP(2,1/((BEMANNINGSPLAN!$W$5:$W$546=INDEX(BEMANNINGSPLAN!$W$5:$W$546,$P41))*(BEMANNINGSPLAN!$L$5:$L$546&lt;&gt;"")),BEMANNINGSPLAN!$L$5:$L$546),""))</f>
        <v/>
      </c>
      <c r="L41" s="18">
        <f>IF($P41="","",INDEX(BEMANNINGSPLAN!$AE$5:$AE$546,$P41))</f>
        <v>4.0000000000000089</v>
      </c>
      <c r="M41" s="137"/>
      <c r="N41" s="16"/>
      <c r="O41" s="16">
        <f>IF(AND(BEMANNINGSPLAN!U39=1,OR($B$4="Alla lag",BEMANNINGSPLAN!J39=$B$4),OR($E$4="Alla datum",BEMANNINGSPLAN!A39=$E$4)),COUNT($O$6:O40)+1,"")</f>
        <v>3</v>
      </c>
      <c r="P41" s="137">
        <f t="shared" si="0"/>
        <v>304</v>
      </c>
    </row>
    <row r="42" spans="1:16" ht="27.75" customHeight="1">
      <c r="A42" s="17">
        <f>IF($P42="","",INDEX(BEMANNINGSPLAN!$A$5:$A$546,$P42))</f>
        <v>46368</v>
      </c>
      <c r="B42" s="18" t="str">
        <f>IF($P42="","",INDEX(BEMANNINGSPLAN!$B$5:$B$546,$P42))</f>
        <v>lördag</v>
      </c>
      <c r="C42" s="19" t="str">
        <f>IF($P42="","",INDEX(BEMANNINGSPLAN!$C$5:$C$546,$P42))</f>
        <v>Tallbackaskolan</v>
      </c>
      <c r="D42" s="20">
        <f>IF($P42="","",INDEX(BEMANNINGSPLAN!$D$5:$D$546,$P42))</f>
        <v>0.5</v>
      </c>
      <c r="E42" s="20">
        <f>IF($P42="","",SUMIF(BEMANNINGSPLAN!$W$5:$W$546,INDEX(BEMANNINGSPLAN!$W$5:$W$546,$P42),BEMANNINGSPLAN!$X$5:$X$546))</f>
        <v>0.58333333333333304</v>
      </c>
      <c r="F42" s="18" t="str">
        <f>IF($P42="","",INDEX(BEMANNINGSPLAN!$J$5:$J$546,$P42))</f>
        <v>F13</v>
      </c>
      <c r="G42" s="19" t="str">
        <f>IF($P42="","",INDEX(BEMANNINGSPLAN!$AD$5:$AD$546,$P42))</f>
        <v>Vanligt café</v>
      </c>
      <c r="H42" s="18" t="str">
        <f>IF($P42="","",IF(AND(INDEX(BEMANNINGSPLAN!$Y$5:$Y$546,$P42)=1,G42&lt;&gt;"Minicafé"),"X",""))</f>
        <v/>
      </c>
      <c r="I42" s="21" t="str">
        <f>IF($P42="","",IF(INDEX(BEMANNINGSPLAN!$Y$5:$Y$546,$P42)=1,"X",""))</f>
        <v/>
      </c>
      <c r="J42" s="22" t="str">
        <f>IF($P42="","",IF(SUMIF(BEMANNINGSPLAN!$W$5:$W$546,INDEX(BEMANNINGSPLAN!$W$5:$W$546,$P42),BEMANNINGSPLAN!$Z$5:$Z$546)=1,"X",""))</f>
        <v>X</v>
      </c>
      <c r="K42" s="23" t="str">
        <f>IF($P42="","",IFERROR(LOOKUP(2,1/((BEMANNINGSPLAN!$W$5:$W$546=INDEX(BEMANNINGSPLAN!$W$5:$W$546,$P42))*(BEMANNINGSPLAN!$L$5:$L$546&lt;&gt;"")),BEMANNINGSPLAN!$L$5:$L$546),""))</f>
        <v/>
      </c>
      <c r="L42" s="18">
        <f>IF($P42="","",INDEX(BEMANNINGSPLAN!$AE$5:$AE$546,$P42))</f>
        <v>1.9999999999999929</v>
      </c>
      <c r="M42" s="137"/>
      <c r="N42" s="16"/>
      <c r="O42" s="16" t="str">
        <f>IF(AND(BEMANNINGSPLAN!U40=1,OR($B$4="Alla lag",BEMANNINGSPLAN!J40=$B$4),OR($E$4="Alla datum",BEMANNINGSPLAN!A40=$E$4)),COUNT($O$6:O41)+1,"")</f>
        <v/>
      </c>
      <c r="P42" s="137">
        <f t="shared" si="0"/>
        <v>312</v>
      </c>
    </row>
    <row r="43" spans="1:16" ht="27.75" customHeight="1">
      <c r="A43" s="17">
        <f>IF($P43="","",INDEX(BEMANNINGSPLAN!$A$5:$A$546,$P43))</f>
        <v>46396</v>
      </c>
      <c r="B43" s="18" t="str">
        <f>IF($P43="","",INDEX(BEMANNINGSPLAN!$B$5:$B$546,$P43))</f>
        <v>lördag</v>
      </c>
      <c r="C43" s="19" t="str">
        <f>IF($P43="","",INDEX(BEMANNINGSPLAN!$C$5:$C$546,$P43))</f>
        <v>Ulriksdalshallen</v>
      </c>
      <c r="D43" s="20">
        <f>IF($P43="","",INDEX(BEMANNINGSPLAN!$D$5:$D$546,$P43))</f>
        <v>0.39583333333333298</v>
      </c>
      <c r="E43" s="20">
        <f>IF($P43="","",SUMIF(BEMANNINGSPLAN!$W$5:$W$546,INDEX(BEMANNINGSPLAN!$W$5:$W$546,$P43),BEMANNINGSPLAN!$X$5:$X$546))</f>
        <v>0.5625</v>
      </c>
      <c r="F43" s="18" t="str">
        <f>IF($P43="","",INDEX(BEMANNINGSPLAN!$J$5:$J$546,$P43))</f>
        <v>F11</v>
      </c>
      <c r="G43" s="19" t="str">
        <f>IF($P43="","",INDEX(BEMANNINGSPLAN!$AD$5:$AD$546,$P43))</f>
        <v>Vanligt café</v>
      </c>
      <c r="H43" s="18" t="str">
        <f>IF($P43="","",IF(AND(INDEX(BEMANNINGSPLAN!$Y$5:$Y$546,$P43)=1,G43&lt;&gt;"Minicafé"),"X",""))</f>
        <v>X</v>
      </c>
      <c r="I43" s="21" t="str">
        <f>IF($P43="","",IF(INDEX(BEMANNINGSPLAN!$Y$5:$Y$546,$P43)=1,"X",""))</f>
        <v>X</v>
      </c>
      <c r="J43" s="22" t="str">
        <f>IF($P43="","",IF(SUMIF(BEMANNINGSPLAN!$W$5:$W$546,INDEX(BEMANNINGSPLAN!$W$5:$W$546,$P43),BEMANNINGSPLAN!$Z$5:$Z$546)=1,"X",""))</f>
        <v>X</v>
      </c>
      <c r="K43" s="23" t="str">
        <f>IF($P43="","",IFERROR(LOOKUP(2,1/((BEMANNINGSPLAN!$W$5:$W$546=INDEX(BEMANNINGSPLAN!$W$5:$W$546,$P43))*(BEMANNINGSPLAN!$L$5:$L$546&lt;&gt;"")),BEMANNINGSPLAN!$L$5:$L$546),""))</f>
        <v/>
      </c>
      <c r="L43" s="18">
        <f>IF($P43="","",INDEX(BEMANNINGSPLAN!$AE$5:$AE$546,$P43))</f>
        <v>4.0000000000000089</v>
      </c>
      <c r="M43" s="137"/>
      <c r="N43" s="16"/>
      <c r="O43" s="16" t="str">
        <f>IF(AND(BEMANNINGSPLAN!U41=1,OR($B$4="Alla lag",BEMANNINGSPLAN!J41=$B$4),OR($E$4="Alla datum",BEMANNINGSPLAN!A41=$E$4)),COUNT($O$6:O42)+1,"")</f>
        <v/>
      </c>
      <c r="P43" s="137">
        <f t="shared" si="0"/>
        <v>321</v>
      </c>
    </row>
    <row r="44" spans="1:16" ht="27.75" customHeight="1">
      <c r="A44" s="17">
        <f>IF($P44="","",INDEX(BEMANNINGSPLAN!$A$5:$A$546,$P44))</f>
        <v>46399</v>
      </c>
      <c r="B44" s="18" t="str">
        <f>IF($P44="","",INDEX(BEMANNINGSPLAN!$B$5:$B$546,$P44))</f>
        <v>tisdag</v>
      </c>
      <c r="C44" s="19" t="str">
        <f>IF($P44="","",INDEX(BEMANNINGSPLAN!$C$5:$C$546,$P44))</f>
        <v>Råsta Park</v>
      </c>
      <c r="D44" s="20">
        <f>IF($P44="","",INDEX(BEMANNINGSPLAN!$D$5:$D$546,$P44))</f>
        <v>0.83333333333333304</v>
      </c>
      <c r="E44" s="20">
        <f>IF($P44="","",SUMIF(BEMANNINGSPLAN!$W$5:$W$546,INDEX(BEMANNINGSPLAN!$W$5:$W$546,$P44),BEMANNINGSPLAN!$X$5:$X$546))</f>
        <v>0.91666666666666696</v>
      </c>
      <c r="F44" s="18" t="str">
        <f>IF($P44="","",INDEX(BEMANNINGSPLAN!$J$5:$J$546,$P44))</f>
        <v>F19</v>
      </c>
      <c r="G44" s="19" t="str">
        <f>IF($P44="","",INDEX(BEMANNINGSPLAN!$AD$5:$AD$546,$P44))</f>
        <v>Minicafé</v>
      </c>
      <c r="H44" s="18" t="str">
        <f>IF($P44="","",IF(AND(INDEX(BEMANNINGSPLAN!$Y$5:$Y$546,$P44)=1,G44&lt;&gt;"Minicafé"),"X",""))</f>
        <v/>
      </c>
      <c r="I44" s="21" t="str">
        <f>IF($P44="","",IF(INDEX(BEMANNINGSPLAN!$Y$5:$Y$546,$P44)=1,"X",""))</f>
        <v>X</v>
      </c>
      <c r="J44" s="22" t="str">
        <f>IF($P44="","",IF(SUMIF(BEMANNINGSPLAN!$W$5:$W$546,INDEX(BEMANNINGSPLAN!$W$5:$W$546,$P44),BEMANNINGSPLAN!$Z$5:$Z$546)=1,"X",""))</f>
        <v>X</v>
      </c>
      <c r="K44" s="23" t="str">
        <f>IF($P44="","",IFERROR(LOOKUP(2,1/((BEMANNINGSPLAN!$W$5:$W$546=INDEX(BEMANNINGSPLAN!$W$5:$W$546,$P44))*(BEMANNINGSPLAN!$L$5:$L$546&lt;&gt;"")),BEMANNINGSPLAN!$L$5:$L$546),""))</f>
        <v/>
      </c>
      <c r="L44" s="18">
        <f>IF($P44="","",INDEX(BEMANNINGSPLAN!$AE$5:$AE$546,$P44))</f>
        <v>2.0000000000000142</v>
      </c>
      <c r="M44" s="137"/>
      <c r="N44" s="16"/>
      <c r="O44" s="16" t="str">
        <f>IF(AND(BEMANNINGSPLAN!U42=1,OR($B$4="Alla lag",BEMANNINGSPLAN!J42=$B$4),OR($E$4="Alla datum",BEMANNINGSPLAN!A42=$E$4)),COUNT($O$6:O43)+1,"")</f>
        <v/>
      </c>
      <c r="P44" s="137">
        <f t="shared" si="0"/>
        <v>329</v>
      </c>
    </row>
    <row r="45" spans="1:16" ht="27.75" customHeight="1">
      <c r="A45" s="17">
        <f>IF($P45="","",INDEX(BEMANNINGSPLAN!$A$5:$A$546,$P45))</f>
        <v>46403</v>
      </c>
      <c r="B45" s="18" t="str">
        <f>IF($P45="","",INDEX(BEMANNINGSPLAN!$B$5:$B$546,$P45))</f>
        <v>lördag</v>
      </c>
      <c r="C45" s="19" t="str">
        <f>IF($P45="","",INDEX(BEMANNINGSPLAN!$C$5:$C$546,$P45))</f>
        <v>Ulriksdalshallen</v>
      </c>
      <c r="D45" s="20">
        <f>IF($P45="","",INDEX(BEMANNINGSPLAN!$D$5:$D$546,$P45))</f>
        <v>0.39583333333333298</v>
      </c>
      <c r="E45" s="20">
        <f>IF($P45="","",SUMIF(BEMANNINGSPLAN!$W$5:$W$546,INDEX(BEMANNINGSPLAN!$W$5:$W$546,$P45),BEMANNINGSPLAN!$X$5:$X$546))</f>
        <v>0.47916666666666702</v>
      </c>
      <c r="F45" s="18" t="str">
        <f>IF($P45="","",INDEX(BEMANNINGSPLAN!$J$5:$J$546,$P45))</f>
        <v>F14</v>
      </c>
      <c r="G45" s="19" t="str">
        <f>IF($P45="","",INDEX(BEMANNINGSPLAN!$AD$5:$AD$546,$P45))</f>
        <v>Minicafé</v>
      </c>
      <c r="H45" s="18" t="str">
        <f>IF($P45="","",IF(AND(INDEX(BEMANNINGSPLAN!$Y$5:$Y$546,$P45)=1,G45&lt;&gt;"Minicafé"),"X",""))</f>
        <v/>
      </c>
      <c r="I45" s="21" t="str">
        <f>IF($P45="","",IF(INDEX(BEMANNINGSPLAN!$Y$5:$Y$546,$P45)=1,"X",""))</f>
        <v>X</v>
      </c>
      <c r="J45" s="22" t="str">
        <f>IF($P45="","",IF(SUMIF(BEMANNINGSPLAN!$W$5:$W$546,INDEX(BEMANNINGSPLAN!$W$5:$W$546,$P45),BEMANNINGSPLAN!$Z$5:$Z$546)=1,"X",""))</f>
        <v>X</v>
      </c>
      <c r="K45" s="23" t="str">
        <f>IF($P45="","",IFERROR(LOOKUP(2,1/((BEMANNINGSPLAN!$W$5:$W$546=INDEX(BEMANNINGSPLAN!$W$5:$W$546,$P45))*(BEMANNINGSPLAN!$L$5:$L$546&lt;&gt;"")),BEMANNINGSPLAN!$L$5:$L$546),""))</f>
        <v/>
      </c>
      <c r="L45" s="18">
        <f>IF($P45="","",INDEX(BEMANNINGSPLAN!$AE$5:$AE$546,$P45))</f>
        <v>2.0000000000000169</v>
      </c>
      <c r="M45" s="137"/>
      <c r="N45" s="16"/>
      <c r="O45" s="16" t="str">
        <f>IF(AND(BEMANNINGSPLAN!U43=1,OR($B$4="Alla lag",BEMANNINGSPLAN!J43=$B$4),OR($E$4="Alla datum",BEMANNINGSPLAN!A43=$E$4)),COUNT($O$6:O44)+1,"")</f>
        <v/>
      </c>
      <c r="P45" s="137">
        <f t="shared" si="0"/>
        <v>333</v>
      </c>
    </row>
    <row r="46" spans="1:16" ht="27.75" customHeight="1">
      <c r="A46" s="17">
        <f>IF($P46="","",INDEX(BEMANNINGSPLAN!$A$5:$A$546,$P46))</f>
        <v>46407</v>
      </c>
      <c r="B46" s="18" t="str">
        <f>IF($P46="","",INDEX(BEMANNINGSPLAN!$B$5:$B$546,$P46))</f>
        <v>onsdag</v>
      </c>
      <c r="C46" s="19" t="str">
        <f>IF($P46="","",INDEX(BEMANNINGSPLAN!$C$5:$C$546,$P46))</f>
        <v>Ulriksdalshallen</v>
      </c>
      <c r="D46" s="20">
        <f>IF($P46="","",INDEX(BEMANNINGSPLAN!$D$5:$D$546,$P46))</f>
        <v>0.70833333333333304</v>
      </c>
      <c r="E46" s="20">
        <f>IF($P46="","",SUMIF(BEMANNINGSPLAN!$W$5:$W$546,INDEX(BEMANNINGSPLAN!$W$5:$W$546,$P46),BEMANNINGSPLAN!$X$5:$X$546))</f>
        <v>0.79166666666666696</v>
      </c>
      <c r="F46" s="18" t="str">
        <f>IF($P46="","",INDEX(BEMANNINGSPLAN!$J$5:$J$546,$P46))</f>
        <v>F13</v>
      </c>
      <c r="G46" s="19" t="str">
        <f>IF($P46="","",INDEX(BEMANNINGSPLAN!$AD$5:$AD$546,$P46))</f>
        <v>Minicafé</v>
      </c>
      <c r="H46" s="18" t="str">
        <f>IF($P46="","",IF(AND(INDEX(BEMANNINGSPLAN!$Y$5:$Y$546,$P46)=1,G46&lt;&gt;"Minicafé"),"X",""))</f>
        <v/>
      </c>
      <c r="I46" s="21" t="str">
        <f>IF($P46="","",IF(INDEX(BEMANNINGSPLAN!$Y$5:$Y$546,$P46)=1,"X",""))</f>
        <v>X</v>
      </c>
      <c r="J46" s="22" t="str">
        <f>IF($P46="","",IF(SUMIF(BEMANNINGSPLAN!$W$5:$W$546,INDEX(BEMANNINGSPLAN!$W$5:$W$546,$P46),BEMANNINGSPLAN!$Z$5:$Z$546)=1,"X",""))</f>
        <v>X</v>
      </c>
      <c r="K46" s="23" t="str">
        <f>IF($P46="","",IFERROR(LOOKUP(2,1/((BEMANNINGSPLAN!$W$5:$W$546=INDEX(BEMANNINGSPLAN!$W$5:$W$546,$P46))*(BEMANNINGSPLAN!$L$5:$L$546&lt;&gt;"")),BEMANNINGSPLAN!$L$5:$L$546),""))</f>
        <v/>
      </c>
      <c r="L46" s="18">
        <f>IF($P46="","",INDEX(BEMANNINGSPLAN!$AE$5:$AE$546,$P46))</f>
        <v>2.0000000000000142</v>
      </c>
      <c r="M46" s="137"/>
      <c r="N46" s="16"/>
      <c r="O46" s="16" t="str">
        <f>IF(AND(BEMANNINGSPLAN!U44=1,OR($B$4="Alla lag",BEMANNINGSPLAN!J44=$B$4),OR($E$4="Alla datum",BEMANNINGSPLAN!A44=$E$4)),COUNT($O$6:O45)+1,"")</f>
        <v/>
      </c>
      <c r="P46" s="137">
        <f t="shared" si="0"/>
        <v>337</v>
      </c>
    </row>
    <row r="47" spans="1:16" ht="27.75" customHeight="1">
      <c r="A47" s="17">
        <f>IF($P47="","",INDEX(BEMANNINGSPLAN!$A$5:$A$546,$P47))</f>
        <v>46410</v>
      </c>
      <c r="B47" s="18" t="str">
        <f>IF($P47="","",INDEX(BEMANNINGSPLAN!$B$5:$B$546,$P47))</f>
        <v>lördag</v>
      </c>
      <c r="C47" s="19" t="str">
        <f>IF($P47="","",INDEX(BEMANNINGSPLAN!$C$5:$C$546,$P47))</f>
        <v>Råsta Park</v>
      </c>
      <c r="D47" s="20">
        <f>IF($P47="","",INDEX(BEMANNINGSPLAN!$D$5:$D$546,$P47))</f>
        <v>0.5625</v>
      </c>
      <c r="E47" s="20">
        <f>IF($P47="","",SUMIF(BEMANNINGSPLAN!$W$5:$W$546,INDEX(BEMANNINGSPLAN!$W$5:$W$546,$P47),BEMANNINGSPLAN!$X$5:$X$546))</f>
        <v>0.625</v>
      </c>
      <c r="F47" s="18" t="str">
        <f>IF($P47="","",INDEX(BEMANNINGSPLAN!$J$5:$J$546,$P47))</f>
        <v>P16</v>
      </c>
      <c r="G47" s="19" t="str">
        <f>IF($P47="","",INDEX(BEMANNINGSPLAN!$AD$5:$AD$546,$P47))</f>
        <v>Minicafé</v>
      </c>
      <c r="H47" s="18" t="str">
        <f>IF($P47="","",IF(AND(INDEX(BEMANNINGSPLAN!$Y$5:$Y$546,$P47)=1,G47&lt;&gt;"Minicafé"),"X",""))</f>
        <v/>
      </c>
      <c r="I47" s="21" t="str">
        <f>IF($P47="","",IF(INDEX(BEMANNINGSPLAN!$Y$5:$Y$546,$P47)=1,"X",""))</f>
        <v>X</v>
      </c>
      <c r="J47" s="22" t="str">
        <f>IF($P47="","",IF(SUMIF(BEMANNINGSPLAN!$W$5:$W$546,INDEX(BEMANNINGSPLAN!$W$5:$W$546,$P47),BEMANNINGSPLAN!$Z$5:$Z$546)=1,"X",""))</f>
        <v>X</v>
      </c>
      <c r="K47" s="23" t="str">
        <f>IF($P47="","",IFERROR(LOOKUP(2,1/((BEMANNINGSPLAN!$W$5:$W$546=INDEX(BEMANNINGSPLAN!$W$5:$W$546,$P47))*(BEMANNINGSPLAN!$L$5:$L$546&lt;&gt;"")),BEMANNINGSPLAN!$L$5:$L$546),""))</f>
        <v/>
      </c>
      <c r="L47" s="18">
        <f>IF($P47="","",INDEX(BEMANNINGSPLAN!$AE$5:$AE$546,$P47))</f>
        <v>1.5</v>
      </c>
      <c r="M47" s="137"/>
      <c r="N47" s="16"/>
      <c r="O47" s="16" t="str">
        <f>IF(AND(BEMANNINGSPLAN!U45=1,OR($B$4="Alla lag",BEMANNINGSPLAN!J45=$B$4),OR($E$4="Alla datum",BEMANNINGSPLAN!A45=$E$4)),COUNT($O$6:O46)+1,"")</f>
        <v/>
      </c>
      <c r="P47" s="137">
        <f t="shared" si="0"/>
        <v>343</v>
      </c>
    </row>
    <row r="48" spans="1:16" ht="27.75" customHeight="1">
      <c r="A48" s="17">
        <f>IF($P48="","",INDEX(BEMANNINGSPLAN!$A$5:$A$546,$P48))</f>
        <v>46410</v>
      </c>
      <c r="B48" s="18" t="str">
        <f>IF($P48="","",INDEX(BEMANNINGSPLAN!$B$5:$B$546,$P48))</f>
        <v>lördag</v>
      </c>
      <c r="C48" s="19" t="str">
        <f>IF($P48="","",INDEX(BEMANNINGSPLAN!$C$5:$C$546,$P48))</f>
        <v>Ulriksdalshallen</v>
      </c>
      <c r="D48" s="20">
        <f>IF($P48="","",INDEX(BEMANNINGSPLAN!$D$5:$D$546,$P48))</f>
        <v>0.33333333333333298</v>
      </c>
      <c r="E48" s="20">
        <f>IF($P48="","",SUMIF(BEMANNINGSPLAN!$W$5:$W$546,INDEX(BEMANNINGSPLAN!$W$5:$W$546,$P48),BEMANNINGSPLAN!$X$5:$X$546))</f>
        <v>0.35416666666666702</v>
      </c>
      <c r="F48" s="18" t="str">
        <f>IF($P48="","",INDEX(BEMANNINGSPLAN!$J$5:$J$546,$P48))</f>
        <v>F9</v>
      </c>
      <c r="G48" s="19" t="str">
        <f>IF($P48="","",INDEX(BEMANNINGSPLAN!$AD$5:$AD$546,$P48))</f>
        <v>Vanligt café</v>
      </c>
      <c r="H48" s="18" t="str">
        <f>IF($P48="","",IF(AND(INDEX(BEMANNINGSPLAN!$Y$5:$Y$546,$P48)=1,G48&lt;&gt;"Minicafé"),"X",""))</f>
        <v>X</v>
      </c>
      <c r="I48" s="21" t="str">
        <f>IF($P48="","",IF(INDEX(BEMANNINGSPLAN!$Y$5:$Y$546,$P48)=1,"X",""))</f>
        <v>X</v>
      </c>
      <c r="J48" s="22" t="str">
        <f>IF($P48="","",IF(SUMIF(BEMANNINGSPLAN!$W$5:$W$546,INDEX(BEMANNINGSPLAN!$W$5:$W$546,$P48),BEMANNINGSPLAN!$Z$5:$Z$546)=1,"X",""))</f>
        <v/>
      </c>
      <c r="K48" s="23" t="str">
        <f>IF($P48="","",IFERROR(LOOKUP(2,1/((BEMANNINGSPLAN!$W$5:$W$546=INDEX(BEMANNINGSPLAN!$W$5:$W$546,$P48))*(BEMANNINGSPLAN!$L$5:$L$546&lt;&gt;"")),BEMANNINGSPLAN!$L$5:$L$546),""))</f>
        <v>Vårens spel, deltagande lag sköter café</v>
      </c>
      <c r="L48" s="18">
        <f>IF($P48="","",INDEX(BEMANNINGSPLAN!$AE$5:$AE$546,$P48))</f>
        <v>0.50000000000001688</v>
      </c>
      <c r="M48" s="137"/>
      <c r="N48" s="16"/>
      <c r="O48" s="16" t="str">
        <f>IF(AND(BEMANNINGSPLAN!U46=1,OR($B$4="Alla lag",BEMANNINGSPLAN!J46=$B$4),OR($E$4="Alla datum",BEMANNINGSPLAN!A46=$E$4)),COUNT($O$6:O47)+1,"")</f>
        <v/>
      </c>
      <c r="P48" s="137">
        <f t="shared" si="0"/>
        <v>346</v>
      </c>
    </row>
    <row r="49" spans="1:16" ht="27.75" customHeight="1">
      <c r="A49" s="17">
        <f>IF($P49="","",INDEX(BEMANNINGSPLAN!$A$5:$A$546,$P49))</f>
        <v>46410</v>
      </c>
      <c r="B49" s="18" t="str">
        <f>IF($P49="","",INDEX(BEMANNINGSPLAN!$B$5:$B$546,$P49))</f>
        <v>lördag</v>
      </c>
      <c r="C49" s="19" t="str">
        <f>IF($P49="","",INDEX(BEMANNINGSPLAN!$C$5:$C$546,$P49))</f>
        <v>Ulriksdalshallen</v>
      </c>
      <c r="D49" s="20">
        <f>IF($P49="","",INDEX(BEMANNINGSPLAN!$D$5:$D$546,$P49))</f>
        <v>0.35416666666666702</v>
      </c>
      <c r="E49" s="20">
        <f>IF($P49="","",SUMIF(BEMANNINGSPLAN!$W$5:$W$546,INDEX(BEMANNINGSPLAN!$W$5:$W$546,$P49),BEMANNINGSPLAN!$X$5:$X$546))</f>
        <v>0.375</v>
      </c>
      <c r="F49" s="18" t="str">
        <f>IF($P49="","",INDEX(BEMANNINGSPLAN!$J$5:$J$546,$P49))</f>
        <v>P9</v>
      </c>
      <c r="G49" s="19" t="str">
        <f>IF($P49="","",INDEX(BEMANNINGSPLAN!$AD$5:$AD$546,$P49))</f>
        <v>Vanligt café</v>
      </c>
      <c r="H49" s="18" t="str">
        <f>IF($P49="","",IF(AND(INDEX(BEMANNINGSPLAN!$Y$5:$Y$546,$P49)=1,G49&lt;&gt;"Minicafé"),"X",""))</f>
        <v/>
      </c>
      <c r="I49" s="21" t="str">
        <f>IF($P49="","",IF(INDEX(BEMANNINGSPLAN!$Y$5:$Y$546,$P49)=1,"X",""))</f>
        <v/>
      </c>
      <c r="J49" s="22" t="str">
        <f>IF($P49="","",IF(SUMIF(BEMANNINGSPLAN!$W$5:$W$546,INDEX(BEMANNINGSPLAN!$W$5:$W$546,$P49),BEMANNINGSPLAN!$Z$5:$Z$546)=1,"X",""))</f>
        <v/>
      </c>
      <c r="K49" s="23" t="str">
        <f>IF($P49="","",IFERROR(LOOKUP(2,1/((BEMANNINGSPLAN!$W$5:$W$546=INDEX(BEMANNINGSPLAN!$W$5:$W$546,$P49))*(BEMANNINGSPLAN!$L$5:$L$546&lt;&gt;"")),BEMANNINGSPLAN!$L$5:$L$546),""))</f>
        <v>Vårens spel, deltagande lag sköter café</v>
      </c>
      <c r="L49" s="18">
        <f>IF($P49="","",INDEX(BEMANNINGSPLAN!$AE$5:$AE$546,$P49))</f>
        <v>0.49999999999999156</v>
      </c>
      <c r="M49" s="137"/>
      <c r="N49" s="16"/>
      <c r="O49" s="16">
        <f>IF(AND(BEMANNINGSPLAN!U47=1,OR($B$4="Alla lag",BEMANNINGSPLAN!J47=$B$4),OR($E$4="Alla datum",BEMANNINGSPLAN!A47=$E$4)),COUNT($O$6:O48)+1,"")</f>
        <v>4</v>
      </c>
      <c r="P49" s="137">
        <f t="shared" si="0"/>
        <v>347</v>
      </c>
    </row>
    <row r="50" spans="1:16" ht="27.75" customHeight="1">
      <c r="A50" s="17">
        <f>IF($P50="","",INDEX(BEMANNINGSPLAN!$A$5:$A$546,$P50))</f>
        <v>46410</v>
      </c>
      <c r="B50" s="18" t="str">
        <f>IF($P50="","",INDEX(BEMANNINGSPLAN!$B$5:$B$546,$P50))</f>
        <v>lördag</v>
      </c>
      <c r="C50" s="19" t="str">
        <f>IF($P50="","",INDEX(BEMANNINGSPLAN!$C$5:$C$546,$P50))</f>
        <v>Ulriksdalshallen</v>
      </c>
      <c r="D50" s="20">
        <f>IF($P50="","",INDEX(BEMANNINGSPLAN!$D$5:$D$546,$P50))</f>
        <v>0.375</v>
      </c>
      <c r="E50" s="20">
        <f>IF($P50="","",SUMIF(BEMANNINGSPLAN!$W$5:$W$546,INDEX(BEMANNINGSPLAN!$W$5:$W$546,$P50),BEMANNINGSPLAN!$X$5:$X$546))</f>
        <v>0.39583333333333298</v>
      </c>
      <c r="F50" s="18" t="str">
        <f>IF($P50="","",INDEX(BEMANNINGSPLAN!$J$5:$J$546,$P50))</f>
        <v>P10</v>
      </c>
      <c r="G50" s="19" t="str">
        <f>IF($P50="","",INDEX(BEMANNINGSPLAN!$AD$5:$AD$546,$P50))</f>
        <v>Vanligt café</v>
      </c>
      <c r="H50" s="18" t="str">
        <f>IF($P50="","",IF(AND(INDEX(BEMANNINGSPLAN!$Y$5:$Y$546,$P50)=1,G50&lt;&gt;"Minicafé"),"X",""))</f>
        <v/>
      </c>
      <c r="I50" s="21" t="str">
        <f>IF($P50="","",IF(INDEX(BEMANNINGSPLAN!$Y$5:$Y$546,$P50)=1,"X",""))</f>
        <v/>
      </c>
      <c r="J50" s="22" t="str">
        <f>IF($P50="","",IF(SUMIF(BEMANNINGSPLAN!$W$5:$W$546,INDEX(BEMANNINGSPLAN!$W$5:$W$546,$P50),BEMANNINGSPLAN!$Z$5:$Z$546)=1,"X",""))</f>
        <v/>
      </c>
      <c r="K50" s="23" t="str">
        <f>IF($P50="","",IFERROR(LOOKUP(2,1/((BEMANNINGSPLAN!$W$5:$W$546=INDEX(BEMANNINGSPLAN!$W$5:$W$546,$P50))*(BEMANNINGSPLAN!$L$5:$L$546&lt;&gt;"")),BEMANNINGSPLAN!$L$5:$L$546),""))</f>
        <v>Vårens spel, deltagande lag sköter café</v>
      </c>
      <c r="L50" s="18">
        <f>IF($P50="","",INDEX(BEMANNINGSPLAN!$AE$5:$AE$546,$P50))</f>
        <v>0.49999999999999156</v>
      </c>
      <c r="M50" s="137"/>
      <c r="N50" s="16"/>
      <c r="O50" s="16" t="str">
        <f>IF(AND(BEMANNINGSPLAN!U48=1,OR($B$4="Alla lag",BEMANNINGSPLAN!J48=$B$4),OR($E$4="Alla datum",BEMANNINGSPLAN!A48=$E$4)),COUNT($O$6:O49)+1,"")</f>
        <v/>
      </c>
      <c r="P50" s="137">
        <f t="shared" si="0"/>
        <v>348</v>
      </c>
    </row>
    <row r="51" spans="1:16" ht="27.75" customHeight="1">
      <c r="A51" s="17">
        <f>IF($P51="","",INDEX(BEMANNINGSPLAN!$A$5:$A$546,$P51))</f>
        <v>46410</v>
      </c>
      <c r="B51" s="18" t="str">
        <f>IF($P51="","",INDEX(BEMANNINGSPLAN!$B$5:$B$546,$P51))</f>
        <v>lördag</v>
      </c>
      <c r="C51" s="19" t="str">
        <f>IF($P51="","",INDEX(BEMANNINGSPLAN!$C$5:$C$546,$P51))</f>
        <v>Ulriksdalshallen</v>
      </c>
      <c r="D51" s="20">
        <f>IF($P51="","",INDEX(BEMANNINGSPLAN!$D$5:$D$546,$P51))</f>
        <v>0.39583333333333298</v>
      </c>
      <c r="E51" s="20">
        <f>IF($P51="","",SUMIF(BEMANNINGSPLAN!$W$5:$W$546,INDEX(BEMANNINGSPLAN!$W$5:$W$546,$P51),BEMANNINGSPLAN!$X$5:$X$546))</f>
        <v>0.41666666666666702</v>
      </c>
      <c r="F51" s="18" t="str">
        <f>IF($P51="","",INDEX(BEMANNINGSPLAN!$J$5:$J$546,$P51))</f>
        <v>F9</v>
      </c>
      <c r="G51" s="19" t="str">
        <f>IF($P51="","",INDEX(BEMANNINGSPLAN!$AD$5:$AD$546,$P51))</f>
        <v>Vanligt café</v>
      </c>
      <c r="H51" s="18" t="str">
        <f>IF($P51="","",IF(AND(INDEX(BEMANNINGSPLAN!$Y$5:$Y$546,$P51)=1,G51&lt;&gt;"Minicafé"),"X",""))</f>
        <v/>
      </c>
      <c r="I51" s="21" t="str">
        <f>IF($P51="","",IF(INDEX(BEMANNINGSPLAN!$Y$5:$Y$546,$P51)=1,"X",""))</f>
        <v/>
      </c>
      <c r="J51" s="22" t="str">
        <f>IF($P51="","",IF(SUMIF(BEMANNINGSPLAN!$W$5:$W$546,INDEX(BEMANNINGSPLAN!$W$5:$W$546,$P51),BEMANNINGSPLAN!$Z$5:$Z$546)=1,"X",""))</f>
        <v/>
      </c>
      <c r="K51" s="23" t="str">
        <f>IF($P51="","",IFERROR(LOOKUP(2,1/((BEMANNINGSPLAN!$W$5:$W$546=INDEX(BEMANNINGSPLAN!$W$5:$W$546,$P51))*(BEMANNINGSPLAN!$L$5:$L$546&lt;&gt;"")),BEMANNINGSPLAN!$L$5:$L$546),""))</f>
        <v>Vårens spel, deltagande lag sköter café</v>
      </c>
      <c r="L51" s="18">
        <f>IF($P51="","",INDEX(BEMANNINGSPLAN!$AE$5:$AE$546,$P51))</f>
        <v>0.50000000000001688</v>
      </c>
      <c r="M51" s="137"/>
      <c r="N51" s="16"/>
      <c r="O51" s="16" t="str">
        <f>IF(AND(BEMANNINGSPLAN!U49=1,OR($B$4="Alla lag",BEMANNINGSPLAN!J49=$B$4),OR($E$4="Alla datum",BEMANNINGSPLAN!A49=$E$4)),COUNT($O$6:O50)+1,"")</f>
        <v/>
      </c>
      <c r="P51" s="137">
        <f t="shared" si="0"/>
        <v>349</v>
      </c>
    </row>
    <row r="52" spans="1:16" ht="27.75" customHeight="1">
      <c r="A52" s="17">
        <f>IF($P52="","",INDEX(BEMANNINGSPLAN!$A$5:$A$546,$P52))</f>
        <v>46410</v>
      </c>
      <c r="B52" s="18" t="str">
        <f>IF($P52="","",INDEX(BEMANNINGSPLAN!$B$5:$B$546,$P52))</f>
        <v>lördag</v>
      </c>
      <c r="C52" s="19" t="str">
        <f>IF($P52="","",INDEX(BEMANNINGSPLAN!$C$5:$C$546,$P52))</f>
        <v>Ulriksdalshallen</v>
      </c>
      <c r="D52" s="20">
        <f>IF($P52="","",INDEX(BEMANNINGSPLAN!$D$5:$D$546,$P52))</f>
        <v>0.41666666666666702</v>
      </c>
      <c r="E52" s="20">
        <f>IF($P52="","",SUMIF(BEMANNINGSPLAN!$W$5:$W$546,INDEX(BEMANNINGSPLAN!$W$5:$W$546,$P52),BEMANNINGSPLAN!$X$5:$X$546))</f>
        <v>0.4375</v>
      </c>
      <c r="F52" s="18" t="str">
        <f>IF($P52="","",INDEX(BEMANNINGSPLAN!$J$5:$J$546,$P52))</f>
        <v>P9</v>
      </c>
      <c r="G52" s="19" t="str">
        <f>IF($P52="","",INDEX(BEMANNINGSPLAN!$AD$5:$AD$546,$P52))</f>
        <v>Vanligt café</v>
      </c>
      <c r="H52" s="18" t="str">
        <f>IF($P52="","",IF(AND(INDEX(BEMANNINGSPLAN!$Y$5:$Y$546,$P52)=1,G52&lt;&gt;"Minicafé"),"X",""))</f>
        <v/>
      </c>
      <c r="I52" s="21" t="str">
        <f>IF($P52="","",IF(INDEX(BEMANNINGSPLAN!$Y$5:$Y$546,$P52)=1,"X",""))</f>
        <v/>
      </c>
      <c r="J52" s="22" t="str">
        <f>IF($P52="","",IF(SUMIF(BEMANNINGSPLAN!$W$5:$W$546,INDEX(BEMANNINGSPLAN!$W$5:$W$546,$P52),BEMANNINGSPLAN!$Z$5:$Z$546)=1,"X",""))</f>
        <v/>
      </c>
      <c r="K52" s="23" t="str">
        <f>IF($P52="","",IFERROR(LOOKUP(2,1/((BEMANNINGSPLAN!$W$5:$W$546=INDEX(BEMANNINGSPLAN!$W$5:$W$546,$P52))*(BEMANNINGSPLAN!$L$5:$L$546&lt;&gt;"")),BEMANNINGSPLAN!$L$5:$L$546),""))</f>
        <v>Vårens spel, deltagande lag sköter café</v>
      </c>
      <c r="L52" s="18">
        <f>IF($P52="","",INDEX(BEMANNINGSPLAN!$AE$5:$AE$546,$P52))</f>
        <v>0.49999999999999156</v>
      </c>
      <c r="M52" s="137"/>
      <c r="N52" s="16"/>
      <c r="O52" s="16" t="str">
        <f>IF(AND(BEMANNINGSPLAN!U50=1,OR($B$4="Alla lag",BEMANNINGSPLAN!J50=$B$4),OR($E$4="Alla datum",BEMANNINGSPLAN!A50=$E$4)),COUNT($O$6:O51)+1,"")</f>
        <v/>
      </c>
      <c r="P52" s="137">
        <f t="shared" si="0"/>
        <v>350</v>
      </c>
    </row>
    <row r="53" spans="1:16" ht="27.75" customHeight="1">
      <c r="A53" s="17">
        <f>IF($P53="","",INDEX(BEMANNINGSPLAN!$A$5:$A$546,$P53))</f>
        <v>46410</v>
      </c>
      <c r="B53" s="18" t="str">
        <f>IF($P53="","",INDEX(BEMANNINGSPLAN!$B$5:$B$546,$P53))</f>
        <v>lördag</v>
      </c>
      <c r="C53" s="19" t="str">
        <f>IF($P53="","",INDEX(BEMANNINGSPLAN!$C$5:$C$546,$P53))</f>
        <v>Ulriksdalshallen</v>
      </c>
      <c r="D53" s="20">
        <f>IF($P53="","",INDEX(BEMANNINGSPLAN!$D$5:$D$546,$P53))</f>
        <v>0.4375</v>
      </c>
      <c r="E53" s="20">
        <f>IF($P53="","",SUMIF(BEMANNINGSPLAN!$W$5:$W$546,INDEX(BEMANNINGSPLAN!$W$5:$W$546,$P53),BEMANNINGSPLAN!$X$5:$X$546))</f>
        <v>0.45833333333333298</v>
      </c>
      <c r="F53" s="18" t="str">
        <f>IF($P53="","",INDEX(BEMANNINGSPLAN!$J$5:$J$546,$P53))</f>
        <v>P10</v>
      </c>
      <c r="G53" s="19" t="str">
        <f>IF($P53="","",INDEX(BEMANNINGSPLAN!$AD$5:$AD$546,$P53))</f>
        <v>Vanligt café</v>
      </c>
      <c r="H53" s="18" t="str">
        <f>IF($P53="","",IF(AND(INDEX(BEMANNINGSPLAN!$Y$5:$Y$546,$P53)=1,G53&lt;&gt;"Minicafé"),"X",""))</f>
        <v/>
      </c>
      <c r="I53" s="21" t="str">
        <f>IF($P53="","",IF(INDEX(BEMANNINGSPLAN!$Y$5:$Y$546,$P53)=1,"X",""))</f>
        <v/>
      </c>
      <c r="J53" s="22" t="str">
        <f>IF($P53="","",IF(SUMIF(BEMANNINGSPLAN!$W$5:$W$546,INDEX(BEMANNINGSPLAN!$W$5:$W$546,$P53),BEMANNINGSPLAN!$Z$5:$Z$546)=1,"X",""))</f>
        <v/>
      </c>
      <c r="K53" s="23" t="str">
        <f>IF($P53="","",IFERROR(LOOKUP(2,1/((BEMANNINGSPLAN!$W$5:$W$546=INDEX(BEMANNINGSPLAN!$W$5:$W$546,$P53))*(BEMANNINGSPLAN!$L$5:$L$546&lt;&gt;"")),BEMANNINGSPLAN!$L$5:$L$546),""))</f>
        <v>Vårens spel, deltagande lag sköter café</v>
      </c>
      <c r="L53" s="18">
        <f>IF($P53="","",INDEX(BEMANNINGSPLAN!$AE$5:$AE$546,$P53))</f>
        <v>0.49999999999999156</v>
      </c>
      <c r="M53" s="137"/>
      <c r="N53" s="16"/>
      <c r="O53" s="16" t="str">
        <f>IF(AND(BEMANNINGSPLAN!U51=1,OR($B$4="Alla lag",BEMANNINGSPLAN!J51=$B$4),OR($E$4="Alla datum",BEMANNINGSPLAN!A51=$E$4)),COUNT($O$6:O52)+1,"")</f>
        <v/>
      </c>
      <c r="P53" s="137">
        <f t="shared" si="0"/>
        <v>351</v>
      </c>
    </row>
    <row r="54" spans="1:16" ht="27.75" customHeight="1">
      <c r="A54" s="17">
        <f>IF($P54="","",INDEX(BEMANNINGSPLAN!$A$5:$A$546,$P54))</f>
        <v>46410</v>
      </c>
      <c r="B54" s="18" t="str">
        <f>IF($P54="","",INDEX(BEMANNINGSPLAN!$B$5:$B$546,$P54))</f>
        <v>lördag</v>
      </c>
      <c r="C54" s="19" t="str">
        <f>IF($P54="","",INDEX(BEMANNINGSPLAN!$C$5:$C$546,$P54))</f>
        <v>Ulriksdalshallen</v>
      </c>
      <c r="D54" s="20">
        <f>IF($P54="","",INDEX(BEMANNINGSPLAN!$D$5:$D$546,$P54))</f>
        <v>0.45833333333333298</v>
      </c>
      <c r="E54" s="20">
        <f>IF($P54="","",SUMIF(BEMANNINGSPLAN!$W$5:$W$546,INDEX(BEMANNINGSPLAN!$W$5:$W$546,$P54),BEMANNINGSPLAN!$X$5:$X$546))</f>
        <v>0.47916666666666702</v>
      </c>
      <c r="F54" s="18" t="str">
        <f>IF($P54="","",INDEX(BEMANNINGSPLAN!$J$5:$J$546,$P54))</f>
        <v>F9</v>
      </c>
      <c r="G54" s="19" t="str">
        <f>IF($P54="","",INDEX(BEMANNINGSPLAN!$AD$5:$AD$546,$P54))</f>
        <v>Vanligt café</v>
      </c>
      <c r="H54" s="18" t="str">
        <f>IF($P54="","",IF(AND(INDEX(BEMANNINGSPLAN!$Y$5:$Y$546,$P54)=1,G54&lt;&gt;"Minicafé"),"X",""))</f>
        <v/>
      </c>
      <c r="I54" s="21" t="str">
        <f>IF($P54="","",IF(INDEX(BEMANNINGSPLAN!$Y$5:$Y$546,$P54)=1,"X",""))</f>
        <v/>
      </c>
      <c r="J54" s="22" t="str">
        <f>IF($P54="","",IF(SUMIF(BEMANNINGSPLAN!$W$5:$W$546,INDEX(BEMANNINGSPLAN!$W$5:$W$546,$P54),BEMANNINGSPLAN!$Z$5:$Z$546)=1,"X",""))</f>
        <v/>
      </c>
      <c r="K54" s="23" t="str">
        <f>IF($P54="","",IFERROR(LOOKUP(2,1/((BEMANNINGSPLAN!$W$5:$W$546=INDEX(BEMANNINGSPLAN!$W$5:$W$546,$P54))*(BEMANNINGSPLAN!$L$5:$L$546&lt;&gt;"")),BEMANNINGSPLAN!$L$5:$L$546),""))</f>
        <v>Vårens spel, deltagande lag sköter café</v>
      </c>
      <c r="L54" s="18">
        <f>IF($P54="","",INDEX(BEMANNINGSPLAN!$AE$5:$AE$546,$P54))</f>
        <v>0.50000000000001688</v>
      </c>
      <c r="M54" s="137"/>
      <c r="N54" s="16"/>
      <c r="O54" s="16" t="str">
        <f>IF(AND(BEMANNINGSPLAN!U52=1,OR($B$4="Alla lag",BEMANNINGSPLAN!J52=$B$4),OR($E$4="Alla datum",BEMANNINGSPLAN!A52=$E$4)),COUNT($O$6:O53)+1,"")</f>
        <v/>
      </c>
      <c r="P54" s="137">
        <f t="shared" si="0"/>
        <v>352</v>
      </c>
    </row>
    <row r="55" spans="1:16" ht="27.75" customHeight="1">
      <c r="A55" s="17">
        <f>IF($P55="","",INDEX(BEMANNINGSPLAN!$A$5:$A$546,$P55))</f>
        <v>46410</v>
      </c>
      <c r="B55" s="18" t="str">
        <f>IF($P55="","",INDEX(BEMANNINGSPLAN!$B$5:$B$546,$P55))</f>
        <v>lördag</v>
      </c>
      <c r="C55" s="19" t="str">
        <f>IF($P55="","",INDEX(BEMANNINGSPLAN!$C$5:$C$546,$P55))</f>
        <v>Ulriksdalshallen</v>
      </c>
      <c r="D55" s="20">
        <f>IF($P55="","",INDEX(BEMANNINGSPLAN!$D$5:$D$546,$P55))</f>
        <v>0.47916666666666702</v>
      </c>
      <c r="E55" s="20">
        <f>IF($P55="","",SUMIF(BEMANNINGSPLAN!$W$5:$W$546,INDEX(BEMANNINGSPLAN!$W$5:$W$546,$P55),BEMANNINGSPLAN!$X$5:$X$546))</f>
        <v>0.5</v>
      </c>
      <c r="F55" s="18" t="str">
        <f>IF($P55="","",INDEX(BEMANNINGSPLAN!$J$5:$J$546,$P55))</f>
        <v>P9</v>
      </c>
      <c r="G55" s="19" t="str">
        <f>IF($P55="","",INDEX(BEMANNINGSPLAN!$AD$5:$AD$546,$P55))</f>
        <v>Vanligt café</v>
      </c>
      <c r="H55" s="18" t="str">
        <f>IF($P55="","",IF(AND(INDEX(BEMANNINGSPLAN!$Y$5:$Y$546,$P55)=1,G55&lt;&gt;"Minicafé"),"X",""))</f>
        <v/>
      </c>
      <c r="I55" s="21" t="str">
        <f>IF($P55="","",IF(INDEX(BEMANNINGSPLAN!$Y$5:$Y$546,$P55)=1,"X",""))</f>
        <v/>
      </c>
      <c r="J55" s="22" t="str">
        <f>IF($P55="","",IF(SUMIF(BEMANNINGSPLAN!$W$5:$W$546,INDEX(BEMANNINGSPLAN!$W$5:$W$546,$P55),BEMANNINGSPLAN!$Z$5:$Z$546)=1,"X",""))</f>
        <v/>
      </c>
      <c r="K55" s="23" t="str">
        <f>IF($P55="","",IFERROR(LOOKUP(2,1/((BEMANNINGSPLAN!$W$5:$W$546=INDEX(BEMANNINGSPLAN!$W$5:$W$546,$P55))*(BEMANNINGSPLAN!$L$5:$L$546&lt;&gt;"")),BEMANNINGSPLAN!$L$5:$L$546),""))</f>
        <v>Vårens spel, deltagande lag sköter café</v>
      </c>
      <c r="L55" s="18">
        <f>IF($P55="","",INDEX(BEMANNINGSPLAN!$AE$5:$AE$546,$P55))</f>
        <v>0.49999999999999156</v>
      </c>
      <c r="M55" s="137"/>
      <c r="N55" s="16"/>
      <c r="O55" s="16" t="str">
        <f>IF(AND(BEMANNINGSPLAN!U53=1,OR($B$4="Alla lag",BEMANNINGSPLAN!J53=$B$4),OR($E$4="Alla datum",BEMANNINGSPLAN!A53=$E$4)),COUNT($O$6:O54)+1,"")</f>
        <v/>
      </c>
      <c r="P55" s="137">
        <f t="shared" si="0"/>
        <v>353</v>
      </c>
    </row>
    <row r="56" spans="1:16" ht="27.75" customHeight="1">
      <c r="A56" s="17">
        <f>IF($P56="","",INDEX(BEMANNINGSPLAN!$A$5:$A$546,$P56))</f>
        <v>46410</v>
      </c>
      <c r="B56" s="18" t="str">
        <f>IF($P56="","",INDEX(BEMANNINGSPLAN!$B$5:$B$546,$P56))</f>
        <v>lördag</v>
      </c>
      <c r="C56" s="19" t="str">
        <f>IF($P56="","",INDEX(BEMANNINGSPLAN!$C$5:$C$546,$P56))</f>
        <v>Ulriksdalshallen</v>
      </c>
      <c r="D56" s="20">
        <f>IF($P56="","",INDEX(BEMANNINGSPLAN!$D$5:$D$546,$P56))</f>
        <v>0.5</v>
      </c>
      <c r="E56" s="20">
        <f>IF($P56="","",SUMIF(BEMANNINGSPLAN!$W$5:$W$546,INDEX(BEMANNINGSPLAN!$W$5:$W$546,$P56),BEMANNINGSPLAN!$X$5:$X$546))</f>
        <v>0.52083333333333304</v>
      </c>
      <c r="F56" s="18" t="str">
        <f>IF($P56="","",INDEX(BEMANNINGSPLAN!$J$5:$J$546,$P56))</f>
        <v>P10</v>
      </c>
      <c r="G56" s="19" t="str">
        <f>IF($P56="","",INDEX(BEMANNINGSPLAN!$AD$5:$AD$546,$P56))</f>
        <v>Vanligt café</v>
      </c>
      <c r="H56" s="18" t="str">
        <f>IF($P56="","",IF(AND(INDEX(BEMANNINGSPLAN!$Y$5:$Y$546,$P56)=1,G56&lt;&gt;"Minicafé"),"X",""))</f>
        <v/>
      </c>
      <c r="I56" s="21" t="str">
        <f>IF($P56="","",IF(INDEX(BEMANNINGSPLAN!$Y$5:$Y$546,$P56)=1,"X",""))</f>
        <v/>
      </c>
      <c r="J56" s="22" t="str">
        <f>IF($P56="","",IF(SUMIF(BEMANNINGSPLAN!$W$5:$W$546,INDEX(BEMANNINGSPLAN!$W$5:$W$546,$P56),BEMANNINGSPLAN!$Z$5:$Z$546)=1,"X",""))</f>
        <v/>
      </c>
      <c r="K56" s="23" t="str">
        <f>IF($P56="","",IFERROR(LOOKUP(2,1/((BEMANNINGSPLAN!$W$5:$W$546=INDEX(BEMANNINGSPLAN!$W$5:$W$546,$P56))*(BEMANNINGSPLAN!$L$5:$L$546&lt;&gt;"")),BEMANNINGSPLAN!$L$5:$L$546),""))</f>
        <v>Vårens spel, deltagande lag sköter café</v>
      </c>
      <c r="L56" s="18">
        <f>IF($P56="","",INDEX(BEMANNINGSPLAN!$AE$5:$AE$546,$P56))</f>
        <v>0.49999999999999289</v>
      </c>
      <c r="M56" s="137"/>
      <c r="N56" s="16"/>
      <c r="O56" s="16">
        <f>IF(AND(BEMANNINGSPLAN!U54=1,OR($B$4="Alla lag",BEMANNINGSPLAN!J54=$B$4),OR($E$4="Alla datum",BEMANNINGSPLAN!A54=$E$4)),COUNT($O$6:O55)+1,"")</f>
        <v>5</v>
      </c>
      <c r="P56" s="137">
        <f t="shared" si="0"/>
        <v>354</v>
      </c>
    </row>
    <row r="57" spans="1:16" ht="27.75" customHeight="1">
      <c r="A57" s="17">
        <f>IF($P57="","",INDEX(BEMANNINGSPLAN!$A$5:$A$546,$P57))</f>
        <v>46410</v>
      </c>
      <c r="B57" s="18" t="str">
        <f>IF($P57="","",INDEX(BEMANNINGSPLAN!$B$5:$B$546,$P57))</f>
        <v>lördag</v>
      </c>
      <c r="C57" s="19" t="str">
        <f>IF($P57="","",INDEX(BEMANNINGSPLAN!$C$5:$C$546,$P57))</f>
        <v>Ulriksdalshallen</v>
      </c>
      <c r="D57" s="20">
        <f>IF($P57="","",INDEX(BEMANNINGSPLAN!$D$5:$D$546,$P57))</f>
        <v>0.52083333333333304</v>
      </c>
      <c r="E57" s="20">
        <f>IF($P57="","",SUMIF(BEMANNINGSPLAN!$W$5:$W$546,INDEX(BEMANNINGSPLAN!$W$5:$W$546,$P57),BEMANNINGSPLAN!$X$5:$X$546))</f>
        <v>0.66666666666666696</v>
      </c>
      <c r="F57" s="18" t="str">
        <f>IF($P57="","",INDEX(BEMANNINGSPLAN!$J$5:$J$546,$P57))</f>
        <v>F12</v>
      </c>
      <c r="G57" s="19" t="str">
        <f>IF($P57="","",INDEX(BEMANNINGSPLAN!$AD$5:$AD$546,$P57))</f>
        <v>Vanligt café</v>
      </c>
      <c r="H57" s="18" t="str">
        <f>IF($P57="","",IF(AND(INDEX(BEMANNINGSPLAN!$Y$5:$Y$546,$P57)=1,G57&lt;&gt;"Minicafé"),"X",""))</f>
        <v/>
      </c>
      <c r="I57" s="21" t="str">
        <f>IF($P57="","",IF(INDEX(BEMANNINGSPLAN!$Y$5:$Y$546,$P57)=1,"X",""))</f>
        <v/>
      </c>
      <c r="J57" s="22" t="str">
        <f>IF($P57="","",IF(SUMIF(BEMANNINGSPLAN!$W$5:$W$546,INDEX(BEMANNINGSPLAN!$W$5:$W$546,$P57),BEMANNINGSPLAN!$Z$5:$Z$546)=1,"X",""))</f>
        <v>X</v>
      </c>
      <c r="K57" s="23" t="str">
        <f>IF($P57="","",IFERROR(LOOKUP(2,1/((BEMANNINGSPLAN!$W$5:$W$546=INDEX(BEMANNINGSPLAN!$W$5:$W$546,$P57))*(BEMANNINGSPLAN!$L$5:$L$546&lt;&gt;"")),BEMANNINGSPLAN!$L$5:$L$546),""))</f>
        <v/>
      </c>
      <c r="L57" s="18">
        <f>IF($P57="","",INDEX(BEMANNINGSPLAN!$AE$5:$AE$546,$P57))</f>
        <v>3.5000000000000142</v>
      </c>
      <c r="M57" s="137"/>
      <c r="N57" s="16"/>
      <c r="O57" s="16" t="str">
        <f>IF(AND(BEMANNINGSPLAN!U55=1,OR($B$4="Alla lag",BEMANNINGSPLAN!J55=$B$4),OR($E$4="Alla datum",BEMANNINGSPLAN!A55=$E$4)),COUNT($O$6:O56)+1,"")</f>
        <v/>
      </c>
      <c r="P57" s="137">
        <f t="shared" si="0"/>
        <v>355</v>
      </c>
    </row>
    <row r="58" spans="1:16" ht="27.75" customHeight="1">
      <c r="A58" s="17">
        <f>IF($P58="","",INDEX(BEMANNINGSPLAN!$A$5:$A$546,$P58))</f>
        <v>46413</v>
      </c>
      <c r="B58" s="18" t="str">
        <f>IF($P58="","",INDEX(BEMANNINGSPLAN!$B$5:$B$546,$P58))</f>
        <v>tisdag</v>
      </c>
      <c r="C58" s="19" t="str">
        <f>IF($P58="","",INDEX(BEMANNINGSPLAN!$C$5:$C$546,$P58))</f>
        <v>Råsta Park</v>
      </c>
      <c r="D58" s="20">
        <f>IF($P58="","",INDEX(BEMANNINGSPLAN!$D$5:$D$546,$P58))</f>
        <v>0.83333333333333304</v>
      </c>
      <c r="E58" s="20">
        <f>IF($P58="","",SUMIF(BEMANNINGSPLAN!$W$5:$W$546,INDEX(BEMANNINGSPLAN!$W$5:$W$546,$P58),BEMANNINGSPLAN!$X$5:$X$546))</f>
        <v>0.91666666666666696</v>
      </c>
      <c r="F58" s="18" t="str">
        <f>IF($P58="","",INDEX(BEMANNINGSPLAN!$J$5:$J$546,$P58))</f>
        <v>F19</v>
      </c>
      <c r="G58" s="19" t="str">
        <f>IF($P58="","",INDEX(BEMANNINGSPLAN!$AD$5:$AD$546,$P58))</f>
        <v>Minicafé</v>
      </c>
      <c r="H58" s="18" t="str">
        <f>IF($P58="","",IF(AND(INDEX(BEMANNINGSPLAN!$Y$5:$Y$546,$P58)=1,G58&lt;&gt;"Minicafé"),"X",""))</f>
        <v/>
      </c>
      <c r="I58" s="21" t="str">
        <f>IF($P58="","",IF(INDEX(BEMANNINGSPLAN!$Y$5:$Y$546,$P58)=1,"X",""))</f>
        <v>X</v>
      </c>
      <c r="J58" s="22" t="str">
        <f>IF($P58="","",IF(SUMIF(BEMANNINGSPLAN!$W$5:$W$546,INDEX(BEMANNINGSPLAN!$W$5:$W$546,$P58),BEMANNINGSPLAN!$Z$5:$Z$546)=1,"X",""))</f>
        <v>X</v>
      </c>
      <c r="K58" s="23" t="str">
        <f>IF($P58="","",IFERROR(LOOKUP(2,1/((BEMANNINGSPLAN!$W$5:$W$546=INDEX(BEMANNINGSPLAN!$W$5:$W$546,$P58))*(BEMANNINGSPLAN!$L$5:$L$546&lt;&gt;"")),BEMANNINGSPLAN!$L$5:$L$546),""))</f>
        <v/>
      </c>
      <c r="L58" s="18">
        <f>IF($P58="","",INDEX(BEMANNINGSPLAN!$AE$5:$AE$546,$P58))</f>
        <v>2.0000000000000142</v>
      </c>
      <c r="M58" s="137"/>
      <c r="N58" s="16"/>
      <c r="O58" s="16" t="str">
        <f>IF(AND(BEMANNINGSPLAN!U56=1,OR($B$4="Alla lag",BEMANNINGSPLAN!J56=$B$4),OR($E$4="Alla datum",BEMANNINGSPLAN!A56=$E$4)),COUNT($O$6:O57)+1,"")</f>
        <v/>
      </c>
      <c r="P58" s="137">
        <f t="shared" si="0"/>
        <v>362</v>
      </c>
    </row>
    <row r="59" spans="1:16" ht="27.75" customHeight="1">
      <c r="A59" s="17">
        <f>IF($P59="","",INDEX(BEMANNINGSPLAN!$A$5:$A$546,$P59))</f>
        <v>46417</v>
      </c>
      <c r="B59" s="18" t="str">
        <f>IF($P59="","",INDEX(BEMANNINGSPLAN!$B$5:$B$546,$P59))</f>
        <v>lördag</v>
      </c>
      <c r="C59" s="19" t="str">
        <f>IF($P59="","",INDEX(BEMANNINGSPLAN!$C$5:$C$546,$P59))</f>
        <v>Råsta Park</v>
      </c>
      <c r="D59" s="20">
        <f>IF($P59="","",INDEX(BEMANNINGSPLAN!$D$5:$D$546,$P59))</f>
        <v>0.41666666666666702</v>
      </c>
      <c r="E59" s="20">
        <f>IF($P59="","",SUMIF(BEMANNINGSPLAN!$W$5:$W$546,INDEX(BEMANNINGSPLAN!$W$5:$W$546,$P59),BEMANNINGSPLAN!$X$5:$X$546))</f>
        <v>0.47916666666666702</v>
      </c>
      <c r="F59" s="18" t="str">
        <f>IF($P59="","",INDEX(BEMANNINGSPLAN!$J$5:$J$546,$P59))</f>
        <v>F16</v>
      </c>
      <c r="G59" s="19" t="str">
        <f>IF($P59="","",INDEX(BEMANNINGSPLAN!$AD$5:$AD$546,$P59))</f>
        <v>Minicafé</v>
      </c>
      <c r="H59" s="18" t="str">
        <f>IF($P59="","",IF(AND(INDEX(BEMANNINGSPLAN!$Y$5:$Y$546,$P59)=1,G59&lt;&gt;"Minicafé"),"X",""))</f>
        <v/>
      </c>
      <c r="I59" s="21" t="str">
        <f>IF($P59="","",IF(INDEX(BEMANNINGSPLAN!$Y$5:$Y$546,$P59)=1,"X",""))</f>
        <v>X</v>
      </c>
      <c r="J59" s="22" t="str">
        <f>IF($P59="","",IF(SUMIF(BEMANNINGSPLAN!$W$5:$W$546,INDEX(BEMANNINGSPLAN!$W$5:$W$546,$P59),BEMANNINGSPLAN!$Z$5:$Z$546)=1,"X",""))</f>
        <v>X</v>
      </c>
      <c r="K59" s="23" t="str">
        <f>IF($P59="","",IFERROR(LOOKUP(2,1/((BEMANNINGSPLAN!$W$5:$W$546=INDEX(BEMANNINGSPLAN!$W$5:$W$546,$P59))*(BEMANNINGSPLAN!$L$5:$L$546&lt;&gt;"")),BEMANNINGSPLAN!$L$5:$L$546),""))</f>
        <v/>
      </c>
      <c r="L59" s="18">
        <f>IF($P59="","",INDEX(BEMANNINGSPLAN!$AE$5:$AE$546,$P59))</f>
        <v>1.5</v>
      </c>
      <c r="M59" s="137"/>
      <c r="N59" s="16"/>
      <c r="O59" s="16">
        <f>IF(AND(BEMANNINGSPLAN!U57=1,OR($B$4="Alla lag",BEMANNINGSPLAN!J57=$B$4),OR($E$4="Alla datum",BEMANNINGSPLAN!A57=$E$4)),COUNT($O$6:O58)+1,"")</f>
        <v>6</v>
      </c>
      <c r="P59" s="137">
        <f t="shared" si="0"/>
        <v>372</v>
      </c>
    </row>
    <row r="60" spans="1:16" ht="27.75" customHeight="1">
      <c r="A60" s="17">
        <f>IF($P60="","",INDEX(BEMANNINGSPLAN!$A$5:$A$546,$P60))</f>
        <v>46417</v>
      </c>
      <c r="B60" s="18" t="str">
        <f>IF($P60="","",INDEX(BEMANNINGSPLAN!$B$5:$B$546,$P60))</f>
        <v>lördag</v>
      </c>
      <c r="C60" s="19" t="str">
        <f>IF($P60="","",INDEX(BEMANNINGSPLAN!$C$5:$C$546,$P60))</f>
        <v>Ulriksdalshallen</v>
      </c>
      <c r="D60" s="20">
        <f>IF($P60="","",INDEX(BEMANNINGSPLAN!$D$5:$D$546,$P60))</f>
        <v>0.33333333333333298</v>
      </c>
      <c r="E60" s="20">
        <f>IF($P60="","",SUMIF(BEMANNINGSPLAN!$W$5:$W$546,INDEX(BEMANNINGSPLAN!$W$5:$W$546,$P60),BEMANNINGSPLAN!$X$5:$X$546))</f>
        <v>0.5</v>
      </c>
      <c r="F60" s="18" t="str">
        <f>IF($P60="","",INDEX(BEMANNINGSPLAN!$J$5:$J$546,$P60))</f>
        <v>U8</v>
      </c>
      <c r="G60" s="19" t="str">
        <f>IF($P60="","",INDEX(BEMANNINGSPLAN!$AD$5:$AD$546,$P60))</f>
        <v>Vanligt café</v>
      </c>
      <c r="H60" s="18" t="str">
        <f>IF($P60="","",IF(AND(INDEX(BEMANNINGSPLAN!$Y$5:$Y$546,$P60)=1,G60&lt;&gt;"Minicafé"),"X",""))</f>
        <v>X</v>
      </c>
      <c r="I60" s="21" t="str">
        <f>IF($P60="","",IF(INDEX(BEMANNINGSPLAN!$Y$5:$Y$546,$P60)=1,"X",""))</f>
        <v>X</v>
      </c>
      <c r="J60" s="22" t="str">
        <f>IF($P60="","",IF(SUMIF(BEMANNINGSPLAN!$W$5:$W$546,INDEX(BEMANNINGSPLAN!$W$5:$W$546,$P60),BEMANNINGSPLAN!$Z$5:$Z$546)=1,"X",""))</f>
        <v/>
      </c>
      <c r="K60" s="23" t="str">
        <f>IF($P60="","",IFERROR(LOOKUP(2,1/((BEMANNINGSPLAN!$W$5:$W$546=INDEX(BEMANNINGSPLAN!$W$5:$W$546,$P60))*(BEMANNINGSPLAN!$L$5:$L$546&lt;&gt;"")),BEMANNINGSPLAN!$L$5:$L$546),""))</f>
        <v/>
      </c>
      <c r="L60" s="18">
        <f>IF($P60="","",INDEX(BEMANNINGSPLAN!$AE$5:$AE$546,$P60))</f>
        <v>4.0000000000000089</v>
      </c>
      <c r="M60" s="137"/>
      <c r="N60" s="16"/>
      <c r="O60" s="16" t="str">
        <f>IF(AND(BEMANNINGSPLAN!U58=1,OR($B$4="Alla lag",BEMANNINGSPLAN!J58=$B$4),OR($E$4="Alla datum",BEMANNINGSPLAN!A58=$E$4)),COUNT($O$6:O59)+1,"")</f>
        <v/>
      </c>
      <c r="P60" s="137">
        <f t="shared" si="0"/>
        <v>375</v>
      </c>
    </row>
    <row r="61" spans="1:16" ht="27.75" customHeight="1">
      <c r="A61" s="17">
        <f>IF($P61="","",INDEX(BEMANNINGSPLAN!$A$5:$A$546,$P61))</f>
        <v>46417</v>
      </c>
      <c r="B61" s="18" t="str">
        <f>IF($P61="","",INDEX(BEMANNINGSPLAN!$B$5:$B$546,$P61))</f>
        <v>lördag</v>
      </c>
      <c r="C61" s="19" t="str">
        <f>IF($P61="","",INDEX(BEMANNINGSPLAN!$C$5:$C$546,$P61))</f>
        <v>Ulriksdalshallen</v>
      </c>
      <c r="D61" s="20">
        <f>IF($P61="","",INDEX(BEMANNINGSPLAN!$D$5:$D$546,$P61))</f>
        <v>0.5</v>
      </c>
      <c r="E61" s="20">
        <f>IF($P61="","",SUMIF(BEMANNINGSPLAN!$W$5:$W$546,INDEX(BEMANNINGSPLAN!$W$5:$W$546,$P61),BEMANNINGSPLAN!$X$5:$X$546))</f>
        <v>0.52083333333333304</v>
      </c>
      <c r="F61" s="18" t="str">
        <f>IF($P61="","",INDEX(BEMANNINGSPLAN!$J$5:$J$546,$P61))</f>
        <v>F9</v>
      </c>
      <c r="G61" s="19" t="str">
        <f>IF($P61="","",INDEX(BEMANNINGSPLAN!$AD$5:$AD$546,$P61))</f>
        <v>Vanligt café</v>
      </c>
      <c r="H61" s="18" t="str">
        <f>IF($P61="","",IF(AND(INDEX(BEMANNINGSPLAN!$Y$5:$Y$546,$P61)=1,G61&lt;&gt;"Minicafé"),"X",""))</f>
        <v/>
      </c>
      <c r="I61" s="21" t="str">
        <f>IF($P61="","",IF(INDEX(BEMANNINGSPLAN!$Y$5:$Y$546,$P61)=1,"X",""))</f>
        <v/>
      </c>
      <c r="J61" s="22" t="str">
        <f>IF($P61="","",IF(SUMIF(BEMANNINGSPLAN!$W$5:$W$546,INDEX(BEMANNINGSPLAN!$W$5:$W$546,$P61),BEMANNINGSPLAN!$Z$5:$Z$546)=1,"X",""))</f>
        <v/>
      </c>
      <c r="K61" s="23" t="str">
        <f>IF($P61="","",IFERROR(LOOKUP(2,1/((BEMANNINGSPLAN!$W$5:$W$546=INDEX(BEMANNINGSPLAN!$W$5:$W$546,$P61))*(BEMANNINGSPLAN!$L$5:$L$546&lt;&gt;"")),BEMANNINGSPLAN!$L$5:$L$546),""))</f>
        <v>Vårens spel, deltagande lag sköter café</v>
      </c>
      <c r="L61" s="18">
        <f>IF($P61="","",INDEX(BEMANNINGSPLAN!$AE$5:$AE$546,$P61))</f>
        <v>0.49999999999999289</v>
      </c>
      <c r="M61" s="137"/>
      <c r="N61" s="16"/>
      <c r="O61" s="16" t="str">
        <f>IF(AND(BEMANNINGSPLAN!U59=1,OR($B$4="Alla lag",BEMANNINGSPLAN!J59=$B$4),OR($E$4="Alla datum",BEMANNINGSPLAN!A59=$E$4)),COUNT($O$6:O60)+1,"")</f>
        <v/>
      </c>
      <c r="P61" s="137">
        <f t="shared" si="0"/>
        <v>383</v>
      </c>
    </row>
    <row r="62" spans="1:16" ht="27.75" customHeight="1">
      <c r="A62" s="17">
        <f>IF($P62="","",INDEX(BEMANNINGSPLAN!$A$5:$A$546,$P62))</f>
        <v>46417</v>
      </c>
      <c r="B62" s="18" t="str">
        <f>IF($P62="","",INDEX(BEMANNINGSPLAN!$B$5:$B$546,$P62))</f>
        <v>lördag</v>
      </c>
      <c r="C62" s="19" t="str">
        <f>IF($P62="","",INDEX(BEMANNINGSPLAN!$C$5:$C$546,$P62))</f>
        <v>Ulriksdalshallen</v>
      </c>
      <c r="D62" s="20">
        <f>IF($P62="","",INDEX(BEMANNINGSPLAN!$D$5:$D$546,$P62))</f>
        <v>0.52083333333333304</v>
      </c>
      <c r="E62" s="20">
        <f>IF($P62="","",SUMIF(BEMANNINGSPLAN!$W$5:$W$546,INDEX(BEMANNINGSPLAN!$W$5:$W$546,$P62),BEMANNINGSPLAN!$X$5:$X$546))</f>
        <v>0.54166666666666696</v>
      </c>
      <c r="F62" s="18" t="str">
        <f>IF($P62="","",INDEX(BEMANNINGSPLAN!$J$5:$J$546,$P62))</f>
        <v>P9</v>
      </c>
      <c r="G62" s="19" t="str">
        <f>IF($P62="","",INDEX(BEMANNINGSPLAN!$AD$5:$AD$546,$P62))</f>
        <v>Vanligt café</v>
      </c>
      <c r="H62" s="18" t="str">
        <f>IF($P62="","",IF(AND(INDEX(BEMANNINGSPLAN!$Y$5:$Y$546,$P62)=1,G62&lt;&gt;"Minicafé"),"X",""))</f>
        <v/>
      </c>
      <c r="I62" s="21" t="str">
        <f>IF($P62="","",IF(INDEX(BEMANNINGSPLAN!$Y$5:$Y$546,$P62)=1,"X",""))</f>
        <v/>
      </c>
      <c r="J62" s="22" t="str">
        <f>IF($P62="","",IF(SUMIF(BEMANNINGSPLAN!$W$5:$W$546,INDEX(BEMANNINGSPLAN!$W$5:$W$546,$P62),BEMANNINGSPLAN!$Z$5:$Z$546)=1,"X",""))</f>
        <v/>
      </c>
      <c r="K62" s="23" t="str">
        <f>IF($P62="","",IFERROR(LOOKUP(2,1/((BEMANNINGSPLAN!$W$5:$W$546=INDEX(BEMANNINGSPLAN!$W$5:$W$546,$P62))*(BEMANNINGSPLAN!$L$5:$L$546&lt;&gt;"")),BEMANNINGSPLAN!$L$5:$L$546),""))</f>
        <v>Vårens spel, deltagande lag sköter café</v>
      </c>
      <c r="L62" s="18">
        <f>IF($P62="","",INDEX(BEMANNINGSPLAN!$AE$5:$AE$546,$P62))</f>
        <v>0.50000000000001421</v>
      </c>
      <c r="M62" s="137"/>
      <c r="N62" s="16"/>
      <c r="O62" s="16" t="str">
        <f>IF(AND(BEMANNINGSPLAN!U60=1,OR($B$4="Alla lag",BEMANNINGSPLAN!J60=$B$4),OR($E$4="Alla datum",BEMANNINGSPLAN!A60=$E$4)),COUNT($O$6:O61)+1,"")</f>
        <v/>
      </c>
      <c r="P62" s="137">
        <f t="shared" si="0"/>
        <v>384</v>
      </c>
    </row>
    <row r="63" spans="1:16" ht="27.75" customHeight="1">
      <c r="A63" s="17">
        <f>IF($P63="","",INDEX(BEMANNINGSPLAN!$A$5:$A$546,$P63))</f>
        <v>46417</v>
      </c>
      <c r="B63" s="18" t="str">
        <f>IF($P63="","",INDEX(BEMANNINGSPLAN!$B$5:$B$546,$P63))</f>
        <v>lördag</v>
      </c>
      <c r="C63" s="19" t="str">
        <f>IF($P63="","",INDEX(BEMANNINGSPLAN!$C$5:$C$546,$P63))</f>
        <v>Ulriksdalshallen</v>
      </c>
      <c r="D63" s="20">
        <f>IF($P63="","",INDEX(BEMANNINGSPLAN!$D$5:$D$546,$P63))</f>
        <v>0.54166666666666696</v>
      </c>
      <c r="E63" s="20">
        <f>IF($P63="","",SUMIF(BEMANNINGSPLAN!$W$5:$W$546,INDEX(BEMANNINGSPLAN!$W$5:$W$546,$P63),BEMANNINGSPLAN!$X$5:$X$546))</f>
        <v>0.5625</v>
      </c>
      <c r="F63" s="18" t="str">
        <f>IF($P63="","",INDEX(BEMANNINGSPLAN!$J$5:$J$546,$P63))</f>
        <v>P10</v>
      </c>
      <c r="G63" s="19" t="str">
        <f>IF($P63="","",INDEX(BEMANNINGSPLAN!$AD$5:$AD$546,$P63))</f>
        <v>Vanligt café</v>
      </c>
      <c r="H63" s="18" t="str">
        <f>IF($P63="","",IF(AND(INDEX(BEMANNINGSPLAN!$Y$5:$Y$546,$P63)=1,G63&lt;&gt;"Minicafé"),"X",""))</f>
        <v/>
      </c>
      <c r="I63" s="21" t="str">
        <f>IF($P63="","",IF(INDEX(BEMANNINGSPLAN!$Y$5:$Y$546,$P63)=1,"X",""))</f>
        <v/>
      </c>
      <c r="J63" s="22" t="str">
        <f>IF($P63="","",IF(SUMIF(BEMANNINGSPLAN!$W$5:$W$546,INDEX(BEMANNINGSPLAN!$W$5:$W$546,$P63),BEMANNINGSPLAN!$Z$5:$Z$546)=1,"X",""))</f>
        <v/>
      </c>
      <c r="K63" s="23" t="str">
        <f>IF($P63="","",IFERROR(LOOKUP(2,1/((BEMANNINGSPLAN!$W$5:$W$546=INDEX(BEMANNINGSPLAN!$W$5:$W$546,$P63))*(BEMANNINGSPLAN!$L$5:$L$546&lt;&gt;"")),BEMANNINGSPLAN!$L$5:$L$546),""))</f>
        <v>Vårens spel, deltagande lag sköter café</v>
      </c>
      <c r="L63" s="18">
        <f>IF($P63="","",INDEX(BEMANNINGSPLAN!$AE$5:$AE$546,$P63))</f>
        <v>0.49999999999999289</v>
      </c>
      <c r="M63" s="137"/>
      <c r="N63" s="16"/>
      <c r="O63" s="16" t="str">
        <f>IF(AND(BEMANNINGSPLAN!U61=1,OR($B$4="Alla lag",BEMANNINGSPLAN!J61=$B$4),OR($E$4="Alla datum",BEMANNINGSPLAN!A61=$E$4)),COUNT($O$6:O62)+1,"")</f>
        <v/>
      </c>
      <c r="P63" s="137">
        <f t="shared" si="0"/>
        <v>385</v>
      </c>
    </row>
    <row r="64" spans="1:16" ht="27.75" customHeight="1">
      <c r="A64" s="17">
        <f>IF($P64="","",INDEX(BEMANNINGSPLAN!$A$5:$A$546,$P64))</f>
        <v>46417</v>
      </c>
      <c r="B64" s="18" t="str">
        <f>IF($P64="","",INDEX(BEMANNINGSPLAN!$B$5:$B$546,$P64))</f>
        <v>lördag</v>
      </c>
      <c r="C64" s="19" t="str">
        <f>IF($P64="","",INDEX(BEMANNINGSPLAN!$C$5:$C$546,$P64))</f>
        <v>Ulriksdalshallen</v>
      </c>
      <c r="D64" s="20">
        <f>IF($P64="","",INDEX(BEMANNINGSPLAN!$D$5:$D$546,$P64))</f>
        <v>0.5625</v>
      </c>
      <c r="E64" s="20">
        <f>IF($P64="","",SUMIF(BEMANNINGSPLAN!$W$5:$W$546,INDEX(BEMANNINGSPLAN!$W$5:$W$546,$P64),BEMANNINGSPLAN!$X$5:$X$546))</f>
        <v>0.58333333333333304</v>
      </c>
      <c r="F64" s="18" t="str">
        <f>IF($P64="","",INDEX(BEMANNINGSPLAN!$J$5:$J$546,$P64))</f>
        <v>F9</v>
      </c>
      <c r="G64" s="19" t="str">
        <f>IF($P64="","",INDEX(BEMANNINGSPLAN!$AD$5:$AD$546,$P64))</f>
        <v>Vanligt café</v>
      </c>
      <c r="H64" s="18" t="str">
        <f>IF($P64="","",IF(AND(INDEX(BEMANNINGSPLAN!$Y$5:$Y$546,$P64)=1,G64&lt;&gt;"Minicafé"),"X",""))</f>
        <v/>
      </c>
      <c r="I64" s="21" t="str">
        <f>IF($P64="","",IF(INDEX(BEMANNINGSPLAN!$Y$5:$Y$546,$P64)=1,"X",""))</f>
        <v/>
      </c>
      <c r="J64" s="22" t="str">
        <f>IF($P64="","",IF(SUMIF(BEMANNINGSPLAN!$W$5:$W$546,INDEX(BEMANNINGSPLAN!$W$5:$W$546,$P64),BEMANNINGSPLAN!$Z$5:$Z$546)=1,"X",""))</f>
        <v/>
      </c>
      <c r="K64" s="23" t="str">
        <f>IF($P64="","",IFERROR(LOOKUP(2,1/((BEMANNINGSPLAN!$W$5:$W$546=INDEX(BEMANNINGSPLAN!$W$5:$W$546,$P64))*(BEMANNINGSPLAN!$L$5:$L$546&lt;&gt;"")),BEMANNINGSPLAN!$L$5:$L$546),""))</f>
        <v>Vårens spel, deltagande lag sköter café</v>
      </c>
      <c r="L64" s="18">
        <f>IF($P64="","",INDEX(BEMANNINGSPLAN!$AE$5:$AE$546,$P64))</f>
        <v>0.49999999999999289</v>
      </c>
      <c r="M64" s="137"/>
      <c r="N64" s="16"/>
      <c r="O64" s="16" t="str">
        <f>IF(AND(BEMANNINGSPLAN!U62=1,OR($B$4="Alla lag",BEMANNINGSPLAN!J62=$B$4),OR($E$4="Alla datum",BEMANNINGSPLAN!A62=$E$4)),COUNT($O$6:O63)+1,"")</f>
        <v/>
      </c>
      <c r="P64" s="137">
        <f t="shared" si="0"/>
        <v>386</v>
      </c>
    </row>
    <row r="65" spans="1:16" ht="27.75" customHeight="1">
      <c r="A65" s="17">
        <f>IF($P65="","",INDEX(BEMANNINGSPLAN!$A$5:$A$546,$P65))</f>
        <v>46417</v>
      </c>
      <c r="B65" s="18" t="str">
        <f>IF($P65="","",INDEX(BEMANNINGSPLAN!$B$5:$B$546,$P65))</f>
        <v>lördag</v>
      </c>
      <c r="C65" s="19" t="str">
        <f>IF($P65="","",INDEX(BEMANNINGSPLAN!$C$5:$C$546,$P65))</f>
        <v>Ulriksdalshallen</v>
      </c>
      <c r="D65" s="20">
        <f>IF($P65="","",INDEX(BEMANNINGSPLAN!$D$5:$D$546,$P65))</f>
        <v>0.58333333333333304</v>
      </c>
      <c r="E65" s="20">
        <f>IF($P65="","",SUMIF(BEMANNINGSPLAN!$W$5:$W$546,INDEX(BEMANNINGSPLAN!$W$5:$W$546,$P65),BEMANNINGSPLAN!$X$5:$X$546))</f>
        <v>0.60416666666666696</v>
      </c>
      <c r="F65" s="18" t="str">
        <f>IF($P65="","",INDEX(BEMANNINGSPLAN!$J$5:$J$546,$P65))</f>
        <v>P9</v>
      </c>
      <c r="G65" s="19" t="str">
        <f>IF($P65="","",INDEX(BEMANNINGSPLAN!$AD$5:$AD$546,$P65))</f>
        <v>Vanligt café</v>
      </c>
      <c r="H65" s="18" t="str">
        <f>IF($P65="","",IF(AND(INDEX(BEMANNINGSPLAN!$Y$5:$Y$546,$P65)=1,G65&lt;&gt;"Minicafé"),"X",""))</f>
        <v/>
      </c>
      <c r="I65" s="21" t="str">
        <f>IF($P65="","",IF(INDEX(BEMANNINGSPLAN!$Y$5:$Y$546,$P65)=1,"X",""))</f>
        <v/>
      </c>
      <c r="J65" s="22" t="str">
        <f>IF($P65="","",IF(SUMIF(BEMANNINGSPLAN!$W$5:$W$546,INDEX(BEMANNINGSPLAN!$W$5:$W$546,$P65),BEMANNINGSPLAN!$Z$5:$Z$546)=1,"X",""))</f>
        <v/>
      </c>
      <c r="K65" s="23" t="str">
        <f>IF($P65="","",IFERROR(LOOKUP(2,1/((BEMANNINGSPLAN!$W$5:$W$546=INDEX(BEMANNINGSPLAN!$W$5:$W$546,$P65))*(BEMANNINGSPLAN!$L$5:$L$546&lt;&gt;"")),BEMANNINGSPLAN!$L$5:$L$546),""))</f>
        <v>Vårens spel, deltagande lag sköter café</v>
      </c>
      <c r="L65" s="18">
        <f>IF($P65="","",INDEX(BEMANNINGSPLAN!$AE$5:$AE$546,$P65))</f>
        <v>0.50000000000001421</v>
      </c>
      <c r="M65" s="137"/>
      <c r="N65" s="16"/>
      <c r="O65" s="16" t="str">
        <f>IF(AND(BEMANNINGSPLAN!U63=1,OR($B$4="Alla lag",BEMANNINGSPLAN!J63=$B$4),OR($E$4="Alla datum",BEMANNINGSPLAN!A63=$E$4)),COUNT($O$6:O64)+1,"")</f>
        <v/>
      </c>
      <c r="P65" s="137">
        <f t="shared" si="0"/>
        <v>387</v>
      </c>
    </row>
    <row r="66" spans="1:16" ht="27.75" customHeight="1">
      <c r="A66" s="17">
        <f>IF($P66="","",INDEX(BEMANNINGSPLAN!$A$5:$A$546,$P66))</f>
        <v>46417</v>
      </c>
      <c r="B66" s="18" t="str">
        <f>IF($P66="","",INDEX(BEMANNINGSPLAN!$B$5:$B$546,$P66))</f>
        <v>lördag</v>
      </c>
      <c r="C66" s="19" t="str">
        <f>IF($P66="","",INDEX(BEMANNINGSPLAN!$C$5:$C$546,$P66))</f>
        <v>Ulriksdalshallen</v>
      </c>
      <c r="D66" s="20">
        <f>IF($P66="","",INDEX(BEMANNINGSPLAN!$D$5:$D$546,$P66))</f>
        <v>0.60416666666666696</v>
      </c>
      <c r="E66" s="20">
        <f>IF($P66="","",SUMIF(BEMANNINGSPLAN!$W$5:$W$546,INDEX(BEMANNINGSPLAN!$W$5:$W$546,$P66),BEMANNINGSPLAN!$X$5:$X$546))</f>
        <v>0.625</v>
      </c>
      <c r="F66" s="18" t="str">
        <f>IF($P66="","",INDEX(BEMANNINGSPLAN!$J$5:$J$546,$P66))</f>
        <v>P10</v>
      </c>
      <c r="G66" s="19" t="str">
        <f>IF($P66="","",INDEX(BEMANNINGSPLAN!$AD$5:$AD$546,$P66))</f>
        <v>Vanligt café</v>
      </c>
      <c r="H66" s="18" t="str">
        <f>IF($P66="","",IF(AND(INDEX(BEMANNINGSPLAN!$Y$5:$Y$546,$P66)=1,G66&lt;&gt;"Minicafé"),"X",""))</f>
        <v/>
      </c>
      <c r="I66" s="21" t="str">
        <f>IF($P66="","",IF(INDEX(BEMANNINGSPLAN!$Y$5:$Y$546,$P66)=1,"X",""))</f>
        <v/>
      </c>
      <c r="J66" s="22" t="str">
        <f>IF($P66="","",IF(SUMIF(BEMANNINGSPLAN!$W$5:$W$546,INDEX(BEMANNINGSPLAN!$W$5:$W$546,$P66),BEMANNINGSPLAN!$Z$5:$Z$546)=1,"X",""))</f>
        <v/>
      </c>
      <c r="K66" s="23" t="str">
        <f>IF($P66="","",IFERROR(LOOKUP(2,1/((BEMANNINGSPLAN!$W$5:$W$546=INDEX(BEMANNINGSPLAN!$W$5:$W$546,$P66))*(BEMANNINGSPLAN!$L$5:$L$546&lt;&gt;"")),BEMANNINGSPLAN!$L$5:$L$546),""))</f>
        <v>Vårens spel, deltagande lag sköter café</v>
      </c>
      <c r="L66" s="18">
        <f>IF($P66="","",INDEX(BEMANNINGSPLAN!$AE$5:$AE$546,$P66))</f>
        <v>0.49999999999999289</v>
      </c>
      <c r="M66" s="137"/>
      <c r="N66" s="16"/>
      <c r="O66" s="16" t="str">
        <f>IF(AND(BEMANNINGSPLAN!U64=1,OR($B$4="Alla lag",BEMANNINGSPLAN!J64=$B$4),OR($E$4="Alla datum",BEMANNINGSPLAN!A64=$E$4)),COUNT($O$6:O65)+1,"")</f>
        <v/>
      </c>
      <c r="P66" s="137">
        <f t="shared" si="0"/>
        <v>388</v>
      </c>
    </row>
    <row r="67" spans="1:16" ht="27.75" customHeight="1">
      <c r="A67" s="17">
        <f>IF($P67="","",INDEX(BEMANNINGSPLAN!$A$5:$A$546,$P67))</f>
        <v>46417</v>
      </c>
      <c r="B67" s="18" t="str">
        <f>IF($P67="","",INDEX(BEMANNINGSPLAN!$B$5:$B$546,$P67))</f>
        <v>lördag</v>
      </c>
      <c r="C67" s="19" t="str">
        <f>IF($P67="","",INDEX(BEMANNINGSPLAN!$C$5:$C$546,$P67))</f>
        <v>Ulriksdalshallen</v>
      </c>
      <c r="D67" s="20">
        <f>IF($P67="","",INDEX(BEMANNINGSPLAN!$D$5:$D$546,$P67))</f>
        <v>0.625</v>
      </c>
      <c r="E67" s="20">
        <f>IF($P67="","",SUMIF(BEMANNINGSPLAN!$W$5:$W$546,INDEX(BEMANNINGSPLAN!$W$5:$W$546,$P67),BEMANNINGSPLAN!$X$5:$X$546))</f>
        <v>0.64583333333333304</v>
      </c>
      <c r="F67" s="18" t="str">
        <f>IF($P67="","",INDEX(BEMANNINGSPLAN!$J$5:$J$546,$P67))</f>
        <v>F9</v>
      </c>
      <c r="G67" s="19" t="str">
        <f>IF($P67="","",INDEX(BEMANNINGSPLAN!$AD$5:$AD$546,$P67))</f>
        <v>Vanligt café</v>
      </c>
      <c r="H67" s="18" t="str">
        <f>IF($P67="","",IF(AND(INDEX(BEMANNINGSPLAN!$Y$5:$Y$546,$P67)=1,G67&lt;&gt;"Minicafé"),"X",""))</f>
        <v/>
      </c>
      <c r="I67" s="21" t="str">
        <f>IF($P67="","",IF(INDEX(BEMANNINGSPLAN!$Y$5:$Y$546,$P67)=1,"X",""))</f>
        <v/>
      </c>
      <c r="J67" s="22" t="str">
        <f>IF($P67="","",IF(SUMIF(BEMANNINGSPLAN!$W$5:$W$546,INDEX(BEMANNINGSPLAN!$W$5:$W$546,$P67),BEMANNINGSPLAN!$Z$5:$Z$546)=1,"X",""))</f>
        <v/>
      </c>
      <c r="K67" s="23" t="str">
        <f>IF($P67="","",IFERROR(LOOKUP(2,1/((BEMANNINGSPLAN!$W$5:$W$546=INDEX(BEMANNINGSPLAN!$W$5:$W$546,$P67))*(BEMANNINGSPLAN!$L$5:$L$546&lt;&gt;"")),BEMANNINGSPLAN!$L$5:$L$546),""))</f>
        <v>Vårens spel, deltagande lag sköter café</v>
      </c>
      <c r="L67" s="18">
        <f>IF($P67="","",INDEX(BEMANNINGSPLAN!$AE$5:$AE$546,$P67))</f>
        <v>0.49999999999999289</v>
      </c>
      <c r="M67" s="137"/>
      <c r="N67" s="16"/>
      <c r="O67" s="16">
        <f>IF(AND(BEMANNINGSPLAN!U65=1,OR($B$4="Alla lag",BEMANNINGSPLAN!J65=$B$4),OR($E$4="Alla datum",BEMANNINGSPLAN!A65=$E$4)),COUNT($O$6:O66)+1,"")</f>
        <v>7</v>
      </c>
      <c r="P67" s="137">
        <f t="shared" si="0"/>
        <v>389</v>
      </c>
    </row>
    <row r="68" spans="1:16" ht="27.75" customHeight="1">
      <c r="A68" s="17">
        <f>IF($P68="","",INDEX(BEMANNINGSPLAN!$A$5:$A$546,$P68))</f>
        <v>46417</v>
      </c>
      <c r="B68" s="18" t="str">
        <f>IF($P68="","",INDEX(BEMANNINGSPLAN!$B$5:$B$546,$P68))</f>
        <v>lördag</v>
      </c>
      <c r="C68" s="19" t="str">
        <f>IF($P68="","",INDEX(BEMANNINGSPLAN!$C$5:$C$546,$P68))</f>
        <v>Ulriksdalshallen</v>
      </c>
      <c r="D68" s="20">
        <f>IF($P68="","",INDEX(BEMANNINGSPLAN!$D$5:$D$546,$P68))</f>
        <v>0.64583333333333304</v>
      </c>
      <c r="E68" s="20">
        <f>IF($P68="","",SUMIF(BEMANNINGSPLAN!$W$5:$W$546,INDEX(BEMANNINGSPLAN!$W$5:$W$546,$P68),BEMANNINGSPLAN!$X$5:$X$546))</f>
        <v>0.66666666666666696</v>
      </c>
      <c r="F68" s="18" t="str">
        <f>IF($P68="","",INDEX(BEMANNINGSPLAN!$J$5:$J$546,$P68))</f>
        <v>P9</v>
      </c>
      <c r="G68" s="19" t="str">
        <f>IF($P68="","",INDEX(BEMANNINGSPLAN!$AD$5:$AD$546,$P68))</f>
        <v>Vanligt café</v>
      </c>
      <c r="H68" s="18" t="str">
        <f>IF($P68="","",IF(AND(INDEX(BEMANNINGSPLAN!$Y$5:$Y$546,$P68)=1,G68&lt;&gt;"Minicafé"),"X",""))</f>
        <v/>
      </c>
      <c r="I68" s="21" t="str">
        <f>IF($P68="","",IF(INDEX(BEMANNINGSPLAN!$Y$5:$Y$546,$P68)=1,"X",""))</f>
        <v/>
      </c>
      <c r="J68" s="22" t="str">
        <f>IF($P68="","",IF(SUMIF(BEMANNINGSPLAN!$W$5:$W$546,INDEX(BEMANNINGSPLAN!$W$5:$W$546,$P68),BEMANNINGSPLAN!$Z$5:$Z$546)=1,"X",""))</f>
        <v/>
      </c>
      <c r="K68" s="23" t="str">
        <f>IF($P68="","",IFERROR(LOOKUP(2,1/((BEMANNINGSPLAN!$W$5:$W$546=INDEX(BEMANNINGSPLAN!$W$5:$W$546,$P68))*(BEMANNINGSPLAN!$L$5:$L$546&lt;&gt;"")),BEMANNINGSPLAN!$L$5:$L$546),""))</f>
        <v>Vårens spel, deltagande lag sköter café</v>
      </c>
      <c r="L68" s="18">
        <f>IF($P68="","",INDEX(BEMANNINGSPLAN!$AE$5:$AE$546,$P68))</f>
        <v>0.50000000000001421</v>
      </c>
      <c r="M68" s="137"/>
      <c r="N68" s="16"/>
      <c r="O68" s="16" t="str">
        <f>IF(AND(BEMANNINGSPLAN!U66=1,OR($B$4="Alla lag",BEMANNINGSPLAN!J66=$B$4),OR($E$4="Alla datum",BEMANNINGSPLAN!A66=$E$4)),COUNT($O$6:O67)+1,"")</f>
        <v/>
      </c>
      <c r="P68" s="137">
        <f t="shared" si="0"/>
        <v>390</v>
      </c>
    </row>
    <row r="69" spans="1:16" ht="27.75" customHeight="1">
      <c r="A69" s="17">
        <f>IF($P69="","",INDEX(BEMANNINGSPLAN!$A$5:$A$546,$P69))</f>
        <v>46417</v>
      </c>
      <c r="B69" s="18" t="str">
        <f>IF($P69="","",INDEX(BEMANNINGSPLAN!$B$5:$B$546,$P69))</f>
        <v>lördag</v>
      </c>
      <c r="C69" s="19" t="str">
        <f>IF($P69="","",INDEX(BEMANNINGSPLAN!$C$5:$C$546,$P69))</f>
        <v>Ulriksdalshallen</v>
      </c>
      <c r="D69" s="20">
        <f>IF($P69="","",INDEX(BEMANNINGSPLAN!$D$5:$D$546,$P69))</f>
        <v>0.66666666666666696</v>
      </c>
      <c r="E69" s="20">
        <f>IF($P69="","",SUMIF(BEMANNINGSPLAN!$W$5:$W$546,INDEX(BEMANNINGSPLAN!$W$5:$W$546,$P69),BEMANNINGSPLAN!$X$5:$X$546))</f>
        <v>0.6875</v>
      </c>
      <c r="F69" s="18" t="str">
        <f>IF($P69="","",INDEX(BEMANNINGSPLAN!$J$5:$J$546,$P69))</f>
        <v>P10</v>
      </c>
      <c r="G69" s="19" t="str">
        <f>IF($P69="","",INDEX(BEMANNINGSPLAN!$AD$5:$AD$546,$P69))</f>
        <v>Vanligt café</v>
      </c>
      <c r="H69" s="18" t="str">
        <f>IF($P69="","",IF(AND(INDEX(BEMANNINGSPLAN!$Y$5:$Y$546,$P69)=1,G69&lt;&gt;"Minicafé"),"X",""))</f>
        <v/>
      </c>
      <c r="I69" s="21" t="str">
        <f>IF($P69="","",IF(INDEX(BEMANNINGSPLAN!$Y$5:$Y$546,$P69)=1,"X",""))</f>
        <v/>
      </c>
      <c r="J69" s="22" t="str">
        <f>IF($P69="","",IF(SUMIF(BEMANNINGSPLAN!$W$5:$W$546,INDEX(BEMANNINGSPLAN!$W$5:$W$546,$P69),BEMANNINGSPLAN!$Z$5:$Z$546)=1,"X",""))</f>
        <v/>
      </c>
      <c r="K69" s="23" t="str">
        <f>IF($P69="","",IFERROR(LOOKUP(2,1/((BEMANNINGSPLAN!$W$5:$W$546=INDEX(BEMANNINGSPLAN!$W$5:$W$546,$P69))*(BEMANNINGSPLAN!$L$5:$L$546&lt;&gt;"")),BEMANNINGSPLAN!$L$5:$L$546),""))</f>
        <v>Vårens spel, deltagande lag sköter café</v>
      </c>
      <c r="L69" s="18">
        <f>IF($P69="","",INDEX(BEMANNINGSPLAN!$AE$5:$AE$546,$P69))</f>
        <v>0.49999999999999289</v>
      </c>
      <c r="M69" s="137"/>
      <c r="N69" s="16"/>
      <c r="O69" s="16" t="str">
        <f>IF(AND(BEMANNINGSPLAN!U67=1,OR($B$4="Alla lag",BEMANNINGSPLAN!J67=$B$4),OR($E$4="Alla datum",BEMANNINGSPLAN!A67=$E$4)),COUNT($O$6:O68)+1,"")</f>
        <v/>
      </c>
      <c r="P69" s="137">
        <f t="shared" si="0"/>
        <v>391</v>
      </c>
    </row>
    <row r="70" spans="1:16" ht="27.75" customHeight="1">
      <c r="A70" s="17">
        <f>IF($P70="","",INDEX(BEMANNINGSPLAN!$A$5:$A$546,$P70))</f>
        <v>46417</v>
      </c>
      <c r="B70" s="18" t="str">
        <f>IF($P70="","",INDEX(BEMANNINGSPLAN!$B$5:$B$546,$P70))</f>
        <v>lördag</v>
      </c>
      <c r="C70" s="19" t="str">
        <f>IF($P70="","",INDEX(BEMANNINGSPLAN!$C$5:$C$546,$P70))</f>
        <v>Ulriksdalshallen</v>
      </c>
      <c r="D70" s="20">
        <f>IF($P70="","",INDEX(BEMANNINGSPLAN!$D$5:$D$546,$P70))</f>
        <v>0.6875</v>
      </c>
      <c r="E70" s="20">
        <f>IF($P70="","",SUMIF(BEMANNINGSPLAN!$W$5:$W$546,INDEX(BEMANNINGSPLAN!$W$5:$W$546,$P70),BEMANNINGSPLAN!$X$5:$X$546))</f>
        <v>0.79166666666666696</v>
      </c>
      <c r="F70" s="18" t="str">
        <f>IF($P70="","",INDEX(BEMANNINGSPLAN!$J$5:$J$546,$P70))</f>
        <v>F14</v>
      </c>
      <c r="G70" s="19" t="str">
        <f>IF($P70="","",INDEX(BEMANNINGSPLAN!$AD$5:$AD$546,$P70))</f>
        <v>Vanligt café</v>
      </c>
      <c r="H70" s="18" t="str">
        <f>IF($P70="","",IF(AND(INDEX(BEMANNINGSPLAN!$Y$5:$Y$546,$P70)=1,G70&lt;&gt;"Minicafé"),"X",""))</f>
        <v/>
      </c>
      <c r="I70" s="21" t="str">
        <f>IF($P70="","",IF(INDEX(BEMANNINGSPLAN!$Y$5:$Y$546,$P70)=1,"X",""))</f>
        <v/>
      </c>
      <c r="J70" s="22" t="str">
        <f>IF($P70="","",IF(SUMIF(BEMANNINGSPLAN!$W$5:$W$546,INDEX(BEMANNINGSPLAN!$W$5:$W$546,$P70),BEMANNINGSPLAN!$Z$5:$Z$546)=1,"X",""))</f>
        <v>X</v>
      </c>
      <c r="K70" s="23" t="str">
        <f>IF($P70="","",IFERROR(LOOKUP(2,1/((BEMANNINGSPLAN!$W$5:$W$546=INDEX(BEMANNINGSPLAN!$W$5:$W$546,$P70))*(BEMANNINGSPLAN!$L$5:$L$546&lt;&gt;"")),BEMANNINGSPLAN!$L$5:$L$546),""))</f>
        <v/>
      </c>
      <c r="L70" s="18">
        <f>IF($P70="","",INDEX(BEMANNINGSPLAN!$AE$5:$AE$546,$P70))</f>
        <v>2.5000000000000071</v>
      </c>
      <c r="M70" s="137"/>
      <c r="N70" s="16"/>
      <c r="O70" s="16">
        <f>IF(AND(BEMANNINGSPLAN!U68=1,OR($B$4="Alla lag",BEMANNINGSPLAN!J68=$B$4),OR($E$4="Alla datum",BEMANNINGSPLAN!A68=$E$4)),COUNT($O$6:O69)+1,"")</f>
        <v>8</v>
      </c>
      <c r="P70" s="137">
        <f t="shared" si="0"/>
        <v>392</v>
      </c>
    </row>
    <row r="71" spans="1:16" ht="27.75" customHeight="1">
      <c r="A71" s="17">
        <f>IF($P71="","",INDEX(BEMANNINGSPLAN!$A$5:$A$546,$P71))</f>
        <v>46424</v>
      </c>
      <c r="B71" s="18" t="str">
        <f>IF($P71="","",INDEX(BEMANNINGSPLAN!$B$5:$B$546,$P71))</f>
        <v>lördag</v>
      </c>
      <c r="C71" s="19" t="str">
        <f>IF($P71="","",INDEX(BEMANNINGSPLAN!$C$5:$C$546,$P71))</f>
        <v>Råsta Park</v>
      </c>
      <c r="D71" s="20">
        <f>IF($P71="","",INDEX(BEMANNINGSPLAN!$D$5:$D$546,$P71))</f>
        <v>0.5625</v>
      </c>
      <c r="E71" s="20">
        <f>IF($P71="","",SUMIF(BEMANNINGSPLAN!$W$5:$W$546,INDEX(BEMANNINGSPLAN!$W$5:$W$546,$P71),BEMANNINGSPLAN!$X$5:$X$546))</f>
        <v>0.625</v>
      </c>
      <c r="F71" s="18" t="str">
        <f>IF($P71="","",INDEX(BEMANNINGSPLAN!$J$5:$J$546,$P71))</f>
        <v>P16</v>
      </c>
      <c r="G71" s="19" t="str">
        <f>IF($P71="","",INDEX(BEMANNINGSPLAN!$AD$5:$AD$546,$P71))</f>
        <v>Minicafé</v>
      </c>
      <c r="H71" s="18" t="str">
        <f>IF($P71="","",IF(AND(INDEX(BEMANNINGSPLAN!$Y$5:$Y$546,$P71)=1,G71&lt;&gt;"Minicafé"),"X",""))</f>
        <v/>
      </c>
      <c r="I71" s="21" t="str">
        <f>IF($P71="","",IF(INDEX(BEMANNINGSPLAN!$Y$5:$Y$546,$P71)=1,"X",""))</f>
        <v>X</v>
      </c>
      <c r="J71" s="22" t="str">
        <f>IF($P71="","",IF(SUMIF(BEMANNINGSPLAN!$W$5:$W$546,INDEX(BEMANNINGSPLAN!$W$5:$W$546,$P71),BEMANNINGSPLAN!$Z$5:$Z$546)=1,"X",""))</f>
        <v>X</v>
      </c>
      <c r="K71" s="23" t="str">
        <f>IF($P71="","",IFERROR(LOOKUP(2,1/((BEMANNINGSPLAN!$W$5:$W$546=INDEX(BEMANNINGSPLAN!$W$5:$W$546,$P71))*(BEMANNINGSPLAN!$L$5:$L$546&lt;&gt;"")),BEMANNINGSPLAN!$L$5:$L$546),""))</f>
        <v/>
      </c>
      <c r="L71" s="18">
        <f>IF($P71="","",INDEX(BEMANNINGSPLAN!$AE$5:$AE$546,$P71))</f>
        <v>1.5</v>
      </c>
      <c r="M71" s="137"/>
      <c r="N71" s="16"/>
      <c r="O71" s="16" t="str">
        <f>IF(AND(BEMANNINGSPLAN!U69=1,OR($B$4="Alla lag",BEMANNINGSPLAN!J69=$B$4),OR($E$4="Alla datum",BEMANNINGSPLAN!A69=$E$4)),COUNT($O$6:O70)+1,"")</f>
        <v/>
      </c>
      <c r="P71" s="137">
        <f t="shared" ref="P71:P134" si="1">IFERROR(MATCH(ROW()-ROW($P$7)+1,$O$7:$O$548,0),"")</f>
        <v>399</v>
      </c>
    </row>
    <row r="72" spans="1:16" ht="27.75" customHeight="1">
      <c r="A72" s="17">
        <f>IF($P72="","",INDEX(BEMANNINGSPLAN!$A$5:$A$546,$P72))</f>
        <v>46424</v>
      </c>
      <c r="B72" s="18" t="str">
        <f>IF($P72="","",INDEX(BEMANNINGSPLAN!$B$5:$B$546,$P72))</f>
        <v>lördag</v>
      </c>
      <c r="C72" s="19" t="str">
        <f>IF($P72="","",INDEX(BEMANNINGSPLAN!$C$5:$C$546,$P72))</f>
        <v>Tallbackaskolan</v>
      </c>
      <c r="D72" s="20">
        <f>IF($P72="","",INDEX(BEMANNINGSPLAN!$D$5:$D$546,$P72))</f>
        <v>0.39583333333333298</v>
      </c>
      <c r="E72" s="20">
        <f>IF($P72="","",SUMIF(BEMANNINGSPLAN!$W$5:$W$546,INDEX(BEMANNINGSPLAN!$W$5:$W$546,$P72),BEMANNINGSPLAN!$X$5:$X$546))</f>
        <v>0.47916666666666702</v>
      </c>
      <c r="F72" s="18" t="str">
        <f>IF($P72="","",INDEX(BEMANNINGSPLAN!$J$5:$J$546,$P72))</f>
        <v>F13</v>
      </c>
      <c r="G72" s="19" t="str">
        <f>IF($P72="","",INDEX(BEMANNINGSPLAN!$AD$5:$AD$546,$P72))</f>
        <v>Minicafé</v>
      </c>
      <c r="H72" s="18" t="str">
        <f>IF($P72="","",IF(AND(INDEX(BEMANNINGSPLAN!$Y$5:$Y$546,$P72)=1,G72&lt;&gt;"Minicafé"),"X",""))</f>
        <v/>
      </c>
      <c r="I72" s="21" t="str">
        <f>IF($P72="","",IF(INDEX(BEMANNINGSPLAN!$Y$5:$Y$546,$P72)=1,"X",""))</f>
        <v>X</v>
      </c>
      <c r="J72" s="22" t="str">
        <f>IF($P72="","",IF(SUMIF(BEMANNINGSPLAN!$W$5:$W$546,INDEX(BEMANNINGSPLAN!$W$5:$W$546,$P72),BEMANNINGSPLAN!$Z$5:$Z$546)=1,"X",""))</f>
        <v>X</v>
      </c>
      <c r="K72" s="23" t="str">
        <f>IF($P72="","",IFERROR(LOOKUP(2,1/((BEMANNINGSPLAN!$W$5:$W$546=INDEX(BEMANNINGSPLAN!$W$5:$W$546,$P72))*(BEMANNINGSPLAN!$L$5:$L$546&lt;&gt;"")),BEMANNINGSPLAN!$L$5:$L$546),""))</f>
        <v/>
      </c>
      <c r="L72" s="18">
        <f>IF($P72="","",INDEX(BEMANNINGSPLAN!$AE$5:$AE$546,$P72))</f>
        <v>2.0000000000000169</v>
      </c>
      <c r="M72" s="137"/>
      <c r="N72" s="16"/>
      <c r="O72" s="16" t="str">
        <f>IF(AND(BEMANNINGSPLAN!U70=1,OR($B$4="Alla lag",BEMANNINGSPLAN!J70=$B$4),OR($E$4="Alla datum",BEMANNINGSPLAN!A70=$E$4)),COUNT($O$6:O71)+1,"")</f>
        <v/>
      </c>
      <c r="P72" s="137">
        <f t="shared" si="1"/>
        <v>402</v>
      </c>
    </row>
    <row r="73" spans="1:16" ht="27.75" customHeight="1">
      <c r="A73" s="17">
        <f>IF($P73="","",INDEX(BEMANNINGSPLAN!$A$5:$A$546,$P73))</f>
        <v>46431</v>
      </c>
      <c r="B73" s="18" t="str">
        <f>IF($P73="","",INDEX(BEMANNINGSPLAN!$B$5:$B$546,$P73))</f>
        <v>lördag</v>
      </c>
      <c r="C73" s="19" t="str">
        <f>IF($P73="","",INDEX(BEMANNINGSPLAN!$C$5:$C$546,$P73))</f>
        <v>Råsta Park</v>
      </c>
      <c r="D73" s="20">
        <f>IF($P73="","",INDEX(BEMANNINGSPLAN!$D$5:$D$546,$P73))</f>
        <v>0.5625</v>
      </c>
      <c r="E73" s="20">
        <f>IF($P73="","",SUMIF(BEMANNINGSPLAN!$W$5:$W$546,INDEX(BEMANNINGSPLAN!$W$5:$W$546,$P73),BEMANNINGSPLAN!$X$5:$X$546))</f>
        <v>0.625</v>
      </c>
      <c r="F73" s="18" t="str">
        <f>IF($P73="","",INDEX(BEMANNINGSPLAN!$J$5:$J$546,$P73))</f>
        <v>F16</v>
      </c>
      <c r="G73" s="19" t="str">
        <f>IF($P73="","",INDEX(BEMANNINGSPLAN!$AD$5:$AD$546,$P73))</f>
        <v>Minicafé</v>
      </c>
      <c r="H73" s="18" t="str">
        <f>IF($P73="","",IF(AND(INDEX(BEMANNINGSPLAN!$Y$5:$Y$546,$P73)=1,G73&lt;&gt;"Minicafé"),"X",""))</f>
        <v/>
      </c>
      <c r="I73" s="21" t="str">
        <f>IF($P73="","",IF(INDEX(BEMANNINGSPLAN!$Y$5:$Y$546,$P73)=1,"X",""))</f>
        <v>X</v>
      </c>
      <c r="J73" s="22" t="str">
        <f>IF($P73="","",IF(SUMIF(BEMANNINGSPLAN!$W$5:$W$546,INDEX(BEMANNINGSPLAN!$W$5:$W$546,$P73),BEMANNINGSPLAN!$Z$5:$Z$546)=1,"X",""))</f>
        <v>X</v>
      </c>
      <c r="K73" s="23" t="str">
        <f>IF($P73="","",IFERROR(LOOKUP(2,1/((BEMANNINGSPLAN!$W$5:$W$546=INDEX(BEMANNINGSPLAN!$W$5:$W$546,$P73))*(BEMANNINGSPLAN!$L$5:$L$546&lt;&gt;"")),BEMANNINGSPLAN!$L$5:$L$546),""))</f>
        <v/>
      </c>
      <c r="L73" s="18">
        <f>IF($P73="","",INDEX(BEMANNINGSPLAN!$AE$5:$AE$546,$P73))</f>
        <v>1.5</v>
      </c>
      <c r="M73" s="137"/>
      <c r="N73" s="16"/>
      <c r="O73" s="16" t="str">
        <f>IF(AND(BEMANNINGSPLAN!U71=1,OR($B$4="Alla lag",BEMANNINGSPLAN!J71=$B$4),OR($E$4="Alla datum",BEMANNINGSPLAN!A71=$E$4)),COUNT($O$6:O72)+1,"")</f>
        <v/>
      </c>
      <c r="P73" s="137">
        <f t="shared" si="1"/>
        <v>408</v>
      </c>
    </row>
    <row r="74" spans="1:16" ht="27.75" customHeight="1">
      <c r="A74" s="17">
        <f>IF($P74="","",INDEX(BEMANNINGSPLAN!$A$5:$A$546,$P74))</f>
        <v>46431</v>
      </c>
      <c r="B74" s="18" t="str">
        <f>IF($P74="","",INDEX(BEMANNINGSPLAN!$B$5:$B$546,$P74))</f>
        <v>lördag</v>
      </c>
      <c r="C74" s="19" t="str">
        <f>IF($P74="","",INDEX(BEMANNINGSPLAN!$C$5:$C$546,$P74))</f>
        <v>Ulriksdalshallen</v>
      </c>
      <c r="D74" s="20">
        <f>IF($P74="","",INDEX(BEMANNINGSPLAN!$D$5:$D$546,$P74))</f>
        <v>0.33333333333333298</v>
      </c>
      <c r="E74" s="20">
        <f>IF($P74="","",SUMIF(BEMANNINGSPLAN!$W$5:$W$546,INDEX(BEMANNINGSPLAN!$W$5:$W$546,$P74),BEMANNINGSPLAN!$X$5:$X$546))</f>
        <v>0.5</v>
      </c>
      <c r="F74" s="18" t="str">
        <f>IF($P74="","",INDEX(BEMANNINGSPLAN!$J$5:$J$546,$P74))</f>
        <v>U8</v>
      </c>
      <c r="G74" s="19" t="str">
        <f>IF($P74="","",INDEX(BEMANNINGSPLAN!$AD$5:$AD$546,$P74))</f>
        <v>Vanligt café</v>
      </c>
      <c r="H74" s="18" t="str">
        <f>IF($P74="","",IF(AND(INDEX(BEMANNINGSPLAN!$Y$5:$Y$546,$P74)=1,G74&lt;&gt;"Minicafé"),"X",""))</f>
        <v>X</v>
      </c>
      <c r="I74" s="21" t="str">
        <f>IF($P74="","",IF(INDEX(BEMANNINGSPLAN!$Y$5:$Y$546,$P74)=1,"X",""))</f>
        <v>X</v>
      </c>
      <c r="J74" s="22" t="str">
        <f>IF($P74="","",IF(SUMIF(BEMANNINGSPLAN!$W$5:$W$546,INDEX(BEMANNINGSPLAN!$W$5:$W$546,$P74),BEMANNINGSPLAN!$Z$5:$Z$546)=1,"X",""))</f>
        <v/>
      </c>
      <c r="K74" s="23" t="str">
        <f>IF($P74="","",IFERROR(LOOKUP(2,1/((BEMANNINGSPLAN!$W$5:$W$546=INDEX(BEMANNINGSPLAN!$W$5:$W$546,$P74))*(BEMANNINGSPLAN!$L$5:$L$546&lt;&gt;"")),BEMANNINGSPLAN!$L$5:$L$546),""))</f>
        <v/>
      </c>
      <c r="L74" s="18">
        <f>IF($P74="","",INDEX(BEMANNINGSPLAN!$AE$5:$AE$546,$P74))</f>
        <v>4.0000000000000089</v>
      </c>
      <c r="M74" s="137"/>
      <c r="N74" s="16"/>
      <c r="O74" s="16" t="str">
        <f>IF(AND(BEMANNINGSPLAN!U72=1,OR($B$4="Alla lag",BEMANNINGSPLAN!J72=$B$4),OR($E$4="Alla datum",BEMANNINGSPLAN!A72=$E$4)),COUNT($O$6:O73)+1,"")</f>
        <v/>
      </c>
      <c r="P74" s="137">
        <f t="shared" si="1"/>
        <v>411</v>
      </c>
    </row>
    <row r="75" spans="1:16" ht="27.75" customHeight="1">
      <c r="A75" s="17">
        <f>IF($P75="","",INDEX(BEMANNINGSPLAN!$A$5:$A$546,$P75))</f>
        <v>46431</v>
      </c>
      <c r="B75" s="18" t="str">
        <f>IF($P75="","",INDEX(BEMANNINGSPLAN!$B$5:$B$546,$P75))</f>
        <v>lördag</v>
      </c>
      <c r="C75" s="19" t="str">
        <f>IF($P75="","",INDEX(BEMANNINGSPLAN!$C$5:$C$546,$P75))</f>
        <v>Ulriksdalshallen</v>
      </c>
      <c r="D75" s="20">
        <f>IF($P75="","",INDEX(BEMANNINGSPLAN!$D$5:$D$546,$P75))</f>
        <v>0.5</v>
      </c>
      <c r="E75" s="20">
        <f>IF($P75="","",SUMIF(BEMANNINGSPLAN!$W$5:$W$546,INDEX(BEMANNINGSPLAN!$W$5:$W$546,$P75),BEMANNINGSPLAN!$X$5:$X$546))</f>
        <v>0.70833333333333304</v>
      </c>
      <c r="F75" s="18" t="str">
        <f>IF($P75="","",INDEX(BEMANNINGSPLAN!$J$5:$J$546,$P75))</f>
        <v>F12</v>
      </c>
      <c r="G75" s="19" t="str">
        <f>IF($P75="","",INDEX(BEMANNINGSPLAN!$AD$5:$AD$546,$P75))</f>
        <v>Vanligt café</v>
      </c>
      <c r="H75" s="18" t="str">
        <f>IF($P75="","",IF(AND(INDEX(BEMANNINGSPLAN!$Y$5:$Y$546,$P75)=1,G75&lt;&gt;"Minicafé"),"X",""))</f>
        <v/>
      </c>
      <c r="I75" s="21" t="str">
        <f>IF($P75="","",IF(INDEX(BEMANNINGSPLAN!$Y$5:$Y$546,$P75)=1,"X",""))</f>
        <v/>
      </c>
      <c r="J75" s="22" t="str">
        <f>IF($P75="","",IF(SUMIF(BEMANNINGSPLAN!$W$5:$W$546,INDEX(BEMANNINGSPLAN!$W$5:$W$546,$P75),BEMANNINGSPLAN!$Z$5:$Z$546)=1,"X",""))</f>
        <v/>
      </c>
      <c r="K75" s="23" t="str">
        <f>IF($P75="","",IFERROR(LOOKUP(2,1/((BEMANNINGSPLAN!$W$5:$W$546=INDEX(BEMANNINGSPLAN!$W$5:$W$546,$P75))*(BEMANNINGSPLAN!$L$5:$L$546&lt;&gt;"")),BEMANNINGSPLAN!$L$5:$L$546),""))</f>
        <v/>
      </c>
      <c r="L75" s="18">
        <f>IF($P75="","",INDEX(BEMANNINGSPLAN!$AE$5:$AE$546,$P75))</f>
        <v>4.9999999999999929</v>
      </c>
      <c r="M75" s="137"/>
      <c r="N75" s="16"/>
      <c r="O75" s="16" t="str">
        <f>IF(AND(BEMANNINGSPLAN!U73=1,OR($B$4="Alla lag",BEMANNINGSPLAN!J73=$B$4),OR($E$4="Alla datum",BEMANNINGSPLAN!A73=$E$4)),COUNT($O$6:O74)+1,"")</f>
        <v/>
      </c>
      <c r="P75" s="137">
        <f t="shared" si="1"/>
        <v>419</v>
      </c>
    </row>
    <row r="76" spans="1:16" ht="27.75" customHeight="1">
      <c r="A76" s="17">
        <f>IF($P76="","",INDEX(BEMANNINGSPLAN!$A$5:$A$546,$P76))</f>
        <v>46431</v>
      </c>
      <c r="B76" s="18" t="str">
        <f>IF($P76="","",INDEX(BEMANNINGSPLAN!$B$5:$B$546,$P76))</f>
        <v>lördag</v>
      </c>
      <c r="C76" s="19" t="str">
        <f>IF($P76="","",INDEX(BEMANNINGSPLAN!$C$5:$C$546,$P76))</f>
        <v>Ulriksdalshallen</v>
      </c>
      <c r="D76" s="20">
        <f>IF($P76="","",INDEX(BEMANNINGSPLAN!$D$5:$D$546,$P76))</f>
        <v>0.70833333333333304</v>
      </c>
      <c r="E76" s="20">
        <f>IF($P76="","",SUMIF(BEMANNINGSPLAN!$W$5:$W$546,INDEX(BEMANNINGSPLAN!$W$5:$W$546,$P76),BEMANNINGSPLAN!$X$5:$X$546))</f>
        <v>0.79166666666666696</v>
      </c>
      <c r="F76" s="18" t="str">
        <f>IF($P76="","",INDEX(BEMANNINGSPLAN!$J$5:$J$546,$P76))</f>
        <v>F13</v>
      </c>
      <c r="G76" s="19" t="str">
        <f>IF($P76="","",INDEX(BEMANNINGSPLAN!$AD$5:$AD$546,$P76))</f>
        <v>Vanligt café</v>
      </c>
      <c r="H76" s="18" t="str">
        <f>IF($P76="","",IF(AND(INDEX(BEMANNINGSPLAN!$Y$5:$Y$546,$P76)=1,G76&lt;&gt;"Minicafé"),"X",""))</f>
        <v/>
      </c>
      <c r="I76" s="21" t="str">
        <f>IF($P76="","",IF(INDEX(BEMANNINGSPLAN!$Y$5:$Y$546,$P76)=1,"X",""))</f>
        <v/>
      </c>
      <c r="J76" s="22" t="str">
        <f>IF($P76="","",IF(SUMIF(BEMANNINGSPLAN!$W$5:$W$546,INDEX(BEMANNINGSPLAN!$W$5:$W$546,$P76),BEMANNINGSPLAN!$Z$5:$Z$546)=1,"X",""))</f>
        <v>X</v>
      </c>
      <c r="K76" s="23" t="str">
        <f>IF($P76="","",IFERROR(LOOKUP(2,1/((BEMANNINGSPLAN!$W$5:$W$546=INDEX(BEMANNINGSPLAN!$W$5:$W$546,$P76))*(BEMANNINGSPLAN!$L$5:$L$546&lt;&gt;"")),BEMANNINGSPLAN!$L$5:$L$546),""))</f>
        <v/>
      </c>
      <c r="L76" s="18">
        <f>IF($P76="","",INDEX(BEMANNINGSPLAN!$AE$5:$AE$546,$P76))</f>
        <v>2.0000000000000142</v>
      </c>
      <c r="M76" s="137"/>
      <c r="N76" s="16"/>
      <c r="O76" s="16" t="str">
        <f>IF(AND(BEMANNINGSPLAN!U74=1,OR($B$4="Alla lag",BEMANNINGSPLAN!J74=$B$4),OR($E$4="Alla datum",BEMANNINGSPLAN!A74=$E$4)),COUNT($O$6:O75)+1,"")</f>
        <v/>
      </c>
      <c r="P76" s="137">
        <f t="shared" si="1"/>
        <v>429</v>
      </c>
    </row>
    <row r="77" spans="1:16" ht="27.75" customHeight="1">
      <c r="A77" s="17">
        <f>IF($P77="","",INDEX(BEMANNINGSPLAN!$A$5:$A$546,$P77))</f>
        <v>46434</v>
      </c>
      <c r="B77" s="18" t="str">
        <f>IF($P77="","",INDEX(BEMANNINGSPLAN!$B$5:$B$546,$P77))</f>
        <v>tisdag</v>
      </c>
      <c r="C77" s="19" t="str">
        <f>IF($P77="","",INDEX(BEMANNINGSPLAN!$C$5:$C$546,$P77))</f>
        <v>Råsta Park</v>
      </c>
      <c r="D77" s="20">
        <f>IF($P77="","",INDEX(BEMANNINGSPLAN!$D$5:$D$546,$P77))</f>
        <v>0.83333333333333304</v>
      </c>
      <c r="E77" s="20">
        <f>IF($P77="","",SUMIF(BEMANNINGSPLAN!$W$5:$W$546,INDEX(BEMANNINGSPLAN!$W$5:$W$546,$P77),BEMANNINGSPLAN!$X$5:$X$546))</f>
        <v>0.91666666666666696</v>
      </c>
      <c r="F77" s="18" t="str">
        <f>IF($P77="","",INDEX(BEMANNINGSPLAN!$J$5:$J$546,$P77))</f>
        <v>F19</v>
      </c>
      <c r="G77" s="19" t="str">
        <f>IF($P77="","",INDEX(BEMANNINGSPLAN!$AD$5:$AD$546,$P77))</f>
        <v>Minicafé</v>
      </c>
      <c r="H77" s="18" t="str">
        <f>IF($P77="","",IF(AND(INDEX(BEMANNINGSPLAN!$Y$5:$Y$546,$P77)=1,G77&lt;&gt;"Minicafé"),"X",""))</f>
        <v/>
      </c>
      <c r="I77" s="21" t="str">
        <f>IF($P77="","",IF(INDEX(BEMANNINGSPLAN!$Y$5:$Y$546,$P77)=1,"X",""))</f>
        <v>X</v>
      </c>
      <c r="J77" s="22" t="str">
        <f>IF($P77="","",IF(SUMIF(BEMANNINGSPLAN!$W$5:$W$546,INDEX(BEMANNINGSPLAN!$W$5:$W$546,$P77),BEMANNINGSPLAN!$Z$5:$Z$546)=1,"X",""))</f>
        <v>X</v>
      </c>
      <c r="K77" s="23" t="str">
        <f>IF($P77="","",IFERROR(LOOKUP(2,1/((BEMANNINGSPLAN!$W$5:$W$546=INDEX(BEMANNINGSPLAN!$W$5:$W$546,$P77))*(BEMANNINGSPLAN!$L$5:$L$546&lt;&gt;"")),BEMANNINGSPLAN!$L$5:$L$546),""))</f>
        <v/>
      </c>
      <c r="L77" s="18">
        <f>IF($P77="","",INDEX(BEMANNINGSPLAN!$AE$5:$AE$546,$P77))</f>
        <v>2.0000000000000142</v>
      </c>
      <c r="M77" s="137"/>
      <c r="N77" s="16"/>
      <c r="O77" s="16" t="str">
        <f>IF(AND(BEMANNINGSPLAN!U75=1,OR($B$4="Alla lag",BEMANNINGSPLAN!J75=$B$4),OR($E$4="Alla datum",BEMANNINGSPLAN!A75=$E$4)),COUNT($O$6:O76)+1,"")</f>
        <v/>
      </c>
      <c r="P77" s="137">
        <f t="shared" si="1"/>
        <v>433</v>
      </c>
    </row>
    <row r="78" spans="1:16" ht="27.75" customHeight="1">
      <c r="A78" s="17">
        <f>IF($P78="","",INDEX(BEMANNINGSPLAN!$A$5:$A$546,$P78))</f>
        <v>46438</v>
      </c>
      <c r="B78" s="18" t="str">
        <f>IF($P78="","",INDEX(BEMANNINGSPLAN!$B$5:$B$546,$P78))</f>
        <v>lördag</v>
      </c>
      <c r="C78" s="19" t="str">
        <f>IF($P78="","",INDEX(BEMANNINGSPLAN!$C$5:$C$546,$P78))</f>
        <v>Tallbackaskolan</v>
      </c>
      <c r="D78" s="20">
        <f>IF($P78="","",INDEX(BEMANNINGSPLAN!$D$5:$D$546,$P78))</f>
        <v>0.33333333333333298</v>
      </c>
      <c r="E78" s="20">
        <f>IF($P78="","",SUMIF(BEMANNINGSPLAN!$W$5:$W$546,INDEX(BEMANNINGSPLAN!$W$5:$W$546,$P78),BEMANNINGSPLAN!$X$5:$X$546))</f>
        <v>0.35416666666666702</v>
      </c>
      <c r="F78" s="18" t="str">
        <f>IF($P78="","",INDEX(BEMANNINGSPLAN!$J$5:$J$546,$P78))</f>
        <v>F9</v>
      </c>
      <c r="G78" s="19" t="str">
        <f>IF($P78="","",INDEX(BEMANNINGSPLAN!$AD$5:$AD$546,$P78))</f>
        <v>Vanligt café</v>
      </c>
      <c r="H78" s="18" t="str">
        <f>IF($P78="","",IF(AND(INDEX(BEMANNINGSPLAN!$Y$5:$Y$546,$P78)=1,G78&lt;&gt;"Minicafé"),"X",""))</f>
        <v>X</v>
      </c>
      <c r="I78" s="21" t="str">
        <f>IF($P78="","",IF(INDEX(BEMANNINGSPLAN!$Y$5:$Y$546,$P78)=1,"X",""))</f>
        <v>X</v>
      </c>
      <c r="J78" s="22" t="str">
        <f>IF($P78="","",IF(SUMIF(BEMANNINGSPLAN!$W$5:$W$546,INDEX(BEMANNINGSPLAN!$W$5:$W$546,$P78),BEMANNINGSPLAN!$Z$5:$Z$546)=1,"X",""))</f>
        <v/>
      </c>
      <c r="K78" s="23" t="str">
        <f>IF($P78="","",IFERROR(LOOKUP(2,1/((BEMANNINGSPLAN!$W$5:$W$546=INDEX(BEMANNINGSPLAN!$W$5:$W$546,$P78))*(BEMANNINGSPLAN!$L$5:$L$546&lt;&gt;"")),BEMANNINGSPLAN!$L$5:$L$546),""))</f>
        <v>Vårens spel, deltagande lag sköter café</v>
      </c>
      <c r="L78" s="18">
        <f>IF($P78="","",INDEX(BEMANNINGSPLAN!$AE$5:$AE$546,$P78))</f>
        <v>0.50000000000001688</v>
      </c>
      <c r="M78" s="137"/>
      <c r="N78" s="16"/>
      <c r="O78" s="16" t="str">
        <f>IF(AND(BEMANNINGSPLAN!U76=1,OR($B$4="Alla lag",BEMANNINGSPLAN!J76=$B$4),OR($E$4="Alla datum",BEMANNINGSPLAN!A76=$E$4)),COUNT($O$6:O77)+1,"")</f>
        <v/>
      </c>
      <c r="P78" s="137">
        <f t="shared" si="1"/>
        <v>437</v>
      </c>
    </row>
    <row r="79" spans="1:16" ht="27.75" customHeight="1">
      <c r="A79" s="17">
        <f>IF($P79="","",INDEX(BEMANNINGSPLAN!$A$5:$A$546,$P79))</f>
        <v>46438</v>
      </c>
      <c r="B79" s="18" t="str">
        <f>IF($P79="","",INDEX(BEMANNINGSPLAN!$B$5:$B$546,$P79))</f>
        <v>lördag</v>
      </c>
      <c r="C79" s="19" t="str">
        <f>IF($P79="","",INDEX(BEMANNINGSPLAN!$C$5:$C$546,$P79))</f>
        <v>Tallbackaskolan</v>
      </c>
      <c r="D79" s="20">
        <f>IF($P79="","",INDEX(BEMANNINGSPLAN!$D$5:$D$546,$P79))</f>
        <v>0.35416666666666702</v>
      </c>
      <c r="E79" s="20">
        <f>IF($P79="","",SUMIF(BEMANNINGSPLAN!$W$5:$W$546,INDEX(BEMANNINGSPLAN!$W$5:$W$546,$P79),BEMANNINGSPLAN!$X$5:$X$546))</f>
        <v>0.375</v>
      </c>
      <c r="F79" s="18" t="str">
        <f>IF($P79="","",INDEX(BEMANNINGSPLAN!$J$5:$J$546,$P79))</f>
        <v>P9</v>
      </c>
      <c r="G79" s="19" t="str">
        <f>IF($P79="","",INDEX(BEMANNINGSPLAN!$AD$5:$AD$546,$P79))</f>
        <v>Vanligt café</v>
      </c>
      <c r="H79" s="18" t="str">
        <f>IF($P79="","",IF(AND(INDEX(BEMANNINGSPLAN!$Y$5:$Y$546,$P79)=1,G79&lt;&gt;"Minicafé"),"X",""))</f>
        <v/>
      </c>
      <c r="I79" s="21" t="str">
        <f>IF($P79="","",IF(INDEX(BEMANNINGSPLAN!$Y$5:$Y$546,$P79)=1,"X",""))</f>
        <v/>
      </c>
      <c r="J79" s="22" t="str">
        <f>IF($P79="","",IF(SUMIF(BEMANNINGSPLAN!$W$5:$W$546,INDEX(BEMANNINGSPLAN!$W$5:$W$546,$P79),BEMANNINGSPLAN!$Z$5:$Z$546)=1,"X",""))</f>
        <v/>
      </c>
      <c r="K79" s="23" t="str">
        <f>IF($P79="","",IFERROR(LOOKUP(2,1/((BEMANNINGSPLAN!$W$5:$W$546=INDEX(BEMANNINGSPLAN!$W$5:$W$546,$P79))*(BEMANNINGSPLAN!$L$5:$L$546&lt;&gt;"")),BEMANNINGSPLAN!$L$5:$L$546),""))</f>
        <v>Vårens spel, deltagande lag sköter café</v>
      </c>
      <c r="L79" s="18">
        <f>IF($P79="","",INDEX(BEMANNINGSPLAN!$AE$5:$AE$546,$P79))</f>
        <v>0.49999999999999156</v>
      </c>
      <c r="M79" s="137"/>
      <c r="N79" s="16"/>
      <c r="O79" s="16">
        <f>IF(AND(BEMANNINGSPLAN!U77=1,OR($B$4="Alla lag",BEMANNINGSPLAN!J77=$B$4),OR($E$4="Alla datum",BEMANNINGSPLAN!A77=$E$4)),COUNT($O$6:O78)+1,"")</f>
        <v>9</v>
      </c>
      <c r="P79" s="137">
        <f t="shared" si="1"/>
        <v>438</v>
      </c>
    </row>
    <row r="80" spans="1:16" ht="27.75" customHeight="1">
      <c r="A80" s="17">
        <f>IF($P80="","",INDEX(BEMANNINGSPLAN!$A$5:$A$546,$P80))</f>
        <v>46438</v>
      </c>
      <c r="B80" s="18" t="str">
        <f>IF($P80="","",INDEX(BEMANNINGSPLAN!$B$5:$B$546,$P80))</f>
        <v>lördag</v>
      </c>
      <c r="C80" s="19" t="str">
        <f>IF($P80="","",INDEX(BEMANNINGSPLAN!$C$5:$C$546,$P80))</f>
        <v>Tallbackaskolan</v>
      </c>
      <c r="D80" s="20">
        <f>IF($P80="","",INDEX(BEMANNINGSPLAN!$D$5:$D$546,$P80))</f>
        <v>0.375</v>
      </c>
      <c r="E80" s="20">
        <f>IF($P80="","",SUMIF(BEMANNINGSPLAN!$W$5:$W$546,INDEX(BEMANNINGSPLAN!$W$5:$W$546,$P80),BEMANNINGSPLAN!$X$5:$X$546))</f>
        <v>0.39583333333333298</v>
      </c>
      <c r="F80" s="18" t="str">
        <f>IF($P80="","",INDEX(BEMANNINGSPLAN!$J$5:$J$546,$P80))</f>
        <v>P10</v>
      </c>
      <c r="G80" s="19" t="str">
        <f>IF($P80="","",INDEX(BEMANNINGSPLAN!$AD$5:$AD$546,$P80))</f>
        <v>Vanligt café</v>
      </c>
      <c r="H80" s="18" t="str">
        <f>IF($P80="","",IF(AND(INDEX(BEMANNINGSPLAN!$Y$5:$Y$546,$P80)=1,G80&lt;&gt;"Minicafé"),"X",""))</f>
        <v/>
      </c>
      <c r="I80" s="21" t="str">
        <f>IF($P80="","",IF(INDEX(BEMANNINGSPLAN!$Y$5:$Y$546,$P80)=1,"X",""))</f>
        <v/>
      </c>
      <c r="J80" s="22" t="str">
        <f>IF($P80="","",IF(SUMIF(BEMANNINGSPLAN!$W$5:$W$546,INDEX(BEMANNINGSPLAN!$W$5:$W$546,$P80),BEMANNINGSPLAN!$Z$5:$Z$546)=1,"X",""))</f>
        <v/>
      </c>
      <c r="K80" s="23" t="str">
        <f>IF($P80="","",IFERROR(LOOKUP(2,1/((BEMANNINGSPLAN!$W$5:$W$546=INDEX(BEMANNINGSPLAN!$W$5:$W$546,$P80))*(BEMANNINGSPLAN!$L$5:$L$546&lt;&gt;"")),BEMANNINGSPLAN!$L$5:$L$546),""))</f>
        <v>Vårens spel, deltagande lag sköter café</v>
      </c>
      <c r="L80" s="18">
        <f>IF($P80="","",INDEX(BEMANNINGSPLAN!$AE$5:$AE$546,$P80))</f>
        <v>0.49999999999999156</v>
      </c>
      <c r="M80" s="137"/>
      <c r="N80" s="16"/>
      <c r="O80" s="16" t="str">
        <f>IF(AND(BEMANNINGSPLAN!U78=1,OR($B$4="Alla lag",BEMANNINGSPLAN!J78=$B$4),OR($E$4="Alla datum",BEMANNINGSPLAN!A78=$E$4)),COUNT($O$6:O79)+1,"")</f>
        <v/>
      </c>
      <c r="P80" s="137">
        <f t="shared" si="1"/>
        <v>439</v>
      </c>
    </row>
    <row r="81" spans="1:16" ht="27.75" customHeight="1">
      <c r="A81" s="17">
        <f>IF($P81="","",INDEX(BEMANNINGSPLAN!$A$5:$A$546,$P81))</f>
        <v>46438</v>
      </c>
      <c r="B81" s="18" t="str">
        <f>IF($P81="","",INDEX(BEMANNINGSPLAN!$B$5:$B$546,$P81))</f>
        <v>lördag</v>
      </c>
      <c r="C81" s="19" t="str">
        <f>IF($P81="","",INDEX(BEMANNINGSPLAN!$C$5:$C$546,$P81))</f>
        <v>Tallbackaskolan</v>
      </c>
      <c r="D81" s="20">
        <f>IF($P81="","",INDEX(BEMANNINGSPLAN!$D$5:$D$546,$P81))</f>
        <v>0.39583333333333298</v>
      </c>
      <c r="E81" s="20">
        <f>IF($P81="","",SUMIF(BEMANNINGSPLAN!$W$5:$W$546,INDEX(BEMANNINGSPLAN!$W$5:$W$546,$P81),BEMANNINGSPLAN!$X$5:$X$546))</f>
        <v>0.41666666666666702</v>
      </c>
      <c r="F81" s="18" t="str">
        <f>IF($P81="","",INDEX(BEMANNINGSPLAN!$J$5:$J$546,$P81))</f>
        <v>F9</v>
      </c>
      <c r="G81" s="19" t="str">
        <f>IF($P81="","",INDEX(BEMANNINGSPLAN!$AD$5:$AD$546,$P81))</f>
        <v>Vanligt café</v>
      </c>
      <c r="H81" s="18" t="str">
        <f>IF($P81="","",IF(AND(INDEX(BEMANNINGSPLAN!$Y$5:$Y$546,$P81)=1,G81&lt;&gt;"Minicafé"),"X",""))</f>
        <v/>
      </c>
      <c r="I81" s="21" t="str">
        <f>IF($P81="","",IF(INDEX(BEMANNINGSPLAN!$Y$5:$Y$546,$P81)=1,"X",""))</f>
        <v/>
      </c>
      <c r="J81" s="22" t="str">
        <f>IF($P81="","",IF(SUMIF(BEMANNINGSPLAN!$W$5:$W$546,INDEX(BEMANNINGSPLAN!$W$5:$W$546,$P81),BEMANNINGSPLAN!$Z$5:$Z$546)=1,"X",""))</f>
        <v/>
      </c>
      <c r="K81" s="23" t="str">
        <f>IF($P81="","",IFERROR(LOOKUP(2,1/((BEMANNINGSPLAN!$W$5:$W$546=INDEX(BEMANNINGSPLAN!$W$5:$W$546,$P81))*(BEMANNINGSPLAN!$L$5:$L$546&lt;&gt;"")),BEMANNINGSPLAN!$L$5:$L$546),""))</f>
        <v>Vårens spel, deltagande lag sköter café</v>
      </c>
      <c r="L81" s="18">
        <f>IF($P81="","",INDEX(BEMANNINGSPLAN!$AE$5:$AE$546,$P81))</f>
        <v>0.50000000000001688</v>
      </c>
      <c r="M81" s="137"/>
      <c r="N81" s="16"/>
      <c r="O81" s="16" t="str">
        <f>IF(AND(BEMANNINGSPLAN!U79=1,OR($B$4="Alla lag",BEMANNINGSPLAN!J79=$B$4),OR($E$4="Alla datum",BEMANNINGSPLAN!A79=$E$4)),COUNT($O$6:O80)+1,"")</f>
        <v/>
      </c>
      <c r="P81" s="137">
        <f t="shared" si="1"/>
        <v>440</v>
      </c>
    </row>
    <row r="82" spans="1:16" ht="27.75" customHeight="1">
      <c r="A82" s="17">
        <f>IF($P82="","",INDEX(BEMANNINGSPLAN!$A$5:$A$546,$P82))</f>
        <v>46438</v>
      </c>
      <c r="B82" s="18" t="str">
        <f>IF($P82="","",INDEX(BEMANNINGSPLAN!$B$5:$B$546,$P82))</f>
        <v>lördag</v>
      </c>
      <c r="C82" s="19" t="str">
        <f>IF($P82="","",INDEX(BEMANNINGSPLAN!$C$5:$C$546,$P82))</f>
        <v>Tallbackaskolan</v>
      </c>
      <c r="D82" s="20">
        <f>IF($P82="","",INDEX(BEMANNINGSPLAN!$D$5:$D$546,$P82))</f>
        <v>0.41666666666666702</v>
      </c>
      <c r="E82" s="20">
        <f>IF($P82="","",SUMIF(BEMANNINGSPLAN!$W$5:$W$546,INDEX(BEMANNINGSPLAN!$W$5:$W$546,$P82),BEMANNINGSPLAN!$X$5:$X$546))</f>
        <v>0.4375</v>
      </c>
      <c r="F82" s="18" t="str">
        <f>IF($P82="","",INDEX(BEMANNINGSPLAN!$J$5:$J$546,$P82))</f>
        <v>P9</v>
      </c>
      <c r="G82" s="19" t="str">
        <f>IF($P82="","",INDEX(BEMANNINGSPLAN!$AD$5:$AD$546,$P82))</f>
        <v>Vanligt café</v>
      </c>
      <c r="H82" s="18" t="str">
        <f>IF($P82="","",IF(AND(INDEX(BEMANNINGSPLAN!$Y$5:$Y$546,$P82)=1,G82&lt;&gt;"Minicafé"),"X",""))</f>
        <v/>
      </c>
      <c r="I82" s="21" t="str">
        <f>IF($P82="","",IF(INDEX(BEMANNINGSPLAN!$Y$5:$Y$546,$P82)=1,"X",""))</f>
        <v/>
      </c>
      <c r="J82" s="22" t="str">
        <f>IF($P82="","",IF(SUMIF(BEMANNINGSPLAN!$W$5:$W$546,INDEX(BEMANNINGSPLAN!$W$5:$W$546,$P82),BEMANNINGSPLAN!$Z$5:$Z$546)=1,"X",""))</f>
        <v/>
      </c>
      <c r="K82" s="23" t="str">
        <f>IF($P82="","",IFERROR(LOOKUP(2,1/((BEMANNINGSPLAN!$W$5:$W$546=INDEX(BEMANNINGSPLAN!$W$5:$W$546,$P82))*(BEMANNINGSPLAN!$L$5:$L$546&lt;&gt;"")),BEMANNINGSPLAN!$L$5:$L$546),""))</f>
        <v>Vårens spel, deltagande lag sköter café</v>
      </c>
      <c r="L82" s="18">
        <f>IF($P82="","",INDEX(BEMANNINGSPLAN!$AE$5:$AE$546,$P82))</f>
        <v>0.49999999999999156</v>
      </c>
      <c r="M82" s="137"/>
      <c r="N82" s="16"/>
      <c r="O82" s="16" t="str">
        <f>IF(AND(BEMANNINGSPLAN!U80=1,OR($B$4="Alla lag",BEMANNINGSPLAN!J80=$B$4),OR($E$4="Alla datum",BEMANNINGSPLAN!A80=$E$4)),COUNT($O$6:O81)+1,"")</f>
        <v/>
      </c>
      <c r="P82" s="137">
        <f t="shared" si="1"/>
        <v>441</v>
      </c>
    </row>
    <row r="83" spans="1:16" ht="27.75" customHeight="1">
      <c r="A83" s="17">
        <f>IF($P83="","",INDEX(BEMANNINGSPLAN!$A$5:$A$546,$P83))</f>
        <v>46438</v>
      </c>
      <c r="B83" s="18" t="str">
        <f>IF($P83="","",INDEX(BEMANNINGSPLAN!$B$5:$B$546,$P83))</f>
        <v>lördag</v>
      </c>
      <c r="C83" s="19" t="str">
        <f>IF($P83="","",INDEX(BEMANNINGSPLAN!$C$5:$C$546,$P83))</f>
        <v>Tallbackaskolan</v>
      </c>
      <c r="D83" s="20">
        <f>IF($P83="","",INDEX(BEMANNINGSPLAN!$D$5:$D$546,$P83))</f>
        <v>0.4375</v>
      </c>
      <c r="E83" s="20">
        <f>IF($P83="","",SUMIF(BEMANNINGSPLAN!$W$5:$W$546,INDEX(BEMANNINGSPLAN!$W$5:$W$546,$P83),BEMANNINGSPLAN!$X$5:$X$546))</f>
        <v>0.45833333333333298</v>
      </c>
      <c r="F83" s="18" t="str">
        <f>IF($P83="","",INDEX(BEMANNINGSPLAN!$J$5:$J$546,$P83))</f>
        <v>P10</v>
      </c>
      <c r="G83" s="19" t="str">
        <f>IF($P83="","",INDEX(BEMANNINGSPLAN!$AD$5:$AD$546,$P83))</f>
        <v>Vanligt café</v>
      </c>
      <c r="H83" s="18" t="str">
        <f>IF($P83="","",IF(AND(INDEX(BEMANNINGSPLAN!$Y$5:$Y$546,$P83)=1,G83&lt;&gt;"Minicafé"),"X",""))</f>
        <v/>
      </c>
      <c r="I83" s="21" t="str">
        <f>IF($P83="","",IF(INDEX(BEMANNINGSPLAN!$Y$5:$Y$546,$P83)=1,"X",""))</f>
        <v/>
      </c>
      <c r="J83" s="22" t="str">
        <f>IF($P83="","",IF(SUMIF(BEMANNINGSPLAN!$W$5:$W$546,INDEX(BEMANNINGSPLAN!$W$5:$W$546,$P83),BEMANNINGSPLAN!$Z$5:$Z$546)=1,"X",""))</f>
        <v/>
      </c>
      <c r="K83" s="23" t="str">
        <f>IF($P83="","",IFERROR(LOOKUP(2,1/((BEMANNINGSPLAN!$W$5:$W$546=INDEX(BEMANNINGSPLAN!$W$5:$W$546,$P83))*(BEMANNINGSPLAN!$L$5:$L$546&lt;&gt;"")),BEMANNINGSPLAN!$L$5:$L$546),""))</f>
        <v>Vårens spel, deltagande lag sköter café</v>
      </c>
      <c r="L83" s="18">
        <f>IF($P83="","",INDEX(BEMANNINGSPLAN!$AE$5:$AE$546,$P83))</f>
        <v>0.49999999999999156</v>
      </c>
      <c r="M83" s="137"/>
      <c r="N83" s="16"/>
      <c r="O83" s="16" t="str">
        <f>IF(AND(BEMANNINGSPLAN!U81=1,OR($B$4="Alla lag",BEMANNINGSPLAN!J81=$B$4),OR($E$4="Alla datum",BEMANNINGSPLAN!A81=$E$4)),COUNT($O$6:O82)+1,"")</f>
        <v/>
      </c>
      <c r="P83" s="137">
        <f t="shared" si="1"/>
        <v>442</v>
      </c>
    </row>
    <row r="84" spans="1:16" ht="27.75" customHeight="1">
      <c r="A84" s="17">
        <f>IF($P84="","",INDEX(BEMANNINGSPLAN!$A$5:$A$546,$P84))</f>
        <v>46438</v>
      </c>
      <c r="B84" s="18" t="str">
        <f>IF($P84="","",INDEX(BEMANNINGSPLAN!$B$5:$B$546,$P84))</f>
        <v>lördag</v>
      </c>
      <c r="C84" s="19" t="str">
        <f>IF($P84="","",INDEX(BEMANNINGSPLAN!$C$5:$C$546,$P84))</f>
        <v>Tallbackaskolan</v>
      </c>
      <c r="D84" s="20">
        <f>IF($P84="","",INDEX(BEMANNINGSPLAN!$D$5:$D$546,$P84))</f>
        <v>0.45833333333333298</v>
      </c>
      <c r="E84" s="20">
        <f>IF($P84="","",SUMIF(BEMANNINGSPLAN!$W$5:$W$546,INDEX(BEMANNINGSPLAN!$W$5:$W$546,$P84),BEMANNINGSPLAN!$X$5:$X$546))</f>
        <v>0.47916666666666702</v>
      </c>
      <c r="F84" s="18" t="str">
        <f>IF($P84="","",INDEX(BEMANNINGSPLAN!$J$5:$J$546,$P84))</f>
        <v>F9</v>
      </c>
      <c r="G84" s="19" t="str">
        <f>IF($P84="","",INDEX(BEMANNINGSPLAN!$AD$5:$AD$546,$P84))</f>
        <v>Vanligt café</v>
      </c>
      <c r="H84" s="18" t="str">
        <f>IF($P84="","",IF(AND(INDEX(BEMANNINGSPLAN!$Y$5:$Y$546,$P84)=1,G84&lt;&gt;"Minicafé"),"X",""))</f>
        <v/>
      </c>
      <c r="I84" s="21" t="str">
        <f>IF($P84="","",IF(INDEX(BEMANNINGSPLAN!$Y$5:$Y$546,$P84)=1,"X",""))</f>
        <v/>
      </c>
      <c r="J84" s="22" t="str">
        <f>IF($P84="","",IF(SUMIF(BEMANNINGSPLAN!$W$5:$W$546,INDEX(BEMANNINGSPLAN!$W$5:$W$546,$P84),BEMANNINGSPLAN!$Z$5:$Z$546)=1,"X",""))</f>
        <v/>
      </c>
      <c r="K84" s="23" t="str">
        <f>IF($P84="","",IFERROR(LOOKUP(2,1/((BEMANNINGSPLAN!$W$5:$W$546=INDEX(BEMANNINGSPLAN!$W$5:$W$546,$P84))*(BEMANNINGSPLAN!$L$5:$L$546&lt;&gt;"")),BEMANNINGSPLAN!$L$5:$L$546),""))</f>
        <v>Vårens spel, deltagande lag sköter café</v>
      </c>
      <c r="L84" s="18">
        <f>IF($P84="","",INDEX(BEMANNINGSPLAN!$AE$5:$AE$546,$P84))</f>
        <v>0.50000000000001688</v>
      </c>
      <c r="M84" s="137"/>
      <c r="N84" s="16"/>
      <c r="O84" s="16" t="str">
        <f>IF(AND(BEMANNINGSPLAN!U82=1,OR($B$4="Alla lag",BEMANNINGSPLAN!J82=$B$4),OR($E$4="Alla datum",BEMANNINGSPLAN!A82=$E$4)),COUNT($O$6:O83)+1,"")</f>
        <v/>
      </c>
      <c r="P84" s="137">
        <f t="shared" si="1"/>
        <v>443</v>
      </c>
    </row>
    <row r="85" spans="1:16" ht="27.75" customHeight="1">
      <c r="A85" s="17">
        <f>IF($P85="","",INDEX(BEMANNINGSPLAN!$A$5:$A$546,$P85))</f>
        <v>46438</v>
      </c>
      <c r="B85" s="18" t="str">
        <f>IF($P85="","",INDEX(BEMANNINGSPLAN!$B$5:$B$546,$P85))</f>
        <v>lördag</v>
      </c>
      <c r="C85" s="19" t="str">
        <f>IF($P85="","",INDEX(BEMANNINGSPLAN!$C$5:$C$546,$P85))</f>
        <v>Tallbackaskolan</v>
      </c>
      <c r="D85" s="20">
        <f>IF($P85="","",INDEX(BEMANNINGSPLAN!$D$5:$D$546,$P85))</f>
        <v>0.47916666666666702</v>
      </c>
      <c r="E85" s="20">
        <f>IF($P85="","",SUMIF(BEMANNINGSPLAN!$W$5:$W$546,INDEX(BEMANNINGSPLAN!$W$5:$W$546,$P85),BEMANNINGSPLAN!$X$5:$X$546))</f>
        <v>0.5</v>
      </c>
      <c r="F85" s="18" t="str">
        <f>IF($P85="","",INDEX(BEMANNINGSPLAN!$J$5:$J$546,$P85))</f>
        <v>P9</v>
      </c>
      <c r="G85" s="19" t="str">
        <f>IF($P85="","",INDEX(BEMANNINGSPLAN!$AD$5:$AD$546,$P85))</f>
        <v>Vanligt café</v>
      </c>
      <c r="H85" s="18" t="str">
        <f>IF($P85="","",IF(AND(INDEX(BEMANNINGSPLAN!$Y$5:$Y$546,$P85)=1,G85&lt;&gt;"Minicafé"),"X",""))</f>
        <v/>
      </c>
      <c r="I85" s="21" t="str">
        <f>IF($P85="","",IF(INDEX(BEMANNINGSPLAN!$Y$5:$Y$546,$P85)=1,"X",""))</f>
        <v/>
      </c>
      <c r="J85" s="22" t="str">
        <f>IF($P85="","",IF(SUMIF(BEMANNINGSPLAN!$W$5:$W$546,INDEX(BEMANNINGSPLAN!$W$5:$W$546,$P85),BEMANNINGSPLAN!$Z$5:$Z$546)=1,"X",""))</f>
        <v/>
      </c>
      <c r="K85" s="23" t="str">
        <f>IF($P85="","",IFERROR(LOOKUP(2,1/((BEMANNINGSPLAN!$W$5:$W$546=INDEX(BEMANNINGSPLAN!$W$5:$W$546,$P85))*(BEMANNINGSPLAN!$L$5:$L$546&lt;&gt;"")),BEMANNINGSPLAN!$L$5:$L$546),""))</f>
        <v>Vårens spel, deltagande lag sköter café</v>
      </c>
      <c r="L85" s="18">
        <f>IF($P85="","",INDEX(BEMANNINGSPLAN!$AE$5:$AE$546,$P85))</f>
        <v>0.49999999999999156</v>
      </c>
      <c r="M85" s="137"/>
      <c r="N85" s="16"/>
      <c r="O85" s="16" t="str">
        <f>IF(AND(BEMANNINGSPLAN!U83=1,OR($B$4="Alla lag",BEMANNINGSPLAN!J83=$B$4),OR($E$4="Alla datum",BEMANNINGSPLAN!A83=$E$4)),COUNT($O$6:O84)+1,"")</f>
        <v/>
      </c>
      <c r="P85" s="137">
        <f t="shared" si="1"/>
        <v>444</v>
      </c>
    </row>
    <row r="86" spans="1:16" ht="27.75" customHeight="1">
      <c r="A86" s="17">
        <f>IF($P86="","",INDEX(BEMANNINGSPLAN!$A$5:$A$546,$P86))</f>
        <v>46438</v>
      </c>
      <c r="B86" s="18" t="str">
        <f>IF($P86="","",INDEX(BEMANNINGSPLAN!$B$5:$B$546,$P86))</f>
        <v>lördag</v>
      </c>
      <c r="C86" s="19" t="str">
        <f>IF($P86="","",INDEX(BEMANNINGSPLAN!$C$5:$C$546,$P86))</f>
        <v>Tallbackaskolan</v>
      </c>
      <c r="D86" s="20">
        <f>IF($P86="","",INDEX(BEMANNINGSPLAN!$D$5:$D$546,$P86))</f>
        <v>0.5</v>
      </c>
      <c r="E86" s="20">
        <f>IF($P86="","",SUMIF(BEMANNINGSPLAN!$W$5:$W$546,INDEX(BEMANNINGSPLAN!$W$5:$W$546,$P86),BEMANNINGSPLAN!$X$5:$X$546))</f>
        <v>0.52083333333333304</v>
      </c>
      <c r="F86" s="18" t="str">
        <f>IF($P86="","",INDEX(BEMANNINGSPLAN!$J$5:$J$546,$P86))</f>
        <v>P10</v>
      </c>
      <c r="G86" s="19" t="str">
        <f>IF($P86="","",INDEX(BEMANNINGSPLAN!$AD$5:$AD$546,$P86))</f>
        <v>Vanligt café</v>
      </c>
      <c r="H86" s="18" t="str">
        <f>IF($P86="","",IF(AND(INDEX(BEMANNINGSPLAN!$Y$5:$Y$546,$P86)=1,G86&lt;&gt;"Minicafé"),"X",""))</f>
        <v/>
      </c>
      <c r="I86" s="21" t="str">
        <f>IF($P86="","",IF(INDEX(BEMANNINGSPLAN!$Y$5:$Y$546,$P86)=1,"X",""))</f>
        <v/>
      </c>
      <c r="J86" s="22" t="str">
        <f>IF($P86="","",IF(SUMIF(BEMANNINGSPLAN!$W$5:$W$546,INDEX(BEMANNINGSPLAN!$W$5:$W$546,$P86),BEMANNINGSPLAN!$Z$5:$Z$546)=1,"X",""))</f>
        <v/>
      </c>
      <c r="K86" s="23" t="str">
        <f>IF($P86="","",IFERROR(LOOKUP(2,1/((BEMANNINGSPLAN!$W$5:$W$546=INDEX(BEMANNINGSPLAN!$W$5:$W$546,$P86))*(BEMANNINGSPLAN!$L$5:$L$546&lt;&gt;"")),BEMANNINGSPLAN!$L$5:$L$546),""))</f>
        <v>Vårens spel, deltagande lag sköter café</v>
      </c>
      <c r="L86" s="18">
        <f>IF($P86="","",INDEX(BEMANNINGSPLAN!$AE$5:$AE$546,$P86))</f>
        <v>0.49999999999999289</v>
      </c>
      <c r="M86" s="137"/>
      <c r="N86" s="16"/>
      <c r="O86" s="16" t="str">
        <f>IF(AND(BEMANNINGSPLAN!U84=1,OR($B$4="Alla lag",BEMANNINGSPLAN!J84=$B$4),OR($E$4="Alla datum",BEMANNINGSPLAN!A84=$E$4)),COUNT($O$6:O85)+1,"")</f>
        <v/>
      </c>
      <c r="P86" s="137">
        <f t="shared" si="1"/>
        <v>445</v>
      </c>
    </row>
    <row r="87" spans="1:16" ht="27.75" customHeight="1">
      <c r="A87" s="17">
        <f>IF($P87="","",INDEX(BEMANNINGSPLAN!$A$5:$A$546,$P87))</f>
        <v>46438</v>
      </c>
      <c r="B87" s="18" t="str">
        <f>IF($P87="","",INDEX(BEMANNINGSPLAN!$B$5:$B$546,$P87))</f>
        <v>lördag</v>
      </c>
      <c r="C87" s="19" t="str">
        <f>IF($P87="","",INDEX(BEMANNINGSPLAN!$C$5:$C$546,$P87))</f>
        <v>Tallbackaskolan</v>
      </c>
      <c r="D87" s="20">
        <f>IF($P87="","",INDEX(BEMANNINGSPLAN!$D$5:$D$546,$P87))</f>
        <v>0.52083333333333304</v>
      </c>
      <c r="E87" s="20">
        <f>IF($P87="","",SUMIF(BEMANNINGSPLAN!$W$5:$W$546,INDEX(BEMANNINGSPLAN!$W$5:$W$546,$P87),BEMANNINGSPLAN!$X$5:$X$546))</f>
        <v>0.60416666666666696</v>
      </c>
      <c r="F87" s="18" t="str">
        <f>IF($P87="","",INDEX(BEMANNINGSPLAN!$J$5:$J$546,$P87))</f>
        <v>F13</v>
      </c>
      <c r="G87" s="19" t="str">
        <f>IF($P87="","",INDEX(BEMANNINGSPLAN!$AD$5:$AD$546,$P87))</f>
        <v>Vanligt café</v>
      </c>
      <c r="H87" s="18" t="str">
        <f>IF($P87="","",IF(AND(INDEX(BEMANNINGSPLAN!$Y$5:$Y$546,$P87)=1,G87&lt;&gt;"Minicafé"),"X",""))</f>
        <v/>
      </c>
      <c r="I87" s="21" t="str">
        <f>IF($P87="","",IF(INDEX(BEMANNINGSPLAN!$Y$5:$Y$546,$P87)=1,"X",""))</f>
        <v/>
      </c>
      <c r="J87" s="22" t="str">
        <f>IF($P87="","",IF(SUMIF(BEMANNINGSPLAN!$W$5:$W$546,INDEX(BEMANNINGSPLAN!$W$5:$W$546,$P87),BEMANNINGSPLAN!$Z$5:$Z$546)=1,"X",""))</f>
        <v>X</v>
      </c>
      <c r="K87" s="23" t="str">
        <f>IF($P87="","",IFERROR(LOOKUP(2,1/((BEMANNINGSPLAN!$W$5:$W$546=INDEX(BEMANNINGSPLAN!$W$5:$W$546,$P87))*(BEMANNINGSPLAN!$L$5:$L$546&lt;&gt;"")),BEMANNINGSPLAN!$L$5:$L$546),""))</f>
        <v/>
      </c>
      <c r="L87" s="18">
        <f>IF($P87="","",INDEX(BEMANNINGSPLAN!$AE$5:$AE$546,$P87))</f>
        <v>2.0000000000000142</v>
      </c>
      <c r="M87" s="137"/>
      <c r="N87" s="16"/>
      <c r="O87" s="16" t="str">
        <f>IF(AND(BEMANNINGSPLAN!U85=1,OR($B$4="Alla lag",BEMANNINGSPLAN!J85=$B$4),OR($E$4="Alla datum",BEMANNINGSPLAN!A85=$E$4)),COUNT($O$6:O86)+1,"")</f>
        <v/>
      </c>
      <c r="P87" s="137">
        <f t="shared" si="1"/>
        <v>446</v>
      </c>
    </row>
    <row r="88" spans="1:16" ht="27.75" customHeight="1">
      <c r="A88" s="17">
        <f>IF($P88="","",INDEX(BEMANNINGSPLAN!$A$5:$A$546,$P88))</f>
        <v>46459</v>
      </c>
      <c r="B88" s="18" t="str">
        <f>IF($P88="","",INDEX(BEMANNINGSPLAN!$B$5:$B$546,$P88))</f>
        <v>lördag</v>
      </c>
      <c r="C88" s="19" t="str">
        <f>IF($P88="","",INDEX(BEMANNINGSPLAN!$C$5:$C$546,$P88))</f>
        <v>Råsta Park</v>
      </c>
      <c r="D88" s="20">
        <f>IF($P88="","",INDEX(BEMANNINGSPLAN!$D$5:$D$546,$P88))</f>
        <v>0.45833333333333298</v>
      </c>
      <c r="E88" s="20">
        <f>IF($P88="","",SUMIF(BEMANNINGSPLAN!$W$5:$W$546,INDEX(BEMANNINGSPLAN!$W$5:$W$546,$P88),BEMANNINGSPLAN!$X$5:$X$546))</f>
        <v>0.54166666666666696</v>
      </c>
      <c r="F88" s="18" t="str">
        <f>IF($P88="","",INDEX(BEMANNINGSPLAN!$J$5:$J$546,$P88))</f>
        <v>F16</v>
      </c>
      <c r="G88" s="19" t="str">
        <f>IF($P88="","",INDEX(BEMANNINGSPLAN!$AD$5:$AD$546,$P88))</f>
        <v>Minicafé</v>
      </c>
      <c r="H88" s="18" t="str">
        <f>IF($P88="","",IF(AND(INDEX(BEMANNINGSPLAN!$Y$5:$Y$546,$P88)=1,G88&lt;&gt;"Minicafé"),"X",""))</f>
        <v/>
      </c>
      <c r="I88" s="21" t="str">
        <f>IF($P88="","",IF(INDEX(BEMANNINGSPLAN!$Y$5:$Y$546,$P88)=1,"X",""))</f>
        <v>X</v>
      </c>
      <c r="J88" s="22" t="str">
        <f>IF($P88="","",IF(SUMIF(BEMANNINGSPLAN!$W$5:$W$546,INDEX(BEMANNINGSPLAN!$W$5:$W$546,$P88),BEMANNINGSPLAN!$Z$5:$Z$546)=1,"X",""))</f>
        <v>X</v>
      </c>
      <c r="K88" s="23" t="str">
        <f>IF($P88="","",IFERROR(LOOKUP(2,1/((BEMANNINGSPLAN!$W$5:$W$546=INDEX(BEMANNINGSPLAN!$W$5:$W$546,$P88))*(BEMANNINGSPLAN!$L$5:$L$546&lt;&gt;"")),BEMANNINGSPLAN!$L$5:$L$546),""))</f>
        <v/>
      </c>
      <c r="L88" s="18">
        <f>IF($P88="","",INDEX(BEMANNINGSPLAN!$AE$5:$AE$546,$P88))</f>
        <v>2.0000000000000155</v>
      </c>
      <c r="M88" s="137"/>
      <c r="N88" s="16"/>
      <c r="O88" s="16" t="str">
        <f>IF(AND(BEMANNINGSPLAN!U86=1,OR($B$4="Alla lag",BEMANNINGSPLAN!J86=$B$4),OR($E$4="Alla datum",BEMANNINGSPLAN!A86=$E$4)),COUNT($O$6:O87)+1,"")</f>
        <v/>
      </c>
      <c r="P88" s="137">
        <f t="shared" si="1"/>
        <v>460</v>
      </c>
    </row>
    <row r="89" spans="1:16" ht="27.75" customHeight="1">
      <c r="A89" s="17">
        <f>IF($P89="","",INDEX(BEMANNINGSPLAN!$A$5:$A$546,$P89))</f>
        <v>46459</v>
      </c>
      <c r="B89" s="18" t="str">
        <f>IF($P89="","",INDEX(BEMANNINGSPLAN!$B$5:$B$546,$P89))</f>
        <v>lördag</v>
      </c>
      <c r="C89" s="19" t="str">
        <f>IF($P89="","",INDEX(BEMANNINGSPLAN!$C$5:$C$546,$P89))</f>
        <v>Tallbackaskolan</v>
      </c>
      <c r="D89" s="20">
        <f>IF($P89="","",INDEX(BEMANNINGSPLAN!$D$5:$D$546,$P89))</f>
        <v>0.33333333333333298</v>
      </c>
      <c r="E89" s="20">
        <f>IF($P89="","",SUMIF(BEMANNINGSPLAN!$W$5:$W$546,INDEX(BEMANNINGSPLAN!$W$5:$W$546,$P89),BEMANNINGSPLAN!$X$5:$X$546))</f>
        <v>0.47916666666666702</v>
      </c>
      <c r="F89" s="18" t="str">
        <f>IF($P89="","",INDEX(BEMANNINGSPLAN!$J$5:$J$546,$P89))</f>
        <v>F11</v>
      </c>
      <c r="G89" s="19" t="str">
        <f>IF($P89="","",INDEX(BEMANNINGSPLAN!$AD$5:$AD$546,$P89))</f>
        <v>Vanligt café</v>
      </c>
      <c r="H89" s="18" t="str">
        <f>IF($P89="","",IF(AND(INDEX(BEMANNINGSPLAN!$Y$5:$Y$546,$P89)=1,G89&lt;&gt;"Minicafé"),"X",""))</f>
        <v>X</v>
      </c>
      <c r="I89" s="21" t="str">
        <f>IF($P89="","",IF(INDEX(BEMANNINGSPLAN!$Y$5:$Y$546,$P89)=1,"X",""))</f>
        <v>X</v>
      </c>
      <c r="J89" s="22" t="str">
        <f>IF($P89="","",IF(SUMIF(BEMANNINGSPLAN!$W$5:$W$546,INDEX(BEMANNINGSPLAN!$W$5:$W$546,$P89),BEMANNINGSPLAN!$Z$5:$Z$546)=1,"X",""))</f>
        <v/>
      </c>
      <c r="K89" s="23" t="str">
        <f>IF($P89="","",IFERROR(LOOKUP(2,1/((BEMANNINGSPLAN!$W$5:$W$546=INDEX(BEMANNINGSPLAN!$W$5:$W$546,$P89))*(BEMANNINGSPLAN!$L$5:$L$546&lt;&gt;"")),BEMANNINGSPLAN!$L$5:$L$546),""))</f>
        <v/>
      </c>
      <c r="L89" s="18">
        <f>IF($P89="","",INDEX(BEMANNINGSPLAN!$AE$5:$AE$546,$P89))</f>
        <v>3.5000000000000169</v>
      </c>
      <c r="M89" s="137"/>
      <c r="N89" s="16"/>
      <c r="O89" s="16" t="str">
        <f>IF(AND(BEMANNINGSPLAN!U87=1,OR($B$4="Alla lag",BEMANNINGSPLAN!J87=$B$4),OR($E$4="Alla datum",BEMANNINGSPLAN!A87=$E$4)),COUNT($O$6:O88)+1,"")</f>
        <v/>
      </c>
      <c r="P89" s="137">
        <f t="shared" si="1"/>
        <v>464</v>
      </c>
    </row>
    <row r="90" spans="1:16" ht="27.75" customHeight="1">
      <c r="A90" s="17">
        <f>IF($P90="","",INDEX(BEMANNINGSPLAN!$A$5:$A$546,$P90))</f>
        <v>46459</v>
      </c>
      <c r="B90" s="18" t="str">
        <f>IF($P90="","",INDEX(BEMANNINGSPLAN!$B$5:$B$546,$P90))</f>
        <v>lördag</v>
      </c>
      <c r="C90" s="19" t="str">
        <f>IF($P90="","",INDEX(BEMANNINGSPLAN!$C$5:$C$546,$P90))</f>
        <v>Tallbackaskolan</v>
      </c>
      <c r="D90" s="20">
        <f>IF($P90="","",INDEX(BEMANNINGSPLAN!$D$5:$D$546,$P90))</f>
        <v>0.47916666666666702</v>
      </c>
      <c r="E90" s="20">
        <f>IF($P90="","",SUMIF(BEMANNINGSPLAN!$W$5:$W$546,INDEX(BEMANNINGSPLAN!$W$5:$W$546,$P90),BEMANNINGSPLAN!$X$5:$X$546))</f>
        <v>0.625</v>
      </c>
      <c r="F90" s="18" t="str">
        <f>IF($P90="","",INDEX(BEMANNINGSPLAN!$J$5:$J$546,$P90))</f>
        <v>P12</v>
      </c>
      <c r="G90" s="19" t="str">
        <f>IF($P90="","",INDEX(BEMANNINGSPLAN!$AD$5:$AD$546,$P90))</f>
        <v>Vanligt café</v>
      </c>
      <c r="H90" s="18" t="str">
        <f>IF($P90="","",IF(AND(INDEX(BEMANNINGSPLAN!$Y$5:$Y$546,$P90)=1,G90&lt;&gt;"Minicafé"),"X",""))</f>
        <v/>
      </c>
      <c r="I90" s="21" t="str">
        <f>IF($P90="","",IF(INDEX(BEMANNINGSPLAN!$Y$5:$Y$546,$P90)=1,"X",""))</f>
        <v/>
      </c>
      <c r="J90" s="22" t="str">
        <f>IF($P90="","",IF(SUMIF(BEMANNINGSPLAN!$W$5:$W$546,INDEX(BEMANNINGSPLAN!$W$5:$W$546,$P90),BEMANNINGSPLAN!$Z$5:$Z$546)=1,"X",""))</f>
        <v>X</v>
      </c>
      <c r="K90" s="23" t="str">
        <f>IF($P90="","",IFERROR(LOOKUP(2,1/((BEMANNINGSPLAN!$W$5:$W$546=INDEX(BEMANNINGSPLAN!$W$5:$W$546,$P90))*(BEMANNINGSPLAN!$L$5:$L$546&lt;&gt;"")),BEMANNINGSPLAN!$L$5:$L$546),""))</f>
        <v/>
      </c>
      <c r="L90" s="18">
        <f>IF($P90="","",INDEX(BEMANNINGSPLAN!$AE$5:$AE$546,$P90))</f>
        <v>3.4999999999999916</v>
      </c>
      <c r="M90" s="137"/>
      <c r="N90" s="16"/>
      <c r="O90" s="16">
        <f>IF(AND(BEMANNINGSPLAN!U88=1,OR($B$4="Alla lag",BEMANNINGSPLAN!J88=$B$4),OR($E$4="Alla datum",BEMANNINGSPLAN!A88=$E$4)),COUNT($O$6:O89)+1,"")</f>
        <v>10</v>
      </c>
      <c r="P90" s="137">
        <f t="shared" si="1"/>
        <v>471</v>
      </c>
    </row>
    <row r="91" spans="1:16" ht="27.75" customHeight="1">
      <c r="A91" s="17">
        <f>IF($P91="","",INDEX(BEMANNINGSPLAN!$A$5:$A$546,$P91))</f>
        <v>46459</v>
      </c>
      <c r="B91" s="18" t="str">
        <f>IF($P91="","",INDEX(BEMANNINGSPLAN!$B$5:$B$546,$P91))</f>
        <v>lördag</v>
      </c>
      <c r="C91" s="19" t="str">
        <f>IF($P91="","",INDEX(BEMANNINGSPLAN!$C$5:$C$546,$P91))</f>
        <v>Ulriksdalshallen</v>
      </c>
      <c r="D91" s="20">
        <f>IF($P91="","",INDEX(BEMANNINGSPLAN!$D$5:$D$546,$P91))</f>
        <v>0.33333333333333298</v>
      </c>
      <c r="E91" s="20">
        <f>IF($P91="","",SUMIF(BEMANNINGSPLAN!$W$5:$W$546,INDEX(BEMANNINGSPLAN!$W$5:$W$546,$P91),BEMANNINGSPLAN!$X$5:$X$546))</f>
        <v>0.5</v>
      </c>
      <c r="F91" s="18" t="str">
        <f>IF($P91="","",INDEX(BEMANNINGSPLAN!$J$5:$J$546,$P91))</f>
        <v>U8</v>
      </c>
      <c r="G91" s="19" t="str">
        <f>IF($P91="","",INDEX(BEMANNINGSPLAN!$AD$5:$AD$546,$P91))</f>
        <v>Vanligt café</v>
      </c>
      <c r="H91" s="18" t="str">
        <f>IF($P91="","",IF(AND(INDEX(BEMANNINGSPLAN!$Y$5:$Y$546,$P91)=1,G91&lt;&gt;"Minicafé"),"X",""))</f>
        <v>X</v>
      </c>
      <c r="I91" s="21" t="str">
        <f>IF($P91="","",IF(INDEX(BEMANNINGSPLAN!$Y$5:$Y$546,$P91)=1,"X",""))</f>
        <v>X</v>
      </c>
      <c r="J91" s="22" t="str">
        <f>IF($P91="","",IF(SUMIF(BEMANNINGSPLAN!$W$5:$W$546,INDEX(BEMANNINGSPLAN!$W$5:$W$546,$P91),BEMANNINGSPLAN!$Z$5:$Z$546)=1,"X",""))</f>
        <v/>
      </c>
      <c r="K91" s="23" t="str">
        <f>IF($P91="","",IFERROR(LOOKUP(2,1/((BEMANNINGSPLAN!$W$5:$W$546=INDEX(BEMANNINGSPLAN!$W$5:$W$546,$P91))*(BEMANNINGSPLAN!$L$5:$L$546&lt;&gt;"")),BEMANNINGSPLAN!$L$5:$L$546),""))</f>
        <v/>
      </c>
      <c r="L91" s="18">
        <f>IF($P91="","",INDEX(BEMANNINGSPLAN!$AE$5:$AE$546,$P91))</f>
        <v>4.0000000000000089</v>
      </c>
      <c r="M91" s="137"/>
      <c r="N91" s="16"/>
      <c r="O91" s="16" t="str">
        <f>IF(AND(BEMANNINGSPLAN!U89=1,OR($B$4="Alla lag",BEMANNINGSPLAN!J89=$B$4),OR($E$4="Alla datum",BEMANNINGSPLAN!A89=$E$4)),COUNT($O$6:O90)+1,"")</f>
        <v/>
      </c>
      <c r="P91" s="137">
        <f t="shared" si="1"/>
        <v>478</v>
      </c>
    </row>
    <row r="92" spans="1:16" ht="27.75" customHeight="1">
      <c r="A92" s="17">
        <f>IF($P92="","",INDEX(BEMANNINGSPLAN!$A$5:$A$546,$P92))</f>
        <v>46459</v>
      </c>
      <c r="B92" s="18" t="str">
        <f>IF($P92="","",INDEX(BEMANNINGSPLAN!$B$5:$B$546,$P92))</f>
        <v>lördag</v>
      </c>
      <c r="C92" s="19" t="str">
        <f>IF($P92="","",INDEX(BEMANNINGSPLAN!$C$5:$C$546,$P92))</f>
        <v>Ulriksdalshallen</v>
      </c>
      <c r="D92" s="20">
        <f>IF($P92="","",INDEX(BEMANNINGSPLAN!$D$5:$D$546,$P92))</f>
        <v>0.5</v>
      </c>
      <c r="E92" s="20">
        <f>IF($P92="","",SUMIF(BEMANNINGSPLAN!$W$5:$W$546,INDEX(BEMANNINGSPLAN!$W$5:$W$546,$P92),BEMANNINGSPLAN!$X$5:$X$546))</f>
        <v>0.52083333333333304</v>
      </c>
      <c r="F92" s="18" t="str">
        <f>IF($P92="","",INDEX(BEMANNINGSPLAN!$J$5:$J$546,$P92))</f>
        <v>F9</v>
      </c>
      <c r="G92" s="19" t="str">
        <f>IF($P92="","",INDEX(BEMANNINGSPLAN!$AD$5:$AD$546,$P92))</f>
        <v>Vanligt café</v>
      </c>
      <c r="H92" s="18" t="str">
        <f>IF($P92="","",IF(AND(INDEX(BEMANNINGSPLAN!$Y$5:$Y$546,$P92)=1,G92&lt;&gt;"Minicafé"),"X",""))</f>
        <v/>
      </c>
      <c r="I92" s="21" t="str">
        <f>IF($P92="","",IF(INDEX(BEMANNINGSPLAN!$Y$5:$Y$546,$P92)=1,"X",""))</f>
        <v/>
      </c>
      <c r="J92" s="22" t="str">
        <f>IF($P92="","",IF(SUMIF(BEMANNINGSPLAN!$W$5:$W$546,INDEX(BEMANNINGSPLAN!$W$5:$W$546,$P92),BEMANNINGSPLAN!$Z$5:$Z$546)=1,"X",""))</f>
        <v/>
      </c>
      <c r="K92" s="23" t="str">
        <f>IF($P92="","",IFERROR(LOOKUP(2,1/((BEMANNINGSPLAN!$W$5:$W$546=INDEX(BEMANNINGSPLAN!$W$5:$W$546,$P92))*(BEMANNINGSPLAN!$L$5:$L$546&lt;&gt;"")),BEMANNINGSPLAN!$L$5:$L$546),""))</f>
        <v>Vårens spel, deltagande lag sköter café</v>
      </c>
      <c r="L92" s="18">
        <f>IF($P92="","",INDEX(BEMANNINGSPLAN!$AE$5:$AE$546,$P92))</f>
        <v>0.49999999999999289</v>
      </c>
      <c r="M92" s="137"/>
      <c r="N92" s="16"/>
      <c r="O92" s="16" t="str">
        <f>IF(AND(BEMANNINGSPLAN!U90=1,OR($B$4="Alla lag",BEMANNINGSPLAN!J90=$B$4),OR($E$4="Alla datum",BEMANNINGSPLAN!A90=$E$4)),COUNT($O$6:O91)+1,"")</f>
        <v/>
      </c>
      <c r="P92" s="137">
        <f t="shared" si="1"/>
        <v>486</v>
      </c>
    </row>
    <row r="93" spans="1:16" ht="27.75" customHeight="1">
      <c r="A93" s="17">
        <f>IF($P93="","",INDEX(BEMANNINGSPLAN!$A$5:$A$546,$P93))</f>
        <v>46459</v>
      </c>
      <c r="B93" s="18" t="str">
        <f>IF($P93="","",INDEX(BEMANNINGSPLAN!$B$5:$B$546,$P93))</f>
        <v>lördag</v>
      </c>
      <c r="C93" s="19" t="str">
        <f>IF($P93="","",INDEX(BEMANNINGSPLAN!$C$5:$C$546,$P93))</f>
        <v>Ulriksdalshallen</v>
      </c>
      <c r="D93" s="20">
        <f>IF($P93="","",INDEX(BEMANNINGSPLAN!$D$5:$D$546,$P93))</f>
        <v>0.52083333333333304</v>
      </c>
      <c r="E93" s="20">
        <f>IF($P93="","",SUMIF(BEMANNINGSPLAN!$W$5:$W$546,INDEX(BEMANNINGSPLAN!$W$5:$W$546,$P93),BEMANNINGSPLAN!$X$5:$X$546))</f>
        <v>0.54166666666666696</v>
      </c>
      <c r="F93" s="18" t="str">
        <f>IF($P93="","",INDEX(BEMANNINGSPLAN!$J$5:$J$546,$P93))</f>
        <v>P9</v>
      </c>
      <c r="G93" s="19" t="str">
        <f>IF($P93="","",INDEX(BEMANNINGSPLAN!$AD$5:$AD$546,$P93))</f>
        <v>Vanligt café</v>
      </c>
      <c r="H93" s="18" t="str">
        <f>IF($P93="","",IF(AND(INDEX(BEMANNINGSPLAN!$Y$5:$Y$546,$P93)=1,G93&lt;&gt;"Minicafé"),"X",""))</f>
        <v/>
      </c>
      <c r="I93" s="21" t="str">
        <f>IF($P93="","",IF(INDEX(BEMANNINGSPLAN!$Y$5:$Y$546,$P93)=1,"X",""))</f>
        <v/>
      </c>
      <c r="J93" s="22" t="str">
        <f>IF($P93="","",IF(SUMIF(BEMANNINGSPLAN!$W$5:$W$546,INDEX(BEMANNINGSPLAN!$W$5:$W$546,$P93),BEMANNINGSPLAN!$Z$5:$Z$546)=1,"X",""))</f>
        <v/>
      </c>
      <c r="K93" s="23" t="str">
        <f>IF($P93="","",IFERROR(LOOKUP(2,1/((BEMANNINGSPLAN!$W$5:$W$546=INDEX(BEMANNINGSPLAN!$W$5:$W$546,$P93))*(BEMANNINGSPLAN!$L$5:$L$546&lt;&gt;"")),BEMANNINGSPLAN!$L$5:$L$546),""))</f>
        <v>Vårens spel, deltagande lag sköter café</v>
      </c>
      <c r="L93" s="18">
        <f>IF($P93="","",INDEX(BEMANNINGSPLAN!$AE$5:$AE$546,$P93))</f>
        <v>0.50000000000001421</v>
      </c>
      <c r="M93" s="137"/>
      <c r="N93" s="16"/>
      <c r="O93" s="16" t="str">
        <f>IF(AND(BEMANNINGSPLAN!U91=1,OR($B$4="Alla lag",BEMANNINGSPLAN!J91=$B$4),OR($E$4="Alla datum",BEMANNINGSPLAN!A91=$E$4)),COUNT($O$6:O92)+1,"")</f>
        <v/>
      </c>
      <c r="P93" s="137">
        <f t="shared" si="1"/>
        <v>487</v>
      </c>
    </row>
    <row r="94" spans="1:16" ht="27.75" customHeight="1">
      <c r="A94" s="17">
        <f>IF($P94="","",INDEX(BEMANNINGSPLAN!$A$5:$A$546,$P94))</f>
        <v>46459</v>
      </c>
      <c r="B94" s="18" t="str">
        <f>IF($P94="","",INDEX(BEMANNINGSPLAN!$B$5:$B$546,$P94))</f>
        <v>lördag</v>
      </c>
      <c r="C94" s="19" t="str">
        <f>IF($P94="","",INDEX(BEMANNINGSPLAN!$C$5:$C$546,$P94))</f>
        <v>Ulriksdalshallen</v>
      </c>
      <c r="D94" s="20">
        <f>IF($P94="","",INDEX(BEMANNINGSPLAN!$D$5:$D$546,$P94))</f>
        <v>0.54166666666666696</v>
      </c>
      <c r="E94" s="20">
        <f>IF($P94="","",SUMIF(BEMANNINGSPLAN!$W$5:$W$546,INDEX(BEMANNINGSPLAN!$W$5:$W$546,$P94),BEMANNINGSPLAN!$X$5:$X$546))</f>
        <v>0.5625</v>
      </c>
      <c r="F94" s="18" t="str">
        <f>IF($P94="","",INDEX(BEMANNINGSPLAN!$J$5:$J$546,$P94))</f>
        <v>P10</v>
      </c>
      <c r="G94" s="19" t="str">
        <f>IF($P94="","",INDEX(BEMANNINGSPLAN!$AD$5:$AD$546,$P94))</f>
        <v>Vanligt café</v>
      </c>
      <c r="H94" s="18" t="str">
        <f>IF($P94="","",IF(AND(INDEX(BEMANNINGSPLAN!$Y$5:$Y$546,$P94)=1,G94&lt;&gt;"Minicafé"),"X",""))</f>
        <v/>
      </c>
      <c r="I94" s="21" t="str">
        <f>IF($P94="","",IF(INDEX(BEMANNINGSPLAN!$Y$5:$Y$546,$P94)=1,"X",""))</f>
        <v/>
      </c>
      <c r="J94" s="22" t="str">
        <f>IF($P94="","",IF(SUMIF(BEMANNINGSPLAN!$W$5:$W$546,INDEX(BEMANNINGSPLAN!$W$5:$W$546,$P94),BEMANNINGSPLAN!$Z$5:$Z$546)=1,"X",""))</f>
        <v/>
      </c>
      <c r="K94" s="23" t="str">
        <f>IF($P94="","",IFERROR(LOOKUP(2,1/((BEMANNINGSPLAN!$W$5:$W$546=INDEX(BEMANNINGSPLAN!$W$5:$W$546,$P94))*(BEMANNINGSPLAN!$L$5:$L$546&lt;&gt;"")),BEMANNINGSPLAN!$L$5:$L$546),""))</f>
        <v>Vårens spel, deltagande lag sköter café</v>
      </c>
      <c r="L94" s="18">
        <f>IF($P94="","",INDEX(BEMANNINGSPLAN!$AE$5:$AE$546,$P94))</f>
        <v>0.49999999999999289</v>
      </c>
      <c r="M94" s="137"/>
      <c r="N94" s="16"/>
      <c r="O94" s="16" t="str">
        <f>IF(AND(BEMANNINGSPLAN!U92=1,OR($B$4="Alla lag",BEMANNINGSPLAN!J92=$B$4),OR($E$4="Alla datum",BEMANNINGSPLAN!A92=$E$4)),COUNT($O$6:O93)+1,"")</f>
        <v/>
      </c>
      <c r="P94" s="137">
        <f t="shared" si="1"/>
        <v>488</v>
      </c>
    </row>
    <row r="95" spans="1:16" ht="27.75" customHeight="1">
      <c r="A95" s="17">
        <f>IF($P95="","",INDEX(BEMANNINGSPLAN!$A$5:$A$546,$P95))</f>
        <v>46459</v>
      </c>
      <c r="B95" s="18" t="str">
        <f>IF($P95="","",INDEX(BEMANNINGSPLAN!$B$5:$B$546,$P95))</f>
        <v>lördag</v>
      </c>
      <c r="C95" s="19" t="str">
        <f>IF($P95="","",INDEX(BEMANNINGSPLAN!$C$5:$C$546,$P95))</f>
        <v>Ulriksdalshallen</v>
      </c>
      <c r="D95" s="20">
        <f>IF($P95="","",INDEX(BEMANNINGSPLAN!$D$5:$D$546,$P95))</f>
        <v>0.5625</v>
      </c>
      <c r="E95" s="20">
        <f>IF($P95="","",SUMIF(BEMANNINGSPLAN!$W$5:$W$546,INDEX(BEMANNINGSPLAN!$W$5:$W$546,$P95),BEMANNINGSPLAN!$X$5:$X$546))</f>
        <v>0.58333333333333304</v>
      </c>
      <c r="F95" s="18" t="str">
        <f>IF($P95="","",INDEX(BEMANNINGSPLAN!$J$5:$J$546,$P95))</f>
        <v>F9</v>
      </c>
      <c r="G95" s="19" t="str">
        <f>IF($P95="","",INDEX(BEMANNINGSPLAN!$AD$5:$AD$546,$P95))</f>
        <v>Vanligt café</v>
      </c>
      <c r="H95" s="18" t="str">
        <f>IF($P95="","",IF(AND(INDEX(BEMANNINGSPLAN!$Y$5:$Y$546,$P95)=1,G95&lt;&gt;"Minicafé"),"X",""))</f>
        <v/>
      </c>
      <c r="I95" s="21" t="str">
        <f>IF($P95="","",IF(INDEX(BEMANNINGSPLAN!$Y$5:$Y$546,$P95)=1,"X",""))</f>
        <v/>
      </c>
      <c r="J95" s="22" t="str">
        <f>IF($P95="","",IF(SUMIF(BEMANNINGSPLAN!$W$5:$W$546,INDEX(BEMANNINGSPLAN!$W$5:$W$546,$P95),BEMANNINGSPLAN!$Z$5:$Z$546)=1,"X",""))</f>
        <v/>
      </c>
      <c r="K95" s="23" t="str">
        <f>IF($P95="","",IFERROR(LOOKUP(2,1/((BEMANNINGSPLAN!$W$5:$W$546=INDEX(BEMANNINGSPLAN!$W$5:$W$546,$P95))*(BEMANNINGSPLAN!$L$5:$L$546&lt;&gt;"")),BEMANNINGSPLAN!$L$5:$L$546),""))</f>
        <v>Vårens spel, deltagande lag sköter café</v>
      </c>
      <c r="L95" s="18">
        <f>IF($P95="","",INDEX(BEMANNINGSPLAN!$AE$5:$AE$546,$P95))</f>
        <v>0.49999999999999289</v>
      </c>
      <c r="M95" s="137"/>
      <c r="N95" s="16"/>
      <c r="O95" s="16">
        <f>IF(AND(BEMANNINGSPLAN!U93=1,OR($B$4="Alla lag",BEMANNINGSPLAN!J93=$B$4),OR($E$4="Alla datum",BEMANNINGSPLAN!A93=$E$4)),COUNT($O$6:O94)+1,"")</f>
        <v>11</v>
      </c>
      <c r="P95" s="137">
        <f t="shared" si="1"/>
        <v>489</v>
      </c>
    </row>
    <row r="96" spans="1:16" ht="27.75" customHeight="1">
      <c r="A96" s="17">
        <f>IF($P96="","",INDEX(BEMANNINGSPLAN!$A$5:$A$546,$P96))</f>
        <v>46459</v>
      </c>
      <c r="B96" s="18" t="str">
        <f>IF($P96="","",INDEX(BEMANNINGSPLAN!$B$5:$B$546,$P96))</f>
        <v>lördag</v>
      </c>
      <c r="C96" s="19" t="str">
        <f>IF($P96="","",INDEX(BEMANNINGSPLAN!$C$5:$C$546,$P96))</f>
        <v>Ulriksdalshallen</v>
      </c>
      <c r="D96" s="20">
        <f>IF($P96="","",INDEX(BEMANNINGSPLAN!$D$5:$D$546,$P96))</f>
        <v>0.58333333333333304</v>
      </c>
      <c r="E96" s="20">
        <f>IF($P96="","",SUMIF(BEMANNINGSPLAN!$W$5:$W$546,INDEX(BEMANNINGSPLAN!$W$5:$W$546,$P96),BEMANNINGSPLAN!$X$5:$X$546))</f>
        <v>0.60416666666666696</v>
      </c>
      <c r="F96" s="18" t="str">
        <f>IF($P96="","",INDEX(BEMANNINGSPLAN!$J$5:$J$546,$P96))</f>
        <v>P9</v>
      </c>
      <c r="G96" s="19" t="str">
        <f>IF($P96="","",INDEX(BEMANNINGSPLAN!$AD$5:$AD$546,$P96))</f>
        <v>Vanligt café</v>
      </c>
      <c r="H96" s="18" t="str">
        <f>IF($P96="","",IF(AND(INDEX(BEMANNINGSPLAN!$Y$5:$Y$546,$P96)=1,G96&lt;&gt;"Minicafé"),"X",""))</f>
        <v/>
      </c>
      <c r="I96" s="21" t="str">
        <f>IF($P96="","",IF(INDEX(BEMANNINGSPLAN!$Y$5:$Y$546,$P96)=1,"X",""))</f>
        <v/>
      </c>
      <c r="J96" s="22" t="str">
        <f>IF($P96="","",IF(SUMIF(BEMANNINGSPLAN!$W$5:$W$546,INDEX(BEMANNINGSPLAN!$W$5:$W$546,$P96),BEMANNINGSPLAN!$Z$5:$Z$546)=1,"X",""))</f>
        <v/>
      </c>
      <c r="K96" s="23" t="str">
        <f>IF($P96="","",IFERROR(LOOKUP(2,1/((BEMANNINGSPLAN!$W$5:$W$546=INDEX(BEMANNINGSPLAN!$W$5:$W$546,$P96))*(BEMANNINGSPLAN!$L$5:$L$546&lt;&gt;"")),BEMANNINGSPLAN!$L$5:$L$546),""))</f>
        <v>Vårens spel, deltagande lag sköter café</v>
      </c>
      <c r="L96" s="18">
        <f>IF($P96="","",INDEX(BEMANNINGSPLAN!$AE$5:$AE$546,$P96))</f>
        <v>0.50000000000001421</v>
      </c>
      <c r="M96" s="137"/>
      <c r="N96" s="16"/>
      <c r="O96" s="16" t="str">
        <f>IF(AND(BEMANNINGSPLAN!U94=1,OR($B$4="Alla lag",BEMANNINGSPLAN!J94=$B$4),OR($E$4="Alla datum",BEMANNINGSPLAN!A94=$E$4)),COUNT($O$6:O95)+1,"")</f>
        <v/>
      </c>
      <c r="P96" s="137">
        <f t="shared" si="1"/>
        <v>490</v>
      </c>
    </row>
    <row r="97" spans="1:16" ht="27.75" customHeight="1">
      <c r="A97" s="17">
        <f>IF($P97="","",INDEX(BEMANNINGSPLAN!$A$5:$A$546,$P97))</f>
        <v>46459</v>
      </c>
      <c r="B97" s="18" t="str">
        <f>IF($P97="","",INDEX(BEMANNINGSPLAN!$B$5:$B$546,$P97))</f>
        <v>lördag</v>
      </c>
      <c r="C97" s="19" t="str">
        <f>IF($P97="","",INDEX(BEMANNINGSPLAN!$C$5:$C$546,$P97))</f>
        <v>Ulriksdalshallen</v>
      </c>
      <c r="D97" s="20">
        <f>IF($P97="","",INDEX(BEMANNINGSPLAN!$D$5:$D$546,$P97))</f>
        <v>0.60416666666666696</v>
      </c>
      <c r="E97" s="20">
        <f>IF($P97="","",SUMIF(BEMANNINGSPLAN!$W$5:$W$546,INDEX(BEMANNINGSPLAN!$W$5:$W$546,$P97),BEMANNINGSPLAN!$X$5:$X$546))</f>
        <v>0.625</v>
      </c>
      <c r="F97" s="18" t="str">
        <f>IF($P97="","",INDEX(BEMANNINGSPLAN!$J$5:$J$546,$P97))</f>
        <v>P10</v>
      </c>
      <c r="G97" s="19" t="str">
        <f>IF($P97="","",INDEX(BEMANNINGSPLAN!$AD$5:$AD$546,$P97))</f>
        <v>Vanligt café</v>
      </c>
      <c r="H97" s="18" t="str">
        <f>IF($P97="","",IF(AND(INDEX(BEMANNINGSPLAN!$Y$5:$Y$546,$P97)=1,G97&lt;&gt;"Minicafé"),"X",""))</f>
        <v/>
      </c>
      <c r="I97" s="21" t="str">
        <f>IF($P97="","",IF(INDEX(BEMANNINGSPLAN!$Y$5:$Y$546,$P97)=1,"X",""))</f>
        <v/>
      </c>
      <c r="J97" s="22" t="str">
        <f>IF($P97="","",IF(SUMIF(BEMANNINGSPLAN!$W$5:$W$546,INDEX(BEMANNINGSPLAN!$W$5:$W$546,$P97),BEMANNINGSPLAN!$Z$5:$Z$546)=1,"X",""))</f>
        <v/>
      </c>
      <c r="K97" s="23" t="str">
        <f>IF($P97="","",IFERROR(LOOKUP(2,1/((BEMANNINGSPLAN!$W$5:$W$546=INDEX(BEMANNINGSPLAN!$W$5:$W$546,$P97))*(BEMANNINGSPLAN!$L$5:$L$546&lt;&gt;"")),BEMANNINGSPLAN!$L$5:$L$546),""))</f>
        <v>Vårens spel, deltagande lag sköter café</v>
      </c>
      <c r="L97" s="18">
        <f>IF($P97="","",INDEX(BEMANNINGSPLAN!$AE$5:$AE$546,$P97))</f>
        <v>0.49999999999999289</v>
      </c>
      <c r="M97" s="137"/>
      <c r="N97" s="16"/>
      <c r="O97" s="16" t="str">
        <f>IF(AND(BEMANNINGSPLAN!U95=1,OR($B$4="Alla lag",BEMANNINGSPLAN!J95=$B$4),OR($E$4="Alla datum",BEMANNINGSPLAN!A95=$E$4)),COUNT($O$6:O96)+1,"")</f>
        <v/>
      </c>
      <c r="P97" s="137">
        <f t="shared" si="1"/>
        <v>491</v>
      </c>
    </row>
    <row r="98" spans="1:16" ht="27.75" customHeight="1">
      <c r="A98" s="17">
        <f>IF($P98="","",INDEX(BEMANNINGSPLAN!$A$5:$A$546,$P98))</f>
        <v>46459</v>
      </c>
      <c r="B98" s="18" t="str">
        <f>IF($P98="","",INDEX(BEMANNINGSPLAN!$B$5:$B$546,$P98))</f>
        <v>lördag</v>
      </c>
      <c r="C98" s="19" t="str">
        <f>IF($P98="","",INDEX(BEMANNINGSPLAN!$C$5:$C$546,$P98))</f>
        <v>Ulriksdalshallen</v>
      </c>
      <c r="D98" s="20">
        <f>IF($P98="","",INDEX(BEMANNINGSPLAN!$D$5:$D$546,$P98))</f>
        <v>0.625</v>
      </c>
      <c r="E98" s="20">
        <f>IF($P98="","",SUMIF(BEMANNINGSPLAN!$W$5:$W$546,INDEX(BEMANNINGSPLAN!$W$5:$W$546,$P98),BEMANNINGSPLAN!$X$5:$X$546))</f>
        <v>0.64583333333333304</v>
      </c>
      <c r="F98" s="18" t="str">
        <f>IF($P98="","",INDEX(BEMANNINGSPLAN!$J$5:$J$546,$P98))</f>
        <v>F9</v>
      </c>
      <c r="G98" s="19" t="str">
        <f>IF($P98="","",INDEX(BEMANNINGSPLAN!$AD$5:$AD$546,$P98))</f>
        <v>Vanligt café</v>
      </c>
      <c r="H98" s="18" t="str">
        <f>IF($P98="","",IF(AND(INDEX(BEMANNINGSPLAN!$Y$5:$Y$546,$P98)=1,G98&lt;&gt;"Minicafé"),"X",""))</f>
        <v/>
      </c>
      <c r="I98" s="21" t="str">
        <f>IF($P98="","",IF(INDEX(BEMANNINGSPLAN!$Y$5:$Y$546,$P98)=1,"X",""))</f>
        <v/>
      </c>
      <c r="J98" s="22" t="str">
        <f>IF($P98="","",IF(SUMIF(BEMANNINGSPLAN!$W$5:$W$546,INDEX(BEMANNINGSPLAN!$W$5:$W$546,$P98),BEMANNINGSPLAN!$Z$5:$Z$546)=1,"X",""))</f>
        <v/>
      </c>
      <c r="K98" s="23" t="str">
        <f>IF($P98="","",IFERROR(LOOKUP(2,1/((BEMANNINGSPLAN!$W$5:$W$546=INDEX(BEMANNINGSPLAN!$W$5:$W$546,$P98))*(BEMANNINGSPLAN!$L$5:$L$546&lt;&gt;"")),BEMANNINGSPLAN!$L$5:$L$546),""))</f>
        <v>Vårens spel, deltagande lag sköter café</v>
      </c>
      <c r="L98" s="18">
        <f>IF($P98="","",INDEX(BEMANNINGSPLAN!$AE$5:$AE$546,$P98))</f>
        <v>0.49999999999999289</v>
      </c>
      <c r="M98" s="137"/>
      <c r="N98" s="16"/>
      <c r="O98" s="16" t="str">
        <f>IF(AND(BEMANNINGSPLAN!U96=1,OR($B$4="Alla lag",BEMANNINGSPLAN!J96=$B$4),OR($E$4="Alla datum",BEMANNINGSPLAN!A96=$E$4)),COUNT($O$6:O97)+1,"")</f>
        <v/>
      </c>
      <c r="P98" s="137">
        <f t="shared" si="1"/>
        <v>492</v>
      </c>
    </row>
    <row r="99" spans="1:16" ht="27.75" customHeight="1">
      <c r="A99" s="17">
        <f>IF($P99="","",INDEX(BEMANNINGSPLAN!$A$5:$A$546,$P99))</f>
        <v>46459</v>
      </c>
      <c r="B99" s="18" t="str">
        <f>IF($P99="","",INDEX(BEMANNINGSPLAN!$B$5:$B$546,$P99))</f>
        <v>lördag</v>
      </c>
      <c r="C99" s="19" t="str">
        <f>IF($P99="","",INDEX(BEMANNINGSPLAN!$C$5:$C$546,$P99))</f>
        <v>Ulriksdalshallen</v>
      </c>
      <c r="D99" s="20">
        <f>IF($P99="","",INDEX(BEMANNINGSPLAN!$D$5:$D$546,$P99))</f>
        <v>0.64583333333333304</v>
      </c>
      <c r="E99" s="20">
        <f>IF($P99="","",SUMIF(BEMANNINGSPLAN!$W$5:$W$546,INDEX(BEMANNINGSPLAN!$W$5:$W$546,$P99),BEMANNINGSPLAN!$X$5:$X$546))</f>
        <v>0.66666666666666696</v>
      </c>
      <c r="F99" s="18" t="str">
        <f>IF($P99="","",INDEX(BEMANNINGSPLAN!$J$5:$J$546,$P99))</f>
        <v>P9</v>
      </c>
      <c r="G99" s="19" t="str">
        <f>IF($P99="","",INDEX(BEMANNINGSPLAN!$AD$5:$AD$546,$P99))</f>
        <v>Vanligt café</v>
      </c>
      <c r="H99" s="18" t="str">
        <f>IF($P99="","",IF(AND(INDEX(BEMANNINGSPLAN!$Y$5:$Y$546,$P99)=1,G99&lt;&gt;"Minicafé"),"X",""))</f>
        <v/>
      </c>
      <c r="I99" s="21" t="str">
        <f>IF($P99="","",IF(INDEX(BEMANNINGSPLAN!$Y$5:$Y$546,$P99)=1,"X",""))</f>
        <v/>
      </c>
      <c r="J99" s="22" t="str">
        <f>IF($P99="","",IF(SUMIF(BEMANNINGSPLAN!$W$5:$W$546,INDEX(BEMANNINGSPLAN!$W$5:$W$546,$P99),BEMANNINGSPLAN!$Z$5:$Z$546)=1,"X",""))</f>
        <v>X</v>
      </c>
      <c r="K99" s="23" t="str">
        <f>IF($P99="","",IFERROR(LOOKUP(2,1/((BEMANNINGSPLAN!$W$5:$W$546=INDEX(BEMANNINGSPLAN!$W$5:$W$546,$P99))*(BEMANNINGSPLAN!$L$5:$L$546&lt;&gt;"")),BEMANNINGSPLAN!$L$5:$L$546),""))</f>
        <v>Vårens spel, deltagande lag sköter café</v>
      </c>
      <c r="L99" s="18">
        <f>IF($P99="","",INDEX(BEMANNINGSPLAN!$AE$5:$AE$546,$P99))</f>
        <v>0.50000000000001421</v>
      </c>
      <c r="M99" s="137"/>
      <c r="N99" s="16"/>
      <c r="O99" s="16" t="str">
        <f>IF(AND(BEMANNINGSPLAN!U97=1,OR($B$4="Alla lag",BEMANNINGSPLAN!J97=$B$4),OR($E$4="Alla datum",BEMANNINGSPLAN!A97=$E$4)),COUNT($O$6:O98)+1,"")</f>
        <v/>
      </c>
      <c r="P99" s="137">
        <f t="shared" si="1"/>
        <v>493</v>
      </c>
    </row>
    <row r="100" spans="1:16" ht="27.75" customHeight="1">
      <c r="A100" s="17">
        <f>IF($P100="","",INDEX(BEMANNINGSPLAN!$A$5:$A$546,$P100))</f>
        <v>46466</v>
      </c>
      <c r="B100" s="18" t="str">
        <f>IF($P100="","",INDEX(BEMANNINGSPLAN!$B$5:$B$546,$P100))</f>
        <v>lördag</v>
      </c>
      <c r="C100" s="19" t="str">
        <f>IF($P100="","",INDEX(BEMANNINGSPLAN!$C$5:$C$546,$P100))</f>
        <v>Råsta Park</v>
      </c>
      <c r="D100" s="20">
        <f>IF($P100="","",INDEX(BEMANNINGSPLAN!$D$5:$D$546,$P100))</f>
        <v>0.5625</v>
      </c>
      <c r="E100" s="20">
        <f>IF($P100="","",SUMIF(BEMANNINGSPLAN!$W$5:$W$546,INDEX(BEMANNINGSPLAN!$W$5:$W$546,$P100),BEMANNINGSPLAN!$X$5:$X$546))</f>
        <v>0.625</v>
      </c>
      <c r="F100" s="18" t="str">
        <f>IF($P100="","",INDEX(BEMANNINGSPLAN!$J$5:$J$546,$P100))</f>
        <v>P16</v>
      </c>
      <c r="G100" s="19" t="str">
        <f>IF($P100="","",INDEX(BEMANNINGSPLAN!$AD$5:$AD$546,$P100))</f>
        <v>Minicafé</v>
      </c>
      <c r="H100" s="18" t="str">
        <f>IF($P100="","",IF(AND(INDEX(BEMANNINGSPLAN!$Y$5:$Y$546,$P100)=1,G100&lt;&gt;"Minicafé"),"X",""))</f>
        <v/>
      </c>
      <c r="I100" s="21" t="str">
        <f>IF($P100="","",IF(INDEX(BEMANNINGSPLAN!$Y$5:$Y$546,$P100)=1,"X",""))</f>
        <v>X</v>
      </c>
      <c r="J100" s="22" t="str">
        <f>IF($P100="","",IF(SUMIF(BEMANNINGSPLAN!$W$5:$W$546,INDEX(BEMANNINGSPLAN!$W$5:$W$546,$P100),BEMANNINGSPLAN!$Z$5:$Z$546)=1,"X",""))</f>
        <v>X</v>
      </c>
      <c r="K100" s="23" t="str">
        <f>IF($P100="","",IFERROR(LOOKUP(2,1/((BEMANNINGSPLAN!$W$5:$W$546=INDEX(BEMANNINGSPLAN!$W$5:$W$546,$P100))*(BEMANNINGSPLAN!$L$5:$L$546&lt;&gt;"")),BEMANNINGSPLAN!$L$5:$L$546),""))</f>
        <v/>
      </c>
      <c r="L100" s="18">
        <f>IF($P100="","",INDEX(BEMANNINGSPLAN!$AE$5:$AE$546,$P100))</f>
        <v>1.5</v>
      </c>
      <c r="M100" s="137"/>
      <c r="N100" s="16"/>
      <c r="O100" s="16" t="str">
        <f>IF(AND(BEMANNINGSPLAN!U98=1,OR($B$4="Alla lag",BEMANNINGSPLAN!J98=$B$4),OR($E$4="Alla datum",BEMANNINGSPLAN!A98=$E$4)),COUNT($O$6:O99)+1,"")</f>
        <v/>
      </c>
      <c r="P100" s="137">
        <f t="shared" si="1"/>
        <v>496</v>
      </c>
    </row>
    <row r="101" spans="1:16" ht="27.75" customHeight="1">
      <c r="A101" s="17">
        <f>IF($P101="","",INDEX(BEMANNINGSPLAN!$A$5:$A$546,$P101))</f>
        <v>46466</v>
      </c>
      <c r="B101" s="18" t="str">
        <f>IF($P101="","",INDEX(BEMANNINGSPLAN!$B$5:$B$546,$P101))</f>
        <v>lördag</v>
      </c>
      <c r="C101" s="19" t="str">
        <f>IF($P101="","",INDEX(BEMANNINGSPLAN!$C$5:$C$546,$P101))</f>
        <v>Tallbackaskolan</v>
      </c>
      <c r="D101" s="20">
        <f>IF($P101="","",INDEX(BEMANNINGSPLAN!$D$5:$D$546,$P101))</f>
        <v>0.39583333333333298</v>
      </c>
      <c r="E101" s="20">
        <f>IF($P101="","",SUMIF(BEMANNINGSPLAN!$W$5:$W$546,INDEX(BEMANNINGSPLAN!$W$5:$W$546,$P101),BEMANNINGSPLAN!$X$5:$X$546))</f>
        <v>0.5625</v>
      </c>
      <c r="F101" s="18" t="str">
        <f>IF($P101="","",INDEX(BEMANNINGSPLAN!$J$5:$J$546,$P101))</f>
        <v>P12</v>
      </c>
      <c r="G101" s="19" t="str">
        <f>IF($P101="","",INDEX(BEMANNINGSPLAN!$AD$5:$AD$546,$P101))</f>
        <v>Vanligt café</v>
      </c>
      <c r="H101" s="18" t="str">
        <f>IF($P101="","",IF(AND(INDEX(BEMANNINGSPLAN!$Y$5:$Y$546,$P101)=1,G101&lt;&gt;"Minicafé"),"X",""))</f>
        <v>X</v>
      </c>
      <c r="I101" s="21" t="str">
        <f>IF($P101="","",IF(INDEX(BEMANNINGSPLAN!$Y$5:$Y$546,$P101)=1,"X",""))</f>
        <v>X</v>
      </c>
      <c r="J101" s="22" t="str">
        <f>IF($P101="","",IF(SUMIF(BEMANNINGSPLAN!$W$5:$W$546,INDEX(BEMANNINGSPLAN!$W$5:$W$546,$P101),BEMANNINGSPLAN!$Z$5:$Z$546)=1,"X",""))</f>
        <v>X</v>
      </c>
      <c r="K101" s="23" t="str">
        <f>IF($P101="","",IFERROR(LOOKUP(2,1/((BEMANNINGSPLAN!$W$5:$W$546=INDEX(BEMANNINGSPLAN!$W$5:$W$546,$P101))*(BEMANNINGSPLAN!$L$5:$L$546&lt;&gt;"")),BEMANNINGSPLAN!$L$5:$L$546),""))</f>
        <v/>
      </c>
      <c r="L101" s="18">
        <f>IF($P101="","",INDEX(BEMANNINGSPLAN!$AE$5:$AE$546,$P101))</f>
        <v>4.0000000000000089</v>
      </c>
      <c r="M101" s="137"/>
      <c r="N101" s="16"/>
      <c r="O101" s="16" t="str">
        <f>IF(AND(BEMANNINGSPLAN!U99=1,OR($B$4="Alla lag",BEMANNINGSPLAN!J99=$B$4),OR($E$4="Alla datum",BEMANNINGSPLAN!A99=$E$4)),COUNT($O$6:O100)+1,"")</f>
        <v/>
      </c>
      <c r="P101" s="137">
        <f t="shared" si="1"/>
        <v>499</v>
      </c>
    </row>
    <row r="102" spans="1:16" ht="27.75" customHeight="1">
      <c r="A102" s="17">
        <f>IF($P102="","",INDEX(BEMANNINGSPLAN!$A$5:$A$546,$P102))</f>
        <v>46466</v>
      </c>
      <c r="B102" s="18" t="str">
        <f>IF($P102="","",INDEX(BEMANNINGSPLAN!$B$5:$B$546,$P102))</f>
        <v>lördag</v>
      </c>
      <c r="C102" s="19" t="str">
        <f>IF($P102="","",INDEX(BEMANNINGSPLAN!$C$5:$C$546,$P102))</f>
        <v>Ulriksdalshallen</v>
      </c>
      <c r="D102" s="20">
        <f>IF($P102="","",INDEX(BEMANNINGSPLAN!$D$5:$D$546,$P102))</f>
        <v>0.33333333333333298</v>
      </c>
      <c r="E102" s="20">
        <f>IF($P102="","",SUMIF(BEMANNINGSPLAN!$W$5:$W$546,INDEX(BEMANNINGSPLAN!$W$5:$W$546,$P102),BEMANNINGSPLAN!$X$5:$X$546))</f>
        <v>0.35416666666666702</v>
      </c>
      <c r="F102" s="18" t="str">
        <f>IF($P102="","",INDEX(BEMANNINGSPLAN!$J$5:$J$546,$P102))</f>
        <v>F9</v>
      </c>
      <c r="G102" s="19" t="str">
        <f>IF($P102="","",INDEX(BEMANNINGSPLAN!$AD$5:$AD$546,$P102))</f>
        <v>Vanligt café</v>
      </c>
      <c r="H102" s="18" t="str">
        <f>IF($P102="","",IF(AND(INDEX(BEMANNINGSPLAN!$Y$5:$Y$546,$P102)=1,G102&lt;&gt;"Minicafé"),"X",""))</f>
        <v>X</v>
      </c>
      <c r="I102" s="21" t="str">
        <f>IF($P102="","",IF(INDEX(BEMANNINGSPLAN!$Y$5:$Y$546,$P102)=1,"X",""))</f>
        <v>X</v>
      </c>
      <c r="J102" s="22" t="str">
        <f>IF($P102="","",IF(SUMIF(BEMANNINGSPLAN!$W$5:$W$546,INDEX(BEMANNINGSPLAN!$W$5:$W$546,$P102),BEMANNINGSPLAN!$Z$5:$Z$546)=1,"X",""))</f>
        <v/>
      </c>
      <c r="K102" s="23" t="str">
        <f>IF($P102="","",IFERROR(LOOKUP(2,1/((BEMANNINGSPLAN!$W$5:$W$546=INDEX(BEMANNINGSPLAN!$W$5:$W$546,$P102))*(BEMANNINGSPLAN!$L$5:$L$546&lt;&gt;"")),BEMANNINGSPLAN!$L$5:$L$546),""))</f>
        <v>Vårens spel, deltagande lag sköter café</v>
      </c>
      <c r="L102" s="18">
        <f>IF($P102="","",INDEX(BEMANNINGSPLAN!$AE$5:$AE$546,$P102))</f>
        <v>0.50000000000001688</v>
      </c>
      <c r="M102" s="137"/>
      <c r="N102" s="16"/>
      <c r="O102" s="16" t="str">
        <f>IF(AND(BEMANNINGSPLAN!U100=1,OR($B$4="Alla lag",BEMANNINGSPLAN!J100=$B$4),OR($E$4="Alla datum",BEMANNINGSPLAN!A100=$E$4)),COUNT($O$6:O101)+1,"")</f>
        <v/>
      </c>
      <c r="P102" s="137">
        <f t="shared" si="1"/>
        <v>507</v>
      </c>
    </row>
    <row r="103" spans="1:16" ht="27.75" customHeight="1">
      <c r="A103" s="17">
        <f>IF($P103="","",INDEX(BEMANNINGSPLAN!$A$5:$A$546,$P103))</f>
        <v>46466</v>
      </c>
      <c r="B103" s="18" t="str">
        <f>IF($P103="","",INDEX(BEMANNINGSPLAN!$B$5:$B$546,$P103))</f>
        <v>lördag</v>
      </c>
      <c r="C103" s="19" t="str">
        <f>IF($P103="","",INDEX(BEMANNINGSPLAN!$C$5:$C$546,$P103))</f>
        <v>Ulriksdalshallen</v>
      </c>
      <c r="D103" s="20">
        <f>IF($P103="","",INDEX(BEMANNINGSPLAN!$D$5:$D$546,$P103))</f>
        <v>0.35416666666666702</v>
      </c>
      <c r="E103" s="20">
        <f>IF($P103="","",SUMIF(BEMANNINGSPLAN!$W$5:$W$546,INDEX(BEMANNINGSPLAN!$W$5:$W$546,$P103),BEMANNINGSPLAN!$X$5:$X$546))</f>
        <v>0.375</v>
      </c>
      <c r="F103" s="18" t="str">
        <f>IF($P103="","",INDEX(BEMANNINGSPLAN!$J$5:$J$546,$P103))</f>
        <v>P9</v>
      </c>
      <c r="G103" s="19" t="str">
        <f>IF($P103="","",INDEX(BEMANNINGSPLAN!$AD$5:$AD$546,$P103))</f>
        <v>Vanligt café</v>
      </c>
      <c r="H103" s="18" t="str">
        <f>IF($P103="","",IF(AND(INDEX(BEMANNINGSPLAN!$Y$5:$Y$546,$P103)=1,G103&lt;&gt;"Minicafé"),"X",""))</f>
        <v/>
      </c>
      <c r="I103" s="21" t="str">
        <f>IF($P103="","",IF(INDEX(BEMANNINGSPLAN!$Y$5:$Y$546,$P103)=1,"X",""))</f>
        <v/>
      </c>
      <c r="J103" s="22" t="str">
        <f>IF($P103="","",IF(SUMIF(BEMANNINGSPLAN!$W$5:$W$546,INDEX(BEMANNINGSPLAN!$W$5:$W$546,$P103),BEMANNINGSPLAN!$Z$5:$Z$546)=1,"X",""))</f>
        <v/>
      </c>
      <c r="K103" s="23" t="str">
        <f>IF($P103="","",IFERROR(LOOKUP(2,1/((BEMANNINGSPLAN!$W$5:$W$546=INDEX(BEMANNINGSPLAN!$W$5:$W$546,$P103))*(BEMANNINGSPLAN!$L$5:$L$546&lt;&gt;"")),BEMANNINGSPLAN!$L$5:$L$546),""))</f>
        <v>Vårens spel, deltagande lag sköter café</v>
      </c>
      <c r="L103" s="18">
        <f>IF($P103="","",INDEX(BEMANNINGSPLAN!$AE$5:$AE$546,$P103))</f>
        <v>0.49999999999999156</v>
      </c>
      <c r="M103" s="137"/>
      <c r="N103" s="16"/>
      <c r="O103" s="16">
        <f>IF(AND(BEMANNINGSPLAN!U101=1,OR($B$4="Alla lag",BEMANNINGSPLAN!J101=$B$4),OR($E$4="Alla datum",BEMANNINGSPLAN!A101=$E$4)),COUNT($O$6:O102)+1,"")</f>
        <v>12</v>
      </c>
      <c r="P103" s="137">
        <f t="shared" si="1"/>
        <v>508</v>
      </c>
    </row>
    <row r="104" spans="1:16" ht="27.75" customHeight="1">
      <c r="A104" s="17">
        <f>IF($P104="","",INDEX(BEMANNINGSPLAN!$A$5:$A$546,$P104))</f>
        <v>46466</v>
      </c>
      <c r="B104" s="18" t="str">
        <f>IF($P104="","",INDEX(BEMANNINGSPLAN!$B$5:$B$546,$P104))</f>
        <v>lördag</v>
      </c>
      <c r="C104" s="19" t="str">
        <f>IF($P104="","",INDEX(BEMANNINGSPLAN!$C$5:$C$546,$P104))</f>
        <v>Ulriksdalshallen</v>
      </c>
      <c r="D104" s="20">
        <f>IF($P104="","",INDEX(BEMANNINGSPLAN!$D$5:$D$546,$P104))</f>
        <v>0.375</v>
      </c>
      <c r="E104" s="20">
        <f>IF($P104="","",SUMIF(BEMANNINGSPLAN!$W$5:$W$546,INDEX(BEMANNINGSPLAN!$W$5:$W$546,$P104),BEMANNINGSPLAN!$X$5:$X$546))</f>
        <v>0.39583333333333298</v>
      </c>
      <c r="F104" s="18" t="str">
        <f>IF($P104="","",INDEX(BEMANNINGSPLAN!$J$5:$J$546,$P104))</f>
        <v>P10</v>
      </c>
      <c r="G104" s="19" t="str">
        <f>IF($P104="","",INDEX(BEMANNINGSPLAN!$AD$5:$AD$546,$P104))</f>
        <v>Vanligt café</v>
      </c>
      <c r="H104" s="18" t="str">
        <f>IF($P104="","",IF(AND(INDEX(BEMANNINGSPLAN!$Y$5:$Y$546,$P104)=1,G104&lt;&gt;"Minicafé"),"X",""))</f>
        <v/>
      </c>
      <c r="I104" s="21" t="str">
        <f>IF($P104="","",IF(INDEX(BEMANNINGSPLAN!$Y$5:$Y$546,$P104)=1,"X",""))</f>
        <v/>
      </c>
      <c r="J104" s="22" t="str">
        <f>IF($P104="","",IF(SUMIF(BEMANNINGSPLAN!$W$5:$W$546,INDEX(BEMANNINGSPLAN!$W$5:$W$546,$P104),BEMANNINGSPLAN!$Z$5:$Z$546)=1,"X",""))</f>
        <v/>
      </c>
      <c r="K104" s="23" t="str">
        <f>IF($P104="","",IFERROR(LOOKUP(2,1/((BEMANNINGSPLAN!$W$5:$W$546=INDEX(BEMANNINGSPLAN!$W$5:$W$546,$P104))*(BEMANNINGSPLAN!$L$5:$L$546&lt;&gt;"")),BEMANNINGSPLAN!$L$5:$L$546),""))</f>
        <v>Vårens spel, deltagande lag sköter café</v>
      </c>
      <c r="L104" s="18">
        <f>IF($P104="","",INDEX(BEMANNINGSPLAN!$AE$5:$AE$546,$P104))</f>
        <v>0.49999999999999156</v>
      </c>
      <c r="M104" s="137"/>
      <c r="N104" s="16"/>
      <c r="O104" s="16" t="str">
        <f>IF(AND(BEMANNINGSPLAN!U102=1,OR($B$4="Alla lag",BEMANNINGSPLAN!J102=$B$4),OR($E$4="Alla datum",BEMANNINGSPLAN!A102=$E$4)),COUNT($O$6:O103)+1,"")</f>
        <v/>
      </c>
      <c r="P104" s="137">
        <f t="shared" si="1"/>
        <v>509</v>
      </c>
    </row>
    <row r="105" spans="1:16" ht="27.75" customHeight="1">
      <c r="A105" s="17">
        <f>IF($P105="","",INDEX(BEMANNINGSPLAN!$A$5:$A$546,$P105))</f>
        <v>46466</v>
      </c>
      <c r="B105" s="18" t="str">
        <f>IF($P105="","",INDEX(BEMANNINGSPLAN!$B$5:$B$546,$P105))</f>
        <v>lördag</v>
      </c>
      <c r="C105" s="19" t="str">
        <f>IF($P105="","",INDEX(BEMANNINGSPLAN!$C$5:$C$546,$P105))</f>
        <v>Ulriksdalshallen</v>
      </c>
      <c r="D105" s="20">
        <f>IF($P105="","",INDEX(BEMANNINGSPLAN!$D$5:$D$546,$P105))</f>
        <v>0.39583333333333298</v>
      </c>
      <c r="E105" s="20">
        <f>IF($P105="","",SUMIF(BEMANNINGSPLAN!$W$5:$W$546,INDEX(BEMANNINGSPLAN!$W$5:$W$546,$P105),BEMANNINGSPLAN!$X$5:$X$546))</f>
        <v>0.41666666666666702</v>
      </c>
      <c r="F105" s="18" t="str">
        <f>IF($P105="","",INDEX(BEMANNINGSPLAN!$J$5:$J$546,$P105))</f>
        <v>F9</v>
      </c>
      <c r="G105" s="19" t="str">
        <f>IF($P105="","",INDEX(BEMANNINGSPLAN!$AD$5:$AD$546,$P105))</f>
        <v>Vanligt café</v>
      </c>
      <c r="H105" s="18" t="str">
        <f>IF($P105="","",IF(AND(INDEX(BEMANNINGSPLAN!$Y$5:$Y$546,$P105)=1,G105&lt;&gt;"Minicafé"),"X",""))</f>
        <v/>
      </c>
      <c r="I105" s="21" t="str">
        <f>IF($P105="","",IF(INDEX(BEMANNINGSPLAN!$Y$5:$Y$546,$P105)=1,"X",""))</f>
        <v/>
      </c>
      <c r="J105" s="22" t="str">
        <f>IF($P105="","",IF(SUMIF(BEMANNINGSPLAN!$W$5:$W$546,INDEX(BEMANNINGSPLAN!$W$5:$W$546,$P105),BEMANNINGSPLAN!$Z$5:$Z$546)=1,"X",""))</f>
        <v/>
      </c>
      <c r="K105" s="23" t="str">
        <f>IF($P105="","",IFERROR(LOOKUP(2,1/((BEMANNINGSPLAN!$W$5:$W$546=INDEX(BEMANNINGSPLAN!$W$5:$W$546,$P105))*(BEMANNINGSPLAN!$L$5:$L$546&lt;&gt;"")),BEMANNINGSPLAN!$L$5:$L$546),""))</f>
        <v>Vårens spel, deltagande lag sköter café</v>
      </c>
      <c r="L105" s="18">
        <f>IF($P105="","",INDEX(BEMANNINGSPLAN!$AE$5:$AE$546,$P105))</f>
        <v>0.50000000000001688</v>
      </c>
      <c r="M105" s="137"/>
      <c r="N105" s="16"/>
      <c r="O105" s="16" t="str">
        <f>IF(AND(BEMANNINGSPLAN!U103=1,OR($B$4="Alla lag",BEMANNINGSPLAN!J103=$B$4),OR($E$4="Alla datum",BEMANNINGSPLAN!A103=$E$4)),COUNT($O$6:O104)+1,"")</f>
        <v/>
      </c>
      <c r="P105" s="137">
        <f t="shared" si="1"/>
        <v>510</v>
      </c>
    </row>
    <row r="106" spans="1:16" ht="27.75" customHeight="1">
      <c r="A106" s="17">
        <f>IF($P106="","",INDEX(BEMANNINGSPLAN!$A$5:$A$546,$P106))</f>
        <v>46466</v>
      </c>
      <c r="B106" s="18" t="str">
        <f>IF($P106="","",INDEX(BEMANNINGSPLAN!$B$5:$B$546,$P106))</f>
        <v>lördag</v>
      </c>
      <c r="C106" s="19" t="str">
        <f>IF($P106="","",INDEX(BEMANNINGSPLAN!$C$5:$C$546,$P106))</f>
        <v>Ulriksdalshallen</v>
      </c>
      <c r="D106" s="20">
        <f>IF($P106="","",INDEX(BEMANNINGSPLAN!$D$5:$D$546,$P106))</f>
        <v>0.41666666666666702</v>
      </c>
      <c r="E106" s="20">
        <f>IF($P106="","",SUMIF(BEMANNINGSPLAN!$W$5:$W$546,INDEX(BEMANNINGSPLAN!$W$5:$W$546,$P106),BEMANNINGSPLAN!$X$5:$X$546))</f>
        <v>0.4375</v>
      </c>
      <c r="F106" s="18" t="str">
        <f>IF($P106="","",INDEX(BEMANNINGSPLAN!$J$5:$J$546,$P106))</f>
        <v>P9</v>
      </c>
      <c r="G106" s="19" t="str">
        <f>IF($P106="","",INDEX(BEMANNINGSPLAN!$AD$5:$AD$546,$P106))</f>
        <v>Vanligt café</v>
      </c>
      <c r="H106" s="18" t="str">
        <f>IF($P106="","",IF(AND(INDEX(BEMANNINGSPLAN!$Y$5:$Y$546,$P106)=1,G106&lt;&gt;"Minicafé"),"X",""))</f>
        <v/>
      </c>
      <c r="I106" s="21" t="str">
        <f>IF($P106="","",IF(INDEX(BEMANNINGSPLAN!$Y$5:$Y$546,$P106)=1,"X",""))</f>
        <v/>
      </c>
      <c r="J106" s="22" t="str">
        <f>IF($P106="","",IF(SUMIF(BEMANNINGSPLAN!$W$5:$W$546,INDEX(BEMANNINGSPLAN!$W$5:$W$546,$P106),BEMANNINGSPLAN!$Z$5:$Z$546)=1,"X",""))</f>
        <v/>
      </c>
      <c r="K106" s="23" t="str">
        <f>IF($P106="","",IFERROR(LOOKUP(2,1/((BEMANNINGSPLAN!$W$5:$W$546=INDEX(BEMANNINGSPLAN!$W$5:$W$546,$P106))*(BEMANNINGSPLAN!$L$5:$L$546&lt;&gt;"")),BEMANNINGSPLAN!$L$5:$L$546),""))</f>
        <v>Vårens spel, deltagande lag sköter café</v>
      </c>
      <c r="L106" s="18">
        <f>IF($P106="","",INDEX(BEMANNINGSPLAN!$AE$5:$AE$546,$P106))</f>
        <v>0.49999999999999156</v>
      </c>
      <c r="M106" s="137"/>
      <c r="N106" s="16"/>
      <c r="O106" s="16" t="str">
        <f>IF(AND(BEMANNINGSPLAN!U104=1,OR($B$4="Alla lag",BEMANNINGSPLAN!J104=$B$4),OR($E$4="Alla datum",BEMANNINGSPLAN!A104=$E$4)),COUNT($O$6:O105)+1,"")</f>
        <v/>
      </c>
      <c r="P106" s="137">
        <f t="shared" si="1"/>
        <v>511</v>
      </c>
    </row>
    <row r="107" spans="1:16" ht="27.75" customHeight="1">
      <c r="A107" s="17">
        <f>IF($P107="","",INDEX(BEMANNINGSPLAN!$A$5:$A$546,$P107))</f>
        <v>46466</v>
      </c>
      <c r="B107" s="18" t="str">
        <f>IF($P107="","",INDEX(BEMANNINGSPLAN!$B$5:$B$546,$P107))</f>
        <v>lördag</v>
      </c>
      <c r="C107" s="19" t="str">
        <f>IF($P107="","",INDEX(BEMANNINGSPLAN!$C$5:$C$546,$P107))</f>
        <v>Ulriksdalshallen</v>
      </c>
      <c r="D107" s="20">
        <f>IF($P107="","",INDEX(BEMANNINGSPLAN!$D$5:$D$546,$P107))</f>
        <v>0.4375</v>
      </c>
      <c r="E107" s="20">
        <f>IF($P107="","",SUMIF(BEMANNINGSPLAN!$W$5:$W$546,INDEX(BEMANNINGSPLAN!$W$5:$W$546,$P107),BEMANNINGSPLAN!$X$5:$X$546))</f>
        <v>0.45833333333333298</v>
      </c>
      <c r="F107" s="18" t="str">
        <f>IF($P107="","",INDEX(BEMANNINGSPLAN!$J$5:$J$546,$P107))</f>
        <v>P10</v>
      </c>
      <c r="G107" s="19" t="str">
        <f>IF($P107="","",INDEX(BEMANNINGSPLAN!$AD$5:$AD$546,$P107))</f>
        <v>Vanligt café</v>
      </c>
      <c r="H107" s="18" t="str">
        <f>IF($P107="","",IF(AND(INDEX(BEMANNINGSPLAN!$Y$5:$Y$546,$P107)=1,G107&lt;&gt;"Minicafé"),"X",""))</f>
        <v/>
      </c>
      <c r="I107" s="21" t="str">
        <f>IF($P107="","",IF(INDEX(BEMANNINGSPLAN!$Y$5:$Y$546,$P107)=1,"X",""))</f>
        <v/>
      </c>
      <c r="J107" s="22" t="str">
        <f>IF($P107="","",IF(SUMIF(BEMANNINGSPLAN!$W$5:$W$546,INDEX(BEMANNINGSPLAN!$W$5:$W$546,$P107),BEMANNINGSPLAN!$Z$5:$Z$546)=1,"X",""))</f>
        <v/>
      </c>
      <c r="K107" s="23" t="str">
        <f>IF($P107="","",IFERROR(LOOKUP(2,1/((BEMANNINGSPLAN!$W$5:$W$546=INDEX(BEMANNINGSPLAN!$W$5:$W$546,$P107))*(BEMANNINGSPLAN!$L$5:$L$546&lt;&gt;"")),BEMANNINGSPLAN!$L$5:$L$546),""))</f>
        <v>Vårens spel, deltagande lag sköter café</v>
      </c>
      <c r="L107" s="18">
        <f>IF($P107="","",INDEX(BEMANNINGSPLAN!$AE$5:$AE$546,$P107))</f>
        <v>0.49999999999999156</v>
      </c>
      <c r="M107" s="137"/>
      <c r="N107" s="16"/>
      <c r="O107" s="16" t="str">
        <f>IF(AND(BEMANNINGSPLAN!U105=1,OR($B$4="Alla lag",BEMANNINGSPLAN!J105=$B$4),OR($E$4="Alla datum",BEMANNINGSPLAN!A105=$E$4)),COUNT($O$6:O106)+1,"")</f>
        <v/>
      </c>
      <c r="P107" s="137">
        <f t="shared" si="1"/>
        <v>512</v>
      </c>
    </row>
    <row r="108" spans="1:16" ht="27.75" customHeight="1">
      <c r="A108" s="17">
        <f>IF($P108="","",INDEX(BEMANNINGSPLAN!$A$5:$A$546,$P108))</f>
        <v>46466</v>
      </c>
      <c r="B108" s="18" t="str">
        <f>IF($P108="","",INDEX(BEMANNINGSPLAN!$B$5:$B$546,$P108))</f>
        <v>lördag</v>
      </c>
      <c r="C108" s="19" t="str">
        <f>IF($P108="","",INDEX(BEMANNINGSPLAN!$C$5:$C$546,$P108))</f>
        <v>Ulriksdalshallen</v>
      </c>
      <c r="D108" s="20">
        <f>IF($P108="","",INDEX(BEMANNINGSPLAN!$D$5:$D$546,$P108))</f>
        <v>0.45833333333333298</v>
      </c>
      <c r="E108" s="20">
        <f>IF($P108="","",SUMIF(BEMANNINGSPLAN!$W$5:$W$546,INDEX(BEMANNINGSPLAN!$W$5:$W$546,$P108),BEMANNINGSPLAN!$X$5:$X$546))</f>
        <v>0.47916666666666702</v>
      </c>
      <c r="F108" s="18" t="str">
        <f>IF($P108="","",INDEX(BEMANNINGSPLAN!$J$5:$J$546,$P108))</f>
        <v>F9</v>
      </c>
      <c r="G108" s="19" t="str">
        <f>IF($P108="","",INDEX(BEMANNINGSPLAN!$AD$5:$AD$546,$P108))</f>
        <v>Vanligt café</v>
      </c>
      <c r="H108" s="18" t="str">
        <f>IF($P108="","",IF(AND(INDEX(BEMANNINGSPLAN!$Y$5:$Y$546,$P108)=1,G108&lt;&gt;"Minicafé"),"X",""))</f>
        <v/>
      </c>
      <c r="I108" s="21" t="str">
        <f>IF($P108="","",IF(INDEX(BEMANNINGSPLAN!$Y$5:$Y$546,$P108)=1,"X",""))</f>
        <v/>
      </c>
      <c r="J108" s="22" t="str">
        <f>IF($P108="","",IF(SUMIF(BEMANNINGSPLAN!$W$5:$W$546,INDEX(BEMANNINGSPLAN!$W$5:$W$546,$P108),BEMANNINGSPLAN!$Z$5:$Z$546)=1,"X",""))</f>
        <v/>
      </c>
      <c r="K108" s="23" t="str">
        <f>IF($P108="","",IFERROR(LOOKUP(2,1/((BEMANNINGSPLAN!$W$5:$W$546=INDEX(BEMANNINGSPLAN!$W$5:$W$546,$P108))*(BEMANNINGSPLAN!$L$5:$L$546&lt;&gt;"")),BEMANNINGSPLAN!$L$5:$L$546),""))</f>
        <v>Vårens spel, deltagande lag sköter café</v>
      </c>
      <c r="L108" s="18">
        <f>IF($P108="","",INDEX(BEMANNINGSPLAN!$AE$5:$AE$546,$P108))</f>
        <v>0.50000000000001688</v>
      </c>
      <c r="M108" s="137"/>
      <c r="N108" s="16"/>
      <c r="O108" s="16" t="str">
        <f>IF(AND(BEMANNINGSPLAN!U106=1,OR($B$4="Alla lag",BEMANNINGSPLAN!J106=$B$4),OR($E$4="Alla datum",BEMANNINGSPLAN!A106=$E$4)),COUNT($O$6:O107)+1,"")</f>
        <v/>
      </c>
      <c r="P108" s="137">
        <f t="shared" si="1"/>
        <v>513</v>
      </c>
    </row>
    <row r="109" spans="1:16" ht="27.75" customHeight="1">
      <c r="A109" s="17">
        <f>IF($P109="","",INDEX(BEMANNINGSPLAN!$A$5:$A$546,$P109))</f>
        <v>46466</v>
      </c>
      <c r="B109" s="18" t="str">
        <f>IF($P109="","",INDEX(BEMANNINGSPLAN!$B$5:$B$546,$P109))</f>
        <v>lördag</v>
      </c>
      <c r="C109" s="19" t="str">
        <f>IF($P109="","",INDEX(BEMANNINGSPLAN!$C$5:$C$546,$P109))</f>
        <v>Ulriksdalshallen</v>
      </c>
      <c r="D109" s="20">
        <f>IF($P109="","",INDEX(BEMANNINGSPLAN!$D$5:$D$546,$P109))</f>
        <v>0.47916666666666702</v>
      </c>
      <c r="E109" s="20">
        <f>IF($P109="","",SUMIF(BEMANNINGSPLAN!$W$5:$W$546,INDEX(BEMANNINGSPLAN!$W$5:$W$546,$P109),BEMANNINGSPLAN!$X$5:$X$546))</f>
        <v>0.5</v>
      </c>
      <c r="F109" s="18" t="str">
        <f>IF($P109="","",INDEX(BEMANNINGSPLAN!$J$5:$J$546,$P109))</f>
        <v>P9</v>
      </c>
      <c r="G109" s="19" t="str">
        <f>IF($P109="","",INDEX(BEMANNINGSPLAN!$AD$5:$AD$546,$P109))</f>
        <v>Vanligt café</v>
      </c>
      <c r="H109" s="18" t="str">
        <f>IF($P109="","",IF(AND(INDEX(BEMANNINGSPLAN!$Y$5:$Y$546,$P109)=1,G109&lt;&gt;"Minicafé"),"X",""))</f>
        <v/>
      </c>
      <c r="I109" s="21" t="str">
        <f>IF($P109="","",IF(INDEX(BEMANNINGSPLAN!$Y$5:$Y$546,$P109)=1,"X",""))</f>
        <v/>
      </c>
      <c r="J109" s="22" t="str">
        <f>IF($P109="","",IF(SUMIF(BEMANNINGSPLAN!$W$5:$W$546,INDEX(BEMANNINGSPLAN!$W$5:$W$546,$P109),BEMANNINGSPLAN!$Z$5:$Z$546)=1,"X",""))</f>
        <v/>
      </c>
      <c r="K109" s="23" t="str">
        <f>IF($P109="","",IFERROR(LOOKUP(2,1/((BEMANNINGSPLAN!$W$5:$W$546=INDEX(BEMANNINGSPLAN!$W$5:$W$546,$P109))*(BEMANNINGSPLAN!$L$5:$L$546&lt;&gt;"")),BEMANNINGSPLAN!$L$5:$L$546),""))</f>
        <v>Vårens spel, deltagande lag sköter café</v>
      </c>
      <c r="L109" s="18">
        <f>IF($P109="","",INDEX(BEMANNINGSPLAN!$AE$5:$AE$546,$P109))</f>
        <v>0.49999999999999156</v>
      </c>
      <c r="M109" s="137"/>
      <c r="N109" s="16"/>
      <c r="O109" s="16" t="str">
        <f>IF(AND(BEMANNINGSPLAN!U107=1,OR($B$4="Alla lag",BEMANNINGSPLAN!J107=$B$4),OR($E$4="Alla datum",BEMANNINGSPLAN!A107=$E$4)),COUNT($O$6:O108)+1,"")</f>
        <v/>
      </c>
      <c r="P109" s="137">
        <f t="shared" si="1"/>
        <v>514</v>
      </c>
    </row>
    <row r="110" spans="1:16" ht="27.75" customHeight="1">
      <c r="A110" s="17">
        <f>IF($P110="","",INDEX(BEMANNINGSPLAN!$A$5:$A$546,$P110))</f>
        <v>46466</v>
      </c>
      <c r="B110" s="18" t="str">
        <f>IF($P110="","",INDEX(BEMANNINGSPLAN!$B$5:$B$546,$P110))</f>
        <v>lördag</v>
      </c>
      <c r="C110" s="19" t="str">
        <f>IF($P110="","",INDEX(BEMANNINGSPLAN!$C$5:$C$546,$P110))</f>
        <v>Ulriksdalshallen</v>
      </c>
      <c r="D110" s="20">
        <f>IF($P110="","",INDEX(BEMANNINGSPLAN!$D$5:$D$546,$P110))</f>
        <v>0.5</v>
      </c>
      <c r="E110" s="20">
        <f>IF($P110="","",SUMIF(BEMANNINGSPLAN!$W$5:$W$546,INDEX(BEMANNINGSPLAN!$W$5:$W$546,$P110),BEMANNINGSPLAN!$X$5:$X$546))</f>
        <v>0.52083333333333304</v>
      </c>
      <c r="F110" s="18" t="str">
        <f>IF($P110="","",INDEX(BEMANNINGSPLAN!$J$5:$J$546,$P110))</f>
        <v>P10</v>
      </c>
      <c r="G110" s="19" t="str">
        <f>IF($P110="","",INDEX(BEMANNINGSPLAN!$AD$5:$AD$546,$P110))</f>
        <v>Vanligt café</v>
      </c>
      <c r="H110" s="18" t="str">
        <f>IF($P110="","",IF(AND(INDEX(BEMANNINGSPLAN!$Y$5:$Y$546,$P110)=1,G110&lt;&gt;"Minicafé"),"X",""))</f>
        <v/>
      </c>
      <c r="I110" s="21" t="str">
        <f>IF($P110="","",IF(INDEX(BEMANNINGSPLAN!$Y$5:$Y$546,$P110)=1,"X",""))</f>
        <v/>
      </c>
      <c r="J110" s="22" t="str">
        <f>IF($P110="","",IF(SUMIF(BEMANNINGSPLAN!$W$5:$W$546,INDEX(BEMANNINGSPLAN!$W$5:$W$546,$P110),BEMANNINGSPLAN!$Z$5:$Z$546)=1,"X",""))</f>
        <v/>
      </c>
      <c r="K110" s="23" t="str">
        <f>IF($P110="","",IFERROR(LOOKUP(2,1/((BEMANNINGSPLAN!$W$5:$W$546=INDEX(BEMANNINGSPLAN!$W$5:$W$546,$P110))*(BEMANNINGSPLAN!$L$5:$L$546&lt;&gt;"")),BEMANNINGSPLAN!$L$5:$L$546),""))</f>
        <v>Vårens spel, deltagande lag sköter café</v>
      </c>
      <c r="L110" s="18">
        <f>IF($P110="","",INDEX(BEMANNINGSPLAN!$AE$5:$AE$546,$P110))</f>
        <v>0.49999999999999289</v>
      </c>
      <c r="M110" s="137"/>
      <c r="N110" s="16"/>
      <c r="O110" s="16" t="str">
        <f>IF(AND(BEMANNINGSPLAN!U108=1,OR($B$4="Alla lag",BEMANNINGSPLAN!J108=$B$4),OR($E$4="Alla datum",BEMANNINGSPLAN!A108=$E$4)),COUNT($O$6:O109)+1,"")</f>
        <v/>
      </c>
      <c r="P110" s="137">
        <f t="shared" si="1"/>
        <v>515</v>
      </c>
    </row>
    <row r="111" spans="1:16" ht="27.75" customHeight="1">
      <c r="A111" s="17">
        <f>IF($P111="","",INDEX(BEMANNINGSPLAN!$A$5:$A$546,$P111))</f>
        <v>46466</v>
      </c>
      <c r="B111" s="18" t="str">
        <f>IF($P111="","",INDEX(BEMANNINGSPLAN!$B$5:$B$546,$P111))</f>
        <v>lördag</v>
      </c>
      <c r="C111" s="19" t="str">
        <f>IF($P111="","",INDEX(BEMANNINGSPLAN!$C$5:$C$546,$P111))</f>
        <v>Ulriksdalshallen</v>
      </c>
      <c r="D111" s="20">
        <f>IF($P111="","",INDEX(BEMANNINGSPLAN!$D$5:$D$546,$P111))</f>
        <v>0.52083333333333304</v>
      </c>
      <c r="E111" s="20">
        <f>IF($P111="","",SUMIF(BEMANNINGSPLAN!$W$5:$W$546,INDEX(BEMANNINGSPLAN!$W$5:$W$546,$P111),BEMANNINGSPLAN!$X$5:$X$546))</f>
        <v>0.625</v>
      </c>
      <c r="F111" s="18" t="str">
        <f>IF($P111="","",INDEX(BEMANNINGSPLAN!$J$5:$J$546,$P111))</f>
        <v>F13</v>
      </c>
      <c r="G111" s="19" t="str">
        <f>IF($P111="","",INDEX(BEMANNINGSPLAN!$AD$5:$AD$546,$P111))</f>
        <v>Vanligt café</v>
      </c>
      <c r="H111" s="18" t="str">
        <f>IF($P111="","",IF(AND(INDEX(BEMANNINGSPLAN!$Y$5:$Y$546,$P111)=1,G111&lt;&gt;"Minicafé"),"X",""))</f>
        <v/>
      </c>
      <c r="I111" s="21" t="str">
        <f>IF($P111="","",IF(INDEX(BEMANNINGSPLAN!$Y$5:$Y$546,$P111)=1,"X",""))</f>
        <v/>
      </c>
      <c r="J111" s="22" t="str">
        <f>IF($P111="","",IF(SUMIF(BEMANNINGSPLAN!$W$5:$W$546,INDEX(BEMANNINGSPLAN!$W$5:$W$546,$P111),BEMANNINGSPLAN!$Z$5:$Z$546)=1,"X",""))</f>
        <v/>
      </c>
      <c r="K111" s="23" t="str">
        <f>IF($P111="","",IFERROR(LOOKUP(2,1/((BEMANNINGSPLAN!$W$5:$W$546=INDEX(BEMANNINGSPLAN!$W$5:$W$546,$P111))*(BEMANNINGSPLAN!$L$5:$L$546&lt;&gt;"")),BEMANNINGSPLAN!$L$5:$L$546),""))</f>
        <v/>
      </c>
      <c r="L111" s="18">
        <f>IF($P111="","",INDEX(BEMANNINGSPLAN!$AE$5:$AE$546,$P111))</f>
        <v>2.5000000000000071</v>
      </c>
      <c r="M111" s="137"/>
      <c r="N111" s="16"/>
      <c r="O111" s="16" t="str">
        <f>IF(AND(BEMANNINGSPLAN!U109=1,OR($B$4="Alla lag",BEMANNINGSPLAN!J109=$B$4),OR($E$4="Alla datum",BEMANNINGSPLAN!A109=$E$4)),COUNT($O$6:O110)+1,"")</f>
        <v/>
      </c>
      <c r="P111" s="137">
        <f t="shared" si="1"/>
        <v>516</v>
      </c>
    </row>
    <row r="112" spans="1:16" ht="27.75" customHeight="1">
      <c r="A112" s="17">
        <f>IF($P112="","",INDEX(BEMANNINGSPLAN!$A$5:$A$546,$P112))</f>
        <v>46466</v>
      </c>
      <c r="B112" s="18" t="str">
        <f>IF($P112="","",INDEX(BEMANNINGSPLAN!$B$5:$B$546,$P112))</f>
        <v>lördag</v>
      </c>
      <c r="C112" s="19" t="str">
        <f>IF($P112="","",INDEX(BEMANNINGSPLAN!$C$5:$C$546,$P112))</f>
        <v>Ulriksdalshallen</v>
      </c>
      <c r="D112" s="20">
        <f>IF($P112="","",INDEX(BEMANNINGSPLAN!$D$5:$D$546,$P112))</f>
        <v>0.625</v>
      </c>
      <c r="E112" s="20">
        <f>IF($P112="","",SUMIF(BEMANNINGSPLAN!$W$5:$W$546,INDEX(BEMANNINGSPLAN!$W$5:$W$546,$P112),BEMANNINGSPLAN!$X$5:$X$546))</f>
        <v>0.69791666666666696</v>
      </c>
      <c r="F112" s="18" t="str">
        <f>IF($P112="","",INDEX(BEMANNINGSPLAN!$J$5:$J$546,$P112))</f>
        <v>F14</v>
      </c>
      <c r="G112" s="19" t="str">
        <f>IF($P112="","",INDEX(BEMANNINGSPLAN!$AD$5:$AD$546,$P112))</f>
        <v>Vanligt café</v>
      </c>
      <c r="H112" s="18" t="str">
        <f>IF($P112="","",IF(AND(INDEX(BEMANNINGSPLAN!$Y$5:$Y$546,$P112)=1,G112&lt;&gt;"Minicafé"),"X",""))</f>
        <v/>
      </c>
      <c r="I112" s="21" t="str">
        <f>IF($P112="","",IF(INDEX(BEMANNINGSPLAN!$Y$5:$Y$546,$P112)=1,"X",""))</f>
        <v/>
      </c>
      <c r="J112" s="22" t="str">
        <f>IF($P112="","",IF(SUMIF(BEMANNINGSPLAN!$W$5:$W$546,INDEX(BEMANNINGSPLAN!$W$5:$W$546,$P112),BEMANNINGSPLAN!$Z$5:$Z$546)=1,"X",""))</f>
        <v>X</v>
      </c>
      <c r="K112" s="23" t="str">
        <f>IF($P112="","",IFERROR(LOOKUP(2,1/((BEMANNINGSPLAN!$W$5:$W$546=INDEX(BEMANNINGSPLAN!$W$5:$W$546,$P112))*(BEMANNINGSPLAN!$L$5:$L$546&lt;&gt;"")),BEMANNINGSPLAN!$L$5:$L$546),""))</f>
        <v/>
      </c>
      <c r="L112" s="18">
        <f>IF($P112="","",INDEX(BEMANNINGSPLAN!$AE$5:$AE$546,$P112))</f>
        <v>1.7500000000000071</v>
      </c>
      <c r="M112" s="137"/>
      <c r="N112" s="16"/>
      <c r="O112" s="16" t="str">
        <f>IF(AND(BEMANNINGSPLAN!U110=1,OR($B$4="Alla lag",BEMANNINGSPLAN!J110=$B$4),OR($E$4="Alla datum",BEMANNINGSPLAN!A110=$E$4)),COUNT($O$6:O111)+1,"")</f>
        <v/>
      </c>
      <c r="P112" s="137">
        <f t="shared" si="1"/>
        <v>521</v>
      </c>
    </row>
    <row r="113" spans="1:16" ht="27.75" customHeight="1">
      <c r="A113" s="17">
        <f>IF($P113="","",INDEX(BEMANNINGSPLAN!$A$5:$A$546,$P113))</f>
        <v>46490</v>
      </c>
      <c r="B113" s="18" t="str">
        <f>IF($P113="","",INDEX(BEMANNINGSPLAN!$B$5:$B$546,$P113))</f>
        <v>tisdag</v>
      </c>
      <c r="C113" s="19" t="str">
        <f>IF($P113="","",INDEX(BEMANNINGSPLAN!$C$5:$C$546,$P113))</f>
        <v>Råsta Park</v>
      </c>
      <c r="D113" s="20">
        <f>IF($P113="","",INDEX(BEMANNINGSPLAN!$D$5:$D$546,$P113))</f>
        <v>0.83333333333333304</v>
      </c>
      <c r="E113" s="20">
        <f>IF($P113="","",SUMIF(BEMANNINGSPLAN!$W$5:$W$546,INDEX(BEMANNINGSPLAN!$W$5:$W$546,$P113),BEMANNINGSPLAN!$X$5:$X$546))</f>
        <v>0.91666666666666696</v>
      </c>
      <c r="F113" s="18" t="str">
        <f>IF($P113="","",INDEX(BEMANNINGSPLAN!$J$5:$J$546,$P113))</f>
        <v>F19</v>
      </c>
      <c r="G113" s="19" t="str">
        <f>IF($P113="","",INDEX(BEMANNINGSPLAN!$AD$5:$AD$546,$P113))</f>
        <v>Minicafé</v>
      </c>
      <c r="H113" s="18" t="str">
        <f>IF($P113="","",IF(AND(INDEX(BEMANNINGSPLAN!$Y$5:$Y$546,$P113)=1,G113&lt;&gt;"Minicafé"),"X",""))</f>
        <v/>
      </c>
      <c r="I113" s="21" t="str">
        <f>IF($P113="","",IF(INDEX(BEMANNINGSPLAN!$Y$5:$Y$546,$P113)=1,"X",""))</f>
        <v>X</v>
      </c>
      <c r="J113" s="22" t="str">
        <f>IF($P113="","",IF(SUMIF(BEMANNINGSPLAN!$W$5:$W$546,INDEX(BEMANNINGSPLAN!$W$5:$W$546,$P113),BEMANNINGSPLAN!$Z$5:$Z$546)=1,"X",""))</f>
        <v>X</v>
      </c>
      <c r="K113" s="23" t="str">
        <f>IF($P113="","",IFERROR(LOOKUP(2,1/((BEMANNINGSPLAN!$W$5:$W$546=INDEX(BEMANNINGSPLAN!$W$5:$W$546,$P113))*(BEMANNINGSPLAN!$L$5:$L$546&lt;&gt;"")),BEMANNINGSPLAN!$L$5:$L$546),""))</f>
        <v/>
      </c>
      <c r="L113" s="18">
        <f>IF($P113="","",INDEX(BEMANNINGSPLAN!$AE$5:$AE$546,$P113))</f>
        <v>2.0000000000000142</v>
      </c>
      <c r="M113" s="137"/>
      <c r="N113" s="16"/>
      <c r="O113" s="16">
        <f>IF(AND(BEMANNINGSPLAN!U111=1,OR($B$4="Alla lag",BEMANNINGSPLAN!J111=$B$4),OR($E$4="Alla datum",BEMANNINGSPLAN!A111=$E$4)),COUNT($O$6:O112)+1,"")</f>
        <v>13</v>
      </c>
      <c r="P113" s="137">
        <f t="shared" si="1"/>
        <v>525</v>
      </c>
    </row>
    <row r="114" spans="1:16" ht="27.75" customHeight="1">
      <c r="A114" s="17">
        <f>IF($P114="","",INDEX(BEMANNINGSPLAN!$A$5:$A$546,$P114))</f>
        <v>46494</v>
      </c>
      <c r="B114" s="18" t="str">
        <f>IF($P114="","",INDEX(BEMANNINGSPLAN!$B$5:$B$546,$P114))</f>
        <v>lördag</v>
      </c>
      <c r="C114" s="19" t="str">
        <f>IF($P114="","",INDEX(BEMANNINGSPLAN!$C$5:$C$546,$P114))</f>
        <v>Råsta Park</v>
      </c>
      <c r="D114" s="20">
        <f>IF($P114="","",INDEX(BEMANNINGSPLAN!$D$5:$D$546,$P114))</f>
        <v>0.47916666666666702</v>
      </c>
      <c r="E114" s="20">
        <f>IF($P114="","",SUMIF(BEMANNINGSPLAN!$W$5:$W$546,INDEX(BEMANNINGSPLAN!$W$5:$W$546,$P114),BEMANNINGSPLAN!$X$5:$X$546))</f>
        <v>0.625</v>
      </c>
      <c r="F114" s="18" t="str">
        <f>IF($P114="","",INDEX(BEMANNINGSPLAN!$J$5:$J$546,$P114))</f>
        <v>P16</v>
      </c>
      <c r="G114" s="19" t="str">
        <f>IF($P114="","",INDEX(BEMANNINGSPLAN!$AD$5:$AD$546,$P114))</f>
        <v>Vanligt café</v>
      </c>
      <c r="H114" s="18" t="str">
        <f>IF($P114="","",IF(AND(INDEX(BEMANNINGSPLAN!$Y$5:$Y$546,$P114)=1,G114&lt;&gt;"Minicafé"),"X",""))</f>
        <v>X</v>
      </c>
      <c r="I114" s="21" t="str">
        <f>IF($P114="","",IF(INDEX(BEMANNINGSPLAN!$Y$5:$Y$546,$P114)=1,"X",""))</f>
        <v>X</v>
      </c>
      <c r="J114" s="22" t="str">
        <f>IF($P114="","",IF(SUMIF(BEMANNINGSPLAN!$W$5:$W$546,INDEX(BEMANNINGSPLAN!$W$5:$W$546,$P114),BEMANNINGSPLAN!$Z$5:$Z$546)=1,"X",""))</f>
        <v>X</v>
      </c>
      <c r="K114" s="23" t="str">
        <f>IF($P114="","",IFERROR(LOOKUP(2,1/((BEMANNINGSPLAN!$W$5:$W$546=INDEX(BEMANNINGSPLAN!$W$5:$W$546,$P114))*(BEMANNINGSPLAN!$L$5:$L$546&lt;&gt;"")),BEMANNINGSPLAN!$L$5:$L$546),""))</f>
        <v/>
      </c>
      <c r="L114" s="18">
        <f>IF($P114="","",INDEX(BEMANNINGSPLAN!$AE$5:$AE$546,$P114))</f>
        <v>3.4999999999999916</v>
      </c>
      <c r="M114" s="137"/>
      <c r="N114" s="16"/>
      <c r="O114" s="16" t="str">
        <f>IF(AND(BEMANNINGSPLAN!U112=1,OR($B$4="Alla lag",BEMANNINGSPLAN!J112=$B$4),OR($E$4="Alla datum",BEMANNINGSPLAN!A112=$E$4)),COUNT($O$6:O113)+1,"")</f>
        <v/>
      </c>
      <c r="P114" s="137">
        <f t="shared" si="1"/>
        <v>529</v>
      </c>
    </row>
    <row r="115" spans="1:16" ht="27.75" customHeight="1">
      <c r="A115" s="17">
        <f>IF($P115="","",INDEX(BEMANNINGSPLAN!$A$5:$A$546,$P115))</f>
        <v>46494</v>
      </c>
      <c r="B115" s="18" t="str">
        <f>IF($P115="","",INDEX(BEMANNINGSPLAN!$B$5:$B$546,$P115))</f>
        <v>lördag</v>
      </c>
      <c r="C115" s="19" t="str">
        <f>IF($P115="","",INDEX(BEMANNINGSPLAN!$C$5:$C$546,$P115))</f>
        <v>Tallbackaskolan</v>
      </c>
      <c r="D115" s="20">
        <f>IF($P115="","",INDEX(BEMANNINGSPLAN!$D$5:$D$546,$P115))</f>
        <v>0.39583333333333298</v>
      </c>
      <c r="E115" s="20">
        <f>IF($P115="","",SUMIF(BEMANNINGSPLAN!$W$5:$W$546,INDEX(BEMANNINGSPLAN!$W$5:$W$546,$P115),BEMANNINGSPLAN!$X$5:$X$546))</f>
        <v>0.54166666666666696</v>
      </c>
      <c r="F115" s="18" t="str">
        <f>IF($P115="","",INDEX(BEMANNINGSPLAN!$J$5:$J$546,$P115))</f>
        <v>F13</v>
      </c>
      <c r="G115" s="19" t="str">
        <f>IF($P115="","",INDEX(BEMANNINGSPLAN!$AD$5:$AD$546,$P115))</f>
        <v>Vanligt café</v>
      </c>
      <c r="H115" s="18" t="str">
        <f>IF($P115="","",IF(AND(INDEX(BEMANNINGSPLAN!$Y$5:$Y$546,$P115)=1,G115&lt;&gt;"Minicafé"),"X",""))</f>
        <v>X</v>
      </c>
      <c r="I115" s="21" t="str">
        <f>IF($P115="","",IF(INDEX(BEMANNINGSPLAN!$Y$5:$Y$546,$P115)=1,"X",""))</f>
        <v>X</v>
      </c>
      <c r="J115" s="22" t="str">
        <f>IF($P115="","",IF(SUMIF(BEMANNINGSPLAN!$W$5:$W$546,INDEX(BEMANNINGSPLAN!$W$5:$W$546,$P115),BEMANNINGSPLAN!$Z$5:$Z$546)=1,"X",""))</f>
        <v>X</v>
      </c>
      <c r="K115" s="23" t="str">
        <f>IF($P115="","",IFERROR(LOOKUP(2,1/((BEMANNINGSPLAN!$W$5:$W$546=INDEX(BEMANNINGSPLAN!$W$5:$W$546,$P115))*(BEMANNINGSPLAN!$L$5:$L$546&lt;&gt;"")),BEMANNINGSPLAN!$L$5:$L$546),""))</f>
        <v/>
      </c>
      <c r="L115" s="18">
        <f>IF($P115="","",INDEX(BEMANNINGSPLAN!$AE$5:$AE$546,$P115))</f>
        <v>3.5000000000000155</v>
      </c>
      <c r="M115" s="137"/>
      <c r="N115" s="16"/>
      <c r="O115" s="16" t="str">
        <f>IF(AND(BEMANNINGSPLAN!U113=1,OR($B$4="Alla lag",BEMANNINGSPLAN!J113=$B$4),OR($E$4="Alla datum",BEMANNINGSPLAN!A113=$E$4)),COUNT($O$6:O114)+1,"")</f>
        <v/>
      </c>
      <c r="P115" s="137">
        <f t="shared" si="1"/>
        <v>536</v>
      </c>
    </row>
    <row r="116" spans="1:16" ht="27.75" customHeight="1">
      <c r="A116" s="17" t="str">
        <f>IF($P116="","",INDEX(BEMANNINGSPLAN!$A$5:$A$546,$P116))</f>
        <v/>
      </c>
      <c r="B116" s="18" t="str">
        <f>IF($P116="","",INDEX(BEMANNINGSPLAN!$B$5:$B$546,$P116))</f>
        <v/>
      </c>
      <c r="C116" s="19" t="str">
        <f>IF($P116="","",INDEX(BEMANNINGSPLAN!$C$5:$C$546,$P116))</f>
        <v/>
      </c>
      <c r="D116" s="20" t="str">
        <f>IF($P116="","",INDEX(BEMANNINGSPLAN!$D$5:$D$546,$P116))</f>
        <v/>
      </c>
      <c r="E116" s="20" t="str">
        <f>IF($P116="","",SUMIF(BEMANNINGSPLAN!$W$5:$W$546,INDEX(BEMANNINGSPLAN!$W$5:$W$546,$P116),BEMANNINGSPLAN!$X$5:$X$546))</f>
        <v/>
      </c>
      <c r="F116" s="18" t="str">
        <f>IF($P116="","",INDEX(BEMANNINGSPLAN!$J$5:$J$546,$P116))</f>
        <v/>
      </c>
      <c r="G116" s="19" t="str">
        <f>IF($P116="","",INDEX(BEMANNINGSPLAN!$AD$5:$AD$546,$P116))</f>
        <v/>
      </c>
      <c r="H116" s="18" t="str">
        <f>IF($P116="","",IF(AND(INDEX(BEMANNINGSPLAN!$Y$5:$Y$546,$P116)=1,G116&lt;&gt;"Minicafé"),"X",""))</f>
        <v/>
      </c>
      <c r="I116" s="21" t="str">
        <f>IF($P116="","",IF(INDEX(BEMANNINGSPLAN!$Y$5:$Y$546,$P116)=1,"X",""))</f>
        <v/>
      </c>
      <c r="J116" s="22" t="str">
        <f>IF($P116="","",IF(SUMIF(BEMANNINGSPLAN!$W$5:$W$546,INDEX(BEMANNINGSPLAN!$W$5:$W$546,$P116),BEMANNINGSPLAN!$Z$5:$Z$546)=1,"X",""))</f>
        <v/>
      </c>
      <c r="K116" s="23" t="str">
        <f>IF($P116="","",IFERROR(LOOKUP(2,1/((BEMANNINGSPLAN!$W$5:$W$546=INDEX(BEMANNINGSPLAN!$W$5:$W$546,$P116))*(BEMANNINGSPLAN!$L$5:$L$546&lt;&gt;"")),BEMANNINGSPLAN!$L$5:$L$546),""))</f>
        <v/>
      </c>
      <c r="L116" s="18" t="str">
        <f>IF($P116="","",INDEX(BEMANNINGSPLAN!$AE$5:$AE$546,$P116))</f>
        <v/>
      </c>
      <c r="M116" s="137"/>
      <c r="N116" s="16"/>
      <c r="O116" s="16" t="str">
        <f>IF(AND(BEMANNINGSPLAN!U114=1,OR($B$4="Alla lag",BEMANNINGSPLAN!J114=$B$4),OR($E$4="Alla datum",BEMANNINGSPLAN!A114=$E$4)),COUNT($O$6:O115)+1,"")</f>
        <v/>
      </c>
      <c r="P116" s="137" t="str">
        <f t="shared" si="1"/>
        <v/>
      </c>
    </row>
    <row r="117" spans="1:16" ht="27.75" customHeight="1">
      <c r="A117" s="17" t="str">
        <f>IF($P117="","",INDEX(BEMANNINGSPLAN!$A$5:$A$546,$P117))</f>
        <v/>
      </c>
      <c r="B117" s="18" t="str">
        <f>IF($P117="","",INDEX(BEMANNINGSPLAN!$B$5:$B$546,$P117))</f>
        <v/>
      </c>
      <c r="C117" s="19" t="str">
        <f>IF($P117="","",INDEX(BEMANNINGSPLAN!$C$5:$C$546,$P117))</f>
        <v/>
      </c>
      <c r="D117" s="20" t="str">
        <f>IF($P117="","",INDEX(BEMANNINGSPLAN!$D$5:$D$546,$P117))</f>
        <v/>
      </c>
      <c r="E117" s="20" t="str">
        <f>IF($P117="","",SUMIF(BEMANNINGSPLAN!$W$5:$W$546,INDEX(BEMANNINGSPLAN!$W$5:$W$546,$P117),BEMANNINGSPLAN!$X$5:$X$546))</f>
        <v/>
      </c>
      <c r="F117" s="18" t="str">
        <f>IF($P117="","",INDEX(BEMANNINGSPLAN!$J$5:$J$546,$P117))</f>
        <v/>
      </c>
      <c r="G117" s="19" t="str">
        <f>IF($P117="","",INDEX(BEMANNINGSPLAN!$AD$5:$AD$546,$P117))</f>
        <v/>
      </c>
      <c r="H117" s="18" t="str">
        <f>IF($P117="","",IF(AND(INDEX(BEMANNINGSPLAN!$Y$5:$Y$546,$P117)=1,G117&lt;&gt;"Minicafé"),"X",""))</f>
        <v/>
      </c>
      <c r="I117" s="21" t="str">
        <f>IF($P117="","",IF(INDEX(BEMANNINGSPLAN!$Y$5:$Y$546,$P117)=1,"X",""))</f>
        <v/>
      </c>
      <c r="J117" s="22" t="str">
        <f>IF($P117="","",IF(SUMIF(BEMANNINGSPLAN!$W$5:$W$546,INDEX(BEMANNINGSPLAN!$W$5:$W$546,$P117),BEMANNINGSPLAN!$Z$5:$Z$546)=1,"X",""))</f>
        <v/>
      </c>
      <c r="K117" s="23" t="str">
        <f>IF($P117="","",IFERROR(LOOKUP(2,1/((BEMANNINGSPLAN!$W$5:$W$546=INDEX(BEMANNINGSPLAN!$W$5:$W$546,$P117))*(BEMANNINGSPLAN!$L$5:$L$546&lt;&gt;"")),BEMANNINGSPLAN!$L$5:$L$546),""))</f>
        <v/>
      </c>
      <c r="L117" s="18" t="str">
        <f>IF($P117="","",INDEX(BEMANNINGSPLAN!$AE$5:$AE$546,$P117))</f>
        <v/>
      </c>
      <c r="M117" s="137"/>
      <c r="N117" s="16"/>
      <c r="O117" s="16" t="str">
        <f>IF(AND(BEMANNINGSPLAN!U115=1,OR($B$4="Alla lag",BEMANNINGSPLAN!J115=$B$4),OR($E$4="Alla datum",BEMANNINGSPLAN!A115=$E$4)),COUNT($O$6:O116)+1,"")</f>
        <v/>
      </c>
      <c r="P117" s="137" t="str">
        <f t="shared" si="1"/>
        <v/>
      </c>
    </row>
    <row r="118" spans="1:16" ht="27.75" customHeight="1">
      <c r="A118" s="17" t="str">
        <f>IF($P118="","",INDEX(BEMANNINGSPLAN!$A$5:$A$546,$P118))</f>
        <v/>
      </c>
      <c r="B118" s="18" t="str">
        <f>IF($P118="","",INDEX(BEMANNINGSPLAN!$B$5:$B$546,$P118))</f>
        <v/>
      </c>
      <c r="C118" s="19" t="str">
        <f>IF($P118="","",INDEX(BEMANNINGSPLAN!$C$5:$C$546,$P118))</f>
        <v/>
      </c>
      <c r="D118" s="20" t="str">
        <f>IF($P118="","",INDEX(BEMANNINGSPLAN!$D$5:$D$546,$P118))</f>
        <v/>
      </c>
      <c r="E118" s="20" t="str">
        <f>IF($P118="","",SUMIF(BEMANNINGSPLAN!$W$5:$W$546,INDEX(BEMANNINGSPLAN!$W$5:$W$546,$P118),BEMANNINGSPLAN!$X$5:$X$546))</f>
        <v/>
      </c>
      <c r="F118" s="18" t="str">
        <f>IF($P118="","",INDEX(BEMANNINGSPLAN!$J$5:$J$546,$P118))</f>
        <v/>
      </c>
      <c r="G118" s="19" t="str">
        <f>IF($P118="","",INDEX(BEMANNINGSPLAN!$AD$5:$AD$546,$P118))</f>
        <v/>
      </c>
      <c r="H118" s="18" t="str">
        <f>IF($P118="","",IF(AND(INDEX(BEMANNINGSPLAN!$Y$5:$Y$546,$P118)=1,G118&lt;&gt;"Minicafé"),"X",""))</f>
        <v/>
      </c>
      <c r="I118" s="21" t="str">
        <f>IF($P118="","",IF(INDEX(BEMANNINGSPLAN!$Y$5:$Y$546,$P118)=1,"X",""))</f>
        <v/>
      </c>
      <c r="J118" s="22" t="str">
        <f>IF($P118="","",IF(SUMIF(BEMANNINGSPLAN!$W$5:$W$546,INDEX(BEMANNINGSPLAN!$W$5:$W$546,$P118),BEMANNINGSPLAN!$Z$5:$Z$546)=1,"X",""))</f>
        <v/>
      </c>
      <c r="K118" s="23" t="str">
        <f>IF($P118="","",IFERROR(LOOKUP(2,1/((BEMANNINGSPLAN!$W$5:$W$546=INDEX(BEMANNINGSPLAN!$W$5:$W$546,$P118))*(BEMANNINGSPLAN!$L$5:$L$546&lt;&gt;"")),BEMANNINGSPLAN!$L$5:$L$546),""))</f>
        <v/>
      </c>
      <c r="L118" s="18" t="str">
        <f>IF($P118="","",INDEX(BEMANNINGSPLAN!$AE$5:$AE$546,$P118))</f>
        <v/>
      </c>
      <c r="M118" s="137"/>
      <c r="N118" s="16"/>
      <c r="O118" s="16" t="str">
        <f>IF(AND(BEMANNINGSPLAN!U116=1,OR($B$4="Alla lag",BEMANNINGSPLAN!J116=$B$4),OR($E$4="Alla datum",BEMANNINGSPLAN!A116=$E$4)),COUNT($O$6:O117)+1,"")</f>
        <v/>
      </c>
      <c r="P118" s="137" t="str">
        <f t="shared" si="1"/>
        <v/>
      </c>
    </row>
    <row r="119" spans="1:16" ht="27.75" customHeight="1">
      <c r="A119" s="17" t="str">
        <f>IF($P119="","",INDEX(BEMANNINGSPLAN!$A$5:$A$546,$P119))</f>
        <v/>
      </c>
      <c r="B119" s="18" t="str">
        <f>IF($P119="","",INDEX(BEMANNINGSPLAN!$B$5:$B$546,$P119))</f>
        <v/>
      </c>
      <c r="C119" s="19" t="str">
        <f>IF($P119="","",INDEX(BEMANNINGSPLAN!$C$5:$C$546,$P119))</f>
        <v/>
      </c>
      <c r="D119" s="20" t="str">
        <f>IF($P119="","",INDEX(BEMANNINGSPLAN!$D$5:$D$546,$P119))</f>
        <v/>
      </c>
      <c r="E119" s="20" t="str">
        <f>IF($P119="","",SUMIF(BEMANNINGSPLAN!$W$5:$W$546,INDEX(BEMANNINGSPLAN!$W$5:$W$546,$P119),BEMANNINGSPLAN!$X$5:$X$546))</f>
        <v/>
      </c>
      <c r="F119" s="18" t="str">
        <f>IF($P119="","",INDEX(BEMANNINGSPLAN!$J$5:$J$546,$P119))</f>
        <v/>
      </c>
      <c r="G119" s="19" t="str">
        <f>IF($P119="","",INDEX(BEMANNINGSPLAN!$AD$5:$AD$546,$P119))</f>
        <v/>
      </c>
      <c r="H119" s="18" t="str">
        <f>IF($P119="","",IF(AND(INDEX(BEMANNINGSPLAN!$Y$5:$Y$546,$P119)=1,G119&lt;&gt;"Minicafé"),"X",""))</f>
        <v/>
      </c>
      <c r="I119" s="21" t="str">
        <f>IF($P119="","",IF(INDEX(BEMANNINGSPLAN!$Y$5:$Y$546,$P119)=1,"X",""))</f>
        <v/>
      </c>
      <c r="J119" s="22" t="str">
        <f>IF($P119="","",IF(SUMIF(BEMANNINGSPLAN!$W$5:$W$546,INDEX(BEMANNINGSPLAN!$W$5:$W$546,$P119),BEMANNINGSPLAN!$Z$5:$Z$546)=1,"X",""))</f>
        <v/>
      </c>
      <c r="K119" s="23" t="str">
        <f>IF($P119="","",IFERROR(LOOKUP(2,1/((BEMANNINGSPLAN!$W$5:$W$546=INDEX(BEMANNINGSPLAN!$W$5:$W$546,$P119))*(BEMANNINGSPLAN!$L$5:$L$546&lt;&gt;"")),BEMANNINGSPLAN!$L$5:$L$546),""))</f>
        <v/>
      </c>
      <c r="L119" s="18" t="str">
        <f>IF($P119="","",INDEX(BEMANNINGSPLAN!$AE$5:$AE$546,$P119))</f>
        <v/>
      </c>
      <c r="M119" s="137"/>
      <c r="N119" s="16"/>
      <c r="O119" s="16" t="str">
        <f>IF(AND(BEMANNINGSPLAN!U117=1,OR($B$4="Alla lag",BEMANNINGSPLAN!J117=$B$4),OR($E$4="Alla datum",BEMANNINGSPLAN!A117=$E$4)),COUNT($O$6:O118)+1,"")</f>
        <v/>
      </c>
      <c r="P119" s="137" t="str">
        <f t="shared" si="1"/>
        <v/>
      </c>
    </row>
    <row r="120" spans="1:16" ht="27.75" customHeight="1">
      <c r="A120" s="17" t="str">
        <f>IF($P120="","",INDEX(BEMANNINGSPLAN!$A$5:$A$546,$P120))</f>
        <v/>
      </c>
      <c r="B120" s="18" t="str">
        <f>IF($P120="","",INDEX(BEMANNINGSPLAN!$B$5:$B$546,$P120))</f>
        <v/>
      </c>
      <c r="C120" s="19" t="str">
        <f>IF($P120="","",INDEX(BEMANNINGSPLAN!$C$5:$C$546,$P120))</f>
        <v/>
      </c>
      <c r="D120" s="20" t="str">
        <f>IF($P120="","",INDEX(BEMANNINGSPLAN!$D$5:$D$546,$P120))</f>
        <v/>
      </c>
      <c r="E120" s="20" t="str">
        <f>IF($P120="","",SUMIF(BEMANNINGSPLAN!$W$5:$W$546,INDEX(BEMANNINGSPLAN!$W$5:$W$546,$P120),BEMANNINGSPLAN!$X$5:$X$546))</f>
        <v/>
      </c>
      <c r="F120" s="18" t="str">
        <f>IF($P120="","",INDEX(BEMANNINGSPLAN!$J$5:$J$546,$P120))</f>
        <v/>
      </c>
      <c r="G120" s="19" t="str">
        <f>IF($P120="","",INDEX(BEMANNINGSPLAN!$AD$5:$AD$546,$P120))</f>
        <v/>
      </c>
      <c r="H120" s="18" t="str">
        <f>IF($P120="","",IF(AND(INDEX(BEMANNINGSPLAN!$Y$5:$Y$546,$P120)=1,G120&lt;&gt;"Minicafé"),"X",""))</f>
        <v/>
      </c>
      <c r="I120" s="21" t="str">
        <f>IF($P120="","",IF(INDEX(BEMANNINGSPLAN!$Y$5:$Y$546,$P120)=1,"X",""))</f>
        <v/>
      </c>
      <c r="J120" s="22" t="str">
        <f>IF($P120="","",IF(SUMIF(BEMANNINGSPLAN!$W$5:$W$546,INDEX(BEMANNINGSPLAN!$W$5:$W$546,$P120),BEMANNINGSPLAN!$Z$5:$Z$546)=1,"X",""))</f>
        <v/>
      </c>
      <c r="K120" s="23" t="str">
        <f>IF($P120="","",IFERROR(LOOKUP(2,1/((BEMANNINGSPLAN!$W$5:$W$546=INDEX(BEMANNINGSPLAN!$W$5:$W$546,$P120))*(BEMANNINGSPLAN!$L$5:$L$546&lt;&gt;"")),BEMANNINGSPLAN!$L$5:$L$546),""))</f>
        <v/>
      </c>
      <c r="L120" s="18" t="str">
        <f>IF($P120="","",INDEX(BEMANNINGSPLAN!$AE$5:$AE$546,$P120))</f>
        <v/>
      </c>
      <c r="M120" s="137"/>
      <c r="N120" s="16"/>
      <c r="O120" s="16" t="str">
        <f>IF(AND(BEMANNINGSPLAN!U118=1,OR($B$4="Alla lag",BEMANNINGSPLAN!J118=$B$4),OR($E$4="Alla datum",BEMANNINGSPLAN!A118=$E$4)),COUNT($O$6:O119)+1,"")</f>
        <v/>
      </c>
      <c r="P120" s="137" t="str">
        <f t="shared" si="1"/>
        <v/>
      </c>
    </row>
    <row r="121" spans="1:16" ht="27.75" customHeight="1">
      <c r="A121" s="17" t="str">
        <f>IF($P121="","",INDEX(BEMANNINGSPLAN!$A$5:$A$546,$P121))</f>
        <v/>
      </c>
      <c r="B121" s="18" t="str">
        <f>IF($P121="","",INDEX(BEMANNINGSPLAN!$B$5:$B$546,$P121))</f>
        <v/>
      </c>
      <c r="C121" s="19" t="str">
        <f>IF($P121="","",INDEX(BEMANNINGSPLAN!$C$5:$C$546,$P121))</f>
        <v/>
      </c>
      <c r="D121" s="20" t="str">
        <f>IF($P121="","",INDEX(BEMANNINGSPLAN!$D$5:$D$546,$P121))</f>
        <v/>
      </c>
      <c r="E121" s="20" t="str">
        <f>IF($P121="","",SUMIF(BEMANNINGSPLAN!$W$5:$W$546,INDEX(BEMANNINGSPLAN!$W$5:$W$546,$P121),BEMANNINGSPLAN!$X$5:$X$546))</f>
        <v/>
      </c>
      <c r="F121" s="18" t="str">
        <f>IF($P121="","",INDEX(BEMANNINGSPLAN!$J$5:$J$546,$P121))</f>
        <v/>
      </c>
      <c r="G121" s="19" t="str">
        <f>IF($P121="","",INDEX(BEMANNINGSPLAN!$AD$5:$AD$546,$P121))</f>
        <v/>
      </c>
      <c r="H121" s="18" t="str">
        <f>IF($P121="","",IF(AND(INDEX(BEMANNINGSPLAN!$Y$5:$Y$546,$P121)=1,G121&lt;&gt;"Minicafé"),"X",""))</f>
        <v/>
      </c>
      <c r="I121" s="21" t="str">
        <f>IF($P121="","",IF(INDEX(BEMANNINGSPLAN!$Y$5:$Y$546,$P121)=1,"X",""))</f>
        <v/>
      </c>
      <c r="J121" s="22" t="str">
        <f>IF($P121="","",IF(SUMIF(BEMANNINGSPLAN!$W$5:$W$546,INDEX(BEMANNINGSPLAN!$W$5:$W$546,$P121),BEMANNINGSPLAN!$Z$5:$Z$546)=1,"X",""))</f>
        <v/>
      </c>
      <c r="K121" s="23" t="str">
        <f>IF($P121="","",IFERROR(LOOKUP(2,1/((BEMANNINGSPLAN!$W$5:$W$546=INDEX(BEMANNINGSPLAN!$W$5:$W$546,$P121))*(BEMANNINGSPLAN!$L$5:$L$546&lt;&gt;"")),BEMANNINGSPLAN!$L$5:$L$546),""))</f>
        <v/>
      </c>
      <c r="L121" s="18" t="str">
        <f>IF($P121="","",INDEX(BEMANNINGSPLAN!$AE$5:$AE$546,$P121))</f>
        <v/>
      </c>
      <c r="M121" s="137"/>
      <c r="N121" s="16"/>
      <c r="O121" s="16" t="str">
        <f>IF(AND(BEMANNINGSPLAN!U119=1,OR($B$4="Alla lag",BEMANNINGSPLAN!J119=$B$4),OR($E$4="Alla datum",BEMANNINGSPLAN!A119=$E$4)),COUNT($O$6:O120)+1,"")</f>
        <v/>
      </c>
      <c r="P121" s="137" t="str">
        <f t="shared" si="1"/>
        <v/>
      </c>
    </row>
    <row r="122" spans="1:16" ht="27.75" customHeight="1">
      <c r="A122" s="17" t="str">
        <f>IF($P122="","",INDEX(BEMANNINGSPLAN!$A$5:$A$546,$P122))</f>
        <v/>
      </c>
      <c r="B122" s="18" t="str">
        <f>IF($P122="","",INDEX(BEMANNINGSPLAN!$B$5:$B$546,$P122))</f>
        <v/>
      </c>
      <c r="C122" s="19" t="str">
        <f>IF($P122="","",INDEX(BEMANNINGSPLAN!$C$5:$C$546,$P122))</f>
        <v/>
      </c>
      <c r="D122" s="20" t="str">
        <f>IF($P122="","",INDEX(BEMANNINGSPLAN!$D$5:$D$546,$P122))</f>
        <v/>
      </c>
      <c r="E122" s="20" t="str">
        <f>IF($P122="","",SUMIF(BEMANNINGSPLAN!$W$5:$W$546,INDEX(BEMANNINGSPLAN!$W$5:$W$546,$P122),BEMANNINGSPLAN!$X$5:$X$546))</f>
        <v/>
      </c>
      <c r="F122" s="18" t="str">
        <f>IF($P122="","",INDEX(BEMANNINGSPLAN!$J$5:$J$546,$P122))</f>
        <v/>
      </c>
      <c r="G122" s="19" t="str">
        <f>IF($P122="","",INDEX(BEMANNINGSPLAN!$AD$5:$AD$546,$P122))</f>
        <v/>
      </c>
      <c r="H122" s="18" t="str">
        <f>IF($P122="","",IF(AND(INDEX(BEMANNINGSPLAN!$Y$5:$Y$546,$P122)=1,G122&lt;&gt;"Minicafé"),"X",""))</f>
        <v/>
      </c>
      <c r="I122" s="21" t="str">
        <f>IF($P122="","",IF(INDEX(BEMANNINGSPLAN!$Y$5:$Y$546,$P122)=1,"X",""))</f>
        <v/>
      </c>
      <c r="J122" s="22" t="str">
        <f>IF($P122="","",IF(SUMIF(BEMANNINGSPLAN!$W$5:$W$546,INDEX(BEMANNINGSPLAN!$W$5:$W$546,$P122),BEMANNINGSPLAN!$Z$5:$Z$546)=1,"X",""))</f>
        <v/>
      </c>
      <c r="K122" s="23" t="str">
        <f>IF($P122="","",IFERROR(LOOKUP(2,1/((BEMANNINGSPLAN!$W$5:$W$546=INDEX(BEMANNINGSPLAN!$W$5:$W$546,$P122))*(BEMANNINGSPLAN!$L$5:$L$546&lt;&gt;"")),BEMANNINGSPLAN!$L$5:$L$546),""))</f>
        <v/>
      </c>
      <c r="L122" s="18" t="str">
        <f>IF($P122="","",INDEX(BEMANNINGSPLAN!$AE$5:$AE$546,$P122))</f>
        <v/>
      </c>
      <c r="M122" s="137"/>
      <c r="N122" s="16"/>
      <c r="O122" s="16" t="str">
        <f>IF(AND(BEMANNINGSPLAN!U120=1,OR($B$4="Alla lag",BEMANNINGSPLAN!J120=$B$4),OR($E$4="Alla datum",BEMANNINGSPLAN!A120=$E$4)),COUNT($O$6:O121)+1,"")</f>
        <v/>
      </c>
      <c r="P122" s="137" t="str">
        <f t="shared" si="1"/>
        <v/>
      </c>
    </row>
    <row r="123" spans="1:16" ht="27.75" customHeight="1">
      <c r="A123" s="17" t="str">
        <f>IF($P123="","",INDEX(BEMANNINGSPLAN!$A$5:$A$546,$P123))</f>
        <v/>
      </c>
      <c r="B123" s="18" t="str">
        <f>IF($P123="","",INDEX(BEMANNINGSPLAN!$B$5:$B$546,$P123))</f>
        <v/>
      </c>
      <c r="C123" s="19" t="str">
        <f>IF($P123="","",INDEX(BEMANNINGSPLAN!$C$5:$C$546,$P123))</f>
        <v/>
      </c>
      <c r="D123" s="20" t="str">
        <f>IF($P123="","",INDEX(BEMANNINGSPLAN!$D$5:$D$546,$P123))</f>
        <v/>
      </c>
      <c r="E123" s="20" t="str">
        <f>IF($P123="","",SUMIF(BEMANNINGSPLAN!$W$5:$W$546,INDEX(BEMANNINGSPLAN!$W$5:$W$546,$P123),BEMANNINGSPLAN!$X$5:$X$546))</f>
        <v/>
      </c>
      <c r="F123" s="18" t="str">
        <f>IF($P123="","",INDEX(BEMANNINGSPLAN!$J$5:$J$546,$P123))</f>
        <v/>
      </c>
      <c r="G123" s="19" t="str">
        <f>IF($P123="","",INDEX(BEMANNINGSPLAN!$AD$5:$AD$546,$P123))</f>
        <v/>
      </c>
      <c r="H123" s="18" t="str">
        <f>IF($P123="","",IF(AND(INDEX(BEMANNINGSPLAN!$Y$5:$Y$546,$P123)=1,G123&lt;&gt;"Minicafé"),"X",""))</f>
        <v/>
      </c>
      <c r="I123" s="21" t="str">
        <f>IF($P123="","",IF(INDEX(BEMANNINGSPLAN!$Y$5:$Y$546,$P123)=1,"X",""))</f>
        <v/>
      </c>
      <c r="J123" s="22" t="str">
        <f>IF($P123="","",IF(SUMIF(BEMANNINGSPLAN!$W$5:$W$546,INDEX(BEMANNINGSPLAN!$W$5:$W$546,$P123),BEMANNINGSPLAN!$Z$5:$Z$546)=1,"X",""))</f>
        <v/>
      </c>
      <c r="K123" s="23" t="str">
        <f>IF($P123="","",IFERROR(LOOKUP(2,1/((BEMANNINGSPLAN!$W$5:$W$546=INDEX(BEMANNINGSPLAN!$W$5:$W$546,$P123))*(BEMANNINGSPLAN!$L$5:$L$546&lt;&gt;"")),BEMANNINGSPLAN!$L$5:$L$546),""))</f>
        <v/>
      </c>
      <c r="L123" s="18" t="str">
        <f>IF($P123="","",INDEX(BEMANNINGSPLAN!$AE$5:$AE$546,$P123))</f>
        <v/>
      </c>
      <c r="M123" s="137"/>
      <c r="N123" s="16"/>
      <c r="O123" s="16" t="str">
        <f>IF(AND(BEMANNINGSPLAN!U121=1,OR($B$4="Alla lag",BEMANNINGSPLAN!J121=$B$4),OR($E$4="Alla datum",BEMANNINGSPLAN!A121=$E$4)),COUNT($O$6:O122)+1,"")</f>
        <v/>
      </c>
      <c r="P123" s="137" t="str">
        <f t="shared" si="1"/>
        <v/>
      </c>
    </row>
    <row r="124" spans="1:16" ht="27.75" customHeight="1">
      <c r="A124" s="17" t="str">
        <f>IF($P124="","",INDEX(BEMANNINGSPLAN!$A$5:$A$546,$P124))</f>
        <v/>
      </c>
      <c r="B124" s="18" t="str">
        <f>IF($P124="","",INDEX(BEMANNINGSPLAN!$B$5:$B$546,$P124))</f>
        <v/>
      </c>
      <c r="C124" s="19" t="str">
        <f>IF($P124="","",INDEX(BEMANNINGSPLAN!$C$5:$C$546,$P124))</f>
        <v/>
      </c>
      <c r="D124" s="20" t="str">
        <f>IF($P124="","",INDEX(BEMANNINGSPLAN!$D$5:$D$546,$P124))</f>
        <v/>
      </c>
      <c r="E124" s="20" t="str">
        <f>IF($P124="","",SUMIF(BEMANNINGSPLAN!$W$5:$W$546,INDEX(BEMANNINGSPLAN!$W$5:$W$546,$P124),BEMANNINGSPLAN!$X$5:$X$546))</f>
        <v/>
      </c>
      <c r="F124" s="18" t="str">
        <f>IF($P124="","",INDEX(BEMANNINGSPLAN!$J$5:$J$546,$P124))</f>
        <v/>
      </c>
      <c r="G124" s="19" t="str">
        <f>IF($P124="","",INDEX(BEMANNINGSPLAN!$AD$5:$AD$546,$P124))</f>
        <v/>
      </c>
      <c r="H124" s="18" t="str">
        <f>IF($P124="","",IF(AND(INDEX(BEMANNINGSPLAN!$Y$5:$Y$546,$P124)=1,G124&lt;&gt;"Minicafé"),"X",""))</f>
        <v/>
      </c>
      <c r="I124" s="21" t="str">
        <f>IF($P124="","",IF(INDEX(BEMANNINGSPLAN!$Y$5:$Y$546,$P124)=1,"X",""))</f>
        <v/>
      </c>
      <c r="J124" s="22" t="str">
        <f>IF($P124="","",IF(SUMIF(BEMANNINGSPLAN!$W$5:$W$546,INDEX(BEMANNINGSPLAN!$W$5:$W$546,$P124),BEMANNINGSPLAN!$Z$5:$Z$546)=1,"X",""))</f>
        <v/>
      </c>
      <c r="K124" s="23" t="str">
        <f>IF($P124="","",IFERROR(LOOKUP(2,1/((BEMANNINGSPLAN!$W$5:$W$546=INDEX(BEMANNINGSPLAN!$W$5:$W$546,$P124))*(BEMANNINGSPLAN!$L$5:$L$546&lt;&gt;"")),BEMANNINGSPLAN!$L$5:$L$546),""))</f>
        <v/>
      </c>
      <c r="L124" s="18" t="str">
        <f>IF($P124="","",INDEX(BEMANNINGSPLAN!$AE$5:$AE$546,$P124))</f>
        <v/>
      </c>
      <c r="M124" s="137"/>
      <c r="N124" s="16"/>
      <c r="O124" s="16" t="str">
        <f>IF(AND(BEMANNINGSPLAN!U122=1,OR($B$4="Alla lag",BEMANNINGSPLAN!J122=$B$4),OR($E$4="Alla datum",BEMANNINGSPLAN!A122=$E$4)),COUNT($O$6:O123)+1,"")</f>
        <v/>
      </c>
      <c r="P124" s="137" t="str">
        <f t="shared" si="1"/>
        <v/>
      </c>
    </row>
    <row r="125" spans="1:16" ht="27.75" customHeight="1">
      <c r="A125" s="17" t="str">
        <f>IF($P125="","",INDEX(BEMANNINGSPLAN!$A$5:$A$546,$P125))</f>
        <v/>
      </c>
      <c r="B125" s="18" t="str">
        <f>IF($P125="","",INDEX(BEMANNINGSPLAN!$B$5:$B$546,$P125))</f>
        <v/>
      </c>
      <c r="C125" s="19" t="str">
        <f>IF($P125="","",INDEX(BEMANNINGSPLAN!$C$5:$C$546,$P125))</f>
        <v/>
      </c>
      <c r="D125" s="20" t="str">
        <f>IF($P125="","",INDEX(BEMANNINGSPLAN!$D$5:$D$546,$P125))</f>
        <v/>
      </c>
      <c r="E125" s="20" t="str">
        <f>IF($P125="","",SUMIF(BEMANNINGSPLAN!$W$5:$W$546,INDEX(BEMANNINGSPLAN!$W$5:$W$546,$P125),BEMANNINGSPLAN!$X$5:$X$546))</f>
        <v/>
      </c>
      <c r="F125" s="18" t="str">
        <f>IF($P125="","",INDEX(BEMANNINGSPLAN!$J$5:$J$546,$P125))</f>
        <v/>
      </c>
      <c r="G125" s="19" t="str">
        <f>IF($P125="","",INDEX(BEMANNINGSPLAN!$AD$5:$AD$546,$P125))</f>
        <v/>
      </c>
      <c r="H125" s="18" t="str">
        <f>IF($P125="","",IF(AND(INDEX(BEMANNINGSPLAN!$Y$5:$Y$546,$P125)=1,G125&lt;&gt;"Minicafé"),"X",""))</f>
        <v/>
      </c>
      <c r="I125" s="21" t="str">
        <f>IF($P125="","",IF(INDEX(BEMANNINGSPLAN!$Y$5:$Y$546,$P125)=1,"X",""))</f>
        <v/>
      </c>
      <c r="J125" s="22" t="str">
        <f>IF($P125="","",IF(SUMIF(BEMANNINGSPLAN!$W$5:$W$546,INDEX(BEMANNINGSPLAN!$W$5:$W$546,$P125),BEMANNINGSPLAN!$Z$5:$Z$546)=1,"X",""))</f>
        <v/>
      </c>
      <c r="K125" s="23" t="str">
        <f>IF($P125="","",IFERROR(LOOKUP(2,1/((BEMANNINGSPLAN!$W$5:$W$546=INDEX(BEMANNINGSPLAN!$W$5:$W$546,$P125))*(BEMANNINGSPLAN!$L$5:$L$546&lt;&gt;"")),BEMANNINGSPLAN!$L$5:$L$546),""))</f>
        <v/>
      </c>
      <c r="L125" s="18" t="str">
        <f>IF($P125="","",INDEX(BEMANNINGSPLAN!$AE$5:$AE$546,$P125))</f>
        <v/>
      </c>
      <c r="M125" s="137"/>
      <c r="N125" s="16"/>
      <c r="O125" s="16" t="str">
        <f>IF(AND(BEMANNINGSPLAN!U123=1,OR($B$4="Alla lag",BEMANNINGSPLAN!J123=$B$4),OR($E$4="Alla datum",BEMANNINGSPLAN!A123=$E$4)),COUNT($O$6:O124)+1,"")</f>
        <v/>
      </c>
      <c r="P125" s="137" t="str">
        <f t="shared" si="1"/>
        <v/>
      </c>
    </row>
    <row r="126" spans="1:16" ht="27.75" customHeight="1">
      <c r="A126" s="17" t="str">
        <f>IF($P126="","",INDEX(BEMANNINGSPLAN!$A$5:$A$546,$P126))</f>
        <v/>
      </c>
      <c r="B126" s="18" t="str">
        <f>IF($P126="","",INDEX(BEMANNINGSPLAN!$B$5:$B$546,$P126))</f>
        <v/>
      </c>
      <c r="C126" s="19" t="str">
        <f>IF($P126="","",INDEX(BEMANNINGSPLAN!$C$5:$C$546,$P126))</f>
        <v/>
      </c>
      <c r="D126" s="20" t="str">
        <f>IF($P126="","",INDEX(BEMANNINGSPLAN!$D$5:$D$546,$P126))</f>
        <v/>
      </c>
      <c r="E126" s="20" t="str">
        <f>IF($P126="","",SUMIF(BEMANNINGSPLAN!$W$5:$W$546,INDEX(BEMANNINGSPLAN!$W$5:$W$546,$P126),BEMANNINGSPLAN!$X$5:$X$546))</f>
        <v/>
      </c>
      <c r="F126" s="18" t="str">
        <f>IF($P126="","",INDEX(BEMANNINGSPLAN!$J$5:$J$546,$P126))</f>
        <v/>
      </c>
      <c r="G126" s="19" t="str">
        <f>IF($P126="","",INDEX(BEMANNINGSPLAN!$AD$5:$AD$546,$P126))</f>
        <v/>
      </c>
      <c r="H126" s="18" t="str">
        <f>IF($P126="","",IF(AND(INDEX(BEMANNINGSPLAN!$Y$5:$Y$546,$P126)=1,G126&lt;&gt;"Minicafé"),"X",""))</f>
        <v/>
      </c>
      <c r="I126" s="21" t="str">
        <f>IF($P126="","",IF(INDEX(BEMANNINGSPLAN!$Y$5:$Y$546,$P126)=1,"X",""))</f>
        <v/>
      </c>
      <c r="J126" s="22" t="str">
        <f>IF($P126="","",IF(SUMIF(BEMANNINGSPLAN!$W$5:$W$546,INDEX(BEMANNINGSPLAN!$W$5:$W$546,$P126),BEMANNINGSPLAN!$Z$5:$Z$546)=1,"X",""))</f>
        <v/>
      </c>
      <c r="K126" s="23" t="str">
        <f>IF($P126="","",IFERROR(LOOKUP(2,1/((BEMANNINGSPLAN!$W$5:$W$546=INDEX(BEMANNINGSPLAN!$W$5:$W$546,$P126))*(BEMANNINGSPLAN!$L$5:$L$546&lt;&gt;"")),BEMANNINGSPLAN!$L$5:$L$546),""))</f>
        <v/>
      </c>
      <c r="L126" s="18" t="str">
        <f>IF($P126="","",INDEX(BEMANNINGSPLAN!$AE$5:$AE$546,$P126))</f>
        <v/>
      </c>
      <c r="M126" s="137"/>
      <c r="N126" s="16"/>
      <c r="O126" s="16">
        <f>IF(AND(BEMANNINGSPLAN!U124=1,OR($B$4="Alla lag",BEMANNINGSPLAN!J124=$B$4),OR($E$4="Alla datum",BEMANNINGSPLAN!A124=$E$4)),COUNT($O$6:O125)+1,"")</f>
        <v>14</v>
      </c>
      <c r="P126" s="137" t="str">
        <f t="shared" si="1"/>
        <v/>
      </c>
    </row>
    <row r="127" spans="1:16" ht="27.75" customHeight="1">
      <c r="A127" s="17" t="str">
        <f>IF($P127="","",INDEX(BEMANNINGSPLAN!$A$5:$A$546,$P127))</f>
        <v/>
      </c>
      <c r="B127" s="18" t="str">
        <f>IF($P127="","",INDEX(BEMANNINGSPLAN!$B$5:$B$546,$P127))</f>
        <v/>
      </c>
      <c r="C127" s="19" t="str">
        <f>IF($P127="","",INDEX(BEMANNINGSPLAN!$C$5:$C$546,$P127))</f>
        <v/>
      </c>
      <c r="D127" s="20" t="str">
        <f>IF($P127="","",INDEX(BEMANNINGSPLAN!$D$5:$D$546,$P127))</f>
        <v/>
      </c>
      <c r="E127" s="20" t="str">
        <f>IF($P127="","",SUMIF(BEMANNINGSPLAN!$W$5:$W$546,INDEX(BEMANNINGSPLAN!$W$5:$W$546,$P127),BEMANNINGSPLAN!$X$5:$X$546))</f>
        <v/>
      </c>
      <c r="F127" s="18" t="str">
        <f>IF($P127="","",INDEX(BEMANNINGSPLAN!$J$5:$J$546,$P127))</f>
        <v/>
      </c>
      <c r="G127" s="19" t="str">
        <f>IF($P127="","",INDEX(BEMANNINGSPLAN!$AD$5:$AD$546,$P127))</f>
        <v/>
      </c>
      <c r="H127" s="18" t="str">
        <f>IF($P127="","",IF(AND(INDEX(BEMANNINGSPLAN!$Y$5:$Y$546,$P127)=1,G127&lt;&gt;"Minicafé"),"X",""))</f>
        <v/>
      </c>
      <c r="I127" s="21" t="str">
        <f>IF($P127="","",IF(INDEX(BEMANNINGSPLAN!$Y$5:$Y$546,$P127)=1,"X",""))</f>
        <v/>
      </c>
      <c r="J127" s="22" t="str">
        <f>IF($P127="","",IF(SUMIF(BEMANNINGSPLAN!$W$5:$W$546,INDEX(BEMANNINGSPLAN!$W$5:$W$546,$P127),BEMANNINGSPLAN!$Z$5:$Z$546)=1,"X",""))</f>
        <v/>
      </c>
      <c r="K127" s="23" t="str">
        <f>IF($P127="","",IFERROR(LOOKUP(2,1/((BEMANNINGSPLAN!$W$5:$W$546=INDEX(BEMANNINGSPLAN!$W$5:$W$546,$P127))*(BEMANNINGSPLAN!$L$5:$L$546&lt;&gt;"")),BEMANNINGSPLAN!$L$5:$L$546),""))</f>
        <v/>
      </c>
      <c r="L127" s="18" t="str">
        <f>IF($P127="","",INDEX(BEMANNINGSPLAN!$AE$5:$AE$546,$P127))</f>
        <v/>
      </c>
      <c r="M127" s="137"/>
      <c r="N127" s="16"/>
      <c r="O127" s="16" t="str">
        <f>IF(AND(BEMANNINGSPLAN!U125=1,OR($B$4="Alla lag",BEMANNINGSPLAN!J125=$B$4),OR($E$4="Alla datum",BEMANNINGSPLAN!A125=$E$4)),COUNT($O$6:O126)+1,"")</f>
        <v/>
      </c>
      <c r="P127" s="137" t="str">
        <f t="shared" si="1"/>
        <v/>
      </c>
    </row>
    <row r="128" spans="1:16" ht="27.75" customHeight="1">
      <c r="A128" s="17" t="str">
        <f>IF($P128="","",INDEX(BEMANNINGSPLAN!$A$5:$A$546,$P128))</f>
        <v/>
      </c>
      <c r="B128" s="18" t="str">
        <f>IF($P128="","",INDEX(BEMANNINGSPLAN!$B$5:$B$546,$P128))</f>
        <v/>
      </c>
      <c r="C128" s="19" t="str">
        <f>IF($P128="","",INDEX(BEMANNINGSPLAN!$C$5:$C$546,$P128))</f>
        <v/>
      </c>
      <c r="D128" s="20" t="str">
        <f>IF($P128="","",INDEX(BEMANNINGSPLAN!$D$5:$D$546,$P128))</f>
        <v/>
      </c>
      <c r="E128" s="20" t="str">
        <f>IF($P128="","",SUMIF(BEMANNINGSPLAN!$W$5:$W$546,INDEX(BEMANNINGSPLAN!$W$5:$W$546,$P128),BEMANNINGSPLAN!$X$5:$X$546))</f>
        <v/>
      </c>
      <c r="F128" s="18" t="str">
        <f>IF($P128="","",INDEX(BEMANNINGSPLAN!$J$5:$J$546,$P128))</f>
        <v/>
      </c>
      <c r="G128" s="19" t="str">
        <f>IF($P128="","",INDEX(BEMANNINGSPLAN!$AD$5:$AD$546,$P128))</f>
        <v/>
      </c>
      <c r="H128" s="18" t="str">
        <f>IF($P128="","",IF(AND(INDEX(BEMANNINGSPLAN!$Y$5:$Y$546,$P128)=1,G128&lt;&gt;"Minicafé"),"X",""))</f>
        <v/>
      </c>
      <c r="I128" s="21" t="str">
        <f>IF($P128="","",IF(INDEX(BEMANNINGSPLAN!$Y$5:$Y$546,$P128)=1,"X",""))</f>
        <v/>
      </c>
      <c r="J128" s="22" t="str">
        <f>IF($P128="","",IF(SUMIF(BEMANNINGSPLAN!$W$5:$W$546,INDEX(BEMANNINGSPLAN!$W$5:$W$546,$P128),BEMANNINGSPLAN!$Z$5:$Z$546)=1,"X",""))</f>
        <v/>
      </c>
      <c r="K128" s="23" t="str">
        <f>IF($P128="","",IFERROR(LOOKUP(2,1/((BEMANNINGSPLAN!$W$5:$W$546=INDEX(BEMANNINGSPLAN!$W$5:$W$546,$P128))*(BEMANNINGSPLAN!$L$5:$L$546&lt;&gt;"")),BEMANNINGSPLAN!$L$5:$L$546),""))</f>
        <v/>
      </c>
      <c r="L128" s="18" t="str">
        <f>IF($P128="","",INDEX(BEMANNINGSPLAN!$AE$5:$AE$546,$P128))</f>
        <v/>
      </c>
      <c r="M128" s="137"/>
      <c r="N128" s="16"/>
      <c r="O128" s="16" t="str">
        <f>IF(AND(BEMANNINGSPLAN!U126=1,OR($B$4="Alla lag",BEMANNINGSPLAN!J126=$B$4),OR($E$4="Alla datum",BEMANNINGSPLAN!A126=$E$4)),COUNT($O$6:O127)+1,"")</f>
        <v/>
      </c>
      <c r="P128" s="137" t="str">
        <f t="shared" si="1"/>
        <v/>
      </c>
    </row>
    <row r="129" spans="1:16" ht="27.75" customHeight="1">
      <c r="A129" s="17" t="str">
        <f>IF($P129="","",INDEX(BEMANNINGSPLAN!$A$5:$A$546,$P129))</f>
        <v/>
      </c>
      <c r="B129" s="18" t="str">
        <f>IF($P129="","",INDEX(BEMANNINGSPLAN!$B$5:$B$546,$P129))</f>
        <v/>
      </c>
      <c r="C129" s="19" t="str">
        <f>IF($P129="","",INDEX(BEMANNINGSPLAN!$C$5:$C$546,$P129))</f>
        <v/>
      </c>
      <c r="D129" s="20" t="str">
        <f>IF($P129="","",INDEX(BEMANNINGSPLAN!$D$5:$D$546,$P129))</f>
        <v/>
      </c>
      <c r="E129" s="20" t="str">
        <f>IF($P129="","",SUMIF(BEMANNINGSPLAN!$W$5:$W$546,INDEX(BEMANNINGSPLAN!$W$5:$W$546,$P129),BEMANNINGSPLAN!$X$5:$X$546))</f>
        <v/>
      </c>
      <c r="F129" s="18" t="str">
        <f>IF($P129="","",INDEX(BEMANNINGSPLAN!$J$5:$J$546,$P129))</f>
        <v/>
      </c>
      <c r="G129" s="19" t="str">
        <f>IF($P129="","",INDEX(BEMANNINGSPLAN!$AD$5:$AD$546,$P129))</f>
        <v/>
      </c>
      <c r="H129" s="18" t="str">
        <f>IF($P129="","",IF(AND(INDEX(BEMANNINGSPLAN!$Y$5:$Y$546,$P129)=1,G129&lt;&gt;"Minicafé"),"X",""))</f>
        <v/>
      </c>
      <c r="I129" s="21" t="str">
        <f>IF($P129="","",IF(INDEX(BEMANNINGSPLAN!$Y$5:$Y$546,$P129)=1,"X",""))</f>
        <v/>
      </c>
      <c r="J129" s="22" t="str">
        <f>IF($P129="","",IF(SUMIF(BEMANNINGSPLAN!$W$5:$W$546,INDEX(BEMANNINGSPLAN!$W$5:$W$546,$P129),BEMANNINGSPLAN!$Z$5:$Z$546)=1,"X",""))</f>
        <v/>
      </c>
      <c r="K129" s="23" t="str">
        <f>IF($P129="","",IFERROR(LOOKUP(2,1/((BEMANNINGSPLAN!$W$5:$W$546=INDEX(BEMANNINGSPLAN!$W$5:$W$546,$P129))*(BEMANNINGSPLAN!$L$5:$L$546&lt;&gt;"")),BEMANNINGSPLAN!$L$5:$L$546),""))</f>
        <v/>
      </c>
      <c r="L129" s="18" t="str">
        <f>IF($P129="","",INDEX(BEMANNINGSPLAN!$AE$5:$AE$546,$P129))</f>
        <v/>
      </c>
      <c r="M129" s="137"/>
      <c r="N129" s="16"/>
      <c r="O129" s="16" t="str">
        <f>IF(AND(BEMANNINGSPLAN!U127=1,OR($B$4="Alla lag",BEMANNINGSPLAN!J127=$B$4),OR($E$4="Alla datum",BEMANNINGSPLAN!A127=$E$4)),COUNT($O$6:O128)+1,"")</f>
        <v/>
      </c>
      <c r="P129" s="137" t="str">
        <f t="shared" si="1"/>
        <v/>
      </c>
    </row>
    <row r="130" spans="1:16" ht="27.75" customHeight="1">
      <c r="A130" s="17" t="str">
        <f>IF($P130="","",INDEX(BEMANNINGSPLAN!$A$5:$A$546,$P130))</f>
        <v/>
      </c>
      <c r="B130" s="18" t="str">
        <f>IF($P130="","",INDEX(BEMANNINGSPLAN!$B$5:$B$546,$P130))</f>
        <v/>
      </c>
      <c r="C130" s="19" t="str">
        <f>IF($P130="","",INDEX(BEMANNINGSPLAN!$C$5:$C$546,$P130))</f>
        <v/>
      </c>
      <c r="D130" s="20" t="str">
        <f>IF($P130="","",INDEX(BEMANNINGSPLAN!$D$5:$D$546,$P130))</f>
        <v/>
      </c>
      <c r="E130" s="20" t="str">
        <f>IF($P130="","",SUMIF(BEMANNINGSPLAN!$W$5:$W$546,INDEX(BEMANNINGSPLAN!$W$5:$W$546,$P130),BEMANNINGSPLAN!$X$5:$X$546))</f>
        <v/>
      </c>
      <c r="F130" s="18" t="str">
        <f>IF($P130="","",INDEX(BEMANNINGSPLAN!$J$5:$J$546,$P130))</f>
        <v/>
      </c>
      <c r="G130" s="19" t="str">
        <f>IF($P130="","",INDEX(BEMANNINGSPLAN!$AD$5:$AD$546,$P130))</f>
        <v/>
      </c>
      <c r="H130" s="18" t="str">
        <f>IF($P130="","",IF(AND(INDEX(BEMANNINGSPLAN!$Y$5:$Y$546,$P130)=1,G130&lt;&gt;"Minicafé"),"X",""))</f>
        <v/>
      </c>
      <c r="I130" s="21" t="str">
        <f>IF($P130="","",IF(INDEX(BEMANNINGSPLAN!$Y$5:$Y$546,$P130)=1,"X",""))</f>
        <v/>
      </c>
      <c r="J130" s="22" t="str">
        <f>IF($P130="","",IF(SUMIF(BEMANNINGSPLAN!$W$5:$W$546,INDEX(BEMANNINGSPLAN!$W$5:$W$546,$P130),BEMANNINGSPLAN!$Z$5:$Z$546)=1,"X",""))</f>
        <v/>
      </c>
      <c r="K130" s="23" t="str">
        <f>IF($P130="","",IFERROR(LOOKUP(2,1/((BEMANNINGSPLAN!$W$5:$W$546=INDEX(BEMANNINGSPLAN!$W$5:$W$546,$P130))*(BEMANNINGSPLAN!$L$5:$L$546&lt;&gt;"")),BEMANNINGSPLAN!$L$5:$L$546),""))</f>
        <v/>
      </c>
      <c r="L130" s="18" t="str">
        <f>IF($P130="","",INDEX(BEMANNINGSPLAN!$AE$5:$AE$546,$P130))</f>
        <v/>
      </c>
      <c r="M130" s="137"/>
      <c r="N130" s="16"/>
      <c r="O130" s="16" t="str">
        <f>IF(AND(BEMANNINGSPLAN!U128=1,OR($B$4="Alla lag",BEMANNINGSPLAN!J128=$B$4),OR($E$4="Alla datum",BEMANNINGSPLAN!A128=$E$4)),COUNT($O$6:O129)+1,"")</f>
        <v/>
      </c>
      <c r="P130" s="137" t="str">
        <f t="shared" si="1"/>
        <v/>
      </c>
    </row>
    <row r="131" spans="1:16" ht="27.75" customHeight="1">
      <c r="A131" s="17" t="str">
        <f>IF($P131="","",INDEX(BEMANNINGSPLAN!$A$5:$A$546,$P131))</f>
        <v/>
      </c>
      <c r="B131" s="18" t="str">
        <f>IF($P131="","",INDEX(BEMANNINGSPLAN!$B$5:$B$546,$P131))</f>
        <v/>
      </c>
      <c r="C131" s="19" t="str">
        <f>IF($P131="","",INDEX(BEMANNINGSPLAN!$C$5:$C$546,$P131))</f>
        <v/>
      </c>
      <c r="D131" s="20" t="str">
        <f>IF($P131="","",INDEX(BEMANNINGSPLAN!$D$5:$D$546,$P131))</f>
        <v/>
      </c>
      <c r="E131" s="20" t="str">
        <f>IF($P131="","",SUMIF(BEMANNINGSPLAN!$W$5:$W$546,INDEX(BEMANNINGSPLAN!$W$5:$W$546,$P131),BEMANNINGSPLAN!$X$5:$X$546))</f>
        <v/>
      </c>
      <c r="F131" s="18" t="str">
        <f>IF($P131="","",INDEX(BEMANNINGSPLAN!$J$5:$J$546,$P131))</f>
        <v/>
      </c>
      <c r="G131" s="19" t="str">
        <f>IF($P131="","",INDEX(BEMANNINGSPLAN!$AD$5:$AD$546,$P131))</f>
        <v/>
      </c>
      <c r="H131" s="18" t="str">
        <f>IF($P131="","",IF(AND(INDEX(BEMANNINGSPLAN!$Y$5:$Y$546,$P131)=1,G131&lt;&gt;"Minicafé"),"X",""))</f>
        <v/>
      </c>
      <c r="I131" s="21" t="str">
        <f>IF($P131="","",IF(INDEX(BEMANNINGSPLAN!$Y$5:$Y$546,$P131)=1,"X",""))</f>
        <v/>
      </c>
      <c r="J131" s="22" t="str">
        <f>IF($P131="","",IF(SUMIF(BEMANNINGSPLAN!$W$5:$W$546,INDEX(BEMANNINGSPLAN!$W$5:$W$546,$P131),BEMANNINGSPLAN!$Z$5:$Z$546)=1,"X",""))</f>
        <v/>
      </c>
      <c r="K131" s="23" t="str">
        <f>IF($P131="","",IFERROR(LOOKUP(2,1/((BEMANNINGSPLAN!$W$5:$W$546=INDEX(BEMANNINGSPLAN!$W$5:$W$546,$P131))*(BEMANNINGSPLAN!$L$5:$L$546&lt;&gt;"")),BEMANNINGSPLAN!$L$5:$L$546),""))</f>
        <v/>
      </c>
      <c r="L131" s="18" t="str">
        <f>IF($P131="","",INDEX(BEMANNINGSPLAN!$AE$5:$AE$546,$P131))</f>
        <v/>
      </c>
      <c r="M131" s="137"/>
      <c r="N131" s="16"/>
      <c r="O131" s="16" t="str">
        <f>IF(AND(BEMANNINGSPLAN!U129=1,OR($B$4="Alla lag",BEMANNINGSPLAN!J129=$B$4),OR($E$4="Alla datum",BEMANNINGSPLAN!A129=$E$4)),COUNT($O$6:O130)+1,"")</f>
        <v/>
      </c>
      <c r="P131" s="137" t="str">
        <f t="shared" si="1"/>
        <v/>
      </c>
    </row>
    <row r="132" spans="1:16" ht="27.75" customHeight="1">
      <c r="A132" s="17" t="str">
        <f>IF($P132="","",INDEX(BEMANNINGSPLAN!$A$5:$A$546,$P132))</f>
        <v/>
      </c>
      <c r="B132" s="18" t="str">
        <f>IF($P132="","",INDEX(BEMANNINGSPLAN!$B$5:$B$546,$P132))</f>
        <v/>
      </c>
      <c r="C132" s="19" t="str">
        <f>IF($P132="","",INDEX(BEMANNINGSPLAN!$C$5:$C$546,$P132))</f>
        <v/>
      </c>
      <c r="D132" s="20" t="str">
        <f>IF($P132="","",INDEX(BEMANNINGSPLAN!$D$5:$D$546,$P132))</f>
        <v/>
      </c>
      <c r="E132" s="20" t="str">
        <f>IF($P132="","",SUMIF(BEMANNINGSPLAN!$W$5:$W$546,INDEX(BEMANNINGSPLAN!$W$5:$W$546,$P132),BEMANNINGSPLAN!$X$5:$X$546))</f>
        <v/>
      </c>
      <c r="F132" s="18" t="str">
        <f>IF($P132="","",INDEX(BEMANNINGSPLAN!$J$5:$J$546,$P132))</f>
        <v/>
      </c>
      <c r="G132" s="19" t="str">
        <f>IF($P132="","",INDEX(BEMANNINGSPLAN!$AD$5:$AD$546,$P132))</f>
        <v/>
      </c>
      <c r="H132" s="18" t="str">
        <f>IF($P132="","",IF(AND(INDEX(BEMANNINGSPLAN!$Y$5:$Y$546,$P132)=1,G132&lt;&gt;"Minicafé"),"X",""))</f>
        <v/>
      </c>
      <c r="I132" s="21" t="str">
        <f>IF($P132="","",IF(INDEX(BEMANNINGSPLAN!$Y$5:$Y$546,$P132)=1,"X",""))</f>
        <v/>
      </c>
      <c r="J132" s="22" t="str">
        <f>IF($P132="","",IF(SUMIF(BEMANNINGSPLAN!$W$5:$W$546,INDEX(BEMANNINGSPLAN!$W$5:$W$546,$P132),BEMANNINGSPLAN!$Z$5:$Z$546)=1,"X",""))</f>
        <v/>
      </c>
      <c r="K132" s="23" t="str">
        <f>IF($P132="","",IFERROR(LOOKUP(2,1/((BEMANNINGSPLAN!$W$5:$W$546=INDEX(BEMANNINGSPLAN!$W$5:$W$546,$P132))*(BEMANNINGSPLAN!$L$5:$L$546&lt;&gt;"")),BEMANNINGSPLAN!$L$5:$L$546),""))</f>
        <v/>
      </c>
      <c r="L132" s="18" t="str">
        <f>IF($P132="","",INDEX(BEMANNINGSPLAN!$AE$5:$AE$546,$P132))</f>
        <v/>
      </c>
      <c r="M132" s="137"/>
      <c r="N132" s="16"/>
      <c r="O132" s="16" t="str">
        <f>IF(AND(BEMANNINGSPLAN!U130=1,OR($B$4="Alla lag",BEMANNINGSPLAN!J130=$B$4),OR($E$4="Alla datum",BEMANNINGSPLAN!A130=$E$4)),COUNT($O$6:O131)+1,"")</f>
        <v/>
      </c>
      <c r="P132" s="137" t="str">
        <f t="shared" si="1"/>
        <v/>
      </c>
    </row>
    <row r="133" spans="1:16" ht="27.75" customHeight="1">
      <c r="A133" s="17" t="str">
        <f>IF($P133="","",INDEX(BEMANNINGSPLAN!$A$5:$A$546,$P133))</f>
        <v/>
      </c>
      <c r="B133" s="18" t="str">
        <f>IF($P133="","",INDEX(BEMANNINGSPLAN!$B$5:$B$546,$P133))</f>
        <v/>
      </c>
      <c r="C133" s="19" t="str">
        <f>IF($P133="","",INDEX(BEMANNINGSPLAN!$C$5:$C$546,$P133))</f>
        <v/>
      </c>
      <c r="D133" s="20" t="str">
        <f>IF($P133="","",INDEX(BEMANNINGSPLAN!$D$5:$D$546,$P133))</f>
        <v/>
      </c>
      <c r="E133" s="20" t="str">
        <f>IF($P133="","",SUMIF(BEMANNINGSPLAN!$W$5:$W$546,INDEX(BEMANNINGSPLAN!$W$5:$W$546,$P133),BEMANNINGSPLAN!$X$5:$X$546))</f>
        <v/>
      </c>
      <c r="F133" s="18" t="str">
        <f>IF($P133="","",INDEX(BEMANNINGSPLAN!$J$5:$J$546,$P133))</f>
        <v/>
      </c>
      <c r="G133" s="19" t="str">
        <f>IF($P133="","",INDEX(BEMANNINGSPLAN!$AD$5:$AD$546,$P133))</f>
        <v/>
      </c>
      <c r="H133" s="18" t="str">
        <f>IF($P133="","",IF(AND(INDEX(BEMANNINGSPLAN!$Y$5:$Y$546,$P133)=1,G133&lt;&gt;"Minicafé"),"X",""))</f>
        <v/>
      </c>
      <c r="I133" s="21" t="str">
        <f>IF($P133="","",IF(INDEX(BEMANNINGSPLAN!$Y$5:$Y$546,$P133)=1,"X",""))</f>
        <v/>
      </c>
      <c r="J133" s="22" t="str">
        <f>IF($P133="","",IF(SUMIF(BEMANNINGSPLAN!$W$5:$W$546,INDEX(BEMANNINGSPLAN!$W$5:$W$546,$P133),BEMANNINGSPLAN!$Z$5:$Z$546)=1,"X",""))</f>
        <v/>
      </c>
      <c r="K133" s="23" t="str">
        <f>IF($P133="","",IFERROR(LOOKUP(2,1/((BEMANNINGSPLAN!$W$5:$W$546=INDEX(BEMANNINGSPLAN!$W$5:$W$546,$P133))*(BEMANNINGSPLAN!$L$5:$L$546&lt;&gt;"")),BEMANNINGSPLAN!$L$5:$L$546),""))</f>
        <v/>
      </c>
      <c r="L133" s="18" t="str">
        <f>IF($P133="","",INDEX(BEMANNINGSPLAN!$AE$5:$AE$546,$P133))</f>
        <v/>
      </c>
      <c r="M133" s="137"/>
      <c r="N133" s="16"/>
      <c r="O133" s="16" t="str">
        <f>IF(AND(BEMANNINGSPLAN!U131=1,OR($B$4="Alla lag",BEMANNINGSPLAN!J131=$B$4),OR($E$4="Alla datum",BEMANNINGSPLAN!A131=$E$4)),COUNT($O$6:O132)+1,"")</f>
        <v/>
      </c>
      <c r="P133" s="137" t="str">
        <f t="shared" si="1"/>
        <v/>
      </c>
    </row>
    <row r="134" spans="1:16" ht="27.75" customHeight="1">
      <c r="A134" s="17" t="str">
        <f>IF($P134="","",INDEX(BEMANNINGSPLAN!$A$5:$A$546,$P134))</f>
        <v/>
      </c>
      <c r="B134" s="18" t="str">
        <f>IF($P134="","",INDEX(BEMANNINGSPLAN!$B$5:$B$546,$P134))</f>
        <v/>
      </c>
      <c r="C134" s="19" t="str">
        <f>IF($P134="","",INDEX(BEMANNINGSPLAN!$C$5:$C$546,$P134))</f>
        <v/>
      </c>
      <c r="D134" s="20" t="str">
        <f>IF($P134="","",INDEX(BEMANNINGSPLAN!$D$5:$D$546,$P134))</f>
        <v/>
      </c>
      <c r="E134" s="20" t="str">
        <f>IF($P134="","",SUMIF(BEMANNINGSPLAN!$W$5:$W$546,INDEX(BEMANNINGSPLAN!$W$5:$W$546,$P134),BEMANNINGSPLAN!$X$5:$X$546))</f>
        <v/>
      </c>
      <c r="F134" s="18" t="str">
        <f>IF($P134="","",INDEX(BEMANNINGSPLAN!$J$5:$J$546,$P134))</f>
        <v/>
      </c>
      <c r="G134" s="19" t="str">
        <f>IF($P134="","",INDEX(BEMANNINGSPLAN!$AD$5:$AD$546,$P134))</f>
        <v/>
      </c>
      <c r="H134" s="18" t="str">
        <f>IF($P134="","",IF(AND(INDEX(BEMANNINGSPLAN!$Y$5:$Y$546,$P134)=1,G134&lt;&gt;"Minicafé"),"X",""))</f>
        <v/>
      </c>
      <c r="I134" s="21" t="str">
        <f>IF($P134="","",IF(INDEX(BEMANNINGSPLAN!$Y$5:$Y$546,$P134)=1,"X",""))</f>
        <v/>
      </c>
      <c r="J134" s="22" t="str">
        <f>IF($P134="","",IF(SUMIF(BEMANNINGSPLAN!$W$5:$W$546,INDEX(BEMANNINGSPLAN!$W$5:$W$546,$P134),BEMANNINGSPLAN!$Z$5:$Z$546)=1,"X",""))</f>
        <v/>
      </c>
      <c r="K134" s="23" t="str">
        <f>IF($P134="","",IFERROR(LOOKUP(2,1/((BEMANNINGSPLAN!$W$5:$W$546=INDEX(BEMANNINGSPLAN!$W$5:$W$546,$P134))*(BEMANNINGSPLAN!$L$5:$L$546&lt;&gt;"")),BEMANNINGSPLAN!$L$5:$L$546),""))</f>
        <v/>
      </c>
      <c r="L134" s="18" t="str">
        <f>IF($P134="","",INDEX(BEMANNINGSPLAN!$AE$5:$AE$546,$P134))</f>
        <v/>
      </c>
      <c r="M134" s="137"/>
      <c r="N134" s="16"/>
      <c r="O134" s="16" t="str">
        <f>IF(AND(BEMANNINGSPLAN!U132=1,OR($B$4="Alla lag",BEMANNINGSPLAN!J132=$B$4),OR($E$4="Alla datum",BEMANNINGSPLAN!A132=$E$4)),COUNT($O$6:O133)+1,"")</f>
        <v/>
      </c>
      <c r="P134" s="137" t="str">
        <f t="shared" si="1"/>
        <v/>
      </c>
    </row>
    <row r="135" spans="1:16" ht="27.75" customHeight="1">
      <c r="A135" s="17" t="str">
        <f>IF($P135="","",INDEX(BEMANNINGSPLAN!$A$5:$A$546,$P135))</f>
        <v/>
      </c>
      <c r="B135" s="18" t="str">
        <f>IF($P135="","",INDEX(BEMANNINGSPLAN!$B$5:$B$546,$P135))</f>
        <v/>
      </c>
      <c r="C135" s="19" t="str">
        <f>IF($P135="","",INDEX(BEMANNINGSPLAN!$C$5:$C$546,$P135))</f>
        <v/>
      </c>
      <c r="D135" s="20" t="str">
        <f>IF($P135="","",INDEX(BEMANNINGSPLAN!$D$5:$D$546,$P135))</f>
        <v/>
      </c>
      <c r="E135" s="20" t="str">
        <f>IF($P135="","",SUMIF(BEMANNINGSPLAN!$W$5:$W$546,INDEX(BEMANNINGSPLAN!$W$5:$W$546,$P135),BEMANNINGSPLAN!$X$5:$X$546))</f>
        <v/>
      </c>
      <c r="F135" s="18" t="str">
        <f>IF($P135="","",INDEX(BEMANNINGSPLAN!$J$5:$J$546,$P135))</f>
        <v/>
      </c>
      <c r="G135" s="19" t="str">
        <f>IF($P135="","",INDEX(BEMANNINGSPLAN!$AD$5:$AD$546,$P135))</f>
        <v/>
      </c>
      <c r="H135" s="18" t="str">
        <f>IF($P135="","",IF(AND(INDEX(BEMANNINGSPLAN!$Y$5:$Y$546,$P135)=1,G135&lt;&gt;"Minicafé"),"X",""))</f>
        <v/>
      </c>
      <c r="I135" s="21" t="str">
        <f>IF($P135="","",IF(INDEX(BEMANNINGSPLAN!$Y$5:$Y$546,$P135)=1,"X",""))</f>
        <v/>
      </c>
      <c r="J135" s="22" t="str">
        <f>IF($P135="","",IF(SUMIF(BEMANNINGSPLAN!$W$5:$W$546,INDEX(BEMANNINGSPLAN!$W$5:$W$546,$P135),BEMANNINGSPLAN!$Z$5:$Z$546)=1,"X",""))</f>
        <v/>
      </c>
      <c r="K135" s="23" t="str">
        <f>IF($P135="","",IFERROR(LOOKUP(2,1/((BEMANNINGSPLAN!$W$5:$W$546=INDEX(BEMANNINGSPLAN!$W$5:$W$546,$P135))*(BEMANNINGSPLAN!$L$5:$L$546&lt;&gt;"")),BEMANNINGSPLAN!$L$5:$L$546),""))</f>
        <v/>
      </c>
      <c r="L135" s="18" t="str">
        <f>IF($P135="","",INDEX(BEMANNINGSPLAN!$AE$5:$AE$546,$P135))</f>
        <v/>
      </c>
      <c r="M135" s="137"/>
      <c r="N135" s="16"/>
      <c r="O135" s="16" t="str">
        <f>IF(AND(BEMANNINGSPLAN!U133=1,OR($B$4="Alla lag",BEMANNINGSPLAN!J133=$B$4),OR($E$4="Alla datum",BEMANNINGSPLAN!A133=$E$4)),COUNT($O$6:O134)+1,"")</f>
        <v/>
      </c>
      <c r="P135" s="137" t="str">
        <f t="shared" ref="P135:P198" si="2">IFERROR(MATCH(ROW()-ROW($P$7)+1,$O$7:$O$548,0),"")</f>
        <v/>
      </c>
    </row>
    <row r="136" spans="1:16" ht="27.75" customHeight="1">
      <c r="A136" s="17" t="str">
        <f>IF($P136="","",INDEX(BEMANNINGSPLAN!$A$5:$A$546,$P136))</f>
        <v/>
      </c>
      <c r="B136" s="18" t="str">
        <f>IF($P136="","",INDEX(BEMANNINGSPLAN!$B$5:$B$546,$P136))</f>
        <v/>
      </c>
      <c r="C136" s="19" t="str">
        <f>IF($P136="","",INDEX(BEMANNINGSPLAN!$C$5:$C$546,$P136))</f>
        <v/>
      </c>
      <c r="D136" s="20" t="str">
        <f>IF($P136="","",INDEX(BEMANNINGSPLAN!$D$5:$D$546,$P136))</f>
        <v/>
      </c>
      <c r="E136" s="20" t="str">
        <f>IF($P136="","",SUMIF(BEMANNINGSPLAN!$W$5:$W$546,INDEX(BEMANNINGSPLAN!$W$5:$W$546,$P136),BEMANNINGSPLAN!$X$5:$X$546))</f>
        <v/>
      </c>
      <c r="F136" s="18" t="str">
        <f>IF($P136="","",INDEX(BEMANNINGSPLAN!$J$5:$J$546,$P136))</f>
        <v/>
      </c>
      <c r="G136" s="19" t="str">
        <f>IF($P136="","",INDEX(BEMANNINGSPLAN!$AD$5:$AD$546,$P136))</f>
        <v/>
      </c>
      <c r="H136" s="18" t="str">
        <f>IF($P136="","",IF(AND(INDEX(BEMANNINGSPLAN!$Y$5:$Y$546,$P136)=1,G136&lt;&gt;"Minicafé"),"X",""))</f>
        <v/>
      </c>
      <c r="I136" s="21" t="str">
        <f>IF($P136="","",IF(INDEX(BEMANNINGSPLAN!$Y$5:$Y$546,$P136)=1,"X",""))</f>
        <v/>
      </c>
      <c r="J136" s="22" t="str">
        <f>IF($P136="","",IF(SUMIF(BEMANNINGSPLAN!$W$5:$W$546,INDEX(BEMANNINGSPLAN!$W$5:$W$546,$P136),BEMANNINGSPLAN!$Z$5:$Z$546)=1,"X",""))</f>
        <v/>
      </c>
      <c r="K136" s="23" t="str">
        <f>IF($P136="","",IFERROR(LOOKUP(2,1/((BEMANNINGSPLAN!$W$5:$W$546=INDEX(BEMANNINGSPLAN!$W$5:$W$546,$P136))*(BEMANNINGSPLAN!$L$5:$L$546&lt;&gt;"")),BEMANNINGSPLAN!$L$5:$L$546),""))</f>
        <v/>
      </c>
      <c r="L136" s="18" t="str">
        <f>IF($P136="","",INDEX(BEMANNINGSPLAN!$AE$5:$AE$546,$P136))</f>
        <v/>
      </c>
      <c r="M136" s="137"/>
      <c r="N136" s="16"/>
      <c r="O136" s="16" t="str">
        <f>IF(AND(BEMANNINGSPLAN!U134=1,OR($B$4="Alla lag",BEMANNINGSPLAN!J134=$B$4),OR($E$4="Alla datum",BEMANNINGSPLAN!A134=$E$4)),COUNT($O$6:O135)+1,"")</f>
        <v/>
      </c>
      <c r="P136" s="137" t="str">
        <f t="shared" si="2"/>
        <v/>
      </c>
    </row>
    <row r="137" spans="1:16" ht="27.75" customHeight="1">
      <c r="A137" s="17" t="str">
        <f>IF($P137="","",INDEX(BEMANNINGSPLAN!$A$5:$A$546,$P137))</f>
        <v/>
      </c>
      <c r="B137" s="18" t="str">
        <f>IF($P137="","",INDEX(BEMANNINGSPLAN!$B$5:$B$546,$P137))</f>
        <v/>
      </c>
      <c r="C137" s="19" t="str">
        <f>IF($P137="","",INDEX(BEMANNINGSPLAN!$C$5:$C$546,$P137))</f>
        <v/>
      </c>
      <c r="D137" s="20" t="str">
        <f>IF($P137="","",INDEX(BEMANNINGSPLAN!$D$5:$D$546,$P137))</f>
        <v/>
      </c>
      <c r="E137" s="20" t="str">
        <f>IF($P137="","",SUMIF(BEMANNINGSPLAN!$W$5:$W$546,INDEX(BEMANNINGSPLAN!$W$5:$W$546,$P137),BEMANNINGSPLAN!$X$5:$X$546))</f>
        <v/>
      </c>
      <c r="F137" s="18" t="str">
        <f>IF($P137="","",INDEX(BEMANNINGSPLAN!$J$5:$J$546,$P137))</f>
        <v/>
      </c>
      <c r="G137" s="19" t="str">
        <f>IF($P137="","",INDEX(BEMANNINGSPLAN!$AD$5:$AD$546,$P137))</f>
        <v/>
      </c>
      <c r="H137" s="18" t="str">
        <f>IF($P137="","",IF(AND(INDEX(BEMANNINGSPLAN!$Y$5:$Y$546,$P137)=1,G137&lt;&gt;"Minicafé"),"X",""))</f>
        <v/>
      </c>
      <c r="I137" s="21" t="str">
        <f>IF($P137="","",IF(INDEX(BEMANNINGSPLAN!$Y$5:$Y$546,$P137)=1,"X",""))</f>
        <v/>
      </c>
      <c r="J137" s="22" t="str">
        <f>IF($P137="","",IF(SUMIF(BEMANNINGSPLAN!$W$5:$W$546,INDEX(BEMANNINGSPLAN!$W$5:$W$546,$P137),BEMANNINGSPLAN!$Z$5:$Z$546)=1,"X",""))</f>
        <v/>
      </c>
      <c r="K137" s="23" t="str">
        <f>IF($P137="","",IFERROR(LOOKUP(2,1/((BEMANNINGSPLAN!$W$5:$W$546=INDEX(BEMANNINGSPLAN!$W$5:$W$546,$P137))*(BEMANNINGSPLAN!$L$5:$L$546&lt;&gt;"")),BEMANNINGSPLAN!$L$5:$L$546),""))</f>
        <v/>
      </c>
      <c r="L137" s="18" t="str">
        <f>IF($P137="","",INDEX(BEMANNINGSPLAN!$AE$5:$AE$546,$P137))</f>
        <v/>
      </c>
      <c r="M137" s="137"/>
      <c r="N137" s="16"/>
      <c r="O137" s="16" t="str">
        <f>IF(AND(BEMANNINGSPLAN!U135=1,OR($B$4="Alla lag",BEMANNINGSPLAN!J135=$B$4),OR($E$4="Alla datum",BEMANNINGSPLAN!A135=$E$4)),COUNT($O$6:O136)+1,"")</f>
        <v/>
      </c>
      <c r="P137" s="137" t="str">
        <f t="shared" si="2"/>
        <v/>
      </c>
    </row>
    <row r="138" spans="1:16" ht="27.75" customHeight="1">
      <c r="A138" s="17" t="str">
        <f>IF($P138="","",INDEX(BEMANNINGSPLAN!$A$5:$A$546,$P138))</f>
        <v/>
      </c>
      <c r="B138" s="18" t="str">
        <f>IF($P138="","",INDEX(BEMANNINGSPLAN!$B$5:$B$546,$P138))</f>
        <v/>
      </c>
      <c r="C138" s="19" t="str">
        <f>IF($P138="","",INDEX(BEMANNINGSPLAN!$C$5:$C$546,$P138))</f>
        <v/>
      </c>
      <c r="D138" s="20" t="str">
        <f>IF($P138="","",INDEX(BEMANNINGSPLAN!$D$5:$D$546,$P138))</f>
        <v/>
      </c>
      <c r="E138" s="20" t="str">
        <f>IF($P138="","",SUMIF(BEMANNINGSPLAN!$W$5:$W$546,INDEX(BEMANNINGSPLAN!$W$5:$W$546,$P138),BEMANNINGSPLAN!$X$5:$X$546))</f>
        <v/>
      </c>
      <c r="F138" s="18" t="str">
        <f>IF($P138="","",INDEX(BEMANNINGSPLAN!$J$5:$J$546,$P138))</f>
        <v/>
      </c>
      <c r="G138" s="19" t="str">
        <f>IF($P138="","",INDEX(BEMANNINGSPLAN!$AD$5:$AD$546,$P138))</f>
        <v/>
      </c>
      <c r="H138" s="18" t="str">
        <f>IF($P138="","",IF(AND(INDEX(BEMANNINGSPLAN!$Y$5:$Y$546,$P138)=1,G138&lt;&gt;"Minicafé"),"X",""))</f>
        <v/>
      </c>
      <c r="I138" s="21" t="str">
        <f>IF($P138="","",IF(INDEX(BEMANNINGSPLAN!$Y$5:$Y$546,$P138)=1,"X",""))</f>
        <v/>
      </c>
      <c r="J138" s="22" t="str">
        <f>IF($P138="","",IF(SUMIF(BEMANNINGSPLAN!$W$5:$W$546,INDEX(BEMANNINGSPLAN!$W$5:$W$546,$P138),BEMANNINGSPLAN!$Z$5:$Z$546)=1,"X",""))</f>
        <v/>
      </c>
      <c r="K138" s="23" t="str">
        <f>IF($P138="","",IFERROR(LOOKUP(2,1/((BEMANNINGSPLAN!$W$5:$W$546=INDEX(BEMANNINGSPLAN!$W$5:$W$546,$P138))*(BEMANNINGSPLAN!$L$5:$L$546&lt;&gt;"")),BEMANNINGSPLAN!$L$5:$L$546),""))</f>
        <v/>
      </c>
      <c r="L138" s="18" t="str">
        <f>IF($P138="","",INDEX(BEMANNINGSPLAN!$AE$5:$AE$546,$P138))</f>
        <v/>
      </c>
      <c r="M138" s="137"/>
      <c r="N138" s="16"/>
      <c r="O138" s="16" t="str">
        <f>IF(AND(BEMANNINGSPLAN!U136=1,OR($B$4="Alla lag",BEMANNINGSPLAN!J136=$B$4),OR($E$4="Alla datum",BEMANNINGSPLAN!A136=$E$4)),COUNT($O$6:O137)+1,"")</f>
        <v/>
      </c>
      <c r="P138" s="137" t="str">
        <f t="shared" si="2"/>
        <v/>
      </c>
    </row>
    <row r="139" spans="1:16" ht="27.75" customHeight="1">
      <c r="A139" s="17" t="str">
        <f>IF($P139="","",INDEX(BEMANNINGSPLAN!$A$5:$A$546,$P139))</f>
        <v/>
      </c>
      <c r="B139" s="18" t="str">
        <f>IF($P139="","",INDEX(BEMANNINGSPLAN!$B$5:$B$546,$P139))</f>
        <v/>
      </c>
      <c r="C139" s="19" t="str">
        <f>IF($P139="","",INDEX(BEMANNINGSPLAN!$C$5:$C$546,$P139))</f>
        <v/>
      </c>
      <c r="D139" s="20" t="str">
        <f>IF($P139="","",INDEX(BEMANNINGSPLAN!$D$5:$D$546,$P139))</f>
        <v/>
      </c>
      <c r="E139" s="20" t="str">
        <f>IF($P139="","",SUMIF(BEMANNINGSPLAN!$W$5:$W$546,INDEX(BEMANNINGSPLAN!$W$5:$W$546,$P139),BEMANNINGSPLAN!$X$5:$X$546))</f>
        <v/>
      </c>
      <c r="F139" s="18" t="str">
        <f>IF($P139="","",INDEX(BEMANNINGSPLAN!$J$5:$J$546,$P139))</f>
        <v/>
      </c>
      <c r="G139" s="19" t="str">
        <f>IF($P139="","",INDEX(BEMANNINGSPLAN!$AD$5:$AD$546,$P139))</f>
        <v/>
      </c>
      <c r="H139" s="18" t="str">
        <f>IF($P139="","",IF(AND(INDEX(BEMANNINGSPLAN!$Y$5:$Y$546,$P139)=1,G139&lt;&gt;"Minicafé"),"X",""))</f>
        <v/>
      </c>
      <c r="I139" s="21" t="str">
        <f>IF($P139="","",IF(INDEX(BEMANNINGSPLAN!$Y$5:$Y$546,$P139)=1,"X",""))</f>
        <v/>
      </c>
      <c r="J139" s="22" t="str">
        <f>IF($P139="","",IF(SUMIF(BEMANNINGSPLAN!$W$5:$W$546,INDEX(BEMANNINGSPLAN!$W$5:$W$546,$P139),BEMANNINGSPLAN!$Z$5:$Z$546)=1,"X",""))</f>
        <v/>
      </c>
      <c r="K139" s="23" t="str">
        <f>IF($P139="","",IFERROR(LOOKUP(2,1/((BEMANNINGSPLAN!$W$5:$W$546=INDEX(BEMANNINGSPLAN!$W$5:$W$546,$P139))*(BEMANNINGSPLAN!$L$5:$L$546&lt;&gt;"")),BEMANNINGSPLAN!$L$5:$L$546),""))</f>
        <v/>
      </c>
      <c r="L139" s="18" t="str">
        <f>IF($P139="","",INDEX(BEMANNINGSPLAN!$AE$5:$AE$546,$P139))</f>
        <v/>
      </c>
      <c r="M139" s="137"/>
      <c r="N139" s="16"/>
      <c r="O139" s="16" t="str">
        <f>IF(AND(BEMANNINGSPLAN!U137=1,OR($B$4="Alla lag",BEMANNINGSPLAN!J137=$B$4),OR($E$4="Alla datum",BEMANNINGSPLAN!A137=$E$4)),COUNT($O$6:O138)+1,"")</f>
        <v/>
      </c>
      <c r="P139" s="137" t="str">
        <f t="shared" si="2"/>
        <v/>
      </c>
    </row>
    <row r="140" spans="1:16" ht="27.75" customHeight="1">
      <c r="A140" s="17" t="str">
        <f>IF($P140="","",INDEX(BEMANNINGSPLAN!$A$5:$A$546,$P140))</f>
        <v/>
      </c>
      <c r="B140" s="18" t="str">
        <f>IF($P140="","",INDEX(BEMANNINGSPLAN!$B$5:$B$546,$P140))</f>
        <v/>
      </c>
      <c r="C140" s="19" t="str">
        <f>IF($P140="","",INDEX(BEMANNINGSPLAN!$C$5:$C$546,$P140))</f>
        <v/>
      </c>
      <c r="D140" s="20" t="str">
        <f>IF($P140="","",INDEX(BEMANNINGSPLAN!$D$5:$D$546,$P140))</f>
        <v/>
      </c>
      <c r="E140" s="20" t="str">
        <f>IF($P140="","",SUMIF(BEMANNINGSPLAN!$W$5:$W$546,INDEX(BEMANNINGSPLAN!$W$5:$W$546,$P140),BEMANNINGSPLAN!$X$5:$X$546))</f>
        <v/>
      </c>
      <c r="F140" s="18" t="str">
        <f>IF($P140="","",INDEX(BEMANNINGSPLAN!$J$5:$J$546,$P140))</f>
        <v/>
      </c>
      <c r="G140" s="19" t="str">
        <f>IF($P140="","",INDEX(BEMANNINGSPLAN!$AD$5:$AD$546,$P140))</f>
        <v/>
      </c>
      <c r="H140" s="18" t="str">
        <f>IF($P140="","",IF(AND(INDEX(BEMANNINGSPLAN!$Y$5:$Y$546,$P140)=1,G140&lt;&gt;"Minicafé"),"X",""))</f>
        <v/>
      </c>
      <c r="I140" s="21" t="str">
        <f>IF($P140="","",IF(INDEX(BEMANNINGSPLAN!$Y$5:$Y$546,$P140)=1,"X",""))</f>
        <v/>
      </c>
      <c r="J140" s="22" t="str">
        <f>IF($P140="","",IF(SUMIF(BEMANNINGSPLAN!$W$5:$W$546,INDEX(BEMANNINGSPLAN!$W$5:$W$546,$P140),BEMANNINGSPLAN!$Z$5:$Z$546)=1,"X",""))</f>
        <v/>
      </c>
      <c r="K140" s="23" t="str">
        <f>IF($P140="","",IFERROR(LOOKUP(2,1/((BEMANNINGSPLAN!$W$5:$W$546=INDEX(BEMANNINGSPLAN!$W$5:$W$546,$P140))*(BEMANNINGSPLAN!$L$5:$L$546&lt;&gt;"")),BEMANNINGSPLAN!$L$5:$L$546),""))</f>
        <v/>
      </c>
      <c r="L140" s="18" t="str">
        <f>IF($P140="","",INDEX(BEMANNINGSPLAN!$AE$5:$AE$546,$P140))</f>
        <v/>
      </c>
      <c r="M140" s="137"/>
      <c r="N140" s="16"/>
      <c r="O140" s="16" t="str">
        <f>IF(AND(BEMANNINGSPLAN!U138=1,OR($B$4="Alla lag",BEMANNINGSPLAN!J138=$B$4),OR($E$4="Alla datum",BEMANNINGSPLAN!A138=$E$4)),COUNT($O$6:O139)+1,"")</f>
        <v/>
      </c>
      <c r="P140" s="137" t="str">
        <f t="shared" si="2"/>
        <v/>
      </c>
    </row>
    <row r="141" spans="1:16" ht="27.75" customHeight="1">
      <c r="A141" s="17" t="str">
        <f>IF($P141="","",INDEX(BEMANNINGSPLAN!$A$5:$A$546,$P141))</f>
        <v/>
      </c>
      <c r="B141" s="18" t="str">
        <f>IF($P141="","",INDEX(BEMANNINGSPLAN!$B$5:$B$546,$P141))</f>
        <v/>
      </c>
      <c r="C141" s="19" t="str">
        <f>IF($P141="","",INDEX(BEMANNINGSPLAN!$C$5:$C$546,$P141))</f>
        <v/>
      </c>
      <c r="D141" s="20" t="str">
        <f>IF($P141="","",INDEX(BEMANNINGSPLAN!$D$5:$D$546,$P141))</f>
        <v/>
      </c>
      <c r="E141" s="20" t="str">
        <f>IF($P141="","",SUMIF(BEMANNINGSPLAN!$W$5:$W$546,INDEX(BEMANNINGSPLAN!$W$5:$W$546,$P141),BEMANNINGSPLAN!$X$5:$X$546))</f>
        <v/>
      </c>
      <c r="F141" s="18" t="str">
        <f>IF($P141="","",INDEX(BEMANNINGSPLAN!$J$5:$J$546,$P141))</f>
        <v/>
      </c>
      <c r="G141" s="19" t="str">
        <f>IF($P141="","",INDEX(BEMANNINGSPLAN!$AD$5:$AD$546,$P141))</f>
        <v/>
      </c>
      <c r="H141" s="18" t="str">
        <f>IF($P141="","",IF(AND(INDEX(BEMANNINGSPLAN!$Y$5:$Y$546,$P141)=1,G141&lt;&gt;"Minicafé"),"X",""))</f>
        <v/>
      </c>
      <c r="I141" s="21" t="str">
        <f>IF($P141="","",IF(INDEX(BEMANNINGSPLAN!$Y$5:$Y$546,$P141)=1,"X",""))</f>
        <v/>
      </c>
      <c r="J141" s="22" t="str">
        <f>IF($P141="","",IF(SUMIF(BEMANNINGSPLAN!$W$5:$W$546,INDEX(BEMANNINGSPLAN!$W$5:$W$546,$P141),BEMANNINGSPLAN!$Z$5:$Z$546)=1,"X",""))</f>
        <v/>
      </c>
      <c r="K141" s="23" t="str">
        <f>IF($P141="","",IFERROR(LOOKUP(2,1/((BEMANNINGSPLAN!$W$5:$W$546=INDEX(BEMANNINGSPLAN!$W$5:$W$546,$P141))*(BEMANNINGSPLAN!$L$5:$L$546&lt;&gt;"")),BEMANNINGSPLAN!$L$5:$L$546),""))</f>
        <v/>
      </c>
      <c r="L141" s="18" t="str">
        <f>IF($P141="","",INDEX(BEMANNINGSPLAN!$AE$5:$AE$546,$P141))</f>
        <v/>
      </c>
      <c r="M141" s="137"/>
      <c r="N141" s="16"/>
      <c r="O141" s="16">
        <f>IF(AND(BEMANNINGSPLAN!U139=1,OR($B$4="Alla lag",BEMANNINGSPLAN!J139=$B$4),OR($E$4="Alla datum",BEMANNINGSPLAN!A139=$E$4)),COUNT($O$6:O140)+1,"")</f>
        <v>15</v>
      </c>
      <c r="P141" s="137" t="str">
        <f t="shared" si="2"/>
        <v/>
      </c>
    </row>
    <row r="142" spans="1:16" ht="27.75" customHeight="1">
      <c r="A142" s="17" t="str">
        <f>IF($P142="","",INDEX(BEMANNINGSPLAN!$A$5:$A$546,$P142))</f>
        <v/>
      </c>
      <c r="B142" s="18" t="str">
        <f>IF($P142="","",INDEX(BEMANNINGSPLAN!$B$5:$B$546,$P142))</f>
        <v/>
      </c>
      <c r="C142" s="19" t="str">
        <f>IF($P142="","",INDEX(BEMANNINGSPLAN!$C$5:$C$546,$P142))</f>
        <v/>
      </c>
      <c r="D142" s="20" t="str">
        <f>IF($P142="","",INDEX(BEMANNINGSPLAN!$D$5:$D$546,$P142))</f>
        <v/>
      </c>
      <c r="E142" s="20" t="str">
        <f>IF($P142="","",SUMIF(BEMANNINGSPLAN!$W$5:$W$546,INDEX(BEMANNINGSPLAN!$W$5:$W$546,$P142),BEMANNINGSPLAN!$X$5:$X$546))</f>
        <v/>
      </c>
      <c r="F142" s="18" t="str">
        <f>IF($P142="","",INDEX(BEMANNINGSPLAN!$J$5:$J$546,$P142))</f>
        <v/>
      </c>
      <c r="G142" s="19" t="str">
        <f>IF($P142="","",INDEX(BEMANNINGSPLAN!$AD$5:$AD$546,$P142))</f>
        <v/>
      </c>
      <c r="H142" s="18" t="str">
        <f>IF($P142="","",IF(AND(INDEX(BEMANNINGSPLAN!$Y$5:$Y$546,$P142)=1,G142&lt;&gt;"Minicafé"),"X",""))</f>
        <v/>
      </c>
      <c r="I142" s="21" t="str">
        <f>IF($P142="","",IF(INDEX(BEMANNINGSPLAN!$Y$5:$Y$546,$P142)=1,"X",""))</f>
        <v/>
      </c>
      <c r="J142" s="22" t="str">
        <f>IF($P142="","",IF(SUMIF(BEMANNINGSPLAN!$W$5:$W$546,INDEX(BEMANNINGSPLAN!$W$5:$W$546,$P142),BEMANNINGSPLAN!$Z$5:$Z$546)=1,"X",""))</f>
        <v/>
      </c>
      <c r="K142" s="23" t="str">
        <f>IF($P142="","",IFERROR(LOOKUP(2,1/((BEMANNINGSPLAN!$W$5:$W$546=INDEX(BEMANNINGSPLAN!$W$5:$W$546,$P142))*(BEMANNINGSPLAN!$L$5:$L$546&lt;&gt;"")),BEMANNINGSPLAN!$L$5:$L$546),""))</f>
        <v/>
      </c>
      <c r="L142" s="18" t="str">
        <f>IF($P142="","",INDEX(BEMANNINGSPLAN!$AE$5:$AE$546,$P142))</f>
        <v/>
      </c>
      <c r="M142" s="137"/>
      <c r="N142" s="16"/>
      <c r="O142" s="16" t="str">
        <f>IF(AND(BEMANNINGSPLAN!U140=1,OR($B$4="Alla lag",BEMANNINGSPLAN!J140=$B$4),OR($E$4="Alla datum",BEMANNINGSPLAN!A140=$E$4)),COUNT($O$6:O141)+1,"")</f>
        <v/>
      </c>
      <c r="P142" s="137" t="str">
        <f t="shared" si="2"/>
        <v/>
      </c>
    </row>
    <row r="143" spans="1:16" ht="27.75" customHeight="1">
      <c r="A143" s="17" t="str">
        <f>IF($P143="","",INDEX(BEMANNINGSPLAN!$A$5:$A$546,$P143))</f>
        <v/>
      </c>
      <c r="B143" s="18" t="str">
        <f>IF($P143="","",INDEX(BEMANNINGSPLAN!$B$5:$B$546,$P143))</f>
        <v/>
      </c>
      <c r="C143" s="19" t="str">
        <f>IF($P143="","",INDEX(BEMANNINGSPLAN!$C$5:$C$546,$P143))</f>
        <v/>
      </c>
      <c r="D143" s="20" t="str">
        <f>IF($P143="","",INDEX(BEMANNINGSPLAN!$D$5:$D$546,$P143))</f>
        <v/>
      </c>
      <c r="E143" s="20" t="str">
        <f>IF($P143="","",SUMIF(BEMANNINGSPLAN!$W$5:$W$546,INDEX(BEMANNINGSPLAN!$W$5:$W$546,$P143),BEMANNINGSPLAN!$X$5:$X$546))</f>
        <v/>
      </c>
      <c r="F143" s="18" t="str">
        <f>IF($P143="","",INDEX(BEMANNINGSPLAN!$J$5:$J$546,$P143))</f>
        <v/>
      </c>
      <c r="G143" s="19" t="str">
        <f>IF($P143="","",INDEX(BEMANNINGSPLAN!$AD$5:$AD$546,$P143))</f>
        <v/>
      </c>
      <c r="H143" s="18" t="str">
        <f>IF($P143="","",IF(AND(INDEX(BEMANNINGSPLAN!$Y$5:$Y$546,$P143)=1,G143&lt;&gt;"Minicafé"),"X",""))</f>
        <v/>
      </c>
      <c r="I143" s="21" t="str">
        <f>IF($P143="","",IF(INDEX(BEMANNINGSPLAN!$Y$5:$Y$546,$P143)=1,"X",""))</f>
        <v/>
      </c>
      <c r="J143" s="22" t="str">
        <f>IF($P143="","",IF(SUMIF(BEMANNINGSPLAN!$W$5:$W$546,INDEX(BEMANNINGSPLAN!$W$5:$W$546,$P143),BEMANNINGSPLAN!$Z$5:$Z$546)=1,"X",""))</f>
        <v/>
      </c>
      <c r="K143" s="23" t="str">
        <f>IF($P143="","",IFERROR(LOOKUP(2,1/((BEMANNINGSPLAN!$W$5:$W$546=INDEX(BEMANNINGSPLAN!$W$5:$W$546,$P143))*(BEMANNINGSPLAN!$L$5:$L$546&lt;&gt;"")),BEMANNINGSPLAN!$L$5:$L$546),""))</f>
        <v/>
      </c>
      <c r="L143" s="18" t="str">
        <f>IF($P143="","",INDEX(BEMANNINGSPLAN!$AE$5:$AE$546,$P143))</f>
        <v/>
      </c>
      <c r="M143" s="137"/>
      <c r="N143" s="16"/>
      <c r="O143" s="16" t="str">
        <f>IF(AND(BEMANNINGSPLAN!U141=1,OR($B$4="Alla lag",BEMANNINGSPLAN!J141=$B$4),OR($E$4="Alla datum",BEMANNINGSPLAN!A141=$E$4)),COUNT($O$6:O142)+1,"")</f>
        <v/>
      </c>
      <c r="P143" s="137" t="str">
        <f t="shared" si="2"/>
        <v/>
      </c>
    </row>
    <row r="144" spans="1:16" ht="27.75" customHeight="1">
      <c r="A144" s="17" t="str">
        <f>IF($P144="","",INDEX(BEMANNINGSPLAN!$A$5:$A$546,$P144))</f>
        <v/>
      </c>
      <c r="B144" s="18" t="str">
        <f>IF($P144="","",INDEX(BEMANNINGSPLAN!$B$5:$B$546,$P144))</f>
        <v/>
      </c>
      <c r="C144" s="19" t="str">
        <f>IF($P144="","",INDEX(BEMANNINGSPLAN!$C$5:$C$546,$P144))</f>
        <v/>
      </c>
      <c r="D144" s="20" t="str">
        <f>IF($P144="","",INDEX(BEMANNINGSPLAN!$D$5:$D$546,$P144))</f>
        <v/>
      </c>
      <c r="E144" s="20" t="str">
        <f>IF($P144="","",SUMIF(BEMANNINGSPLAN!$W$5:$W$546,INDEX(BEMANNINGSPLAN!$W$5:$W$546,$P144),BEMANNINGSPLAN!$X$5:$X$546))</f>
        <v/>
      </c>
      <c r="F144" s="18" t="str">
        <f>IF($P144="","",INDEX(BEMANNINGSPLAN!$J$5:$J$546,$P144))</f>
        <v/>
      </c>
      <c r="G144" s="19" t="str">
        <f>IF($P144="","",INDEX(BEMANNINGSPLAN!$AD$5:$AD$546,$P144))</f>
        <v/>
      </c>
      <c r="H144" s="18" t="str">
        <f>IF($P144="","",IF(AND(INDEX(BEMANNINGSPLAN!$Y$5:$Y$546,$P144)=1,G144&lt;&gt;"Minicafé"),"X",""))</f>
        <v/>
      </c>
      <c r="I144" s="21" t="str">
        <f>IF($P144="","",IF(INDEX(BEMANNINGSPLAN!$Y$5:$Y$546,$P144)=1,"X",""))</f>
        <v/>
      </c>
      <c r="J144" s="22" t="str">
        <f>IF($P144="","",IF(SUMIF(BEMANNINGSPLAN!$W$5:$W$546,INDEX(BEMANNINGSPLAN!$W$5:$W$546,$P144),BEMANNINGSPLAN!$Z$5:$Z$546)=1,"X",""))</f>
        <v/>
      </c>
      <c r="K144" s="23" t="str">
        <f>IF($P144="","",IFERROR(LOOKUP(2,1/((BEMANNINGSPLAN!$W$5:$W$546=INDEX(BEMANNINGSPLAN!$W$5:$W$546,$P144))*(BEMANNINGSPLAN!$L$5:$L$546&lt;&gt;"")),BEMANNINGSPLAN!$L$5:$L$546),""))</f>
        <v/>
      </c>
      <c r="L144" s="18" t="str">
        <f>IF($P144="","",INDEX(BEMANNINGSPLAN!$AE$5:$AE$546,$P144))</f>
        <v/>
      </c>
      <c r="M144" s="137"/>
      <c r="N144" s="16"/>
      <c r="O144" s="16" t="str">
        <f>IF(AND(BEMANNINGSPLAN!U142=1,OR($B$4="Alla lag",BEMANNINGSPLAN!J142=$B$4),OR($E$4="Alla datum",BEMANNINGSPLAN!A142=$E$4)),COUNT($O$6:O143)+1,"")</f>
        <v/>
      </c>
      <c r="P144" s="137" t="str">
        <f t="shared" si="2"/>
        <v/>
      </c>
    </row>
    <row r="145" spans="1:16" ht="27.75" customHeight="1">
      <c r="A145" s="17" t="str">
        <f>IF($P145="","",INDEX(BEMANNINGSPLAN!$A$5:$A$546,$P145))</f>
        <v/>
      </c>
      <c r="B145" s="18" t="str">
        <f>IF($P145="","",INDEX(BEMANNINGSPLAN!$B$5:$B$546,$P145))</f>
        <v/>
      </c>
      <c r="C145" s="19" t="str">
        <f>IF($P145="","",INDEX(BEMANNINGSPLAN!$C$5:$C$546,$P145))</f>
        <v/>
      </c>
      <c r="D145" s="20" t="str">
        <f>IF($P145="","",INDEX(BEMANNINGSPLAN!$D$5:$D$546,$P145))</f>
        <v/>
      </c>
      <c r="E145" s="20" t="str">
        <f>IF($P145="","",SUMIF(BEMANNINGSPLAN!$W$5:$W$546,INDEX(BEMANNINGSPLAN!$W$5:$W$546,$P145),BEMANNINGSPLAN!$X$5:$X$546))</f>
        <v/>
      </c>
      <c r="F145" s="18" t="str">
        <f>IF($P145="","",INDEX(BEMANNINGSPLAN!$J$5:$J$546,$P145))</f>
        <v/>
      </c>
      <c r="G145" s="19" t="str">
        <f>IF($P145="","",INDEX(BEMANNINGSPLAN!$AD$5:$AD$546,$P145))</f>
        <v/>
      </c>
      <c r="H145" s="18" t="str">
        <f>IF($P145="","",IF(AND(INDEX(BEMANNINGSPLAN!$Y$5:$Y$546,$P145)=1,G145&lt;&gt;"Minicafé"),"X",""))</f>
        <v/>
      </c>
      <c r="I145" s="21" t="str">
        <f>IF($P145="","",IF(INDEX(BEMANNINGSPLAN!$Y$5:$Y$546,$P145)=1,"X",""))</f>
        <v/>
      </c>
      <c r="J145" s="22" t="str">
        <f>IF($P145="","",IF(SUMIF(BEMANNINGSPLAN!$W$5:$W$546,INDEX(BEMANNINGSPLAN!$W$5:$W$546,$P145),BEMANNINGSPLAN!$Z$5:$Z$546)=1,"X",""))</f>
        <v/>
      </c>
      <c r="K145" s="23" t="str">
        <f>IF($P145="","",IFERROR(LOOKUP(2,1/((BEMANNINGSPLAN!$W$5:$W$546=INDEX(BEMANNINGSPLAN!$W$5:$W$546,$P145))*(BEMANNINGSPLAN!$L$5:$L$546&lt;&gt;"")),BEMANNINGSPLAN!$L$5:$L$546),""))</f>
        <v/>
      </c>
      <c r="L145" s="18" t="str">
        <f>IF($P145="","",INDEX(BEMANNINGSPLAN!$AE$5:$AE$546,$P145))</f>
        <v/>
      </c>
      <c r="M145" s="137"/>
      <c r="N145" s="16"/>
      <c r="O145" s="16">
        <f>IF(AND(BEMANNINGSPLAN!U143=1,OR($B$4="Alla lag",BEMANNINGSPLAN!J143=$B$4),OR($E$4="Alla datum",BEMANNINGSPLAN!A143=$E$4)),COUNT($O$6:O144)+1,"")</f>
        <v>16</v>
      </c>
      <c r="P145" s="137" t="str">
        <f t="shared" si="2"/>
        <v/>
      </c>
    </row>
    <row r="146" spans="1:16" ht="27.75" customHeight="1">
      <c r="A146" s="17" t="str">
        <f>IF($P146="","",INDEX(BEMANNINGSPLAN!$A$5:$A$546,$P146))</f>
        <v/>
      </c>
      <c r="B146" s="18" t="str">
        <f>IF($P146="","",INDEX(BEMANNINGSPLAN!$B$5:$B$546,$P146))</f>
        <v/>
      </c>
      <c r="C146" s="19" t="str">
        <f>IF($P146="","",INDEX(BEMANNINGSPLAN!$C$5:$C$546,$P146))</f>
        <v/>
      </c>
      <c r="D146" s="20" t="str">
        <f>IF($P146="","",INDEX(BEMANNINGSPLAN!$D$5:$D$546,$P146))</f>
        <v/>
      </c>
      <c r="E146" s="20" t="str">
        <f>IF($P146="","",SUMIF(BEMANNINGSPLAN!$W$5:$W$546,INDEX(BEMANNINGSPLAN!$W$5:$W$546,$P146),BEMANNINGSPLAN!$X$5:$X$546))</f>
        <v/>
      </c>
      <c r="F146" s="18" t="str">
        <f>IF($P146="","",INDEX(BEMANNINGSPLAN!$J$5:$J$546,$P146))</f>
        <v/>
      </c>
      <c r="G146" s="19" t="str">
        <f>IF($P146="","",INDEX(BEMANNINGSPLAN!$AD$5:$AD$546,$P146))</f>
        <v/>
      </c>
      <c r="H146" s="18" t="str">
        <f>IF($P146="","",IF(AND(INDEX(BEMANNINGSPLAN!$Y$5:$Y$546,$P146)=1,G146&lt;&gt;"Minicafé"),"X",""))</f>
        <v/>
      </c>
      <c r="I146" s="21" t="str">
        <f>IF($P146="","",IF(INDEX(BEMANNINGSPLAN!$Y$5:$Y$546,$P146)=1,"X",""))</f>
        <v/>
      </c>
      <c r="J146" s="22" t="str">
        <f>IF($P146="","",IF(SUMIF(BEMANNINGSPLAN!$W$5:$W$546,INDEX(BEMANNINGSPLAN!$W$5:$W$546,$P146),BEMANNINGSPLAN!$Z$5:$Z$546)=1,"X",""))</f>
        <v/>
      </c>
      <c r="K146" s="23" t="str">
        <f>IF($P146="","",IFERROR(LOOKUP(2,1/((BEMANNINGSPLAN!$W$5:$W$546=INDEX(BEMANNINGSPLAN!$W$5:$W$546,$P146))*(BEMANNINGSPLAN!$L$5:$L$546&lt;&gt;"")),BEMANNINGSPLAN!$L$5:$L$546),""))</f>
        <v/>
      </c>
      <c r="L146" s="18" t="str">
        <f>IF($P146="","",INDEX(BEMANNINGSPLAN!$AE$5:$AE$546,$P146))</f>
        <v/>
      </c>
      <c r="M146" s="137"/>
      <c r="N146" s="16"/>
      <c r="O146" s="16" t="str">
        <f>IF(AND(BEMANNINGSPLAN!U144=1,OR($B$4="Alla lag",BEMANNINGSPLAN!J144=$B$4),OR($E$4="Alla datum",BEMANNINGSPLAN!A144=$E$4)),COUNT($O$6:O145)+1,"")</f>
        <v/>
      </c>
      <c r="P146" s="137" t="str">
        <f t="shared" si="2"/>
        <v/>
      </c>
    </row>
    <row r="147" spans="1:16" ht="27.75" customHeight="1">
      <c r="A147" s="17" t="str">
        <f>IF($P147="","",INDEX(BEMANNINGSPLAN!$A$5:$A$546,$P147))</f>
        <v/>
      </c>
      <c r="B147" s="18" t="str">
        <f>IF($P147="","",INDEX(BEMANNINGSPLAN!$B$5:$B$546,$P147))</f>
        <v/>
      </c>
      <c r="C147" s="19" t="str">
        <f>IF($P147="","",INDEX(BEMANNINGSPLAN!$C$5:$C$546,$P147))</f>
        <v/>
      </c>
      <c r="D147" s="20" t="str">
        <f>IF($P147="","",INDEX(BEMANNINGSPLAN!$D$5:$D$546,$P147))</f>
        <v/>
      </c>
      <c r="E147" s="20" t="str">
        <f>IF($P147="","",SUMIF(BEMANNINGSPLAN!$W$5:$W$546,INDEX(BEMANNINGSPLAN!$W$5:$W$546,$P147),BEMANNINGSPLAN!$X$5:$X$546))</f>
        <v/>
      </c>
      <c r="F147" s="18" t="str">
        <f>IF($P147="","",INDEX(BEMANNINGSPLAN!$J$5:$J$546,$P147))</f>
        <v/>
      </c>
      <c r="G147" s="19" t="str">
        <f>IF($P147="","",INDEX(BEMANNINGSPLAN!$AD$5:$AD$546,$P147))</f>
        <v/>
      </c>
      <c r="H147" s="18" t="str">
        <f>IF($P147="","",IF(AND(INDEX(BEMANNINGSPLAN!$Y$5:$Y$546,$P147)=1,G147&lt;&gt;"Minicafé"),"X",""))</f>
        <v/>
      </c>
      <c r="I147" s="21" t="str">
        <f>IF($P147="","",IF(INDEX(BEMANNINGSPLAN!$Y$5:$Y$546,$P147)=1,"X",""))</f>
        <v/>
      </c>
      <c r="J147" s="22" t="str">
        <f>IF($P147="","",IF(SUMIF(BEMANNINGSPLAN!$W$5:$W$546,INDEX(BEMANNINGSPLAN!$W$5:$W$546,$P147),BEMANNINGSPLAN!$Z$5:$Z$546)=1,"X",""))</f>
        <v/>
      </c>
      <c r="K147" s="23" t="str">
        <f>IF($P147="","",IFERROR(LOOKUP(2,1/((BEMANNINGSPLAN!$W$5:$W$546=INDEX(BEMANNINGSPLAN!$W$5:$W$546,$P147))*(BEMANNINGSPLAN!$L$5:$L$546&lt;&gt;"")),BEMANNINGSPLAN!$L$5:$L$546),""))</f>
        <v/>
      </c>
      <c r="L147" s="18" t="str">
        <f>IF($P147="","",INDEX(BEMANNINGSPLAN!$AE$5:$AE$546,$P147))</f>
        <v/>
      </c>
      <c r="M147" s="137"/>
      <c r="N147" s="16"/>
      <c r="O147" s="16" t="str">
        <f>IF(AND(BEMANNINGSPLAN!U145=1,OR($B$4="Alla lag",BEMANNINGSPLAN!J145=$B$4),OR($E$4="Alla datum",BEMANNINGSPLAN!A145=$E$4)),COUNT($O$6:O146)+1,"")</f>
        <v/>
      </c>
      <c r="P147" s="137" t="str">
        <f t="shared" si="2"/>
        <v/>
      </c>
    </row>
    <row r="148" spans="1:16" ht="27.75" customHeight="1">
      <c r="A148" s="17" t="str">
        <f>IF($P148="","",INDEX(BEMANNINGSPLAN!$A$5:$A$546,$P148))</f>
        <v/>
      </c>
      <c r="B148" s="18" t="str">
        <f>IF($P148="","",INDEX(BEMANNINGSPLAN!$B$5:$B$546,$P148))</f>
        <v/>
      </c>
      <c r="C148" s="19" t="str">
        <f>IF($P148="","",INDEX(BEMANNINGSPLAN!$C$5:$C$546,$P148))</f>
        <v/>
      </c>
      <c r="D148" s="20" t="str">
        <f>IF($P148="","",INDEX(BEMANNINGSPLAN!$D$5:$D$546,$P148))</f>
        <v/>
      </c>
      <c r="E148" s="20" t="str">
        <f>IF($P148="","",SUMIF(BEMANNINGSPLAN!$W$5:$W$546,INDEX(BEMANNINGSPLAN!$W$5:$W$546,$P148),BEMANNINGSPLAN!$X$5:$X$546))</f>
        <v/>
      </c>
      <c r="F148" s="18" t="str">
        <f>IF($P148="","",INDEX(BEMANNINGSPLAN!$J$5:$J$546,$P148))</f>
        <v/>
      </c>
      <c r="G148" s="19" t="str">
        <f>IF($P148="","",INDEX(BEMANNINGSPLAN!$AD$5:$AD$546,$P148))</f>
        <v/>
      </c>
      <c r="H148" s="18" t="str">
        <f>IF($P148="","",IF(AND(INDEX(BEMANNINGSPLAN!$Y$5:$Y$546,$P148)=1,G148&lt;&gt;"Minicafé"),"X",""))</f>
        <v/>
      </c>
      <c r="I148" s="21" t="str">
        <f>IF($P148="","",IF(INDEX(BEMANNINGSPLAN!$Y$5:$Y$546,$P148)=1,"X",""))</f>
        <v/>
      </c>
      <c r="J148" s="22" t="str">
        <f>IF($P148="","",IF(SUMIF(BEMANNINGSPLAN!$W$5:$W$546,INDEX(BEMANNINGSPLAN!$W$5:$W$546,$P148),BEMANNINGSPLAN!$Z$5:$Z$546)=1,"X",""))</f>
        <v/>
      </c>
      <c r="K148" s="23" t="str">
        <f>IF($P148="","",IFERROR(LOOKUP(2,1/((BEMANNINGSPLAN!$W$5:$W$546=INDEX(BEMANNINGSPLAN!$W$5:$W$546,$P148))*(BEMANNINGSPLAN!$L$5:$L$546&lt;&gt;"")),BEMANNINGSPLAN!$L$5:$L$546),""))</f>
        <v/>
      </c>
      <c r="L148" s="18" t="str">
        <f>IF($P148="","",INDEX(BEMANNINGSPLAN!$AE$5:$AE$546,$P148))</f>
        <v/>
      </c>
      <c r="M148" s="137"/>
      <c r="N148" s="16"/>
      <c r="O148" s="16" t="str">
        <f>IF(AND(BEMANNINGSPLAN!U146=1,OR($B$4="Alla lag",BEMANNINGSPLAN!J146=$B$4),OR($E$4="Alla datum",BEMANNINGSPLAN!A146=$E$4)),COUNT($O$6:O147)+1,"")</f>
        <v/>
      </c>
      <c r="P148" s="137" t="str">
        <f t="shared" si="2"/>
        <v/>
      </c>
    </row>
    <row r="149" spans="1:16" ht="27.75" customHeight="1">
      <c r="A149" s="17" t="str">
        <f>IF($P149="","",INDEX(BEMANNINGSPLAN!$A$5:$A$546,$P149))</f>
        <v/>
      </c>
      <c r="B149" s="18" t="str">
        <f>IF($P149="","",INDEX(BEMANNINGSPLAN!$B$5:$B$546,$P149))</f>
        <v/>
      </c>
      <c r="C149" s="19" t="str">
        <f>IF($P149="","",INDEX(BEMANNINGSPLAN!$C$5:$C$546,$P149))</f>
        <v/>
      </c>
      <c r="D149" s="20" t="str">
        <f>IF($P149="","",INDEX(BEMANNINGSPLAN!$D$5:$D$546,$P149))</f>
        <v/>
      </c>
      <c r="E149" s="20" t="str">
        <f>IF($P149="","",SUMIF(BEMANNINGSPLAN!$W$5:$W$546,INDEX(BEMANNINGSPLAN!$W$5:$W$546,$P149),BEMANNINGSPLAN!$X$5:$X$546))</f>
        <v/>
      </c>
      <c r="F149" s="18" t="str">
        <f>IF($P149="","",INDEX(BEMANNINGSPLAN!$J$5:$J$546,$P149))</f>
        <v/>
      </c>
      <c r="G149" s="19" t="str">
        <f>IF($P149="","",INDEX(BEMANNINGSPLAN!$AD$5:$AD$546,$P149))</f>
        <v/>
      </c>
      <c r="H149" s="18" t="str">
        <f>IF($P149="","",IF(AND(INDEX(BEMANNINGSPLAN!$Y$5:$Y$546,$P149)=1,G149&lt;&gt;"Minicafé"),"X",""))</f>
        <v/>
      </c>
      <c r="I149" s="21" t="str">
        <f>IF($P149="","",IF(INDEX(BEMANNINGSPLAN!$Y$5:$Y$546,$P149)=1,"X",""))</f>
        <v/>
      </c>
      <c r="J149" s="22" t="str">
        <f>IF($P149="","",IF(SUMIF(BEMANNINGSPLAN!$W$5:$W$546,INDEX(BEMANNINGSPLAN!$W$5:$W$546,$P149),BEMANNINGSPLAN!$Z$5:$Z$546)=1,"X",""))</f>
        <v/>
      </c>
      <c r="K149" s="23" t="str">
        <f>IF($P149="","",IFERROR(LOOKUP(2,1/((BEMANNINGSPLAN!$W$5:$W$546=INDEX(BEMANNINGSPLAN!$W$5:$W$546,$P149))*(BEMANNINGSPLAN!$L$5:$L$546&lt;&gt;"")),BEMANNINGSPLAN!$L$5:$L$546),""))</f>
        <v/>
      </c>
      <c r="L149" s="18" t="str">
        <f>IF($P149="","",INDEX(BEMANNINGSPLAN!$AE$5:$AE$546,$P149))</f>
        <v/>
      </c>
      <c r="M149" s="137"/>
      <c r="N149" s="16"/>
      <c r="O149" s="16" t="str">
        <f>IF(AND(BEMANNINGSPLAN!U147=1,OR($B$4="Alla lag",BEMANNINGSPLAN!J147=$B$4),OR($E$4="Alla datum",BEMANNINGSPLAN!A147=$E$4)),COUNT($O$6:O148)+1,"")</f>
        <v/>
      </c>
      <c r="P149" s="137" t="str">
        <f t="shared" si="2"/>
        <v/>
      </c>
    </row>
    <row r="150" spans="1:16" ht="27.75" customHeight="1">
      <c r="A150" s="17" t="str">
        <f>IF($P150="","",INDEX(BEMANNINGSPLAN!$A$5:$A$546,$P150))</f>
        <v/>
      </c>
      <c r="B150" s="18" t="str">
        <f>IF($P150="","",INDEX(BEMANNINGSPLAN!$B$5:$B$546,$P150))</f>
        <v/>
      </c>
      <c r="C150" s="19" t="str">
        <f>IF($P150="","",INDEX(BEMANNINGSPLAN!$C$5:$C$546,$P150))</f>
        <v/>
      </c>
      <c r="D150" s="20" t="str">
        <f>IF($P150="","",INDEX(BEMANNINGSPLAN!$D$5:$D$546,$P150))</f>
        <v/>
      </c>
      <c r="E150" s="20" t="str">
        <f>IF($P150="","",SUMIF(BEMANNINGSPLAN!$W$5:$W$546,INDEX(BEMANNINGSPLAN!$W$5:$W$546,$P150),BEMANNINGSPLAN!$X$5:$X$546))</f>
        <v/>
      </c>
      <c r="F150" s="18" t="str">
        <f>IF($P150="","",INDEX(BEMANNINGSPLAN!$J$5:$J$546,$P150))</f>
        <v/>
      </c>
      <c r="G150" s="19" t="str">
        <f>IF($P150="","",INDEX(BEMANNINGSPLAN!$AD$5:$AD$546,$P150))</f>
        <v/>
      </c>
      <c r="H150" s="18" t="str">
        <f>IF($P150="","",IF(AND(INDEX(BEMANNINGSPLAN!$Y$5:$Y$546,$P150)=1,G150&lt;&gt;"Minicafé"),"X",""))</f>
        <v/>
      </c>
      <c r="I150" s="21" t="str">
        <f>IF($P150="","",IF(INDEX(BEMANNINGSPLAN!$Y$5:$Y$546,$P150)=1,"X",""))</f>
        <v/>
      </c>
      <c r="J150" s="22" t="str">
        <f>IF($P150="","",IF(SUMIF(BEMANNINGSPLAN!$W$5:$W$546,INDEX(BEMANNINGSPLAN!$W$5:$W$546,$P150),BEMANNINGSPLAN!$Z$5:$Z$546)=1,"X",""))</f>
        <v/>
      </c>
      <c r="K150" s="23" t="str">
        <f>IF($P150="","",IFERROR(LOOKUP(2,1/((BEMANNINGSPLAN!$W$5:$W$546=INDEX(BEMANNINGSPLAN!$W$5:$W$546,$P150))*(BEMANNINGSPLAN!$L$5:$L$546&lt;&gt;"")),BEMANNINGSPLAN!$L$5:$L$546),""))</f>
        <v/>
      </c>
      <c r="L150" s="18" t="str">
        <f>IF($P150="","",INDEX(BEMANNINGSPLAN!$AE$5:$AE$546,$P150))</f>
        <v/>
      </c>
      <c r="M150" s="137"/>
      <c r="N150" s="16"/>
      <c r="O150" s="16" t="str">
        <f>IF(AND(BEMANNINGSPLAN!U148=1,OR($B$4="Alla lag",BEMANNINGSPLAN!J148=$B$4),OR($E$4="Alla datum",BEMANNINGSPLAN!A148=$E$4)),COUNT($O$6:O149)+1,"")</f>
        <v/>
      </c>
      <c r="P150" s="137" t="str">
        <f t="shared" si="2"/>
        <v/>
      </c>
    </row>
    <row r="151" spans="1:16" ht="27.75" customHeight="1">
      <c r="A151" s="17" t="str">
        <f>IF($P151="","",INDEX(BEMANNINGSPLAN!$A$5:$A$546,$P151))</f>
        <v/>
      </c>
      <c r="B151" s="18" t="str">
        <f>IF($P151="","",INDEX(BEMANNINGSPLAN!$B$5:$B$546,$P151))</f>
        <v/>
      </c>
      <c r="C151" s="19" t="str">
        <f>IF($P151="","",INDEX(BEMANNINGSPLAN!$C$5:$C$546,$P151))</f>
        <v/>
      </c>
      <c r="D151" s="20" t="str">
        <f>IF($P151="","",INDEX(BEMANNINGSPLAN!$D$5:$D$546,$P151))</f>
        <v/>
      </c>
      <c r="E151" s="20" t="str">
        <f>IF($P151="","",SUMIF(BEMANNINGSPLAN!$W$5:$W$546,INDEX(BEMANNINGSPLAN!$W$5:$W$546,$P151),BEMANNINGSPLAN!$X$5:$X$546))</f>
        <v/>
      </c>
      <c r="F151" s="18" t="str">
        <f>IF($P151="","",INDEX(BEMANNINGSPLAN!$J$5:$J$546,$P151))</f>
        <v/>
      </c>
      <c r="G151" s="19" t="str">
        <f>IF($P151="","",INDEX(BEMANNINGSPLAN!$AD$5:$AD$546,$P151))</f>
        <v/>
      </c>
      <c r="H151" s="18" t="str">
        <f>IF($P151="","",IF(AND(INDEX(BEMANNINGSPLAN!$Y$5:$Y$546,$P151)=1,G151&lt;&gt;"Minicafé"),"X",""))</f>
        <v/>
      </c>
      <c r="I151" s="21" t="str">
        <f>IF($P151="","",IF(INDEX(BEMANNINGSPLAN!$Y$5:$Y$546,$P151)=1,"X",""))</f>
        <v/>
      </c>
      <c r="J151" s="22" t="str">
        <f>IF($P151="","",IF(SUMIF(BEMANNINGSPLAN!$W$5:$W$546,INDEX(BEMANNINGSPLAN!$W$5:$W$546,$P151),BEMANNINGSPLAN!$Z$5:$Z$546)=1,"X",""))</f>
        <v/>
      </c>
      <c r="K151" s="23" t="str">
        <f>IF($P151="","",IFERROR(LOOKUP(2,1/((BEMANNINGSPLAN!$W$5:$W$546=INDEX(BEMANNINGSPLAN!$W$5:$W$546,$P151))*(BEMANNINGSPLAN!$L$5:$L$546&lt;&gt;"")),BEMANNINGSPLAN!$L$5:$L$546),""))</f>
        <v/>
      </c>
      <c r="L151" s="18" t="str">
        <f>IF($P151="","",INDEX(BEMANNINGSPLAN!$AE$5:$AE$546,$P151))</f>
        <v/>
      </c>
      <c r="M151" s="137"/>
      <c r="N151" s="16"/>
      <c r="O151" s="16" t="str">
        <f>IF(AND(BEMANNINGSPLAN!U149=1,OR($B$4="Alla lag",BEMANNINGSPLAN!J149=$B$4),OR($E$4="Alla datum",BEMANNINGSPLAN!A149=$E$4)),COUNT($O$6:O150)+1,"")</f>
        <v/>
      </c>
      <c r="P151" s="137" t="str">
        <f t="shared" si="2"/>
        <v/>
      </c>
    </row>
    <row r="152" spans="1:16" ht="27.75" customHeight="1">
      <c r="A152" s="17" t="str">
        <f>IF($P152="","",INDEX(BEMANNINGSPLAN!$A$5:$A$546,$P152))</f>
        <v/>
      </c>
      <c r="B152" s="18" t="str">
        <f>IF($P152="","",INDEX(BEMANNINGSPLAN!$B$5:$B$546,$P152))</f>
        <v/>
      </c>
      <c r="C152" s="19" t="str">
        <f>IF($P152="","",INDEX(BEMANNINGSPLAN!$C$5:$C$546,$P152))</f>
        <v/>
      </c>
      <c r="D152" s="20" t="str">
        <f>IF($P152="","",INDEX(BEMANNINGSPLAN!$D$5:$D$546,$P152))</f>
        <v/>
      </c>
      <c r="E152" s="20" t="str">
        <f>IF($P152="","",SUMIF(BEMANNINGSPLAN!$W$5:$W$546,INDEX(BEMANNINGSPLAN!$W$5:$W$546,$P152),BEMANNINGSPLAN!$X$5:$X$546))</f>
        <v/>
      </c>
      <c r="F152" s="18" t="str">
        <f>IF($P152="","",INDEX(BEMANNINGSPLAN!$J$5:$J$546,$P152))</f>
        <v/>
      </c>
      <c r="G152" s="19" t="str">
        <f>IF($P152="","",INDEX(BEMANNINGSPLAN!$AD$5:$AD$546,$P152))</f>
        <v/>
      </c>
      <c r="H152" s="18" t="str">
        <f>IF($P152="","",IF(AND(INDEX(BEMANNINGSPLAN!$Y$5:$Y$546,$P152)=1,G152&lt;&gt;"Minicafé"),"X",""))</f>
        <v/>
      </c>
      <c r="I152" s="21" t="str">
        <f>IF($P152="","",IF(INDEX(BEMANNINGSPLAN!$Y$5:$Y$546,$P152)=1,"X",""))</f>
        <v/>
      </c>
      <c r="J152" s="22" t="str">
        <f>IF($P152="","",IF(SUMIF(BEMANNINGSPLAN!$W$5:$W$546,INDEX(BEMANNINGSPLAN!$W$5:$W$546,$P152),BEMANNINGSPLAN!$Z$5:$Z$546)=1,"X",""))</f>
        <v/>
      </c>
      <c r="K152" s="23" t="str">
        <f>IF($P152="","",IFERROR(LOOKUP(2,1/((BEMANNINGSPLAN!$W$5:$W$546=INDEX(BEMANNINGSPLAN!$W$5:$W$546,$P152))*(BEMANNINGSPLAN!$L$5:$L$546&lt;&gt;"")),BEMANNINGSPLAN!$L$5:$L$546),""))</f>
        <v/>
      </c>
      <c r="L152" s="18" t="str">
        <f>IF($P152="","",INDEX(BEMANNINGSPLAN!$AE$5:$AE$546,$P152))</f>
        <v/>
      </c>
      <c r="M152" s="137"/>
      <c r="N152" s="16"/>
      <c r="O152" s="16" t="str">
        <f>IF(AND(BEMANNINGSPLAN!U150=1,OR($B$4="Alla lag",BEMANNINGSPLAN!J150=$B$4),OR($E$4="Alla datum",BEMANNINGSPLAN!A150=$E$4)),COUNT($O$6:O151)+1,"")</f>
        <v/>
      </c>
      <c r="P152" s="137" t="str">
        <f t="shared" si="2"/>
        <v/>
      </c>
    </row>
    <row r="153" spans="1:16" ht="27.75" customHeight="1">
      <c r="A153" s="17" t="str">
        <f>IF($P153="","",INDEX(BEMANNINGSPLAN!$A$5:$A$546,$P153))</f>
        <v/>
      </c>
      <c r="B153" s="18" t="str">
        <f>IF($P153="","",INDEX(BEMANNINGSPLAN!$B$5:$B$546,$P153))</f>
        <v/>
      </c>
      <c r="C153" s="19" t="str">
        <f>IF($P153="","",INDEX(BEMANNINGSPLAN!$C$5:$C$546,$P153))</f>
        <v/>
      </c>
      <c r="D153" s="20" t="str">
        <f>IF($P153="","",INDEX(BEMANNINGSPLAN!$D$5:$D$546,$P153))</f>
        <v/>
      </c>
      <c r="E153" s="20" t="str">
        <f>IF($P153="","",SUMIF(BEMANNINGSPLAN!$W$5:$W$546,INDEX(BEMANNINGSPLAN!$W$5:$W$546,$P153),BEMANNINGSPLAN!$X$5:$X$546))</f>
        <v/>
      </c>
      <c r="F153" s="18" t="str">
        <f>IF($P153="","",INDEX(BEMANNINGSPLAN!$J$5:$J$546,$P153))</f>
        <v/>
      </c>
      <c r="G153" s="19" t="str">
        <f>IF($P153="","",INDEX(BEMANNINGSPLAN!$AD$5:$AD$546,$P153))</f>
        <v/>
      </c>
      <c r="H153" s="18" t="str">
        <f>IF($P153="","",IF(AND(INDEX(BEMANNINGSPLAN!$Y$5:$Y$546,$P153)=1,G153&lt;&gt;"Minicafé"),"X",""))</f>
        <v/>
      </c>
      <c r="I153" s="21" t="str">
        <f>IF($P153="","",IF(INDEX(BEMANNINGSPLAN!$Y$5:$Y$546,$P153)=1,"X",""))</f>
        <v/>
      </c>
      <c r="J153" s="22" t="str">
        <f>IF($P153="","",IF(SUMIF(BEMANNINGSPLAN!$W$5:$W$546,INDEX(BEMANNINGSPLAN!$W$5:$W$546,$P153),BEMANNINGSPLAN!$Z$5:$Z$546)=1,"X",""))</f>
        <v/>
      </c>
      <c r="K153" s="23" t="str">
        <f>IF($P153="","",IFERROR(LOOKUP(2,1/((BEMANNINGSPLAN!$W$5:$W$546=INDEX(BEMANNINGSPLAN!$W$5:$W$546,$P153))*(BEMANNINGSPLAN!$L$5:$L$546&lt;&gt;"")),BEMANNINGSPLAN!$L$5:$L$546),""))</f>
        <v/>
      </c>
      <c r="L153" s="18" t="str">
        <f>IF($P153="","",INDEX(BEMANNINGSPLAN!$AE$5:$AE$546,$P153))</f>
        <v/>
      </c>
      <c r="M153" s="137"/>
      <c r="N153" s="16"/>
      <c r="O153" s="16" t="str">
        <f>IF(AND(BEMANNINGSPLAN!U151=1,OR($B$4="Alla lag",BEMANNINGSPLAN!J151=$B$4),OR($E$4="Alla datum",BEMANNINGSPLAN!A151=$E$4)),COUNT($O$6:O152)+1,"")</f>
        <v/>
      </c>
      <c r="P153" s="137" t="str">
        <f t="shared" si="2"/>
        <v/>
      </c>
    </row>
    <row r="154" spans="1:16" ht="27.75" customHeight="1">
      <c r="A154" s="17" t="str">
        <f>IF($P154="","",INDEX(BEMANNINGSPLAN!$A$5:$A$546,$P154))</f>
        <v/>
      </c>
      <c r="B154" s="18" t="str">
        <f>IF($P154="","",INDEX(BEMANNINGSPLAN!$B$5:$B$546,$P154))</f>
        <v/>
      </c>
      <c r="C154" s="19" t="str">
        <f>IF($P154="","",INDEX(BEMANNINGSPLAN!$C$5:$C$546,$P154))</f>
        <v/>
      </c>
      <c r="D154" s="20" t="str">
        <f>IF($P154="","",INDEX(BEMANNINGSPLAN!$D$5:$D$546,$P154))</f>
        <v/>
      </c>
      <c r="E154" s="20" t="str">
        <f>IF($P154="","",SUMIF(BEMANNINGSPLAN!$W$5:$W$546,INDEX(BEMANNINGSPLAN!$W$5:$W$546,$P154),BEMANNINGSPLAN!$X$5:$X$546))</f>
        <v/>
      </c>
      <c r="F154" s="18" t="str">
        <f>IF($P154="","",INDEX(BEMANNINGSPLAN!$J$5:$J$546,$P154))</f>
        <v/>
      </c>
      <c r="G154" s="19" t="str">
        <f>IF($P154="","",INDEX(BEMANNINGSPLAN!$AD$5:$AD$546,$P154))</f>
        <v/>
      </c>
      <c r="H154" s="18" t="str">
        <f>IF($P154="","",IF(AND(INDEX(BEMANNINGSPLAN!$Y$5:$Y$546,$P154)=1,G154&lt;&gt;"Minicafé"),"X",""))</f>
        <v/>
      </c>
      <c r="I154" s="21" t="str">
        <f>IF($P154="","",IF(INDEX(BEMANNINGSPLAN!$Y$5:$Y$546,$P154)=1,"X",""))</f>
        <v/>
      </c>
      <c r="J154" s="22" t="str">
        <f>IF($P154="","",IF(SUMIF(BEMANNINGSPLAN!$W$5:$W$546,INDEX(BEMANNINGSPLAN!$W$5:$W$546,$P154),BEMANNINGSPLAN!$Z$5:$Z$546)=1,"X",""))</f>
        <v/>
      </c>
      <c r="K154" s="23" t="str">
        <f>IF($P154="","",IFERROR(LOOKUP(2,1/((BEMANNINGSPLAN!$W$5:$W$546=INDEX(BEMANNINGSPLAN!$W$5:$W$546,$P154))*(BEMANNINGSPLAN!$L$5:$L$546&lt;&gt;"")),BEMANNINGSPLAN!$L$5:$L$546),""))</f>
        <v/>
      </c>
      <c r="L154" s="18" t="str">
        <f>IF($P154="","",INDEX(BEMANNINGSPLAN!$AE$5:$AE$546,$P154))</f>
        <v/>
      </c>
      <c r="M154" s="137"/>
      <c r="N154" s="16"/>
      <c r="O154" s="16" t="str">
        <f>IF(AND(BEMANNINGSPLAN!U152=1,OR($B$4="Alla lag",BEMANNINGSPLAN!J152=$B$4),OR($E$4="Alla datum",BEMANNINGSPLAN!A152=$E$4)),COUNT($O$6:O153)+1,"")</f>
        <v/>
      </c>
      <c r="P154" s="137" t="str">
        <f t="shared" si="2"/>
        <v/>
      </c>
    </row>
    <row r="155" spans="1:16" ht="27.75" customHeight="1">
      <c r="A155" s="17" t="str">
        <f>IF($P155="","",INDEX(BEMANNINGSPLAN!$A$5:$A$546,$P155))</f>
        <v/>
      </c>
      <c r="B155" s="18" t="str">
        <f>IF($P155="","",INDEX(BEMANNINGSPLAN!$B$5:$B$546,$P155))</f>
        <v/>
      </c>
      <c r="C155" s="19" t="str">
        <f>IF($P155="","",INDEX(BEMANNINGSPLAN!$C$5:$C$546,$P155))</f>
        <v/>
      </c>
      <c r="D155" s="20" t="str">
        <f>IF($P155="","",INDEX(BEMANNINGSPLAN!$D$5:$D$546,$P155))</f>
        <v/>
      </c>
      <c r="E155" s="20" t="str">
        <f>IF($P155="","",SUMIF(BEMANNINGSPLAN!$W$5:$W$546,INDEX(BEMANNINGSPLAN!$W$5:$W$546,$P155),BEMANNINGSPLAN!$X$5:$X$546))</f>
        <v/>
      </c>
      <c r="F155" s="18" t="str">
        <f>IF($P155="","",INDEX(BEMANNINGSPLAN!$J$5:$J$546,$P155))</f>
        <v/>
      </c>
      <c r="G155" s="19" t="str">
        <f>IF($P155="","",INDEX(BEMANNINGSPLAN!$AD$5:$AD$546,$P155))</f>
        <v/>
      </c>
      <c r="H155" s="18" t="str">
        <f>IF($P155="","",IF(AND(INDEX(BEMANNINGSPLAN!$Y$5:$Y$546,$P155)=1,G155&lt;&gt;"Minicafé"),"X",""))</f>
        <v/>
      </c>
      <c r="I155" s="21" t="str">
        <f>IF($P155="","",IF(INDEX(BEMANNINGSPLAN!$Y$5:$Y$546,$P155)=1,"X",""))</f>
        <v/>
      </c>
      <c r="J155" s="22" t="str">
        <f>IF($P155="","",IF(SUMIF(BEMANNINGSPLAN!$W$5:$W$546,INDEX(BEMANNINGSPLAN!$W$5:$W$546,$P155),BEMANNINGSPLAN!$Z$5:$Z$546)=1,"X",""))</f>
        <v/>
      </c>
      <c r="K155" s="23" t="str">
        <f>IF($P155="","",IFERROR(LOOKUP(2,1/((BEMANNINGSPLAN!$W$5:$W$546=INDEX(BEMANNINGSPLAN!$W$5:$W$546,$P155))*(BEMANNINGSPLAN!$L$5:$L$546&lt;&gt;"")),BEMANNINGSPLAN!$L$5:$L$546),""))</f>
        <v/>
      </c>
      <c r="L155" s="18" t="str">
        <f>IF($P155="","",INDEX(BEMANNINGSPLAN!$AE$5:$AE$546,$P155))</f>
        <v/>
      </c>
      <c r="M155" s="137"/>
      <c r="N155" s="16"/>
      <c r="O155" s="16" t="str">
        <f>IF(AND(BEMANNINGSPLAN!U153=1,OR($B$4="Alla lag",BEMANNINGSPLAN!J153=$B$4),OR($E$4="Alla datum",BEMANNINGSPLAN!A153=$E$4)),COUNT($O$6:O154)+1,"")</f>
        <v/>
      </c>
      <c r="P155" s="137" t="str">
        <f t="shared" si="2"/>
        <v/>
      </c>
    </row>
    <row r="156" spans="1:16" ht="27.75" customHeight="1">
      <c r="A156" s="17" t="str">
        <f>IF($P156="","",INDEX(BEMANNINGSPLAN!$A$5:$A$546,$P156))</f>
        <v/>
      </c>
      <c r="B156" s="18" t="str">
        <f>IF($P156="","",INDEX(BEMANNINGSPLAN!$B$5:$B$546,$P156))</f>
        <v/>
      </c>
      <c r="C156" s="19" t="str">
        <f>IF($P156="","",INDEX(BEMANNINGSPLAN!$C$5:$C$546,$P156))</f>
        <v/>
      </c>
      <c r="D156" s="20" t="str">
        <f>IF($P156="","",INDEX(BEMANNINGSPLAN!$D$5:$D$546,$P156))</f>
        <v/>
      </c>
      <c r="E156" s="20" t="str">
        <f>IF($P156="","",SUMIF(BEMANNINGSPLAN!$W$5:$W$546,INDEX(BEMANNINGSPLAN!$W$5:$W$546,$P156),BEMANNINGSPLAN!$X$5:$X$546))</f>
        <v/>
      </c>
      <c r="F156" s="18" t="str">
        <f>IF($P156="","",INDEX(BEMANNINGSPLAN!$J$5:$J$546,$P156))</f>
        <v/>
      </c>
      <c r="G156" s="19" t="str">
        <f>IF($P156="","",INDEX(BEMANNINGSPLAN!$AD$5:$AD$546,$P156))</f>
        <v/>
      </c>
      <c r="H156" s="18" t="str">
        <f>IF($P156="","",IF(AND(INDEX(BEMANNINGSPLAN!$Y$5:$Y$546,$P156)=1,G156&lt;&gt;"Minicafé"),"X",""))</f>
        <v/>
      </c>
      <c r="I156" s="21" t="str">
        <f>IF($P156="","",IF(INDEX(BEMANNINGSPLAN!$Y$5:$Y$546,$P156)=1,"X",""))</f>
        <v/>
      </c>
      <c r="J156" s="22" t="str">
        <f>IF($P156="","",IF(SUMIF(BEMANNINGSPLAN!$W$5:$W$546,INDEX(BEMANNINGSPLAN!$W$5:$W$546,$P156),BEMANNINGSPLAN!$Z$5:$Z$546)=1,"X",""))</f>
        <v/>
      </c>
      <c r="K156" s="23" t="str">
        <f>IF($P156="","",IFERROR(LOOKUP(2,1/((BEMANNINGSPLAN!$W$5:$W$546=INDEX(BEMANNINGSPLAN!$W$5:$W$546,$P156))*(BEMANNINGSPLAN!$L$5:$L$546&lt;&gt;"")),BEMANNINGSPLAN!$L$5:$L$546),""))</f>
        <v/>
      </c>
      <c r="L156" s="18" t="str">
        <f>IF($P156="","",INDEX(BEMANNINGSPLAN!$AE$5:$AE$546,$P156))</f>
        <v/>
      </c>
      <c r="M156" s="137"/>
      <c r="N156" s="16"/>
      <c r="O156" s="16">
        <f>IF(AND(BEMANNINGSPLAN!U154=1,OR($B$4="Alla lag",BEMANNINGSPLAN!J154=$B$4),OR($E$4="Alla datum",BEMANNINGSPLAN!A154=$E$4)),COUNT($O$6:O155)+1,"")</f>
        <v>17</v>
      </c>
      <c r="P156" s="137" t="str">
        <f t="shared" si="2"/>
        <v/>
      </c>
    </row>
    <row r="157" spans="1:16" ht="27.75" customHeight="1">
      <c r="A157" s="17" t="str">
        <f>IF($P157="","",INDEX(BEMANNINGSPLAN!$A$5:$A$546,$P157))</f>
        <v/>
      </c>
      <c r="B157" s="18" t="str">
        <f>IF($P157="","",INDEX(BEMANNINGSPLAN!$B$5:$B$546,$P157))</f>
        <v/>
      </c>
      <c r="C157" s="19" t="str">
        <f>IF($P157="","",INDEX(BEMANNINGSPLAN!$C$5:$C$546,$P157))</f>
        <v/>
      </c>
      <c r="D157" s="20" t="str">
        <f>IF($P157="","",INDEX(BEMANNINGSPLAN!$D$5:$D$546,$P157))</f>
        <v/>
      </c>
      <c r="E157" s="20" t="str">
        <f>IF($P157="","",SUMIF(BEMANNINGSPLAN!$W$5:$W$546,INDEX(BEMANNINGSPLAN!$W$5:$W$546,$P157),BEMANNINGSPLAN!$X$5:$X$546))</f>
        <v/>
      </c>
      <c r="F157" s="18" t="str">
        <f>IF($P157="","",INDEX(BEMANNINGSPLAN!$J$5:$J$546,$P157))</f>
        <v/>
      </c>
      <c r="G157" s="19" t="str">
        <f>IF($P157="","",INDEX(BEMANNINGSPLAN!$AD$5:$AD$546,$P157))</f>
        <v/>
      </c>
      <c r="H157" s="18" t="str">
        <f>IF($P157="","",IF(AND(INDEX(BEMANNINGSPLAN!$Y$5:$Y$546,$P157)=1,G157&lt;&gt;"Minicafé"),"X",""))</f>
        <v/>
      </c>
      <c r="I157" s="21" t="str">
        <f>IF($P157="","",IF(INDEX(BEMANNINGSPLAN!$Y$5:$Y$546,$P157)=1,"X",""))</f>
        <v/>
      </c>
      <c r="J157" s="22" t="str">
        <f>IF($P157="","",IF(SUMIF(BEMANNINGSPLAN!$W$5:$W$546,INDEX(BEMANNINGSPLAN!$W$5:$W$546,$P157),BEMANNINGSPLAN!$Z$5:$Z$546)=1,"X",""))</f>
        <v/>
      </c>
      <c r="K157" s="23" t="str">
        <f>IF($P157="","",IFERROR(LOOKUP(2,1/((BEMANNINGSPLAN!$W$5:$W$546=INDEX(BEMANNINGSPLAN!$W$5:$W$546,$P157))*(BEMANNINGSPLAN!$L$5:$L$546&lt;&gt;"")),BEMANNINGSPLAN!$L$5:$L$546),""))</f>
        <v/>
      </c>
      <c r="L157" s="18" t="str">
        <f>IF($P157="","",INDEX(BEMANNINGSPLAN!$AE$5:$AE$546,$P157))</f>
        <v/>
      </c>
      <c r="M157" s="137"/>
      <c r="N157" s="16"/>
      <c r="O157" s="16" t="str">
        <f>IF(AND(BEMANNINGSPLAN!U155=1,OR($B$4="Alla lag",BEMANNINGSPLAN!J155=$B$4),OR($E$4="Alla datum",BEMANNINGSPLAN!A155=$E$4)),COUNT($O$6:O156)+1,"")</f>
        <v/>
      </c>
      <c r="P157" s="137" t="str">
        <f t="shared" si="2"/>
        <v/>
      </c>
    </row>
    <row r="158" spans="1:16" ht="27.75" customHeight="1">
      <c r="A158" s="17" t="str">
        <f>IF($P158="","",INDEX(BEMANNINGSPLAN!$A$5:$A$546,$P158))</f>
        <v/>
      </c>
      <c r="B158" s="18" t="str">
        <f>IF($P158="","",INDEX(BEMANNINGSPLAN!$B$5:$B$546,$P158))</f>
        <v/>
      </c>
      <c r="C158" s="19" t="str">
        <f>IF($P158="","",INDEX(BEMANNINGSPLAN!$C$5:$C$546,$P158))</f>
        <v/>
      </c>
      <c r="D158" s="20" t="str">
        <f>IF($P158="","",INDEX(BEMANNINGSPLAN!$D$5:$D$546,$P158))</f>
        <v/>
      </c>
      <c r="E158" s="20" t="str">
        <f>IF($P158="","",SUMIF(BEMANNINGSPLAN!$W$5:$W$546,INDEX(BEMANNINGSPLAN!$W$5:$W$546,$P158),BEMANNINGSPLAN!$X$5:$X$546))</f>
        <v/>
      </c>
      <c r="F158" s="18" t="str">
        <f>IF($P158="","",INDEX(BEMANNINGSPLAN!$J$5:$J$546,$P158))</f>
        <v/>
      </c>
      <c r="G158" s="19" t="str">
        <f>IF($P158="","",INDEX(BEMANNINGSPLAN!$AD$5:$AD$546,$P158))</f>
        <v/>
      </c>
      <c r="H158" s="18" t="str">
        <f>IF($P158="","",IF(AND(INDEX(BEMANNINGSPLAN!$Y$5:$Y$546,$P158)=1,G158&lt;&gt;"Minicafé"),"X",""))</f>
        <v/>
      </c>
      <c r="I158" s="21" t="str">
        <f>IF($P158="","",IF(INDEX(BEMANNINGSPLAN!$Y$5:$Y$546,$P158)=1,"X",""))</f>
        <v/>
      </c>
      <c r="J158" s="22" t="str">
        <f>IF($P158="","",IF(SUMIF(BEMANNINGSPLAN!$W$5:$W$546,INDEX(BEMANNINGSPLAN!$W$5:$W$546,$P158),BEMANNINGSPLAN!$Z$5:$Z$546)=1,"X",""))</f>
        <v/>
      </c>
      <c r="K158" s="23" t="str">
        <f>IF($P158="","",IFERROR(LOOKUP(2,1/((BEMANNINGSPLAN!$W$5:$W$546=INDEX(BEMANNINGSPLAN!$W$5:$W$546,$P158))*(BEMANNINGSPLAN!$L$5:$L$546&lt;&gt;"")),BEMANNINGSPLAN!$L$5:$L$546),""))</f>
        <v/>
      </c>
      <c r="L158" s="18" t="str">
        <f>IF($P158="","",INDEX(BEMANNINGSPLAN!$AE$5:$AE$546,$P158))</f>
        <v/>
      </c>
      <c r="M158" s="137"/>
      <c r="N158" s="16"/>
      <c r="O158" s="16" t="str">
        <f>IF(AND(BEMANNINGSPLAN!U156=1,OR($B$4="Alla lag",BEMANNINGSPLAN!J156=$B$4),OR($E$4="Alla datum",BEMANNINGSPLAN!A156=$E$4)),COUNT($O$6:O157)+1,"")</f>
        <v/>
      </c>
      <c r="P158" s="137" t="str">
        <f t="shared" si="2"/>
        <v/>
      </c>
    </row>
    <row r="159" spans="1:16" ht="27.75" customHeight="1">
      <c r="A159" s="17" t="str">
        <f>IF($P159="","",INDEX(BEMANNINGSPLAN!$A$5:$A$546,$P159))</f>
        <v/>
      </c>
      <c r="B159" s="18" t="str">
        <f>IF($P159="","",INDEX(BEMANNINGSPLAN!$B$5:$B$546,$P159))</f>
        <v/>
      </c>
      <c r="C159" s="19" t="str">
        <f>IF($P159="","",INDEX(BEMANNINGSPLAN!$C$5:$C$546,$P159))</f>
        <v/>
      </c>
      <c r="D159" s="20" t="str">
        <f>IF($P159="","",INDEX(BEMANNINGSPLAN!$D$5:$D$546,$P159))</f>
        <v/>
      </c>
      <c r="E159" s="20" t="str">
        <f>IF($P159="","",SUMIF(BEMANNINGSPLAN!$W$5:$W$546,INDEX(BEMANNINGSPLAN!$W$5:$W$546,$P159),BEMANNINGSPLAN!$X$5:$X$546))</f>
        <v/>
      </c>
      <c r="F159" s="18" t="str">
        <f>IF($P159="","",INDEX(BEMANNINGSPLAN!$J$5:$J$546,$P159))</f>
        <v/>
      </c>
      <c r="G159" s="19" t="str">
        <f>IF($P159="","",INDEX(BEMANNINGSPLAN!$AD$5:$AD$546,$P159))</f>
        <v/>
      </c>
      <c r="H159" s="18" t="str">
        <f>IF($P159="","",IF(AND(INDEX(BEMANNINGSPLAN!$Y$5:$Y$546,$P159)=1,G159&lt;&gt;"Minicafé"),"X",""))</f>
        <v/>
      </c>
      <c r="I159" s="21" t="str">
        <f>IF($P159="","",IF(INDEX(BEMANNINGSPLAN!$Y$5:$Y$546,$P159)=1,"X",""))</f>
        <v/>
      </c>
      <c r="J159" s="22" t="str">
        <f>IF($P159="","",IF(SUMIF(BEMANNINGSPLAN!$W$5:$W$546,INDEX(BEMANNINGSPLAN!$W$5:$W$546,$P159),BEMANNINGSPLAN!$Z$5:$Z$546)=1,"X",""))</f>
        <v/>
      </c>
      <c r="K159" s="23" t="str">
        <f>IF($P159="","",IFERROR(LOOKUP(2,1/((BEMANNINGSPLAN!$W$5:$W$546=INDEX(BEMANNINGSPLAN!$W$5:$W$546,$P159))*(BEMANNINGSPLAN!$L$5:$L$546&lt;&gt;"")),BEMANNINGSPLAN!$L$5:$L$546),""))</f>
        <v/>
      </c>
      <c r="L159" s="18" t="str">
        <f>IF($P159="","",INDEX(BEMANNINGSPLAN!$AE$5:$AE$546,$P159))</f>
        <v/>
      </c>
      <c r="M159" s="137"/>
      <c r="N159" s="16"/>
      <c r="O159" s="16" t="str">
        <f>IF(AND(BEMANNINGSPLAN!U157=1,OR($B$4="Alla lag",BEMANNINGSPLAN!J157=$B$4),OR($E$4="Alla datum",BEMANNINGSPLAN!A157=$E$4)),COUNT($O$6:O158)+1,"")</f>
        <v/>
      </c>
      <c r="P159" s="137" t="str">
        <f t="shared" si="2"/>
        <v/>
      </c>
    </row>
    <row r="160" spans="1:16" ht="27.75" customHeight="1">
      <c r="A160" s="17" t="str">
        <f>IF($P160="","",INDEX(BEMANNINGSPLAN!$A$5:$A$546,$P160))</f>
        <v/>
      </c>
      <c r="B160" s="18" t="str">
        <f>IF($P160="","",INDEX(BEMANNINGSPLAN!$B$5:$B$546,$P160))</f>
        <v/>
      </c>
      <c r="C160" s="19" t="str">
        <f>IF($P160="","",INDEX(BEMANNINGSPLAN!$C$5:$C$546,$P160))</f>
        <v/>
      </c>
      <c r="D160" s="20" t="str">
        <f>IF($P160="","",INDEX(BEMANNINGSPLAN!$D$5:$D$546,$P160))</f>
        <v/>
      </c>
      <c r="E160" s="20" t="str">
        <f>IF($P160="","",SUMIF(BEMANNINGSPLAN!$W$5:$W$546,INDEX(BEMANNINGSPLAN!$W$5:$W$546,$P160),BEMANNINGSPLAN!$X$5:$X$546))</f>
        <v/>
      </c>
      <c r="F160" s="18" t="str">
        <f>IF($P160="","",INDEX(BEMANNINGSPLAN!$J$5:$J$546,$P160))</f>
        <v/>
      </c>
      <c r="G160" s="19" t="str">
        <f>IF($P160="","",INDEX(BEMANNINGSPLAN!$AD$5:$AD$546,$P160))</f>
        <v/>
      </c>
      <c r="H160" s="18" t="str">
        <f>IF($P160="","",IF(AND(INDEX(BEMANNINGSPLAN!$Y$5:$Y$546,$P160)=1,G160&lt;&gt;"Minicafé"),"X",""))</f>
        <v/>
      </c>
      <c r="I160" s="21" t="str">
        <f>IF($P160="","",IF(INDEX(BEMANNINGSPLAN!$Y$5:$Y$546,$P160)=1,"X",""))</f>
        <v/>
      </c>
      <c r="J160" s="22" t="str">
        <f>IF($P160="","",IF(SUMIF(BEMANNINGSPLAN!$W$5:$W$546,INDEX(BEMANNINGSPLAN!$W$5:$W$546,$P160),BEMANNINGSPLAN!$Z$5:$Z$546)=1,"X",""))</f>
        <v/>
      </c>
      <c r="K160" s="23" t="str">
        <f>IF($P160="","",IFERROR(LOOKUP(2,1/((BEMANNINGSPLAN!$W$5:$W$546=INDEX(BEMANNINGSPLAN!$W$5:$W$546,$P160))*(BEMANNINGSPLAN!$L$5:$L$546&lt;&gt;"")),BEMANNINGSPLAN!$L$5:$L$546),""))</f>
        <v/>
      </c>
      <c r="L160" s="18" t="str">
        <f>IF($P160="","",INDEX(BEMANNINGSPLAN!$AE$5:$AE$546,$P160))</f>
        <v/>
      </c>
      <c r="M160" s="137"/>
      <c r="N160" s="16"/>
      <c r="O160" s="16" t="str">
        <f>IF(AND(BEMANNINGSPLAN!U158=1,OR($B$4="Alla lag",BEMANNINGSPLAN!J158=$B$4),OR($E$4="Alla datum",BEMANNINGSPLAN!A158=$E$4)),COUNT($O$6:O159)+1,"")</f>
        <v/>
      </c>
      <c r="P160" s="137" t="str">
        <f t="shared" si="2"/>
        <v/>
      </c>
    </row>
    <row r="161" spans="1:16" ht="27.75" customHeight="1">
      <c r="A161" s="17" t="str">
        <f>IF($P161="","",INDEX(BEMANNINGSPLAN!$A$5:$A$546,$P161))</f>
        <v/>
      </c>
      <c r="B161" s="18" t="str">
        <f>IF($P161="","",INDEX(BEMANNINGSPLAN!$B$5:$B$546,$P161))</f>
        <v/>
      </c>
      <c r="C161" s="19" t="str">
        <f>IF($P161="","",INDEX(BEMANNINGSPLAN!$C$5:$C$546,$P161))</f>
        <v/>
      </c>
      <c r="D161" s="20" t="str">
        <f>IF($P161="","",INDEX(BEMANNINGSPLAN!$D$5:$D$546,$P161))</f>
        <v/>
      </c>
      <c r="E161" s="20" t="str">
        <f>IF($P161="","",SUMIF(BEMANNINGSPLAN!$W$5:$W$546,INDEX(BEMANNINGSPLAN!$W$5:$W$546,$P161),BEMANNINGSPLAN!$X$5:$X$546))</f>
        <v/>
      </c>
      <c r="F161" s="18" t="str">
        <f>IF($P161="","",INDEX(BEMANNINGSPLAN!$J$5:$J$546,$P161))</f>
        <v/>
      </c>
      <c r="G161" s="19" t="str">
        <f>IF($P161="","",INDEX(BEMANNINGSPLAN!$AD$5:$AD$546,$P161))</f>
        <v/>
      </c>
      <c r="H161" s="18" t="str">
        <f>IF($P161="","",IF(AND(INDEX(BEMANNINGSPLAN!$Y$5:$Y$546,$P161)=1,G161&lt;&gt;"Minicafé"),"X",""))</f>
        <v/>
      </c>
      <c r="I161" s="21" t="str">
        <f>IF($P161="","",IF(INDEX(BEMANNINGSPLAN!$Y$5:$Y$546,$P161)=1,"X",""))</f>
        <v/>
      </c>
      <c r="J161" s="22" t="str">
        <f>IF($P161="","",IF(SUMIF(BEMANNINGSPLAN!$W$5:$W$546,INDEX(BEMANNINGSPLAN!$W$5:$W$546,$P161),BEMANNINGSPLAN!$Z$5:$Z$546)=1,"X",""))</f>
        <v/>
      </c>
      <c r="K161" s="23" t="str">
        <f>IF($P161="","",IFERROR(LOOKUP(2,1/((BEMANNINGSPLAN!$W$5:$W$546=INDEX(BEMANNINGSPLAN!$W$5:$W$546,$P161))*(BEMANNINGSPLAN!$L$5:$L$546&lt;&gt;"")),BEMANNINGSPLAN!$L$5:$L$546),""))</f>
        <v/>
      </c>
      <c r="L161" s="18" t="str">
        <f>IF($P161="","",INDEX(BEMANNINGSPLAN!$AE$5:$AE$546,$P161))</f>
        <v/>
      </c>
      <c r="M161" s="137"/>
      <c r="N161" s="16"/>
      <c r="O161" s="16" t="str">
        <f>IF(AND(BEMANNINGSPLAN!U159=1,OR($B$4="Alla lag",BEMANNINGSPLAN!J159=$B$4),OR($E$4="Alla datum",BEMANNINGSPLAN!A159=$E$4)),COUNT($O$6:O160)+1,"")</f>
        <v/>
      </c>
      <c r="P161" s="137" t="str">
        <f t="shared" si="2"/>
        <v/>
      </c>
    </row>
    <row r="162" spans="1:16" ht="27.75" customHeight="1">
      <c r="A162" s="17" t="str">
        <f>IF($P162="","",INDEX(BEMANNINGSPLAN!$A$5:$A$546,$P162))</f>
        <v/>
      </c>
      <c r="B162" s="18" t="str">
        <f>IF($P162="","",INDEX(BEMANNINGSPLAN!$B$5:$B$546,$P162))</f>
        <v/>
      </c>
      <c r="C162" s="19" t="str">
        <f>IF($P162="","",INDEX(BEMANNINGSPLAN!$C$5:$C$546,$P162))</f>
        <v/>
      </c>
      <c r="D162" s="20" t="str">
        <f>IF($P162="","",INDEX(BEMANNINGSPLAN!$D$5:$D$546,$P162))</f>
        <v/>
      </c>
      <c r="E162" s="20" t="str">
        <f>IF($P162="","",SUMIF(BEMANNINGSPLAN!$W$5:$W$546,INDEX(BEMANNINGSPLAN!$W$5:$W$546,$P162),BEMANNINGSPLAN!$X$5:$X$546))</f>
        <v/>
      </c>
      <c r="F162" s="18" t="str">
        <f>IF($P162="","",INDEX(BEMANNINGSPLAN!$J$5:$J$546,$P162))</f>
        <v/>
      </c>
      <c r="G162" s="19" t="str">
        <f>IF($P162="","",INDEX(BEMANNINGSPLAN!$AD$5:$AD$546,$P162))</f>
        <v/>
      </c>
      <c r="H162" s="18" t="str">
        <f>IF($P162="","",IF(AND(INDEX(BEMANNINGSPLAN!$Y$5:$Y$546,$P162)=1,G162&lt;&gt;"Minicafé"),"X",""))</f>
        <v/>
      </c>
      <c r="I162" s="21" t="str">
        <f>IF($P162="","",IF(INDEX(BEMANNINGSPLAN!$Y$5:$Y$546,$P162)=1,"X",""))</f>
        <v/>
      </c>
      <c r="J162" s="22" t="str">
        <f>IF($P162="","",IF(SUMIF(BEMANNINGSPLAN!$W$5:$W$546,INDEX(BEMANNINGSPLAN!$W$5:$W$546,$P162),BEMANNINGSPLAN!$Z$5:$Z$546)=1,"X",""))</f>
        <v/>
      </c>
      <c r="K162" s="23" t="str">
        <f>IF($P162="","",IFERROR(LOOKUP(2,1/((BEMANNINGSPLAN!$W$5:$W$546=INDEX(BEMANNINGSPLAN!$W$5:$W$546,$P162))*(BEMANNINGSPLAN!$L$5:$L$546&lt;&gt;"")),BEMANNINGSPLAN!$L$5:$L$546),""))</f>
        <v/>
      </c>
      <c r="L162" s="18" t="str">
        <f>IF($P162="","",INDEX(BEMANNINGSPLAN!$AE$5:$AE$546,$P162))</f>
        <v/>
      </c>
      <c r="M162" s="137"/>
      <c r="N162" s="16"/>
      <c r="O162" s="16" t="str">
        <f>IF(AND(BEMANNINGSPLAN!U160=1,OR($B$4="Alla lag",BEMANNINGSPLAN!J160=$B$4),OR($E$4="Alla datum",BEMANNINGSPLAN!A160=$E$4)),COUNT($O$6:O161)+1,"")</f>
        <v/>
      </c>
      <c r="P162" s="137" t="str">
        <f t="shared" si="2"/>
        <v/>
      </c>
    </row>
    <row r="163" spans="1:16" ht="27.75" customHeight="1">
      <c r="A163" s="17" t="str">
        <f>IF($P163="","",INDEX(BEMANNINGSPLAN!$A$5:$A$546,$P163))</f>
        <v/>
      </c>
      <c r="B163" s="18" t="str">
        <f>IF($P163="","",INDEX(BEMANNINGSPLAN!$B$5:$B$546,$P163))</f>
        <v/>
      </c>
      <c r="C163" s="19" t="str">
        <f>IF($P163="","",INDEX(BEMANNINGSPLAN!$C$5:$C$546,$P163))</f>
        <v/>
      </c>
      <c r="D163" s="20" t="str">
        <f>IF($P163="","",INDEX(BEMANNINGSPLAN!$D$5:$D$546,$P163))</f>
        <v/>
      </c>
      <c r="E163" s="20" t="str">
        <f>IF($P163="","",SUMIF(BEMANNINGSPLAN!$W$5:$W$546,INDEX(BEMANNINGSPLAN!$W$5:$W$546,$P163),BEMANNINGSPLAN!$X$5:$X$546))</f>
        <v/>
      </c>
      <c r="F163" s="18" t="str">
        <f>IF($P163="","",INDEX(BEMANNINGSPLAN!$J$5:$J$546,$P163))</f>
        <v/>
      </c>
      <c r="G163" s="19" t="str">
        <f>IF($P163="","",INDEX(BEMANNINGSPLAN!$AD$5:$AD$546,$P163))</f>
        <v/>
      </c>
      <c r="H163" s="18" t="str">
        <f>IF($P163="","",IF(AND(INDEX(BEMANNINGSPLAN!$Y$5:$Y$546,$P163)=1,G163&lt;&gt;"Minicafé"),"X",""))</f>
        <v/>
      </c>
      <c r="I163" s="21" t="str">
        <f>IF($P163="","",IF(INDEX(BEMANNINGSPLAN!$Y$5:$Y$546,$P163)=1,"X",""))</f>
        <v/>
      </c>
      <c r="J163" s="22" t="str">
        <f>IF($P163="","",IF(SUMIF(BEMANNINGSPLAN!$W$5:$W$546,INDEX(BEMANNINGSPLAN!$W$5:$W$546,$P163),BEMANNINGSPLAN!$Z$5:$Z$546)=1,"X",""))</f>
        <v/>
      </c>
      <c r="K163" s="23" t="str">
        <f>IF($P163="","",IFERROR(LOOKUP(2,1/((BEMANNINGSPLAN!$W$5:$W$546=INDEX(BEMANNINGSPLAN!$W$5:$W$546,$P163))*(BEMANNINGSPLAN!$L$5:$L$546&lt;&gt;"")),BEMANNINGSPLAN!$L$5:$L$546),""))</f>
        <v/>
      </c>
      <c r="L163" s="18" t="str">
        <f>IF($P163="","",INDEX(BEMANNINGSPLAN!$AE$5:$AE$546,$P163))</f>
        <v/>
      </c>
      <c r="M163" s="137"/>
      <c r="N163" s="16"/>
      <c r="O163" s="16" t="str">
        <f>IF(AND(BEMANNINGSPLAN!U161=1,OR($B$4="Alla lag",BEMANNINGSPLAN!J161=$B$4),OR($E$4="Alla datum",BEMANNINGSPLAN!A161=$E$4)),COUNT($O$6:O162)+1,"")</f>
        <v/>
      </c>
      <c r="P163" s="137" t="str">
        <f t="shared" si="2"/>
        <v/>
      </c>
    </row>
    <row r="164" spans="1:16" ht="27.75" customHeight="1">
      <c r="A164" s="17" t="str">
        <f>IF($P164="","",INDEX(BEMANNINGSPLAN!$A$5:$A$546,$P164))</f>
        <v/>
      </c>
      <c r="B164" s="18" t="str">
        <f>IF($P164="","",INDEX(BEMANNINGSPLAN!$B$5:$B$546,$P164))</f>
        <v/>
      </c>
      <c r="C164" s="19" t="str">
        <f>IF($P164="","",INDEX(BEMANNINGSPLAN!$C$5:$C$546,$P164))</f>
        <v/>
      </c>
      <c r="D164" s="20" t="str">
        <f>IF($P164="","",INDEX(BEMANNINGSPLAN!$D$5:$D$546,$P164))</f>
        <v/>
      </c>
      <c r="E164" s="20" t="str">
        <f>IF($P164="","",SUMIF(BEMANNINGSPLAN!$W$5:$W$546,INDEX(BEMANNINGSPLAN!$W$5:$W$546,$P164),BEMANNINGSPLAN!$X$5:$X$546))</f>
        <v/>
      </c>
      <c r="F164" s="18" t="str">
        <f>IF($P164="","",INDEX(BEMANNINGSPLAN!$J$5:$J$546,$P164))</f>
        <v/>
      </c>
      <c r="G164" s="19" t="str">
        <f>IF($P164="","",INDEX(BEMANNINGSPLAN!$AD$5:$AD$546,$P164))</f>
        <v/>
      </c>
      <c r="H164" s="18" t="str">
        <f>IF($P164="","",IF(AND(INDEX(BEMANNINGSPLAN!$Y$5:$Y$546,$P164)=1,G164&lt;&gt;"Minicafé"),"X",""))</f>
        <v/>
      </c>
      <c r="I164" s="21" t="str">
        <f>IF($P164="","",IF(INDEX(BEMANNINGSPLAN!$Y$5:$Y$546,$P164)=1,"X",""))</f>
        <v/>
      </c>
      <c r="J164" s="22" t="str">
        <f>IF($P164="","",IF(SUMIF(BEMANNINGSPLAN!$W$5:$W$546,INDEX(BEMANNINGSPLAN!$W$5:$W$546,$P164),BEMANNINGSPLAN!$Z$5:$Z$546)=1,"X",""))</f>
        <v/>
      </c>
      <c r="K164" s="23" t="str">
        <f>IF($P164="","",IFERROR(LOOKUP(2,1/((BEMANNINGSPLAN!$W$5:$W$546=INDEX(BEMANNINGSPLAN!$W$5:$W$546,$P164))*(BEMANNINGSPLAN!$L$5:$L$546&lt;&gt;"")),BEMANNINGSPLAN!$L$5:$L$546),""))</f>
        <v/>
      </c>
      <c r="L164" s="18" t="str">
        <f>IF($P164="","",INDEX(BEMANNINGSPLAN!$AE$5:$AE$546,$P164))</f>
        <v/>
      </c>
      <c r="M164" s="137"/>
      <c r="N164" s="16"/>
      <c r="O164" s="16">
        <f>IF(AND(BEMANNINGSPLAN!U162=1,OR($B$4="Alla lag",BEMANNINGSPLAN!J162=$B$4),OR($E$4="Alla datum",BEMANNINGSPLAN!A162=$E$4)),COUNT($O$6:O163)+1,"")</f>
        <v>18</v>
      </c>
      <c r="P164" s="137" t="str">
        <f t="shared" si="2"/>
        <v/>
      </c>
    </row>
    <row r="165" spans="1:16" ht="27.75" customHeight="1">
      <c r="A165" s="17" t="str">
        <f>IF($P165="","",INDEX(BEMANNINGSPLAN!$A$5:$A$546,$P165))</f>
        <v/>
      </c>
      <c r="B165" s="18" t="str">
        <f>IF($P165="","",INDEX(BEMANNINGSPLAN!$B$5:$B$546,$P165))</f>
        <v/>
      </c>
      <c r="C165" s="19" t="str">
        <f>IF($P165="","",INDEX(BEMANNINGSPLAN!$C$5:$C$546,$P165))</f>
        <v/>
      </c>
      <c r="D165" s="20" t="str">
        <f>IF($P165="","",INDEX(BEMANNINGSPLAN!$D$5:$D$546,$P165))</f>
        <v/>
      </c>
      <c r="E165" s="20" t="str">
        <f>IF($P165="","",SUMIF(BEMANNINGSPLAN!$W$5:$W$546,INDEX(BEMANNINGSPLAN!$W$5:$W$546,$P165),BEMANNINGSPLAN!$X$5:$X$546))</f>
        <v/>
      </c>
      <c r="F165" s="18" t="str">
        <f>IF($P165="","",INDEX(BEMANNINGSPLAN!$J$5:$J$546,$P165))</f>
        <v/>
      </c>
      <c r="G165" s="19" t="str">
        <f>IF($P165="","",INDEX(BEMANNINGSPLAN!$AD$5:$AD$546,$P165))</f>
        <v/>
      </c>
      <c r="H165" s="18" t="str">
        <f>IF($P165="","",IF(AND(INDEX(BEMANNINGSPLAN!$Y$5:$Y$546,$P165)=1,G165&lt;&gt;"Minicafé"),"X",""))</f>
        <v/>
      </c>
      <c r="I165" s="21" t="str">
        <f>IF($P165="","",IF(INDEX(BEMANNINGSPLAN!$Y$5:$Y$546,$P165)=1,"X",""))</f>
        <v/>
      </c>
      <c r="J165" s="22" t="str">
        <f>IF($P165="","",IF(SUMIF(BEMANNINGSPLAN!$W$5:$W$546,INDEX(BEMANNINGSPLAN!$W$5:$W$546,$P165),BEMANNINGSPLAN!$Z$5:$Z$546)=1,"X",""))</f>
        <v/>
      </c>
      <c r="K165" s="23" t="str">
        <f>IF($P165="","",IFERROR(LOOKUP(2,1/((BEMANNINGSPLAN!$W$5:$W$546=INDEX(BEMANNINGSPLAN!$W$5:$W$546,$P165))*(BEMANNINGSPLAN!$L$5:$L$546&lt;&gt;"")),BEMANNINGSPLAN!$L$5:$L$546),""))</f>
        <v/>
      </c>
      <c r="L165" s="18" t="str">
        <f>IF($P165="","",INDEX(BEMANNINGSPLAN!$AE$5:$AE$546,$P165))</f>
        <v/>
      </c>
      <c r="M165" s="137"/>
      <c r="N165" s="16"/>
      <c r="O165" s="16" t="str">
        <f>IF(AND(BEMANNINGSPLAN!U163=1,OR($B$4="Alla lag",BEMANNINGSPLAN!J163=$B$4),OR($E$4="Alla datum",BEMANNINGSPLAN!A163=$E$4)),COUNT($O$6:O164)+1,"")</f>
        <v/>
      </c>
      <c r="P165" s="137" t="str">
        <f t="shared" si="2"/>
        <v/>
      </c>
    </row>
    <row r="166" spans="1:16" ht="27.75" customHeight="1">
      <c r="A166" s="17" t="str">
        <f>IF($P166="","",INDEX(BEMANNINGSPLAN!$A$5:$A$546,$P166))</f>
        <v/>
      </c>
      <c r="B166" s="18" t="str">
        <f>IF($P166="","",INDEX(BEMANNINGSPLAN!$B$5:$B$546,$P166))</f>
        <v/>
      </c>
      <c r="C166" s="19" t="str">
        <f>IF($P166="","",INDEX(BEMANNINGSPLAN!$C$5:$C$546,$P166))</f>
        <v/>
      </c>
      <c r="D166" s="20" t="str">
        <f>IF($P166="","",INDEX(BEMANNINGSPLAN!$D$5:$D$546,$P166))</f>
        <v/>
      </c>
      <c r="E166" s="20" t="str">
        <f>IF($P166="","",SUMIF(BEMANNINGSPLAN!$W$5:$W$546,INDEX(BEMANNINGSPLAN!$W$5:$W$546,$P166),BEMANNINGSPLAN!$X$5:$X$546))</f>
        <v/>
      </c>
      <c r="F166" s="18" t="str">
        <f>IF($P166="","",INDEX(BEMANNINGSPLAN!$J$5:$J$546,$P166))</f>
        <v/>
      </c>
      <c r="G166" s="19" t="str">
        <f>IF($P166="","",INDEX(BEMANNINGSPLAN!$AD$5:$AD$546,$P166))</f>
        <v/>
      </c>
      <c r="H166" s="18" t="str">
        <f>IF($P166="","",IF(AND(INDEX(BEMANNINGSPLAN!$Y$5:$Y$546,$P166)=1,G166&lt;&gt;"Minicafé"),"X",""))</f>
        <v/>
      </c>
      <c r="I166" s="21" t="str">
        <f>IF($P166="","",IF(INDEX(BEMANNINGSPLAN!$Y$5:$Y$546,$P166)=1,"X",""))</f>
        <v/>
      </c>
      <c r="J166" s="22" t="str">
        <f>IF($P166="","",IF(SUMIF(BEMANNINGSPLAN!$W$5:$W$546,INDEX(BEMANNINGSPLAN!$W$5:$W$546,$P166),BEMANNINGSPLAN!$Z$5:$Z$546)=1,"X",""))</f>
        <v/>
      </c>
      <c r="K166" s="23" t="str">
        <f>IF($P166="","",IFERROR(LOOKUP(2,1/((BEMANNINGSPLAN!$W$5:$W$546=INDEX(BEMANNINGSPLAN!$W$5:$W$546,$P166))*(BEMANNINGSPLAN!$L$5:$L$546&lt;&gt;"")),BEMANNINGSPLAN!$L$5:$L$546),""))</f>
        <v/>
      </c>
      <c r="L166" s="18" t="str">
        <f>IF($P166="","",INDEX(BEMANNINGSPLAN!$AE$5:$AE$546,$P166))</f>
        <v/>
      </c>
      <c r="M166" s="137"/>
      <c r="N166" s="16"/>
      <c r="O166" s="16" t="str">
        <f>IF(AND(BEMANNINGSPLAN!U164=1,OR($B$4="Alla lag",BEMANNINGSPLAN!J164=$B$4),OR($E$4="Alla datum",BEMANNINGSPLAN!A164=$E$4)),COUNT($O$6:O165)+1,"")</f>
        <v/>
      </c>
      <c r="P166" s="137" t="str">
        <f t="shared" si="2"/>
        <v/>
      </c>
    </row>
    <row r="167" spans="1:16" ht="27.75" customHeight="1">
      <c r="A167" s="17" t="str">
        <f>IF($P167="","",INDEX(BEMANNINGSPLAN!$A$5:$A$546,$P167))</f>
        <v/>
      </c>
      <c r="B167" s="18" t="str">
        <f>IF($P167="","",INDEX(BEMANNINGSPLAN!$B$5:$B$546,$P167))</f>
        <v/>
      </c>
      <c r="C167" s="19" t="str">
        <f>IF($P167="","",INDEX(BEMANNINGSPLAN!$C$5:$C$546,$P167))</f>
        <v/>
      </c>
      <c r="D167" s="20" t="str">
        <f>IF($P167="","",INDEX(BEMANNINGSPLAN!$D$5:$D$546,$P167))</f>
        <v/>
      </c>
      <c r="E167" s="20" t="str">
        <f>IF($P167="","",SUMIF(BEMANNINGSPLAN!$W$5:$W$546,INDEX(BEMANNINGSPLAN!$W$5:$W$546,$P167),BEMANNINGSPLAN!$X$5:$X$546))</f>
        <v/>
      </c>
      <c r="F167" s="18" t="str">
        <f>IF($P167="","",INDEX(BEMANNINGSPLAN!$J$5:$J$546,$P167))</f>
        <v/>
      </c>
      <c r="G167" s="19" t="str">
        <f>IF($P167="","",INDEX(BEMANNINGSPLAN!$AD$5:$AD$546,$P167))</f>
        <v/>
      </c>
      <c r="H167" s="18" t="str">
        <f>IF($P167="","",IF(AND(INDEX(BEMANNINGSPLAN!$Y$5:$Y$546,$P167)=1,G167&lt;&gt;"Minicafé"),"X",""))</f>
        <v/>
      </c>
      <c r="I167" s="21" t="str">
        <f>IF($P167="","",IF(INDEX(BEMANNINGSPLAN!$Y$5:$Y$546,$P167)=1,"X",""))</f>
        <v/>
      </c>
      <c r="J167" s="22" t="str">
        <f>IF($P167="","",IF(SUMIF(BEMANNINGSPLAN!$W$5:$W$546,INDEX(BEMANNINGSPLAN!$W$5:$W$546,$P167),BEMANNINGSPLAN!$Z$5:$Z$546)=1,"X",""))</f>
        <v/>
      </c>
      <c r="K167" s="23" t="str">
        <f>IF($P167="","",IFERROR(LOOKUP(2,1/((BEMANNINGSPLAN!$W$5:$W$546=INDEX(BEMANNINGSPLAN!$W$5:$W$546,$P167))*(BEMANNINGSPLAN!$L$5:$L$546&lt;&gt;"")),BEMANNINGSPLAN!$L$5:$L$546),""))</f>
        <v/>
      </c>
      <c r="L167" s="18" t="str">
        <f>IF($P167="","",INDEX(BEMANNINGSPLAN!$AE$5:$AE$546,$P167))</f>
        <v/>
      </c>
      <c r="M167" s="137"/>
      <c r="N167" s="16"/>
      <c r="O167" s="16" t="str">
        <f>IF(AND(BEMANNINGSPLAN!U165=1,OR($B$4="Alla lag",BEMANNINGSPLAN!J165=$B$4),OR($E$4="Alla datum",BEMANNINGSPLAN!A165=$E$4)),COUNT($O$6:O166)+1,"")</f>
        <v/>
      </c>
      <c r="P167" s="137" t="str">
        <f t="shared" si="2"/>
        <v/>
      </c>
    </row>
    <row r="168" spans="1:16" ht="27.75" customHeight="1">
      <c r="A168" s="17" t="str">
        <f>IF($P168="","",INDEX(BEMANNINGSPLAN!$A$5:$A$546,$P168))</f>
        <v/>
      </c>
      <c r="B168" s="18" t="str">
        <f>IF($P168="","",INDEX(BEMANNINGSPLAN!$B$5:$B$546,$P168))</f>
        <v/>
      </c>
      <c r="C168" s="19" t="str">
        <f>IF($P168="","",INDEX(BEMANNINGSPLAN!$C$5:$C$546,$P168))</f>
        <v/>
      </c>
      <c r="D168" s="20" t="str">
        <f>IF($P168="","",INDEX(BEMANNINGSPLAN!$D$5:$D$546,$P168))</f>
        <v/>
      </c>
      <c r="E168" s="20" t="str">
        <f>IF($P168="","",SUMIF(BEMANNINGSPLAN!$W$5:$W$546,INDEX(BEMANNINGSPLAN!$W$5:$W$546,$P168),BEMANNINGSPLAN!$X$5:$X$546))</f>
        <v/>
      </c>
      <c r="F168" s="18" t="str">
        <f>IF($P168="","",INDEX(BEMANNINGSPLAN!$J$5:$J$546,$P168))</f>
        <v/>
      </c>
      <c r="G168" s="19" t="str">
        <f>IF($P168="","",INDEX(BEMANNINGSPLAN!$AD$5:$AD$546,$P168))</f>
        <v/>
      </c>
      <c r="H168" s="18" t="str">
        <f>IF($P168="","",IF(AND(INDEX(BEMANNINGSPLAN!$Y$5:$Y$546,$P168)=1,G168&lt;&gt;"Minicafé"),"X",""))</f>
        <v/>
      </c>
      <c r="I168" s="21" t="str">
        <f>IF($P168="","",IF(INDEX(BEMANNINGSPLAN!$Y$5:$Y$546,$P168)=1,"X",""))</f>
        <v/>
      </c>
      <c r="J168" s="22" t="str">
        <f>IF($P168="","",IF(SUMIF(BEMANNINGSPLAN!$W$5:$W$546,INDEX(BEMANNINGSPLAN!$W$5:$W$546,$P168),BEMANNINGSPLAN!$Z$5:$Z$546)=1,"X",""))</f>
        <v/>
      </c>
      <c r="K168" s="23" t="str">
        <f>IF($P168="","",IFERROR(LOOKUP(2,1/((BEMANNINGSPLAN!$W$5:$W$546=INDEX(BEMANNINGSPLAN!$W$5:$W$546,$P168))*(BEMANNINGSPLAN!$L$5:$L$546&lt;&gt;"")),BEMANNINGSPLAN!$L$5:$L$546),""))</f>
        <v/>
      </c>
      <c r="L168" s="18" t="str">
        <f>IF($P168="","",INDEX(BEMANNINGSPLAN!$AE$5:$AE$546,$P168))</f>
        <v/>
      </c>
      <c r="M168" s="137"/>
      <c r="N168" s="16"/>
      <c r="O168" s="16" t="str">
        <f>IF(AND(BEMANNINGSPLAN!U166=1,OR($B$4="Alla lag",BEMANNINGSPLAN!J166=$B$4),OR($E$4="Alla datum",BEMANNINGSPLAN!A166=$E$4)),COUNT($O$6:O167)+1,"")</f>
        <v/>
      </c>
      <c r="P168" s="137" t="str">
        <f t="shared" si="2"/>
        <v/>
      </c>
    </row>
    <row r="169" spans="1:16" ht="27.75" customHeight="1">
      <c r="A169" s="17" t="str">
        <f>IF($P169="","",INDEX(BEMANNINGSPLAN!$A$5:$A$546,$P169))</f>
        <v/>
      </c>
      <c r="B169" s="18" t="str">
        <f>IF($P169="","",INDEX(BEMANNINGSPLAN!$B$5:$B$546,$P169))</f>
        <v/>
      </c>
      <c r="C169" s="19" t="str">
        <f>IF($P169="","",INDEX(BEMANNINGSPLAN!$C$5:$C$546,$P169))</f>
        <v/>
      </c>
      <c r="D169" s="20" t="str">
        <f>IF($P169="","",INDEX(BEMANNINGSPLAN!$D$5:$D$546,$P169))</f>
        <v/>
      </c>
      <c r="E169" s="20" t="str">
        <f>IF($P169="","",SUMIF(BEMANNINGSPLAN!$W$5:$W$546,INDEX(BEMANNINGSPLAN!$W$5:$W$546,$P169),BEMANNINGSPLAN!$X$5:$X$546))</f>
        <v/>
      </c>
      <c r="F169" s="18" t="str">
        <f>IF($P169="","",INDEX(BEMANNINGSPLAN!$J$5:$J$546,$P169))</f>
        <v/>
      </c>
      <c r="G169" s="19" t="str">
        <f>IF($P169="","",INDEX(BEMANNINGSPLAN!$AD$5:$AD$546,$P169))</f>
        <v/>
      </c>
      <c r="H169" s="18" t="str">
        <f>IF($P169="","",IF(AND(INDEX(BEMANNINGSPLAN!$Y$5:$Y$546,$P169)=1,G169&lt;&gt;"Minicafé"),"X",""))</f>
        <v/>
      </c>
      <c r="I169" s="21" t="str">
        <f>IF($P169="","",IF(INDEX(BEMANNINGSPLAN!$Y$5:$Y$546,$P169)=1,"X",""))</f>
        <v/>
      </c>
      <c r="J169" s="22" t="str">
        <f>IF($P169="","",IF(SUMIF(BEMANNINGSPLAN!$W$5:$W$546,INDEX(BEMANNINGSPLAN!$W$5:$W$546,$P169),BEMANNINGSPLAN!$Z$5:$Z$546)=1,"X",""))</f>
        <v/>
      </c>
      <c r="K169" s="23" t="str">
        <f>IF($P169="","",IFERROR(LOOKUP(2,1/((BEMANNINGSPLAN!$W$5:$W$546=INDEX(BEMANNINGSPLAN!$W$5:$W$546,$P169))*(BEMANNINGSPLAN!$L$5:$L$546&lt;&gt;"")),BEMANNINGSPLAN!$L$5:$L$546),""))</f>
        <v/>
      </c>
      <c r="L169" s="18" t="str">
        <f>IF($P169="","",INDEX(BEMANNINGSPLAN!$AE$5:$AE$546,$P169))</f>
        <v/>
      </c>
      <c r="M169" s="137"/>
      <c r="N169" s="16"/>
      <c r="O169" s="16" t="str">
        <f>IF(AND(BEMANNINGSPLAN!U167=1,OR($B$4="Alla lag",BEMANNINGSPLAN!J167=$B$4),OR($E$4="Alla datum",BEMANNINGSPLAN!A167=$E$4)),COUNT($O$6:O168)+1,"")</f>
        <v/>
      </c>
      <c r="P169" s="137" t="str">
        <f t="shared" si="2"/>
        <v/>
      </c>
    </row>
    <row r="170" spans="1:16" ht="27.75" customHeight="1">
      <c r="A170" s="17" t="str">
        <f>IF($P170="","",INDEX(BEMANNINGSPLAN!$A$5:$A$546,$P170))</f>
        <v/>
      </c>
      <c r="B170" s="18" t="str">
        <f>IF($P170="","",INDEX(BEMANNINGSPLAN!$B$5:$B$546,$P170))</f>
        <v/>
      </c>
      <c r="C170" s="19" t="str">
        <f>IF($P170="","",INDEX(BEMANNINGSPLAN!$C$5:$C$546,$P170))</f>
        <v/>
      </c>
      <c r="D170" s="20" t="str">
        <f>IF($P170="","",INDEX(BEMANNINGSPLAN!$D$5:$D$546,$P170))</f>
        <v/>
      </c>
      <c r="E170" s="20" t="str">
        <f>IF($P170="","",SUMIF(BEMANNINGSPLAN!$W$5:$W$546,INDEX(BEMANNINGSPLAN!$W$5:$W$546,$P170),BEMANNINGSPLAN!$X$5:$X$546))</f>
        <v/>
      </c>
      <c r="F170" s="18" t="str">
        <f>IF($P170="","",INDEX(BEMANNINGSPLAN!$J$5:$J$546,$P170))</f>
        <v/>
      </c>
      <c r="G170" s="19" t="str">
        <f>IF($P170="","",INDEX(BEMANNINGSPLAN!$AD$5:$AD$546,$P170))</f>
        <v/>
      </c>
      <c r="H170" s="18" t="str">
        <f>IF($P170="","",IF(AND(INDEX(BEMANNINGSPLAN!$Y$5:$Y$546,$P170)=1,G170&lt;&gt;"Minicafé"),"X",""))</f>
        <v/>
      </c>
      <c r="I170" s="21" t="str">
        <f>IF($P170="","",IF(INDEX(BEMANNINGSPLAN!$Y$5:$Y$546,$P170)=1,"X",""))</f>
        <v/>
      </c>
      <c r="J170" s="22" t="str">
        <f>IF($P170="","",IF(SUMIF(BEMANNINGSPLAN!$W$5:$W$546,INDEX(BEMANNINGSPLAN!$W$5:$W$546,$P170),BEMANNINGSPLAN!$Z$5:$Z$546)=1,"X",""))</f>
        <v/>
      </c>
      <c r="K170" s="23" t="str">
        <f>IF($P170="","",IFERROR(LOOKUP(2,1/((BEMANNINGSPLAN!$W$5:$W$546=INDEX(BEMANNINGSPLAN!$W$5:$W$546,$P170))*(BEMANNINGSPLAN!$L$5:$L$546&lt;&gt;"")),BEMANNINGSPLAN!$L$5:$L$546),""))</f>
        <v/>
      </c>
      <c r="L170" s="18" t="str">
        <f>IF($P170="","",INDEX(BEMANNINGSPLAN!$AE$5:$AE$546,$P170))</f>
        <v/>
      </c>
      <c r="M170" s="137"/>
      <c r="N170" s="16"/>
      <c r="O170" s="16" t="str">
        <f>IF(AND(BEMANNINGSPLAN!U168=1,OR($B$4="Alla lag",BEMANNINGSPLAN!J168=$B$4),OR($E$4="Alla datum",BEMANNINGSPLAN!A168=$E$4)),COUNT($O$6:O169)+1,"")</f>
        <v/>
      </c>
      <c r="P170" s="137" t="str">
        <f t="shared" si="2"/>
        <v/>
      </c>
    </row>
    <row r="171" spans="1:16" ht="27.75" customHeight="1">
      <c r="A171" s="17" t="str">
        <f>IF($P171="","",INDEX(BEMANNINGSPLAN!$A$5:$A$546,$P171))</f>
        <v/>
      </c>
      <c r="B171" s="18" t="str">
        <f>IF($P171="","",INDEX(BEMANNINGSPLAN!$B$5:$B$546,$P171))</f>
        <v/>
      </c>
      <c r="C171" s="19" t="str">
        <f>IF($P171="","",INDEX(BEMANNINGSPLAN!$C$5:$C$546,$P171))</f>
        <v/>
      </c>
      <c r="D171" s="20" t="str">
        <f>IF($P171="","",INDEX(BEMANNINGSPLAN!$D$5:$D$546,$P171))</f>
        <v/>
      </c>
      <c r="E171" s="20" t="str">
        <f>IF($P171="","",SUMIF(BEMANNINGSPLAN!$W$5:$W$546,INDEX(BEMANNINGSPLAN!$W$5:$W$546,$P171),BEMANNINGSPLAN!$X$5:$X$546))</f>
        <v/>
      </c>
      <c r="F171" s="18" t="str">
        <f>IF($P171="","",INDEX(BEMANNINGSPLAN!$J$5:$J$546,$P171))</f>
        <v/>
      </c>
      <c r="G171" s="19" t="str">
        <f>IF($P171="","",INDEX(BEMANNINGSPLAN!$AD$5:$AD$546,$P171))</f>
        <v/>
      </c>
      <c r="H171" s="18" t="str">
        <f>IF($P171="","",IF(AND(INDEX(BEMANNINGSPLAN!$Y$5:$Y$546,$P171)=1,G171&lt;&gt;"Minicafé"),"X",""))</f>
        <v/>
      </c>
      <c r="I171" s="21" t="str">
        <f>IF($P171="","",IF(INDEX(BEMANNINGSPLAN!$Y$5:$Y$546,$P171)=1,"X",""))</f>
        <v/>
      </c>
      <c r="J171" s="22" t="str">
        <f>IF($P171="","",IF(SUMIF(BEMANNINGSPLAN!$W$5:$W$546,INDEX(BEMANNINGSPLAN!$W$5:$W$546,$P171),BEMANNINGSPLAN!$Z$5:$Z$546)=1,"X",""))</f>
        <v/>
      </c>
      <c r="K171" s="23" t="str">
        <f>IF($P171="","",IFERROR(LOOKUP(2,1/((BEMANNINGSPLAN!$W$5:$W$546=INDEX(BEMANNINGSPLAN!$W$5:$W$546,$P171))*(BEMANNINGSPLAN!$L$5:$L$546&lt;&gt;"")),BEMANNINGSPLAN!$L$5:$L$546),""))</f>
        <v/>
      </c>
      <c r="L171" s="18" t="str">
        <f>IF($P171="","",INDEX(BEMANNINGSPLAN!$AE$5:$AE$546,$P171))</f>
        <v/>
      </c>
      <c r="M171" s="137"/>
      <c r="N171" s="16"/>
      <c r="O171" s="16" t="str">
        <f>IF(AND(BEMANNINGSPLAN!U169=1,OR($B$4="Alla lag",BEMANNINGSPLAN!J169=$B$4),OR($E$4="Alla datum",BEMANNINGSPLAN!A169=$E$4)),COUNT($O$6:O170)+1,"")</f>
        <v/>
      </c>
      <c r="P171" s="137" t="str">
        <f t="shared" si="2"/>
        <v/>
      </c>
    </row>
    <row r="172" spans="1:16" ht="27.75" customHeight="1">
      <c r="A172" s="17" t="str">
        <f>IF($P172="","",INDEX(BEMANNINGSPLAN!$A$5:$A$546,$P172))</f>
        <v/>
      </c>
      <c r="B172" s="18" t="str">
        <f>IF($P172="","",INDEX(BEMANNINGSPLAN!$B$5:$B$546,$P172))</f>
        <v/>
      </c>
      <c r="C172" s="19" t="str">
        <f>IF($P172="","",INDEX(BEMANNINGSPLAN!$C$5:$C$546,$P172))</f>
        <v/>
      </c>
      <c r="D172" s="20" t="str">
        <f>IF($P172="","",INDEX(BEMANNINGSPLAN!$D$5:$D$546,$P172))</f>
        <v/>
      </c>
      <c r="E172" s="20" t="str">
        <f>IF($P172="","",SUMIF(BEMANNINGSPLAN!$W$5:$W$546,INDEX(BEMANNINGSPLAN!$W$5:$W$546,$P172),BEMANNINGSPLAN!$X$5:$X$546))</f>
        <v/>
      </c>
      <c r="F172" s="18" t="str">
        <f>IF($P172="","",INDEX(BEMANNINGSPLAN!$J$5:$J$546,$P172))</f>
        <v/>
      </c>
      <c r="G172" s="19" t="str">
        <f>IF($P172="","",INDEX(BEMANNINGSPLAN!$AD$5:$AD$546,$P172))</f>
        <v/>
      </c>
      <c r="H172" s="18" t="str">
        <f>IF($P172="","",IF(AND(INDEX(BEMANNINGSPLAN!$Y$5:$Y$546,$P172)=1,G172&lt;&gt;"Minicafé"),"X",""))</f>
        <v/>
      </c>
      <c r="I172" s="21" t="str">
        <f>IF($P172="","",IF(INDEX(BEMANNINGSPLAN!$Y$5:$Y$546,$P172)=1,"X",""))</f>
        <v/>
      </c>
      <c r="J172" s="22" t="str">
        <f>IF($P172="","",IF(SUMIF(BEMANNINGSPLAN!$W$5:$W$546,INDEX(BEMANNINGSPLAN!$W$5:$W$546,$P172),BEMANNINGSPLAN!$Z$5:$Z$546)=1,"X",""))</f>
        <v/>
      </c>
      <c r="K172" s="23" t="str">
        <f>IF($P172="","",IFERROR(LOOKUP(2,1/((BEMANNINGSPLAN!$W$5:$W$546=INDEX(BEMANNINGSPLAN!$W$5:$W$546,$P172))*(BEMANNINGSPLAN!$L$5:$L$546&lt;&gt;"")),BEMANNINGSPLAN!$L$5:$L$546),""))</f>
        <v/>
      </c>
      <c r="L172" s="18" t="str">
        <f>IF($P172="","",INDEX(BEMANNINGSPLAN!$AE$5:$AE$546,$P172))</f>
        <v/>
      </c>
      <c r="M172" s="137"/>
      <c r="N172" s="16"/>
      <c r="O172" s="16" t="str">
        <f>IF(AND(BEMANNINGSPLAN!U170=1,OR($B$4="Alla lag",BEMANNINGSPLAN!J170=$B$4),OR($E$4="Alla datum",BEMANNINGSPLAN!A170=$E$4)),COUNT($O$6:O171)+1,"")</f>
        <v/>
      </c>
      <c r="P172" s="137" t="str">
        <f t="shared" si="2"/>
        <v/>
      </c>
    </row>
    <row r="173" spans="1:16" ht="27.75" customHeight="1">
      <c r="A173" s="17" t="str">
        <f>IF($P173="","",INDEX(BEMANNINGSPLAN!$A$5:$A$546,$P173))</f>
        <v/>
      </c>
      <c r="B173" s="18" t="str">
        <f>IF($P173="","",INDEX(BEMANNINGSPLAN!$B$5:$B$546,$P173))</f>
        <v/>
      </c>
      <c r="C173" s="19" t="str">
        <f>IF($P173="","",INDEX(BEMANNINGSPLAN!$C$5:$C$546,$P173))</f>
        <v/>
      </c>
      <c r="D173" s="20" t="str">
        <f>IF($P173="","",INDEX(BEMANNINGSPLAN!$D$5:$D$546,$P173))</f>
        <v/>
      </c>
      <c r="E173" s="20" t="str">
        <f>IF($P173="","",SUMIF(BEMANNINGSPLAN!$W$5:$W$546,INDEX(BEMANNINGSPLAN!$W$5:$W$546,$P173),BEMANNINGSPLAN!$X$5:$X$546))</f>
        <v/>
      </c>
      <c r="F173" s="18" t="str">
        <f>IF($P173="","",INDEX(BEMANNINGSPLAN!$J$5:$J$546,$P173))</f>
        <v/>
      </c>
      <c r="G173" s="19" t="str">
        <f>IF($P173="","",INDEX(BEMANNINGSPLAN!$AD$5:$AD$546,$P173))</f>
        <v/>
      </c>
      <c r="H173" s="18" t="str">
        <f>IF($P173="","",IF(AND(INDEX(BEMANNINGSPLAN!$Y$5:$Y$546,$P173)=1,G173&lt;&gt;"Minicafé"),"X",""))</f>
        <v/>
      </c>
      <c r="I173" s="21" t="str">
        <f>IF($P173="","",IF(INDEX(BEMANNINGSPLAN!$Y$5:$Y$546,$P173)=1,"X",""))</f>
        <v/>
      </c>
      <c r="J173" s="22" t="str">
        <f>IF($P173="","",IF(SUMIF(BEMANNINGSPLAN!$W$5:$W$546,INDEX(BEMANNINGSPLAN!$W$5:$W$546,$P173),BEMANNINGSPLAN!$Z$5:$Z$546)=1,"X",""))</f>
        <v/>
      </c>
      <c r="K173" s="23" t="str">
        <f>IF($P173="","",IFERROR(LOOKUP(2,1/((BEMANNINGSPLAN!$W$5:$W$546=INDEX(BEMANNINGSPLAN!$W$5:$W$546,$P173))*(BEMANNINGSPLAN!$L$5:$L$546&lt;&gt;"")),BEMANNINGSPLAN!$L$5:$L$546),""))</f>
        <v/>
      </c>
      <c r="L173" s="18" t="str">
        <f>IF($P173="","",INDEX(BEMANNINGSPLAN!$AE$5:$AE$546,$P173))</f>
        <v/>
      </c>
      <c r="M173" s="137"/>
      <c r="N173" s="16"/>
      <c r="O173" s="16" t="str">
        <f>IF(AND(BEMANNINGSPLAN!U171=1,OR($B$4="Alla lag",BEMANNINGSPLAN!J171=$B$4),OR($E$4="Alla datum",BEMANNINGSPLAN!A171=$E$4)),COUNT($O$6:O172)+1,"")</f>
        <v/>
      </c>
      <c r="P173" s="137" t="str">
        <f t="shared" si="2"/>
        <v/>
      </c>
    </row>
    <row r="174" spans="1:16" ht="27.75" customHeight="1">
      <c r="A174" s="17" t="str">
        <f>IF($P174="","",INDEX(BEMANNINGSPLAN!$A$5:$A$546,$P174))</f>
        <v/>
      </c>
      <c r="B174" s="18" t="str">
        <f>IF($P174="","",INDEX(BEMANNINGSPLAN!$B$5:$B$546,$P174))</f>
        <v/>
      </c>
      <c r="C174" s="19" t="str">
        <f>IF($P174="","",INDEX(BEMANNINGSPLAN!$C$5:$C$546,$P174))</f>
        <v/>
      </c>
      <c r="D174" s="20" t="str">
        <f>IF($P174="","",INDEX(BEMANNINGSPLAN!$D$5:$D$546,$P174))</f>
        <v/>
      </c>
      <c r="E174" s="20" t="str">
        <f>IF($P174="","",SUMIF(BEMANNINGSPLAN!$W$5:$W$546,INDEX(BEMANNINGSPLAN!$W$5:$W$546,$P174),BEMANNINGSPLAN!$X$5:$X$546))</f>
        <v/>
      </c>
      <c r="F174" s="18" t="str">
        <f>IF($P174="","",INDEX(BEMANNINGSPLAN!$J$5:$J$546,$P174))</f>
        <v/>
      </c>
      <c r="G174" s="19" t="str">
        <f>IF($P174="","",INDEX(BEMANNINGSPLAN!$AD$5:$AD$546,$P174))</f>
        <v/>
      </c>
      <c r="H174" s="18" t="str">
        <f>IF($P174="","",IF(AND(INDEX(BEMANNINGSPLAN!$Y$5:$Y$546,$P174)=1,G174&lt;&gt;"Minicafé"),"X",""))</f>
        <v/>
      </c>
      <c r="I174" s="21" t="str">
        <f>IF($P174="","",IF(INDEX(BEMANNINGSPLAN!$Y$5:$Y$546,$P174)=1,"X",""))</f>
        <v/>
      </c>
      <c r="J174" s="22" t="str">
        <f>IF($P174="","",IF(SUMIF(BEMANNINGSPLAN!$W$5:$W$546,INDEX(BEMANNINGSPLAN!$W$5:$W$546,$P174),BEMANNINGSPLAN!$Z$5:$Z$546)=1,"X",""))</f>
        <v/>
      </c>
      <c r="K174" s="23" t="str">
        <f>IF($P174="","",IFERROR(LOOKUP(2,1/((BEMANNINGSPLAN!$W$5:$W$546=INDEX(BEMANNINGSPLAN!$W$5:$W$546,$P174))*(BEMANNINGSPLAN!$L$5:$L$546&lt;&gt;"")),BEMANNINGSPLAN!$L$5:$L$546),""))</f>
        <v/>
      </c>
      <c r="L174" s="18" t="str">
        <f>IF($P174="","",INDEX(BEMANNINGSPLAN!$AE$5:$AE$546,$P174))</f>
        <v/>
      </c>
      <c r="M174" s="137"/>
      <c r="N174" s="16"/>
      <c r="O174" s="16" t="str">
        <f>IF(AND(BEMANNINGSPLAN!U172=1,OR($B$4="Alla lag",BEMANNINGSPLAN!J172=$B$4),OR($E$4="Alla datum",BEMANNINGSPLAN!A172=$E$4)),COUNT($O$6:O173)+1,"")</f>
        <v/>
      </c>
      <c r="P174" s="137" t="str">
        <f t="shared" si="2"/>
        <v/>
      </c>
    </row>
    <row r="175" spans="1:16" ht="27.75" customHeight="1">
      <c r="A175" s="17" t="str">
        <f>IF($P175="","",INDEX(BEMANNINGSPLAN!$A$5:$A$546,$P175))</f>
        <v/>
      </c>
      <c r="B175" s="18" t="str">
        <f>IF($P175="","",INDEX(BEMANNINGSPLAN!$B$5:$B$546,$P175))</f>
        <v/>
      </c>
      <c r="C175" s="19" t="str">
        <f>IF($P175="","",INDEX(BEMANNINGSPLAN!$C$5:$C$546,$P175))</f>
        <v/>
      </c>
      <c r="D175" s="20" t="str">
        <f>IF($P175="","",INDEX(BEMANNINGSPLAN!$D$5:$D$546,$P175))</f>
        <v/>
      </c>
      <c r="E175" s="20" t="str">
        <f>IF($P175="","",SUMIF(BEMANNINGSPLAN!$W$5:$W$546,INDEX(BEMANNINGSPLAN!$W$5:$W$546,$P175),BEMANNINGSPLAN!$X$5:$X$546))</f>
        <v/>
      </c>
      <c r="F175" s="18" t="str">
        <f>IF($P175="","",INDEX(BEMANNINGSPLAN!$J$5:$J$546,$P175))</f>
        <v/>
      </c>
      <c r="G175" s="19" t="str">
        <f>IF($P175="","",INDEX(BEMANNINGSPLAN!$AD$5:$AD$546,$P175))</f>
        <v/>
      </c>
      <c r="H175" s="18" t="str">
        <f>IF($P175="","",IF(AND(INDEX(BEMANNINGSPLAN!$Y$5:$Y$546,$P175)=1,G175&lt;&gt;"Minicafé"),"X",""))</f>
        <v/>
      </c>
      <c r="I175" s="21" t="str">
        <f>IF($P175="","",IF(INDEX(BEMANNINGSPLAN!$Y$5:$Y$546,$P175)=1,"X",""))</f>
        <v/>
      </c>
      <c r="J175" s="22" t="str">
        <f>IF($P175="","",IF(SUMIF(BEMANNINGSPLAN!$W$5:$W$546,INDEX(BEMANNINGSPLAN!$W$5:$W$546,$P175),BEMANNINGSPLAN!$Z$5:$Z$546)=1,"X",""))</f>
        <v/>
      </c>
      <c r="K175" s="23" t="str">
        <f>IF($P175="","",IFERROR(LOOKUP(2,1/((BEMANNINGSPLAN!$W$5:$W$546=INDEX(BEMANNINGSPLAN!$W$5:$W$546,$P175))*(BEMANNINGSPLAN!$L$5:$L$546&lt;&gt;"")),BEMANNINGSPLAN!$L$5:$L$546),""))</f>
        <v/>
      </c>
      <c r="L175" s="18" t="str">
        <f>IF($P175="","",INDEX(BEMANNINGSPLAN!$AE$5:$AE$546,$P175))</f>
        <v/>
      </c>
      <c r="M175" s="137"/>
      <c r="N175" s="16"/>
      <c r="O175" s="16" t="str">
        <f>IF(AND(BEMANNINGSPLAN!U173=1,OR($B$4="Alla lag",BEMANNINGSPLAN!J173=$B$4),OR($E$4="Alla datum",BEMANNINGSPLAN!A173=$E$4)),COUNT($O$6:O174)+1,"")</f>
        <v/>
      </c>
      <c r="P175" s="137" t="str">
        <f t="shared" si="2"/>
        <v/>
      </c>
    </row>
    <row r="176" spans="1:16" ht="27.75" customHeight="1">
      <c r="A176" s="17" t="str">
        <f>IF($P176="","",INDEX(BEMANNINGSPLAN!$A$5:$A$546,$P176))</f>
        <v/>
      </c>
      <c r="B176" s="18" t="str">
        <f>IF($P176="","",INDEX(BEMANNINGSPLAN!$B$5:$B$546,$P176))</f>
        <v/>
      </c>
      <c r="C176" s="19" t="str">
        <f>IF($P176="","",INDEX(BEMANNINGSPLAN!$C$5:$C$546,$P176))</f>
        <v/>
      </c>
      <c r="D176" s="20" t="str">
        <f>IF($P176="","",INDEX(BEMANNINGSPLAN!$D$5:$D$546,$P176))</f>
        <v/>
      </c>
      <c r="E176" s="20" t="str">
        <f>IF($P176="","",SUMIF(BEMANNINGSPLAN!$W$5:$W$546,INDEX(BEMANNINGSPLAN!$W$5:$W$546,$P176),BEMANNINGSPLAN!$X$5:$X$546))</f>
        <v/>
      </c>
      <c r="F176" s="18" t="str">
        <f>IF($P176="","",INDEX(BEMANNINGSPLAN!$J$5:$J$546,$P176))</f>
        <v/>
      </c>
      <c r="G176" s="19" t="str">
        <f>IF($P176="","",INDEX(BEMANNINGSPLAN!$AD$5:$AD$546,$P176))</f>
        <v/>
      </c>
      <c r="H176" s="18" t="str">
        <f>IF($P176="","",IF(AND(INDEX(BEMANNINGSPLAN!$Y$5:$Y$546,$P176)=1,G176&lt;&gt;"Minicafé"),"X",""))</f>
        <v/>
      </c>
      <c r="I176" s="21" t="str">
        <f>IF($P176="","",IF(INDEX(BEMANNINGSPLAN!$Y$5:$Y$546,$P176)=1,"X",""))</f>
        <v/>
      </c>
      <c r="J176" s="22" t="str">
        <f>IF($P176="","",IF(SUMIF(BEMANNINGSPLAN!$W$5:$W$546,INDEX(BEMANNINGSPLAN!$W$5:$W$546,$P176),BEMANNINGSPLAN!$Z$5:$Z$546)=1,"X",""))</f>
        <v/>
      </c>
      <c r="K176" s="23" t="str">
        <f>IF($P176="","",IFERROR(LOOKUP(2,1/((BEMANNINGSPLAN!$W$5:$W$546=INDEX(BEMANNINGSPLAN!$W$5:$W$546,$P176))*(BEMANNINGSPLAN!$L$5:$L$546&lt;&gt;"")),BEMANNINGSPLAN!$L$5:$L$546),""))</f>
        <v/>
      </c>
      <c r="L176" s="18" t="str">
        <f>IF($P176="","",INDEX(BEMANNINGSPLAN!$AE$5:$AE$546,$P176))</f>
        <v/>
      </c>
      <c r="M176" s="137"/>
      <c r="N176" s="16"/>
      <c r="O176" s="16">
        <f>IF(AND(BEMANNINGSPLAN!U174=1,OR($B$4="Alla lag",BEMANNINGSPLAN!J174=$B$4),OR($E$4="Alla datum",BEMANNINGSPLAN!A174=$E$4)),COUNT($O$6:O175)+1,"")</f>
        <v>19</v>
      </c>
      <c r="P176" s="137" t="str">
        <f t="shared" si="2"/>
        <v/>
      </c>
    </row>
    <row r="177" spans="1:16" ht="27.75" customHeight="1">
      <c r="A177" s="17" t="str">
        <f>IF($P177="","",INDEX(BEMANNINGSPLAN!$A$5:$A$546,$P177))</f>
        <v/>
      </c>
      <c r="B177" s="18" t="str">
        <f>IF($P177="","",INDEX(BEMANNINGSPLAN!$B$5:$B$546,$P177))</f>
        <v/>
      </c>
      <c r="C177" s="19" t="str">
        <f>IF($P177="","",INDEX(BEMANNINGSPLAN!$C$5:$C$546,$P177))</f>
        <v/>
      </c>
      <c r="D177" s="20" t="str">
        <f>IF($P177="","",INDEX(BEMANNINGSPLAN!$D$5:$D$546,$P177))</f>
        <v/>
      </c>
      <c r="E177" s="20" t="str">
        <f>IF($P177="","",SUMIF(BEMANNINGSPLAN!$W$5:$W$546,INDEX(BEMANNINGSPLAN!$W$5:$W$546,$P177),BEMANNINGSPLAN!$X$5:$X$546))</f>
        <v/>
      </c>
      <c r="F177" s="18" t="str">
        <f>IF($P177="","",INDEX(BEMANNINGSPLAN!$J$5:$J$546,$P177))</f>
        <v/>
      </c>
      <c r="G177" s="19" t="str">
        <f>IF($P177="","",INDEX(BEMANNINGSPLAN!$AD$5:$AD$546,$P177))</f>
        <v/>
      </c>
      <c r="H177" s="18" t="str">
        <f>IF($P177="","",IF(AND(INDEX(BEMANNINGSPLAN!$Y$5:$Y$546,$P177)=1,G177&lt;&gt;"Minicafé"),"X",""))</f>
        <v/>
      </c>
      <c r="I177" s="21" t="str">
        <f>IF($P177="","",IF(INDEX(BEMANNINGSPLAN!$Y$5:$Y$546,$P177)=1,"X",""))</f>
        <v/>
      </c>
      <c r="J177" s="22" t="str">
        <f>IF($P177="","",IF(SUMIF(BEMANNINGSPLAN!$W$5:$W$546,INDEX(BEMANNINGSPLAN!$W$5:$W$546,$P177),BEMANNINGSPLAN!$Z$5:$Z$546)=1,"X",""))</f>
        <v/>
      </c>
      <c r="K177" s="23" t="str">
        <f>IF($P177="","",IFERROR(LOOKUP(2,1/((BEMANNINGSPLAN!$W$5:$W$546=INDEX(BEMANNINGSPLAN!$W$5:$W$546,$P177))*(BEMANNINGSPLAN!$L$5:$L$546&lt;&gt;"")),BEMANNINGSPLAN!$L$5:$L$546),""))</f>
        <v/>
      </c>
      <c r="L177" s="18" t="str">
        <f>IF($P177="","",INDEX(BEMANNINGSPLAN!$AE$5:$AE$546,$P177))</f>
        <v/>
      </c>
      <c r="M177" s="137"/>
      <c r="N177" s="16"/>
      <c r="O177" s="16" t="str">
        <f>IF(AND(BEMANNINGSPLAN!U175=1,OR($B$4="Alla lag",BEMANNINGSPLAN!J175=$B$4),OR($E$4="Alla datum",BEMANNINGSPLAN!A175=$E$4)),COUNT($O$6:O176)+1,"")</f>
        <v/>
      </c>
      <c r="P177" s="137" t="str">
        <f t="shared" si="2"/>
        <v/>
      </c>
    </row>
    <row r="178" spans="1:16" ht="27.75" customHeight="1">
      <c r="A178" s="17" t="str">
        <f>IF($P178="","",INDEX(BEMANNINGSPLAN!$A$5:$A$546,$P178))</f>
        <v/>
      </c>
      <c r="B178" s="18" t="str">
        <f>IF($P178="","",INDEX(BEMANNINGSPLAN!$B$5:$B$546,$P178))</f>
        <v/>
      </c>
      <c r="C178" s="19" t="str">
        <f>IF($P178="","",INDEX(BEMANNINGSPLAN!$C$5:$C$546,$P178))</f>
        <v/>
      </c>
      <c r="D178" s="20" t="str">
        <f>IF($P178="","",INDEX(BEMANNINGSPLAN!$D$5:$D$546,$P178))</f>
        <v/>
      </c>
      <c r="E178" s="20" t="str">
        <f>IF($P178="","",SUMIF(BEMANNINGSPLAN!$W$5:$W$546,INDEX(BEMANNINGSPLAN!$W$5:$W$546,$P178),BEMANNINGSPLAN!$X$5:$X$546))</f>
        <v/>
      </c>
      <c r="F178" s="18" t="str">
        <f>IF($P178="","",INDEX(BEMANNINGSPLAN!$J$5:$J$546,$P178))</f>
        <v/>
      </c>
      <c r="G178" s="19" t="str">
        <f>IF($P178="","",INDEX(BEMANNINGSPLAN!$AD$5:$AD$546,$P178))</f>
        <v/>
      </c>
      <c r="H178" s="18" t="str">
        <f>IF($P178="","",IF(AND(INDEX(BEMANNINGSPLAN!$Y$5:$Y$546,$P178)=1,G178&lt;&gt;"Minicafé"),"X",""))</f>
        <v/>
      </c>
      <c r="I178" s="21" t="str">
        <f>IF($P178="","",IF(INDEX(BEMANNINGSPLAN!$Y$5:$Y$546,$P178)=1,"X",""))</f>
        <v/>
      </c>
      <c r="J178" s="22" t="str">
        <f>IF($P178="","",IF(SUMIF(BEMANNINGSPLAN!$W$5:$W$546,INDEX(BEMANNINGSPLAN!$W$5:$W$546,$P178),BEMANNINGSPLAN!$Z$5:$Z$546)=1,"X",""))</f>
        <v/>
      </c>
      <c r="K178" s="23" t="str">
        <f>IF($P178="","",IFERROR(LOOKUP(2,1/((BEMANNINGSPLAN!$W$5:$W$546=INDEX(BEMANNINGSPLAN!$W$5:$W$546,$P178))*(BEMANNINGSPLAN!$L$5:$L$546&lt;&gt;"")),BEMANNINGSPLAN!$L$5:$L$546),""))</f>
        <v/>
      </c>
      <c r="L178" s="18" t="str">
        <f>IF($P178="","",INDEX(BEMANNINGSPLAN!$AE$5:$AE$546,$P178))</f>
        <v/>
      </c>
      <c r="M178" s="137"/>
      <c r="N178" s="16"/>
      <c r="O178" s="16" t="str">
        <f>IF(AND(BEMANNINGSPLAN!U176=1,OR($B$4="Alla lag",BEMANNINGSPLAN!J176=$B$4),OR($E$4="Alla datum",BEMANNINGSPLAN!A176=$E$4)),COUNT($O$6:O177)+1,"")</f>
        <v/>
      </c>
      <c r="P178" s="137" t="str">
        <f t="shared" si="2"/>
        <v/>
      </c>
    </row>
    <row r="179" spans="1:16" ht="27.75" customHeight="1">
      <c r="A179" s="17" t="str">
        <f>IF($P179="","",INDEX(BEMANNINGSPLAN!$A$5:$A$546,$P179))</f>
        <v/>
      </c>
      <c r="B179" s="18" t="str">
        <f>IF($P179="","",INDEX(BEMANNINGSPLAN!$B$5:$B$546,$P179))</f>
        <v/>
      </c>
      <c r="C179" s="19" t="str">
        <f>IF($P179="","",INDEX(BEMANNINGSPLAN!$C$5:$C$546,$P179))</f>
        <v/>
      </c>
      <c r="D179" s="20" t="str">
        <f>IF($P179="","",INDEX(BEMANNINGSPLAN!$D$5:$D$546,$P179))</f>
        <v/>
      </c>
      <c r="E179" s="20" t="str">
        <f>IF($P179="","",SUMIF(BEMANNINGSPLAN!$W$5:$W$546,INDEX(BEMANNINGSPLAN!$W$5:$W$546,$P179),BEMANNINGSPLAN!$X$5:$X$546))</f>
        <v/>
      </c>
      <c r="F179" s="18" t="str">
        <f>IF($P179="","",INDEX(BEMANNINGSPLAN!$J$5:$J$546,$P179))</f>
        <v/>
      </c>
      <c r="G179" s="19" t="str">
        <f>IF($P179="","",INDEX(BEMANNINGSPLAN!$AD$5:$AD$546,$P179))</f>
        <v/>
      </c>
      <c r="H179" s="18" t="str">
        <f>IF($P179="","",IF(AND(INDEX(BEMANNINGSPLAN!$Y$5:$Y$546,$P179)=1,G179&lt;&gt;"Minicafé"),"X",""))</f>
        <v/>
      </c>
      <c r="I179" s="21" t="str">
        <f>IF($P179="","",IF(INDEX(BEMANNINGSPLAN!$Y$5:$Y$546,$P179)=1,"X",""))</f>
        <v/>
      </c>
      <c r="J179" s="22" t="str">
        <f>IF($P179="","",IF(SUMIF(BEMANNINGSPLAN!$W$5:$W$546,INDEX(BEMANNINGSPLAN!$W$5:$W$546,$P179),BEMANNINGSPLAN!$Z$5:$Z$546)=1,"X",""))</f>
        <v/>
      </c>
      <c r="K179" s="23" t="str">
        <f>IF($P179="","",IFERROR(LOOKUP(2,1/((BEMANNINGSPLAN!$W$5:$W$546=INDEX(BEMANNINGSPLAN!$W$5:$W$546,$P179))*(BEMANNINGSPLAN!$L$5:$L$546&lt;&gt;"")),BEMANNINGSPLAN!$L$5:$L$546),""))</f>
        <v/>
      </c>
      <c r="L179" s="18" t="str">
        <f>IF($P179="","",INDEX(BEMANNINGSPLAN!$AE$5:$AE$546,$P179))</f>
        <v/>
      </c>
      <c r="M179" s="137"/>
      <c r="N179" s="16"/>
      <c r="O179" s="16" t="str">
        <f>IF(AND(BEMANNINGSPLAN!U177=1,OR($B$4="Alla lag",BEMANNINGSPLAN!J177=$B$4),OR($E$4="Alla datum",BEMANNINGSPLAN!A177=$E$4)),COUNT($O$6:O178)+1,"")</f>
        <v/>
      </c>
      <c r="P179" s="137" t="str">
        <f t="shared" si="2"/>
        <v/>
      </c>
    </row>
    <row r="180" spans="1:16" ht="27.75" customHeight="1">
      <c r="A180" s="17" t="str">
        <f>IF($P180="","",INDEX(BEMANNINGSPLAN!$A$5:$A$546,$P180))</f>
        <v/>
      </c>
      <c r="B180" s="18" t="str">
        <f>IF($P180="","",INDEX(BEMANNINGSPLAN!$B$5:$B$546,$P180))</f>
        <v/>
      </c>
      <c r="C180" s="19" t="str">
        <f>IF($P180="","",INDEX(BEMANNINGSPLAN!$C$5:$C$546,$P180))</f>
        <v/>
      </c>
      <c r="D180" s="20" t="str">
        <f>IF($P180="","",INDEX(BEMANNINGSPLAN!$D$5:$D$546,$P180))</f>
        <v/>
      </c>
      <c r="E180" s="20" t="str">
        <f>IF($P180="","",SUMIF(BEMANNINGSPLAN!$W$5:$W$546,INDEX(BEMANNINGSPLAN!$W$5:$W$546,$P180),BEMANNINGSPLAN!$X$5:$X$546))</f>
        <v/>
      </c>
      <c r="F180" s="18" t="str">
        <f>IF($P180="","",INDEX(BEMANNINGSPLAN!$J$5:$J$546,$P180))</f>
        <v/>
      </c>
      <c r="G180" s="19" t="str">
        <f>IF($P180="","",INDEX(BEMANNINGSPLAN!$AD$5:$AD$546,$P180))</f>
        <v/>
      </c>
      <c r="H180" s="18" t="str">
        <f>IF($P180="","",IF(AND(INDEX(BEMANNINGSPLAN!$Y$5:$Y$546,$P180)=1,G180&lt;&gt;"Minicafé"),"X",""))</f>
        <v/>
      </c>
      <c r="I180" s="21" t="str">
        <f>IF($P180="","",IF(INDEX(BEMANNINGSPLAN!$Y$5:$Y$546,$P180)=1,"X",""))</f>
        <v/>
      </c>
      <c r="J180" s="22" t="str">
        <f>IF($P180="","",IF(SUMIF(BEMANNINGSPLAN!$W$5:$W$546,INDEX(BEMANNINGSPLAN!$W$5:$W$546,$P180),BEMANNINGSPLAN!$Z$5:$Z$546)=1,"X",""))</f>
        <v/>
      </c>
      <c r="K180" s="23" t="str">
        <f>IF($P180="","",IFERROR(LOOKUP(2,1/((BEMANNINGSPLAN!$W$5:$W$546=INDEX(BEMANNINGSPLAN!$W$5:$W$546,$P180))*(BEMANNINGSPLAN!$L$5:$L$546&lt;&gt;"")),BEMANNINGSPLAN!$L$5:$L$546),""))</f>
        <v/>
      </c>
      <c r="L180" s="18" t="str">
        <f>IF($P180="","",INDEX(BEMANNINGSPLAN!$AE$5:$AE$546,$P180))</f>
        <v/>
      </c>
      <c r="M180" s="137"/>
      <c r="N180" s="16"/>
      <c r="O180" s="16" t="str">
        <f>IF(AND(BEMANNINGSPLAN!U178=1,OR($B$4="Alla lag",BEMANNINGSPLAN!J178=$B$4),OR($E$4="Alla datum",BEMANNINGSPLAN!A178=$E$4)),COUNT($O$6:O179)+1,"")</f>
        <v/>
      </c>
      <c r="P180" s="137" t="str">
        <f t="shared" si="2"/>
        <v/>
      </c>
    </row>
    <row r="181" spans="1:16" ht="27.75" customHeight="1">
      <c r="A181" s="17" t="str">
        <f>IF($P181="","",INDEX(BEMANNINGSPLAN!$A$5:$A$546,$P181))</f>
        <v/>
      </c>
      <c r="B181" s="18" t="str">
        <f>IF($P181="","",INDEX(BEMANNINGSPLAN!$B$5:$B$546,$P181))</f>
        <v/>
      </c>
      <c r="C181" s="19" t="str">
        <f>IF($P181="","",INDEX(BEMANNINGSPLAN!$C$5:$C$546,$P181))</f>
        <v/>
      </c>
      <c r="D181" s="20" t="str">
        <f>IF($P181="","",INDEX(BEMANNINGSPLAN!$D$5:$D$546,$P181))</f>
        <v/>
      </c>
      <c r="E181" s="20" t="str">
        <f>IF($P181="","",SUMIF(BEMANNINGSPLAN!$W$5:$W$546,INDEX(BEMANNINGSPLAN!$W$5:$W$546,$P181),BEMANNINGSPLAN!$X$5:$X$546))</f>
        <v/>
      </c>
      <c r="F181" s="18" t="str">
        <f>IF($P181="","",INDEX(BEMANNINGSPLAN!$J$5:$J$546,$P181))</f>
        <v/>
      </c>
      <c r="G181" s="19" t="str">
        <f>IF($P181="","",INDEX(BEMANNINGSPLAN!$AD$5:$AD$546,$P181))</f>
        <v/>
      </c>
      <c r="H181" s="18" t="str">
        <f>IF($P181="","",IF(AND(INDEX(BEMANNINGSPLAN!$Y$5:$Y$546,$P181)=1,G181&lt;&gt;"Minicafé"),"X",""))</f>
        <v/>
      </c>
      <c r="I181" s="21" t="str">
        <f>IF($P181="","",IF(INDEX(BEMANNINGSPLAN!$Y$5:$Y$546,$P181)=1,"X",""))</f>
        <v/>
      </c>
      <c r="J181" s="22" t="str">
        <f>IF($P181="","",IF(SUMIF(BEMANNINGSPLAN!$W$5:$W$546,INDEX(BEMANNINGSPLAN!$W$5:$W$546,$P181),BEMANNINGSPLAN!$Z$5:$Z$546)=1,"X",""))</f>
        <v/>
      </c>
      <c r="K181" s="23" t="str">
        <f>IF($P181="","",IFERROR(LOOKUP(2,1/((BEMANNINGSPLAN!$W$5:$W$546=INDEX(BEMANNINGSPLAN!$W$5:$W$546,$P181))*(BEMANNINGSPLAN!$L$5:$L$546&lt;&gt;"")),BEMANNINGSPLAN!$L$5:$L$546),""))</f>
        <v/>
      </c>
      <c r="L181" s="18" t="str">
        <f>IF($P181="","",INDEX(BEMANNINGSPLAN!$AE$5:$AE$546,$P181))</f>
        <v/>
      </c>
      <c r="M181" s="137"/>
      <c r="N181" s="16"/>
      <c r="O181" s="16" t="str">
        <f>IF(AND(BEMANNINGSPLAN!U179=1,OR($B$4="Alla lag",BEMANNINGSPLAN!J179=$B$4),OR($E$4="Alla datum",BEMANNINGSPLAN!A179=$E$4)),COUNT($O$6:O180)+1,"")</f>
        <v/>
      </c>
      <c r="P181" s="137" t="str">
        <f t="shared" si="2"/>
        <v/>
      </c>
    </row>
    <row r="182" spans="1:16" ht="27.75" customHeight="1">
      <c r="A182" s="17" t="str">
        <f>IF($P182="","",INDEX(BEMANNINGSPLAN!$A$5:$A$546,$P182))</f>
        <v/>
      </c>
      <c r="B182" s="18" t="str">
        <f>IF($P182="","",INDEX(BEMANNINGSPLAN!$B$5:$B$546,$P182))</f>
        <v/>
      </c>
      <c r="C182" s="19" t="str">
        <f>IF($P182="","",INDEX(BEMANNINGSPLAN!$C$5:$C$546,$P182))</f>
        <v/>
      </c>
      <c r="D182" s="20" t="str">
        <f>IF($P182="","",INDEX(BEMANNINGSPLAN!$D$5:$D$546,$P182))</f>
        <v/>
      </c>
      <c r="E182" s="20" t="str">
        <f>IF($P182="","",SUMIF(BEMANNINGSPLAN!$W$5:$W$546,INDEX(BEMANNINGSPLAN!$W$5:$W$546,$P182),BEMANNINGSPLAN!$X$5:$X$546))</f>
        <v/>
      </c>
      <c r="F182" s="18" t="str">
        <f>IF($P182="","",INDEX(BEMANNINGSPLAN!$J$5:$J$546,$P182))</f>
        <v/>
      </c>
      <c r="G182" s="19" t="str">
        <f>IF($P182="","",INDEX(BEMANNINGSPLAN!$AD$5:$AD$546,$P182))</f>
        <v/>
      </c>
      <c r="H182" s="18" t="str">
        <f>IF($P182="","",IF(AND(INDEX(BEMANNINGSPLAN!$Y$5:$Y$546,$P182)=1,G182&lt;&gt;"Minicafé"),"X",""))</f>
        <v/>
      </c>
      <c r="I182" s="21" t="str">
        <f>IF($P182="","",IF(INDEX(BEMANNINGSPLAN!$Y$5:$Y$546,$P182)=1,"X",""))</f>
        <v/>
      </c>
      <c r="J182" s="22" t="str">
        <f>IF($P182="","",IF(SUMIF(BEMANNINGSPLAN!$W$5:$W$546,INDEX(BEMANNINGSPLAN!$W$5:$W$546,$P182),BEMANNINGSPLAN!$Z$5:$Z$546)=1,"X",""))</f>
        <v/>
      </c>
      <c r="K182" s="23" t="str">
        <f>IF($P182="","",IFERROR(LOOKUP(2,1/((BEMANNINGSPLAN!$W$5:$W$546=INDEX(BEMANNINGSPLAN!$W$5:$W$546,$P182))*(BEMANNINGSPLAN!$L$5:$L$546&lt;&gt;"")),BEMANNINGSPLAN!$L$5:$L$546),""))</f>
        <v/>
      </c>
      <c r="L182" s="18" t="str">
        <f>IF($P182="","",INDEX(BEMANNINGSPLAN!$AE$5:$AE$546,$P182))</f>
        <v/>
      </c>
      <c r="M182" s="137"/>
      <c r="N182" s="16"/>
      <c r="O182" s="16">
        <f>IF(AND(BEMANNINGSPLAN!U180=1,OR($B$4="Alla lag",BEMANNINGSPLAN!J180=$B$4),OR($E$4="Alla datum",BEMANNINGSPLAN!A180=$E$4)),COUNT($O$6:O181)+1,"")</f>
        <v>20</v>
      </c>
      <c r="P182" s="137" t="str">
        <f t="shared" si="2"/>
        <v/>
      </c>
    </row>
    <row r="183" spans="1:16" ht="27.75" customHeight="1">
      <c r="A183" s="17" t="str">
        <f>IF($P183="","",INDEX(BEMANNINGSPLAN!$A$5:$A$546,$P183))</f>
        <v/>
      </c>
      <c r="B183" s="18" t="str">
        <f>IF($P183="","",INDEX(BEMANNINGSPLAN!$B$5:$B$546,$P183))</f>
        <v/>
      </c>
      <c r="C183" s="19" t="str">
        <f>IF($P183="","",INDEX(BEMANNINGSPLAN!$C$5:$C$546,$P183))</f>
        <v/>
      </c>
      <c r="D183" s="20" t="str">
        <f>IF($P183="","",INDEX(BEMANNINGSPLAN!$D$5:$D$546,$P183))</f>
        <v/>
      </c>
      <c r="E183" s="20" t="str">
        <f>IF($P183="","",SUMIF(BEMANNINGSPLAN!$W$5:$W$546,INDEX(BEMANNINGSPLAN!$W$5:$W$546,$P183),BEMANNINGSPLAN!$X$5:$X$546))</f>
        <v/>
      </c>
      <c r="F183" s="18" t="str">
        <f>IF($P183="","",INDEX(BEMANNINGSPLAN!$J$5:$J$546,$P183))</f>
        <v/>
      </c>
      <c r="G183" s="19" t="str">
        <f>IF($P183="","",INDEX(BEMANNINGSPLAN!$AD$5:$AD$546,$P183))</f>
        <v/>
      </c>
      <c r="H183" s="18" t="str">
        <f>IF($P183="","",IF(AND(INDEX(BEMANNINGSPLAN!$Y$5:$Y$546,$P183)=1,G183&lt;&gt;"Minicafé"),"X",""))</f>
        <v/>
      </c>
      <c r="I183" s="21" t="str">
        <f>IF($P183="","",IF(INDEX(BEMANNINGSPLAN!$Y$5:$Y$546,$P183)=1,"X",""))</f>
        <v/>
      </c>
      <c r="J183" s="22" t="str">
        <f>IF($P183="","",IF(SUMIF(BEMANNINGSPLAN!$W$5:$W$546,INDEX(BEMANNINGSPLAN!$W$5:$W$546,$P183),BEMANNINGSPLAN!$Z$5:$Z$546)=1,"X",""))</f>
        <v/>
      </c>
      <c r="K183" s="23" t="str">
        <f>IF($P183="","",IFERROR(LOOKUP(2,1/((BEMANNINGSPLAN!$W$5:$W$546=INDEX(BEMANNINGSPLAN!$W$5:$W$546,$P183))*(BEMANNINGSPLAN!$L$5:$L$546&lt;&gt;"")),BEMANNINGSPLAN!$L$5:$L$546),""))</f>
        <v/>
      </c>
      <c r="L183" s="18" t="str">
        <f>IF($P183="","",INDEX(BEMANNINGSPLAN!$AE$5:$AE$546,$P183))</f>
        <v/>
      </c>
      <c r="M183" s="137"/>
      <c r="N183" s="16"/>
      <c r="O183" s="16" t="str">
        <f>IF(AND(BEMANNINGSPLAN!U181=1,OR($B$4="Alla lag",BEMANNINGSPLAN!J181=$B$4),OR($E$4="Alla datum",BEMANNINGSPLAN!A181=$E$4)),COUNT($O$6:O182)+1,"")</f>
        <v/>
      </c>
      <c r="P183" s="137" t="str">
        <f t="shared" si="2"/>
        <v/>
      </c>
    </row>
    <row r="184" spans="1:16" ht="27.75" customHeight="1">
      <c r="A184" s="17" t="str">
        <f>IF($P184="","",INDEX(BEMANNINGSPLAN!$A$5:$A$546,$P184))</f>
        <v/>
      </c>
      <c r="B184" s="18" t="str">
        <f>IF($P184="","",INDEX(BEMANNINGSPLAN!$B$5:$B$546,$P184))</f>
        <v/>
      </c>
      <c r="C184" s="19" t="str">
        <f>IF($P184="","",INDEX(BEMANNINGSPLAN!$C$5:$C$546,$P184))</f>
        <v/>
      </c>
      <c r="D184" s="20" t="str">
        <f>IF($P184="","",INDEX(BEMANNINGSPLAN!$D$5:$D$546,$P184))</f>
        <v/>
      </c>
      <c r="E184" s="20" t="str">
        <f>IF($P184="","",SUMIF(BEMANNINGSPLAN!$W$5:$W$546,INDEX(BEMANNINGSPLAN!$W$5:$W$546,$P184),BEMANNINGSPLAN!$X$5:$X$546))</f>
        <v/>
      </c>
      <c r="F184" s="18" t="str">
        <f>IF($P184="","",INDEX(BEMANNINGSPLAN!$J$5:$J$546,$P184))</f>
        <v/>
      </c>
      <c r="G184" s="19" t="str">
        <f>IF($P184="","",INDEX(BEMANNINGSPLAN!$AD$5:$AD$546,$P184))</f>
        <v/>
      </c>
      <c r="H184" s="18" t="str">
        <f>IF($P184="","",IF(AND(INDEX(BEMANNINGSPLAN!$Y$5:$Y$546,$P184)=1,G184&lt;&gt;"Minicafé"),"X",""))</f>
        <v/>
      </c>
      <c r="I184" s="21" t="str">
        <f>IF($P184="","",IF(INDEX(BEMANNINGSPLAN!$Y$5:$Y$546,$P184)=1,"X",""))</f>
        <v/>
      </c>
      <c r="J184" s="22" t="str">
        <f>IF($P184="","",IF(SUMIF(BEMANNINGSPLAN!$W$5:$W$546,INDEX(BEMANNINGSPLAN!$W$5:$W$546,$P184),BEMANNINGSPLAN!$Z$5:$Z$546)=1,"X",""))</f>
        <v/>
      </c>
      <c r="K184" s="23" t="str">
        <f>IF($P184="","",IFERROR(LOOKUP(2,1/((BEMANNINGSPLAN!$W$5:$W$546=INDEX(BEMANNINGSPLAN!$W$5:$W$546,$P184))*(BEMANNINGSPLAN!$L$5:$L$546&lt;&gt;"")),BEMANNINGSPLAN!$L$5:$L$546),""))</f>
        <v/>
      </c>
      <c r="L184" s="18" t="str">
        <f>IF($P184="","",INDEX(BEMANNINGSPLAN!$AE$5:$AE$546,$P184))</f>
        <v/>
      </c>
      <c r="M184" s="137"/>
      <c r="N184" s="16"/>
      <c r="O184" s="16" t="str">
        <f>IF(AND(BEMANNINGSPLAN!U182=1,OR($B$4="Alla lag",BEMANNINGSPLAN!J182=$B$4),OR($E$4="Alla datum",BEMANNINGSPLAN!A182=$E$4)),COUNT($O$6:O183)+1,"")</f>
        <v/>
      </c>
      <c r="P184" s="137" t="str">
        <f t="shared" si="2"/>
        <v/>
      </c>
    </row>
    <row r="185" spans="1:16" ht="27.75" customHeight="1">
      <c r="A185" s="17" t="str">
        <f>IF($P185="","",INDEX(BEMANNINGSPLAN!$A$5:$A$546,$P185))</f>
        <v/>
      </c>
      <c r="B185" s="18" t="str">
        <f>IF($P185="","",INDEX(BEMANNINGSPLAN!$B$5:$B$546,$P185))</f>
        <v/>
      </c>
      <c r="C185" s="19" t="str">
        <f>IF($P185="","",INDEX(BEMANNINGSPLAN!$C$5:$C$546,$P185))</f>
        <v/>
      </c>
      <c r="D185" s="20" t="str">
        <f>IF($P185="","",INDEX(BEMANNINGSPLAN!$D$5:$D$546,$P185))</f>
        <v/>
      </c>
      <c r="E185" s="20" t="str">
        <f>IF($P185="","",SUMIF(BEMANNINGSPLAN!$W$5:$W$546,INDEX(BEMANNINGSPLAN!$W$5:$W$546,$P185),BEMANNINGSPLAN!$X$5:$X$546))</f>
        <v/>
      </c>
      <c r="F185" s="18" t="str">
        <f>IF($P185="","",INDEX(BEMANNINGSPLAN!$J$5:$J$546,$P185))</f>
        <v/>
      </c>
      <c r="G185" s="19" t="str">
        <f>IF($P185="","",INDEX(BEMANNINGSPLAN!$AD$5:$AD$546,$P185))</f>
        <v/>
      </c>
      <c r="H185" s="18" t="str">
        <f>IF($P185="","",IF(AND(INDEX(BEMANNINGSPLAN!$Y$5:$Y$546,$P185)=1,G185&lt;&gt;"Minicafé"),"X",""))</f>
        <v/>
      </c>
      <c r="I185" s="21" t="str">
        <f>IF($P185="","",IF(INDEX(BEMANNINGSPLAN!$Y$5:$Y$546,$P185)=1,"X",""))</f>
        <v/>
      </c>
      <c r="J185" s="22" t="str">
        <f>IF($P185="","",IF(SUMIF(BEMANNINGSPLAN!$W$5:$W$546,INDEX(BEMANNINGSPLAN!$W$5:$W$546,$P185),BEMANNINGSPLAN!$Z$5:$Z$546)=1,"X",""))</f>
        <v/>
      </c>
      <c r="K185" s="23" t="str">
        <f>IF($P185="","",IFERROR(LOOKUP(2,1/((BEMANNINGSPLAN!$W$5:$W$546=INDEX(BEMANNINGSPLAN!$W$5:$W$546,$P185))*(BEMANNINGSPLAN!$L$5:$L$546&lt;&gt;"")),BEMANNINGSPLAN!$L$5:$L$546),""))</f>
        <v/>
      </c>
      <c r="L185" s="18" t="str">
        <f>IF($P185="","",INDEX(BEMANNINGSPLAN!$AE$5:$AE$546,$P185))</f>
        <v/>
      </c>
      <c r="M185" s="137"/>
      <c r="N185" s="16"/>
      <c r="O185" s="16" t="str">
        <f>IF(AND(BEMANNINGSPLAN!U183=1,OR($B$4="Alla lag",BEMANNINGSPLAN!J183=$B$4),OR($E$4="Alla datum",BEMANNINGSPLAN!A183=$E$4)),COUNT($O$6:O184)+1,"")</f>
        <v/>
      </c>
      <c r="P185" s="137" t="str">
        <f t="shared" si="2"/>
        <v/>
      </c>
    </row>
    <row r="186" spans="1:16" ht="27.75" customHeight="1">
      <c r="A186" s="17" t="str">
        <f>IF($P186="","",INDEX(BEMANNINGSPLAN!$A$5:$A$546,$P186))</f>
        <v/>
      </c>
      <c r="B186" s="18" t="str">
        <f>IF($P186="","",INDEX(BEMANNINGSPLAN!$B$5:$B$546,$P186))</f>
        <v/>
      </c>
      <c r="C186" s="19" t="str">
        <f>IF($P186="","",INDEX(BEMANNINGSPLAN!$C$5:$C$546,$P186))</f>
        <v/>
      </c>
      <c r="D186" s="20" t="str">
        <f>IF($P186="","",INDEX(BEMANNINGSPLAN!$D$5:$D$546,$P186))</f>
        <v/>
      </c>
      <c r="E186" s="20" t="str">
        <f>IF($P186="","",SUMIF(BEMANNINGSPLAN!$W$5:$W$546,INDEX(BEMANNINGSPLAN!$W$5:$W$546,$P186),BEMANNINGSPLAN!$X$5:$X$546))</f>
        <v/>
      </c>
      <c r="F186" s="18" t="str">
        <f>IF($P186="","",INDEX(BEMANNINGSPLAN!$J$5:$J$546,$P186))</f>
        <v/>
      </c>
      <c r="G186" s="19" t="str">
        <f>IF($P186="","",INDEX(BEMANNINGSPLAN!$AD$5:$AD$546,$P186))</f>
        <v/>
      </c>
      <c r="H186" s="18" t="str">
        <f>IF($P186="","",IF(AND(INDEX(BEMANNINGSPLAN!$Y$5:$Y$546,$P186)=1,G186&lt;&gt;"Minicafé"),"X",""))</f>
        <v/>
      </c>
      <c r="I186" s="21" t="str">
        <f>IF($P186="","",IF(INDEX(BEMANNINGSPLAN!$Y$5:$Y$546,$P186)=1,"X",""))</f>
        <v/>
      </c>
      <c r="J186" s="22" t="str">
        <f>IF($P186="","",IF(SUMIF(BEMANNINGSPLAN!$W$5:$W$546,INDEX(BEMANNINGSPLAN!$W$5:$W$546,$P186),BEMANNINGSPLAN!$Z$5:$Z$546)=1,"X",""))</f>
        <v/>
      </c>
      <c r="K186" s="23" t="str">
        <f>IF($P186="","",IFERROR(LOOKUP(2,1/((BEMANNINGSPLAN!$W$5:$W$546=INDEX(BEMANNINGSPLAN!$W$5:$W$546,$P186))*(BEMANNINGSPLAN!$L$5:$L$546&lt;&gt;"")),BEMANNINGSPLAN!$L$5:$L$546),""))</f>
        <v/>
      </c>
      <c r="L186" s="18" t="str">
        <f>IF($P186="","",INDEX(BEMANNINGSPLAN!$AE$5:$AE$546,$P186))</f>
        <v/>
      </c>
      <c r="M186" s="137"/>
      <c r="N186" s="16"/>
      <c r="O186" s="16" t="str">
        <f>IF(AND(BEMANNINGSPLAN!U184=1,OR($B$4="Alla lag",BEMANNINGSPLAN!J184=$B$4),OR($E$4="Alla datum",BEMANNINGSPLAN!A184=$E$4)),COUNT($O$6:O185)+1,"")</f>
        <v/>
      </c>
      <c r="P186" s="137" t="str">
        <f t="shared" si="2"/>
        <v/>
      </c>
    </row>
    <row r="187" spans="1:16" ht="27.75" customHeight="1">
      <c r="A187" s="17" t="str">
        <f>IF($P187="","",INDEX(BEMANNINGSPLAN!$A$5:$A$546,$P187))</f>
        <v/>
      </c>
      <c r="B187" s="18" t="str">
        <f>IF($P187="","",INDEX(BEMANNINGSPLAN!$B$5:$B$546,$P187))</f>
        <v/>
      </c>
      <c r="C187" s="19" t="str">
        <f>IF($P187="","",INDEX(BEMANNINGSPLAN!$C$5:$C$546,$P187))</f>
        <v/>
      </c>
      <c r="D187" s="20" t="str">
        <f>IF($P187="","",INDEX(BEMANNINGSPLAN!$D$5:$D$546,$P187))</f>
        <v/>
      </c>
      <c r="E187" s="20" t="str">
        <f>IF($P187="","",SUMIF(BEMANNINGSPLAN!$W$5:$W$546,INDEX(BEMANNINGSPLAN!$W$5:$W$546,$P187),BEMANNINGSPLAN!$X$5:$X$546))</f>
        <v/>
      </c>
      <c r="F187" s="18" t="str">
        <f>IF($P187="","",INDEX(BEMANNINGSPLAN!$J$5:$J$546,$P187))</f>
        <v/>
      </c>
      <c r="G187" s="19" t="str">
        <f>IF($P187="","",INDEX(BEMANNINGSPLAN!$AD$5:$AD$546,$P187))</f>
        <v/>
      </c>
      <c r="H187" s="18" t="str">
        <f>IF($P187="","",IF(AND(INDEX(BEMANNINGSPLAN!$Y$5:$Y$546,$P187)=1,G187&lt;&gt;"Minicafé"),"X",""))</f>
        <v/>
      </c>
      <c r="I187" s="21" t="str">
        <f>IF($P187="","",IF(INDEX(BEMANNINGSPLAN!$Y$5:$Y$546,$P187)=1,"X",""))</f>
        <v/>
      </c>
      <c r="J187" s="22" t="str">
        <f>IF($P187="","",IF(SUMIF(BEMANNINGSPLAN!$W$5:$W$546,INDEX(BEMANNINGSPLAN!$W$5:$W$546,$P187),BEMANNINGSPLAN!$Z$5:$Z$546)=1,"X",""))</f>
        <v/>
      </c>
      <c r="K187" s="23" t="str">
        <f>IF($P187="","",IFERROR(LOOKUP(2,1/((BEMANNINGSPLAN!$W$5:$W$546=INDEX(BEMANNINGSPLAN!$W$5:$W$546,$P187))*(BEMANNINGSPLAN!$L$5:$L$546&lt;&gt;"")),BEMANNINGSPLAN!$L$5:$L$546),""))</f>
        <v/>
      </c>
      <c r="L187" s="18" t="str">
        <f>IF($P187="","",INDEX(BEMANNINGSPLAN!$AE$5:$AE$546,$P187))</f>
        <v/>
      </c>
      <c r="M187" s="137"/>
      <c r="N187" s="16"/>
      <c r="O187" s="16" t="str">
        <f>IF(AND(BEMANNINGSPLAN!U185=1,OR($B$4="Alla lag",BEMANNINGSPLAN!J185=$B$4),OR($E$4="Alla datum",BEMANNINGSPLAN!A185=$E$4)),COUNT($O$6:O186)+1,"")</f>
        <v/>
      </c>
      <c r="P187" s="137" t="str">
        <f t="shared" si="2"/>
        <v/>
      </c>
    </row>
    <row r="188" spans="1:16" ht="27.75" customHeight="1">
      <c r="A188" s="17" t="str">
        <f>IF($P188="","",INDEX(BEMANNINGSPLAN!$A$5:$A$546,$P188))</f>
        <v/>
      </c>
      <c r="B188" s="18" t="str">
        <f>IF($P188="","",INDEX(BEMANNINGSPLAN!$B$5:$B$546,$P188))</f>
        <v/>
      </c>
      <c r="C188" s="19" t="str">
        <f>IF($P188="","",INDEX(BEMANNINGSPLAN!$C$5:$C$546,$P188))</f>
        <v/>
      </c>
      <c r="D188" s="20" t="str">
        <f>IF($P188="","",INDEX(BEMANNINGSPLAN!$D$5:$D$546,$P188))</f>
        <v/>
      </c>
      <c r="E188" s="20" t="str">
        <f>IF($P188="","",SUMIF(BEMANNINGSPLAN!$W$5:$W$546,INDEX(BEMANNINGSPLAN!$W$5:$W$546,$P188),BEMANNINGSPLAN!$X$5:$X$546))</f>
        <v/>
      </c>
      <c r="F188" s="18" t="str">
        <f>IF($P188="","",INDEX(BEMANNINGSPLAN!$J$5:$J$546,$P188))</f>
        <v/>
      </c>
      <c r="G188" s="19" t="str">
        <f>IF($P188="","",INDEX(BEMANNINGSPLAN!$AD$5:$AD$546,$P188))</f>
        <v/>
      </c>
      <c r="H188" s="18" t="str">
        <f>IF($P188="","",IF(AND(INDEX(BEMANNINGSPLAN!$Y$5:$Y$546,$P188)=1,G188&lt;&gt;"Minicafé"),"X",""))</f>
        <v/>
      </c>
      <c r="I188" s="21" t="str">
        <f>IF($P188="","",IF(INDEX(BEMANNINGSPLAN!$Y$5:$Y$546,$P188)=1,"X",""))</f>
        <v/>
      </c>
      <c r="J188" s="22" t="str">
        <f>IF($P188="","",IF(SUMIF(BEMANNINGSPLAN!$W$5:$W$546,INDEX(BEMANNINGSPLAN!$W$5:$W$546,$P188),BEMANNINGSPLAN!$Z$5:$Z$546)=1,"X",""))</f>
        <v/>
      </c>
      <c r="K188" s="23" t="str">
        <f>IF($P188="","",IFERROR(LOOKUP(2,1/((BEMANNINGSPLAN!$W$5:$W$546=INDEX(BEMANNINGSPLAN!$W$5:$W$546,$P188))*(BEMANNINGSPLAN!$L$5:$L$546&lt;&gt;"")),BEMANNINGSPLAN!$L$5:$L$546),""))</f>
        <v/>
      </c>
      <c r="L188" s="18" t="str">
        <f>IF($P188="","",INDEX(BEMANNINGSPLAN!$AE$5:$AE$546,$P188))</f>
        <v/>
      </c>
      <c r="M188" s="137"/>
      <c r="N188" s="16"/>
      <c r="O188" s="16" t="str">
        <f>IF(AND(BEMANNINGSPLAN!U186=1,OR($B$4="Alla lag",BEMANNINGSPLAN!J186=$B$4),OR($E$4="Alla datum",BEMANNINGSPLAN!A186=$E$4)),COUNT($O$6:O187)+1,"")</f>
        <v/>
      </c>
      <c r="P188" s="137" t="str">
        <f t="shared" si="2"/>
        <v/>
      </c>
    </row>
    <row r="189" spans="1:16" ht="27.75" customHeight="1">
      <c r="A189" s="17" t="str">
        <f>IF($P189="","",INDEX(BEMANNINGSPLAN!$A$5:$A$546,$P189))</f>
        <v/>
      </c>
      <c r="B189" s="18" t="str">
        <f>IF($P189="","",INDEX(BEMANNINGSPLAN!$B$5:$B$546,$P189))</f>
        <v/>
      </c>
      <c r="C189" s="19" t="str">
        <f>IF($P189="","",INDEX(BEMANNINGSPLAN!$C$5:$C$546,$P189))</f>
        <v/>
      </c>
      <c r="D189" s="20" t="str">
        <f>IF($P189="","",INDEX(BEMANNINGSPLAN!$D$5:$D$546,$P189))</f>
        <v/>
      </c>
      <c r="E189" s="20" t="str">
        <f>IF($P189="","",SUMIF(BEMANNINGSPLAN!$W$5:$W$546,INDEX(BEMANNINGSPLAN!$W$5:$W$546,$P189),BEMANNINGSPLAN!$X$5:$X$546))</f>
        <v/>
      </c>
      <c r="F189" s="18" t="str">
        <f>IF($P189="","",INDEX(BEMANNINGSPLAN!$J$5:$J$546,$P189))</f>
        <v/>
      </c>
      <c r="G189" s="19" t="str">
        <f>IF($P189="","",INDEX(BEMANNINGSPLAN!$AD$5:$AD$546,$P189))</f>
        <v/>
      </c>
      <c r="H189" s="18" t="str">
        <f>IF($P189="","",IF(AND(INDEX(BEMANNINGSPLAN!$Y$5:$Y$546,$P189)=1,G189&lt;&gt;"Minicafé"),"X",""))</f>
        <v/>
      </c>
      <c r="I189" s="21" t="str">
        <f>IF($P189="","",IF(INDEX(BEMANNINGSPLAN!$Y$5:$Y$546,$P189)=1,"X",""))</f>
        <v/>
      </c>
      <c r="J189" s="22" t="str">
        <f>IF($P189="","",IF(SUMIF(BEMANNINGSPLAN!$W$5:$W$546,INDEX(BEMANNINGSPLAN!$W$5:$W$546,$P189),BEMANNINGSPLAN!$Z$5:$Z$546)=1,"X",""))</f>
        <v/>
      </c>
      <c r="K189" s="23" t="str">
        <f>IF($P189="","",IFERROR(LOOKUP(2,1/((BEMANNINGSPLAN!$W$5:$W$546=INDEX(BEMANNINGSPLAN!$W$5:$W$546,$P189))*(BEMANNINGSPLAN!$L$5:$L$546&lt;&gt;"")),BEMANNINGSPLAN!$L$5:$L$546),""))</f>
        <v/>
      </c>
      <c r="L189" s="18" t="str">
        <f>IF($P189="","",INDEX(BEMANNINGSPLAN!$AE$5:$AE$546,$P189))</f>
        <v/>
      </c>
      <c r="M189" s="137"/>
      <c r="N189" s="16"/>
      <c r="O189" s="16" t="str">
        <f>IF(AND(BEMANNINGSPLAN!U187=1,OR($B$4="Alla lag",BEMANNINGSPLAN!J187=$B$4),OR($E$4="Alla datum",BEMANNINGSPLAN!A187=$E$4)),COUNT($O$6:O188)+1,"")</f>
        <v/>
      </c>
      <c r="P189" s="137" t="str">
        <f t="shared" si="2"/>
        <v/>
      </c>
    </row>
    <row r="190" spans="1:16" ht="27.75" customHeight="1">
      <c r="A190" s="17" t="str">
        <f>IF($P190="","",INDEX(BEMANNINGSPLAN!$A$5:$A$546,$P190))</f>
        <v/>
      </c>
      <c r="B190" s="18" t="str">
        <f>IF($P190="","",INDEX(BEMANNINGSPLAN!$B$5:$B$546,$P190))</f>
        <v/>
      </c>
      <c r="C190" s="19" t="str">
        <f>IF($P190="","",INDEX(BEMANNINGSPLAN!$C$5:$C$546,$P190))</f>
        <v/>
      </c>
      <c r="D190" s="20" t="str">
        <f>IF($P190="","",INDEX(BEMANNINGSPLAN!$D$5:$D$546,$P190))</f>
        <v/>
      </c>
      <c r="E190" s="20" t="str">
        <f>IF($P190="","",SUMIF(BEMANNINGSPLAN!$W$5:$W$546,INDEX(BEMANNINGSPLAN!$W$5:$W$546,$P190),BEMANNINGSPLAN!$X$5:$X$546))</f>
        <v/>
      </c>
      <c r="F190" s="18" t="str">
        <f>IF($P190="","",INDEX(BEMANNINGSPLAN!$J$5:$J$546,$P190))</f>
        <v/>
      </c>
      <c r="G190" s="19" t="str">
        <f>IF($P190="","",INDEX(BEMANNINGSPLAN!$AD$5:$AD$546,$P190))</f>
        <v/>
      </c>
      <c r="H190" s="18" t="str">
        <f>IF($P190="","",IF(AND(INDEX(BEMANNINGSPLAN!$Y$5:$Y$546,$P190)=1,G190&lt;&gt;"Minicafé"),"X",""))</f>
        <v/>
      </c>
      <c r="I190" s="21" t="str">
        <f>IF($P190="","",IF(INDEX(BEMANNINGSPLAN!$Y$5:$Y$546,$P190)=1,"X",""))</f>
        <v/>
      </c>
      <c r="J190" s="22" t="str">
        <f>IF($P190="","",IF(SUMIF(BEMANNINGSPLAN!$W$5:$W$546,INDEX(BEMANNINGSPLAN!$W$5:$W$546,$P190),BEMANNINGSPLAN!$Z$5:$Z$546)=1,"X",""))</f>
        <v/>
      </c>
      <c r="K190" s="23" t="str">
        <f>IF($P190="","",IFERROR(LOOKUP(2,1/((BEMANNINGSPLAN!$W$5:$W$546=INDEX(BEMANNINGSPLAN!$W$5:$W$546,$P190))*(BEMANNINGSPLAN!$L$5:$L$546&lt;&gt;"")),BEMANNINGSPLAN!$L$5:$L$546),""))</f>
        <v/>
      </c>
      <c r="L190" s="18" t="str">
        <f>IF($P190="","",INDEX(BEMANNINGSPLAN!$AE$5:$AE$546,$P190))</f>
        <v/>
      </c>
      <c r="M190" s="137"/>
      <c r="N190" s="16"/>
      <c r="O190" s="16" t="str">
        <f>IF(AND(BEMANNINGSPLAN!U188=1,OR($B$4="Alla lag",BEMANNINGSPLAN!J188=$B$4),OR($E$4="Alla datum",BEMANNINGSPLAN!A188=$E$4)),COUNT($O$6:O189)+1,"")</f>
        <v/>
      </c>
      <c r="P190" s="137" t="str">
        <f t="shared" si="2"/>
        <v/>
      </c>
    </row>
    <row r="191" spans="1:16" ht="27.75" customHeight="1">
      <c r="A191" s="17" t="str">
        <f>IF($P191="","",INDEX(BEMANNINGSPLAN!$A$5:$A$546,$P191))</f>
        <v/>
      </c>
      <c r="B191" s="18" t="str">
        <f>IF($P191="","",INDEX(BEMANNINGSPLAN!$B$5:$B$546,$P191))</f>
        <v/>
      </c>
      <c r="C191" s="19" t="str">
        <f>IF($P191="","",INDEX(BEMANNINGSPLAN!$C$5:$C$546,$P191))</f>
        <v/>
      </c>
      <c r="D191" s="20" t="str">
        <f>IF($P191="","",INDEX(BEMANNINGSPLAN!$D$5:$D$546,$P191))</f>
        <v/>
      </c>
      <c r="E191" s="20" t="str">
        <f>IF($P191="","",SUMIF(BEMANNINGSPLAN!$W$5:$W$546,INDEX(BEMANNINGSPLAN!$W$5:$W$546,$P191),BEMANNINGSPLAN!$X$5:$X$546))</f>
        <v/>
      </c>
      <c r="F191" s="18" t="str">
        <f>IF($P191="","",INDEX(BEMANNINGSPLAN!$J$5:$J$546,$P191))</f>
        <v/>
      </c>
      <c r="G191" s="19" t="str">
        <f>IF($P191="","",INDEX(BEMANNINGSPLAN!$AD$5:$AD$546,$P191))</f>
        <v/>
      </c>
      <c r="H191" s="18" t="str">
        <f>IF($P191="","",IF(AND(INDEX(BEMANNINGSPLAN!$Y$5:$Y$546,$P191)=1,G191&lt;&gt;"Minicafé"),"X",""))</f>
        <v/>
      </c>
      <c r="I191" s="21" t="str">
        <f>IF($P191="","",IF(INDEX(BEMANNINGSPLAN!$Y$5:$Y$546,$P191)=1,"X",""))</f>
        <v/>
      </c>
      <c r="J191" s="22" t="str">
        <f>IF($P191="","",IF(SUMIF(BEMANNINGSPLAN!$W$5:$W$546,INDEX(BEMANNINGSPLAN!$W$5:$W$546,$P191),BEMANNINGSPLAN!$Z$5:$Z$546)=1,"X",""))</f>
        <v/>
      </c>
      <c r="K191" s="23" t="str">
        <f>IF($P191="","",IFERROR(LOOKUP(2,1/((BEMANNINGSPLAN!$W$5:$W$546=INDEX(BEMANNINGSPLAN!$W$5:$W$546,$P191))*(BEMANNINGSPLAN!$L$5:$L$546&lt;&gt;"")),BEMANNINGSPLAN!$L$5:$L$546),""))</f>
        <v/>
      </c>
      <c r="L191" s="18" t="str">
        <f>IF($P191="","",INDEX(BEMANNINGSPLAN!$AE$5:$AE$546,$P191))</f>
        <v/>
      </c>
      <c r="M191" s="137"/>
      <c r="N191" s="16"/>
      <c r="O191" s="16" t="str">
        <f>IF(AND(BEMANNINGSPLAN!U189=1,OR($B$4="Alla lag",BEMANNINGSPLAN!J189=$B$4),OR($E$4="Alla datum",BEMANNINGSPLAN!A189=$E$4)),COUNT($O$6:O190)+1,"")</f>
        <v/>
      </c>
      <c r="P191" s="137" t="str">
        <f t="shared" si="2"/>
        <v/>
      </c>
    </row>
    <row r="192" spans="1:16" ht="27.75" customHeight="1">
      <c r="A192" s="17" t="str">
        <f>IF($P192="","",INDEX(BEMANNINGSPLAN!$A$5:$A$546,$P192))</f>
        <v/>
      </c>
      <c r="B192" s="18" t="str">
        <f>IF($P192="","",INDEX(BEMANNINGSPLAN!$B$5:$B$546,$P192))</f>
        <v/>
      </c>
      <c r="C192" s="19" t="str">
        <f>IF($P192="","",INDEX(BEMANNINGSPLAN!$C$5:$C$546,$P192))</f>
        <v/>
      </c>
      <c r="D192" s="20" t="str">
        <f>IF($P192="","",INDEX(BEMANNINGSPLAN!$D$5:$D$546,$P192))</f>
        <v/>
      </c>
      <c r="E192" s="20" t="str">
        <f>IF($P192="","",SUMIF(BEMANNINGSPLAN!$W$5:$W$546,INDEX(BEMANNINGSPLAN!$W$5:$W$546,$P192),BEMANNINGSPLAN!$X$5:$X$546))</f>
        <v/>
      </c>
      <c r="F192" s="18" t="str">
        <f>IF($P192="","",INDEX(BEMANNINGSPLAN!$J$5:$J$546,$P192))</f>
        <v/>
      </c>
      <c r="G192" s="19" t="str">
        <f>IF($P192="","",INDEX(BEMANNINGSPLAN!$AD$5:$AD$546,$P192))</f>
        <v/>
      </c>
      <c r="H192" s="18" t="str">
        <f>IF($P192="","",IF(AND(INDEX(BEMANNINGSPLAN!$Y$5:$Y$546,$P192)=1,G192&lt;&gt;"Minicafé"),"X",""))</f>
        <v/>
      </c>
      <c r="I192" s="21" t="str">
        <f>IF($P192="","",IF(INDEX(BEMANNINGSPLAN!$Y$5:$Y$546,$P192)=1,"X",""))</f>
        <v/>
      </c>
      <c r="J192" s="22" t="str">
        <f>IF($P192="","",IF(SUMIF(BEMANNINGSPLAN!$W$5:$W$546,INDEX(BEMANNINGSPLAN!$W$5:$W$546,$P192),BEMANNINGSPLAN!$Z$5:$Z$546)=1,"X",""))</f>
        <v/>
      </c>
      <c r="K192" s="23" t="str">
        <f>IF($P192="","",IFERROR(LOOKUP(2,1/((BEMANNINGSPLAN!$W$5:$W$546=INDEX(BEMANNINGSPLAN!$W$5:$W$546,$P192))*(BEMANNINGSPLAN!$L$5:$L$546&lt;&gt;"")),BEMANNINGSPLAN!$L$5:$L$546),""))</f>
        <v/>
      </c>
      <c r="L192" s="18" t="str">
        <f>IF($P192="","",INDEX(BEMANNINGSPLAN!$AE$5:$AE$546,$P192))</f>
        <v/>
      </c>
      <c r="M192" s="137"/>
      <c r="N192" s="16"/>
      <c r="O192" s="16" t="str">
        <f>IF(AND(BEMANNINGSPLAN!U190=1,OR($B$4="Alla lag",BEMANNINGSPLAN!J190=$B$4),OR($E$4="Alla datum",BEMANNINGSPLAN!A190=$E$4)),COUNT($O$6:O191)+1,"")</f>
        <v/>
      </c>
      <c r="P192" s="137" t="str">
        <f t="shared" si="2"/>
        <v/>
      </c>
    </row>
    <row r="193" spans="1:16" ht="27.75" customHeight="1">
      <c r="A193" s="17" t="str">
        <f>IF($P193="","",INDEX(BEMANNINGSPLAN!$A$5:$A$546,$P193))</f>
        <v/>
      </c>
      <c r="B193" s="18" t="str">
        <f>IF($P193="","",INDEX(BEMANNINGSPLAN!$B$5:$B$546,$P193))</f>
        <v/>
      </c>
      <c r="C193" s="19" t="str">
        <f>IF($P193="","",INDEX(BEMANNINGSPLAN!$C$5:$C$546,$P193))</f>
        <v/>
      </c>
      <c r="D193" s="20" t="str">
        <f>IF($P193="","",INDEX(BEMANNINGSPLAN!$D$5:$D$546,$P193))</f>
        <v/>
      </c>
      <c r="E193" s="20" t="str">
        <f>IF($P193="","",SUMIF(BEMANNINGSPLAN!$W$5:$W$546,INDEX(BEMANNINGSPLAN!$W$5:$W$546,$P193),BEMANNINGSPLAN!$X$5:$X$546))</f>
        <v/>
      </c>
      <c r="F193" s="18" t="str">
        <f>IF($P193="","",INDEX(BEMANNINGSPLAN!$J$5:$J$546,$P193))</f>
        <v/>
      </c>
      <c r="G193" s="19" t="str">
        <f>IF($P193="","",INDEX(BEMANNINGSPLAN!$AD$5:$AD$546,$P193))</f>
        <v/>
      </c>
      <c r="H193" s="18" t="str">
        <f>IF($P193="","",IF(AND(INDEX(BEMANNINGSPLAN!$Y$5:$Y$546,$P193)=1,G193&lt;&gt;"Minicafé"),"X",""))</f>
        <v/>
      </c>
      <c r="I193" s="21" t="str">
        <f>IF($P193="","",IF(INDEX(BEMANNINGSPLAN!$Y$5:$Y$546,$P193)=1,"X",""))</f>
        <v/>
      </c>
      <c r="J193" s="22" t="str">
        <f>IF($P193="","",IF(SUMIF(BEMANNINGSPLAN!$W$5:$W$546,INDEX(BEMANNINGSPLAN!$W$5:$W$546,$P193),BEMANNINGSPLAN!$Z$5:$Z$546)=1,"X",""))</f>
        <v/>
      </c>
      <c r="K193" s="23" t="str">
        <f>IF($P193="","",IFERROR(LOOKUP(2,1/((BEMANNINGSPLAN!$W$5:$W$546=INDEX(BEMANNINGSPLAN!$W$5:$W$546,$P193))*(BEMANNINGSPLAN!$L$5:$L$546&lt;&gt;"")),BEMANNINGSPLAN!$L$5:$L$546),""))</f>
        <v/>
      </c>
      <c r="L193" s="18" t="str">
        <f>IF($P193="","",INDEX(BEMANNINGSPLAN!$AE$5:$AE$546,$P193))</f>
        <v/>
      </c>
      <c r="M193" s="137"/>
      <c r="N193" s="16"/>
      <c r="O193" s="16">
        <f>IF(AND(BEMANNINGSPLAN!U191=1,OR($B$4="Alla lag",BEMANNINGSPLAN!J191=$B$4),OR($E$4="Alla datum",BEMANNINGSPLAN!A191=$E$4)),COUNT($O$6:O192)+1,"")</f>
        <v>21</v>
      </c>
      <c r="P193" s="137" t="str">
        <f t="shared" si="2"/>
        <v/>
      </c>
    </row>
    <row r="194" spans="1:16" ht="27.75" customHeight="1">
      <c r="A194" s="17" t="str">
        <f>IF($P194="","",INDEX(BEMANNINGSPLAN!$A$5:$A$546,$P194))</f>
        <v/>
      </c>
      <c r="B194" s="18" t="str">
        <f>IF($P194="","",INDEX(BEMANNINGSPLAN!$B$5:$B$546,$P194))</f>
        <v/>
      </c>
      <c r="C194" s="19" t="str">
        <f>IF($P194="","",INDEX(BEMANNINGSPLAN!$C$5:$C$546,$P194))</f>
        <v/>
      </c>
      <c r="D194" s="20" t="str">
        <f>IF($P194="","",INDEX(BEMANNINGSPLAN!$D$5:$D$546,$P194))</f>
        <v/>
      </c>
      <c r="E194" s="20" t="str">
        <f>IF($P194="","",SUMIF(BEMANNINGSPLAN!$W$5:$W$546,INDEX(BEMANNINGSPLAN!$W$5:$W$546,$P194),BEMANNINGSPLAN!$X$5:$X$546))</f>
        <v/>
      </c>
      <c r="F194" s="18" t="str">
        <f>IF($P194="","",INDEX(BEMANNINGSPLAN!$J$5:$J$546,$P194))</f>
        <v/>
      </c>
      <c r="G194" s="19" t="str">
        <f>IF($P194="","",INDEX(BEMANNINGSPLAN!$AD$5:$AD$546,$P194))</f>
        <v/>
      </c>
      <c r="H194" s="18" t="str">
        <f>IF($P194="","",IF(AND(INDEX(BEMANNINGSPLAN!$Y$5:$Y$546,$P194)=1,G194&lt;&gt;"Minicafé"),"X",""))</f>
        <v/>
      </c>
      <c r="I194" s="21" t="str">
        <f>IF($P194="","",IF(INDEX(BEMANNINGSPLAN!$Y$5:$Y$546,$P194)=1,"X",""))</f>
        <v/>
      </c>
      <c r="J194" s="22" t="str">
        <f>IF($P194="","",IF(SUMIF(BEMANNINGSPLAN!$W$5:$W$546,INDEX(BEMANNINGSPLAN!$W$5:$W$546,$P194),BEMANNINGSPLAN!$Z$5:$Z$546)=1,"X",""))</f>
        <v/>
      </c>
      <c r="K194" s="23" t="str">
        <f>IF($P194="","",IFERROR(LOOKUP(2,1/((BEMANNINGSPLAN!$W$5:$W$546=INDEX(BEMANNINGSPLAN!$W$5:$W$546,$P194))*(BEMANNINGSPLAN!$L$5:$L$546&lt;&gt;"")),BEMANNINGSPLAN!$L$5:$L$546),""))</f>
        <v/>
      </c>
      <c r="L194" s="18" t="str">
        <f>IF($P194="","",INDEX(BEMANNINGSPLAN!$AE$5:$AE$546,$P194))</f>
        <v/>
      </c>
      <c r="M194" s="137"/>
      <c r="N194" s="16"/>
      <c r="O194" s="16" t="str">
        <f>IF(AND(BEMANNINGSPLAN!U192=1,OR($B$4="Alla lag",BEMANNINGSPLAN!J192=$B$4),OR($E$4="Alla datum",BEMANNINGSPLAN!A192=$E$4)),COUNT($O$6:O193)+1,"")</f>
        <v/>
      </c>
      <c r="P194" s="137" t="str">
        <f t="shared" si="2"/>
        <v/>
      </c>
    </row>
    <row r="195" spans="1:16" ht="27.75" customHeight="1">
      <c r="A195" s="17" t="str">
        <f>IF($P195="","",INDEX(BEMANNINGSPLAN!$A$5:$A$546,$P195))</f>
        <v/>
      </c>
      <c r="B195" s="18" t="str">
        <f>IF($P195="","",INDEX(BEMANNINGSPLAN!$B$5:$B$546,$P195))</f>
        <v/>
      </c>
      <c r="C195" s="19" t="str">
        <f>IF($P195="","",INDEX(BEMANNINGSPLAN!$C$5:$C$546,$P195))</f>
        <v/>
      </c>
      <c r="D195" s="20" t="str">
        <f>IF($P195="","",INDEX(BEMANNINGSPLAN!$D$5:$D$546,$P195))</f>
        <v/>
      </c>
      <c r="E195" s="20" t="str">
        <f>IF($P195="","",SUMIF(BEMANNINGSPLAN!$W$5:$W$546,INDEX(BEMANNINGSPLAN!$W$5:$W$546,$P195),BEMANNINGSPLAN!$X$5:$X$546))</f>
        <v/>
      </c>
      <c r="F195" s="18" t="str">
        <f>IF($P195="","",INDEX(BEMANNINGSPLAN!$J$5:$J$546,$P195))</f>
        <v/>
      </c>
      <c r="G195" s="19" t="str">
        <f>IF($P195="","",INDEX(BEMANNINGSPLAN!$AD$5:$AD$546,$P195))</f>
        <v/>
      </c>
      <c r="H195" s="18" t="str">
        <f>IF($P195="","",IF(AND(INDEX(BEMANNINGSPLAN!$Y$5:$Y$546,$P195)=1,G195&lt;&gt;"Minicafé"),"X",""))</f>
        <v/>
      </c>
      <c r="I195" s="21" t="str">
        <f>IF($P195="","",IF(INDEX(BEMANNINGSPLAN!$Y$5:$Y$546,$P195)=1,"X",""))</f>
        <v/>
      </c>
      <c r="J195" s="22" t="str">
        <f>IF($P195="","",IF(SUMIF(BEMANNINGSPLAN!$W$5:$W$546,INDEX(BEMANNINGSPLAN!$W$5:$W$546,$P195),BEMANNINGSPLAN!$Z$5:$Z$546)=1,"X",""))</f>
        <v/>
      </c>
      <c r="K195" s="23" t="str">
        <f>IF($P195="","",IFERROR(LOOKUP(2,1/((BEMANNINGSPLAN!$W$5:$W$546=INDEX(BEMANNINGSPLAN!$W$5:$W$546,$P195))*(BEMANNINGSPLAN!$L$5:$L$546&lt;&gt;"")),BEMANNINGSPLAN!$L$5:$L$546),""))</f>
        <v/>
      </c>
      <c r="L195" s="18" t="str">
        <f>IF($P195="","",INDEX(BEMANNINGSPLAN!$AE$5:$AE$546,$P195))</f>
        <v/>
      </c>
      <c r="M195" s="137"/>
      <c r="N195" s="16"/>
      <c r="O195" s="16" t="str">
        <f>IF(AND(BEMANNINGSPLAN!U193=1,OR($B$4="Alla lag",BEMANNINGSPLAN!J193=$B$4),OR($E$4="Alla datum",BEMANNINGSPLAN!A193=$E$4)),COUNT($O$6:O194)+1,"")</f>
        <v/>
      </c>
      <c r="P195" s="137" t="str">
        <f t="shared" si="2"/>
        <v/>
      </c>
    </row>
    <row r="196" spans="1:16" ht="27.75" customHeight="1">
      <c r="A196" s="17" t="str">
        <f>IF($P196="","",INDEX(BEMANNINGSPLAN!$A$5:$A$546,$P196))</f>
        <v/>
      </c>
      <c r="B196" s="18" t="str">
        <f>IF($P196="","",INDEX(BEMANNINGSPLAN!$B$5:$B$546,$P196))</f>
        <v/>
      </c>
      <c r="C196" s="19" t="str">
        <f>IF($P196="","",INDEX(BEMANNINGSPLAN!$C$5:$C$546,$P196))</f>
        <v/>
      </c>
      <c r="D196" s="20" t="str">
        <f>IF($P196="","",INDEX(BEMANNINGSPLAN!$D$5:$D$546,$P196))</f>
        <v/>
      </c>
      <c r="E196" s="20" t="str">
        <f>IF($P196="","",SUMIF(BEMANNINGSPLAN!$W$5:$W$546,INDEX(BEMANNINGSPLAN!$W$5:$W$546,$P196),BEMANNINGSPLAN!$X$5:$X$546))</f>
        <v/>
      </c>
      <c r="F196" s="18" t="str">
        <f>IF($P196="","",INDEX(BEMANNINGSPLAN!$J$5:$J$546,$P196))</f>
        <v/>
      </c>
      <c r="G196" s="19" t="str">
        <f>IF($P196="","",INDEX(BEMANNINGSPLAN!$AD$5:$AD$546,$P196))</f>
        <v/>
      </c>
      <c r="H196" s="18" t="str">
        <f>IF($P196="","",IF(AND(INDEX(BEMANNINGSPLAN!$Y$5:$Y$546,$P196)=1,G196&lt;&gt;"Minicafé"),"X",""))</f>
        <v/>
      </c>
      <c r="I196" s="21" t="str">
        <f>IF($P196="","",IF(INDEX(BEMANNINGSPLAN!$Y$5:$Y$546,$P196)=1,"X",""))</f>
        <v/>
      </c>
      <c r="J196" s="22" t="str">
        <f>IF($P196="","",IF(SUMIF(BEMANNINGSPLAN!$W$5:$W$546,INDEX(BEMANNINGSPLAN!$W$5:$W$546,$P196),BEMANNINGSPLAN!$Z$5:$Z$546)=1,"X",""))</f>
        <v/>
      </c>
      <c r="K196" s="23" t="str">
        <f>IF($P196="","",IFERROR(LOOKUP(2,1/((BEMANNINGSPLAN!$W$5:$W$546=INDEX(BEMANNINGSPLAN!$W$5:$W$546,$P196))*(BEMANNINGSPLAN!$L$5:$L$546&lt;&gt;"")),BEMANNINGSPLAN!$L$5:$L$546),""))</f>
        <v/>
      </c>
      <c r="L196" s="18" t="str">
        <f>IF($P196="","",INDEX(BEMANNINGSPLAN!$AE$5:$AE$546,$P196))</f>
        <v/>
      </c>
      <c r="M196" s="137"/>
      <c r="N196" s="16"/>
      <c r="O196" s="16" t="str">
        <f>IF(AND(BEMANNINGSPLAN!U194=1,OR($B$4="Alla lag",BEMANNINGSPLAN!J194=$B$4),OR($E$4="Alla datum",BEMANNINGSPLAN!A194=$E$4)),COUNT($O$6:O195)+1,"")</f>
        <v/>
      </c>
      <c r="P196" s="137" t="str">
        <f t="shared" si="2"/>
        <v/>
      </c>
    </row>
    <row r="197" spans="1:16" ht="27.75" customHeight="1">
      <c r="A197" s="17" t="str">
        <f>IF($P197="","",INDEX(BEMANNINGSPLAN!$A$5:$A$546,$P197))</f>
        <v/>
      </c>
      <c r="B197" s="18" t="str">
        <f>IF($P197="","",INDEX(BEMANNINGSPLAN!$B$5:$B$546,$P197))</f>
        <v/>
      </c>
      <c r="C197" s="19" t="str">
        <f>IF($P197="","",INDEX(BEMANNINGSPLAN!$C$5:$C$546,$P197))</f>
        <v/>
      </c>
      <c r="D197" s="20" t="str">
        <f>IF($P197="","",INDEX(BEMANNINGSPLAN!$D$5:$D$546,$P197))</f>
        <v/>
      </c>
      <c r="E197" s="20" t="str">
        <f>IF($P197="","",SUMIF(BEMANNINGSPLAN!$W$5:$W$546,INDEX(BEMANNINGSPLAN!$W$5:$W$546,$P197),BEMANNINGSPLAN!$X$5:$X$546))</f>
        <v/>
      </c>
      <c r="F197" s="18" t="str">
        <f>IF($P197="","",INDEX(BEMANNINGSPLAN!$J$5:$J$546,$P197))</f>
        <v/>
      </c>
      <c r="G197" s="19" t="str">
        <f>IF($P197="","",INDEX(BEMANNINGSPLAN!$AD$5:$AD$546,$P197))</f>
        <v/>
      </c>
      <c r="H197" s="18" t="str">
        <f>IF($P197="","",IF(AND(INDEX(BEMANNINGSPLAN!$Y$5:$Y$546,$P197)=1,G197&lt;&gt;"Minicafé"),"X",""))</f>
        <v/>
      </c>
      <c r="I197" s="21" t="str">
        <f>IF($P197="","",IF(INDEX(BEMANNINGSPLAN!$Y$5:$Y$546,$P197)=1,"X",""))</f>
        <v/>
      </c>
      <c r="J197" s="22" t="str">
        <f>IF($P197="","",IF(SUMIF(BEMANNINGSPLAN!$W$5:$W$546,INDEX(BEMANNINGSPLAN!$W$5:$W$546,$P197),BEMANNINGSPLAN!$Z$5:$Z$546)=1,"X",""))</f>
        <v/>
      </c>
      <c r="K197" s="23" t="str">
        <f>IF($P197="","",IFERROR(LOOKUP(2,1/((BEMANNINGSPLAN!$W$5:$W$546=INDEX(BEMANNINGSPLAN!$W$5:$W$546,$P197))*(BEMANNINGSPLAN!$L$5:$L$546&lt;&gt;"")),BEMANNINGSPLAN!$L$5:$L$546),""))</f>
        <v/>
      </c>
      <c r="L197" s="18" t="str">
        <f>IF($P197="","",INDEX(BEMANNINGSPLAN!$AE$5:$AE$546,$P197))</f>
        <v/>
      </c>
      <c r="M197" s="137"/>
      <c r="N197" s="16"/>
      <c r="O197" s="16" t="str">
        <f>IF(AND(BEMANNINGSPLAN!U195=1,OR($B$4="Alla lag",BEMANNINGSPLAN!J195=$B$4),OR($E$4="Alla datum",BEMANNINGSPLAN!A195=$E$4)),COUNT($O$6:O196)+1,"")</f>
        <v/>
      </c>
      <c r="P197" s="137" t="str">
        <f t="shared" si="2"/>
        <v/>
      </c>
    </row>
    <row r="198" spans="1:16" ht="27.75" customHeight="1">
      <c r="A198" s="17" t="str">
        <f>IF($P198="","",INDEX(BEMANNINGSPLAN!$A$5:$A$546,$P198))</f>
        <v/>
      </c>
      <c r="B198" s="18" t="str">
        <f>IF($P198="","",INDEX(BEMANNINGSPLAN!$B$5:$B$546,$P198))</f>
        <v/>
      </c>
      <c r="C198" s="19" t="str">
        <f>IF($P198="","",INDEX(BEMANNINGSPLAN!$C$5:$C$546,$P198))</f>
        <v/>
      </c>
      <c r="D198" s="20" t="str">
        <f>IF($P198="","",INDEX(BEMANNINGSPLAN!$D$5:$D$546,$P198))</f>
        <v/>
      </c>
      <c r="E198" s="20" t="str">
        <f>IF($P198="","",SUMIF(BEMANNINGSPLAN!$W$5:$W$546,INDEX(BEMANNINGSPLAN!$W$5:$W$546,$P198),BEMANNINGSPLAN!$X$5:$X$546))</f>
        <v/>
      </c>
      <c r="F198" s="18" t="str">
        <f>IF($P198="","",INDEX(BEMANNINGSPLAN!$J$5:$J$546,$P198))</f>
        <v/>
      </c>
      <c r="G198" s="19" t="str">
        <f>IF($P198="","",INDEX(BEMANNINGSPLAN!$AD$5:$AD$546,$P198))</f>
        <v/>
      </c>
      <c r="H198" s="18" t="str">
        <f>IF($P198="","",IF(AND(INDEX(BEMANNINGSPLAN!$Y$5:$Y$546,$P198)=1,G198&lt;&gt;"Minicafé"),"X",""))</f>
        <v/>
      </c>
      <c r="I198" s="21" t="str">
        <f>IF($P198="","",IF(INDEX(BEMANNINGSPLAN!$Y$5:$Y$546,$P198)=1,"X",""))</f>
        <v/>
      </c>
      <c r="J198" s="22" t="str">
        <f>IF($P198="","",IF(SUMIF(BEMANNINGSPLAN!$W$5:$W$546,INDEX(BEMANNINGSPLAN!$W$5:$W$546,$P198),BEMANNINGSPLAN!$Z$5:$Z$546)=1,"X",""))</f>
        <v/>
      </c>
      <c r="K198" s="23" t="str">
        <f>IF($P198="","",IFERROR(LOOKUP(2,1/((BEMANNINGSPLAN!$W$5:$W$546=INDEX(BEMANNINGSPLAN!$W$5:$W$546,$P198))*(BEMANNINGSPLAN!$L$5:$L$546&lt;&gt;"")),BEMANNINGSPLAN!$L$5:$L$546),""))</f>
        <v/>
      </c>
      <c r="L198" s="18" t="str">
        <f>IF($P198="","",INDEX(BEMANNINGSPLAN!$AE$5:$AE$546,$P198))</f>
        <v/>
      </c>
      <c r="M198" s="137"/>
      <c r="N198" s="16"/>
      <c r="O198" s="16" t="str">
        <f>IF(AND(BEMANNINGSPLAN!U196=1,OR($B$4="Alla lag",BEMANNINGSPLAN!J196=$B$4),OR($E$4="Alla datum",BEMANNINGSPLAN!A196=$E$4)),COUNT($O$6:O197)+1,"")</f>
        <v/>
      </c>
      <c r="P198" s="137" t="str">
        <f t="shared" si="2"/>
        <v/>
      </c>
    </row>
    <row r="199" spans="1:16" ht="27.75" customHeight="1">
      <c r="A199" s="17" t="str">
        <f>IF($P199="","",INDEX(BEMANNINGSPLAN!$A$5:$A$546,$P199))</f>
        <v/>
      </c>
      <c r="B199" s="18" t="str">
        <f>IF($P199="","",INDEX(BEMANNINGSPLAN!$B$5:$B$546,$P199))</f>
        <v/>
      </c>
      <c r="C199" s="19" t="str">
        <f>IF($P199="","",INDEX(BEMANNINGSPLAN!$C$5:$C$546,$P199))</f>
        <v/>
      </c>
      <c r="D199" s="20" t="str">
        <f>IF($P199="","",INDEX(BEMANNINGSPLAN!$D$5:$D$546,$P199))</f>
        <v/>
      </c>
      <c r="E199" s="20" t="str">
        <f>IF($P199="","",SUMIF(BEMANNINGSPLAN!$W$5:$W$546,INDEX(BEMANNINGSPLAN!$W$5:$W$546,$P199),BEMANNINGSPLAN!$X$5:$X$546))</f>
        <v/>
      </c>
      <c r="F199" s="18" t="str">
        <f>IF($P199="","",INDEX(BEMANNINGSPLAN!$J$5:$J$546,$P199))</f>
        <v/>
      </c>
      <c r="G199" s="19" t="str">
        <f>IF($P199="","",INDEX(BEMANNINGSPLAN!$AD$5:$AD$546,$P199))</f>
        <v/>
      </c>
      <c r="H199" s="18" t="str">
        <f>IF($P199="","",IF(AND(INDEX(BEMANNINGSPLAN!$Y$5:$Y$546,$P199)=1,G199&lt;&gt;"Minicafé"),"X",""))</f>
        <v/>
      </c>
      <c r="I199" s="21" t="str">
        <f>IF($P199="","",IF(INDEX(BEMANNINGSPLAN!$Y$5:$Y$546,$P199)=1,"X",""))</f>
        <v/>
      </c>
      <c r="J199" s="22" t="str">
        <f>IF($P199="","",IF(SUMIF(BEMANNINGSPLAN!$W$5:$W$546,INDEX(BEMANNINGSPLAN!$W$5:$W$546,$P199),BEMANNINGSPLAN!$Z$5:$Z$546)=1,"X",""))</f>
        <v/>
      </c>
      <c r="K199" s="23" t="str">
        <f>IF($P199="","",IFERROR(LOOKUP(2,1/((BEMANNINGSPLAN!$W$5:$W$546=INDEX(BEMANNINGSPLAN!$W$5:$W$546,$P199))*(BEMANNINGSPLAN!$L$5:$L$546&lt;&gt;"")),BEMANNINGSPLAN!$L$5:$L$546),""))</f>
        <v/>
      </c>
      <c r="L199" s="18" t="str">
        <f>IF($P199="","",INDEX(BEMANNINGSPLAN!$AE$5:$AE$546,$P199))</f>
        <v/>
      </c>
      <c r="M199" s="137"/>
      <c r="N199" s="16"/>
      <c r="O199" s="16" t="str">
        <f>IF(AND(BEMANNINGSPLAN!U197=1,OR($B$4="Alla lag",BEMANNINGSPLAN!J197=$B$4),OR($E$4="Alla datum",BEMANNINGSPLAN!A197=$E$4)),COUNT($O$6:O198)+1,"")</f>
        <v/>
      </c>
      <c r="P199" s="137" t="str">
        <f t="shared" ref="P199:P262" si="3">IFERROR(MATCH(ROW()-ROW($P$7)+1,$O$7:$O$548,0),"")</f>
        <v/>
      </c>
    </row>
    <row r="200" spans="1:16" ht="27.75" customHeight="1">
      <c r="A200" s="17" t="str">
        <f>IF($P200="","",INDEX(BEMANNINGSPLAN!$A$5:$A$546,$P200))</f>
        <v/>
      </c>
      <c r="B200" s="18" t="str">
        <f>IF($P200="","",INDEX(BEMANNINGSPLAN!$B$5:$B$546,$P200))</f>
        <v/>
      </c>
      <c r="C200" s="19" t="str">
        <f>IF($P200="","",INDEX(BEMANNINGSPLAN!$C$5:$C$546,$P200))</f>
        <v/>
      </c>
      <c r="D200" s="20" t="str">
        <f>IF($P200="","",INDEX(BEMANNINGSPLAN!$D$5:$D$546,$P200))</f>
        <v/>
      </c>
      <c r="E200" s="20" t="str">
        <f>IF($P200="","",SUMIF(BEMANNINGSPLAN!$W$5:$W$546,INDEX(BEMANNINGSPLAN!$W$5:$W$546,$P200),BEMANNINGSPLAN!$X$5:$X$546))</f>
        <v/>
      </c>
      <c r="F200" s="18" t="str">
        <f>IF($P200="","",INDEX(BEMANNINGSPLAN!$J$5:$J$546,$P200))</f>
        <v/>
      </c>
      <c r="G200" s="19" t="str">
        <f>IF($P200="","",INDEX(BEMANNINGSPLAN!$AD$5:$AD$546,$P200))</f>
        <v/>
      </c>
      <c r="H200" s="18" t="str">
        <f>IF($P200="","",IF(AND(INDEX(BEMANNINGSPLAN!$Y$5:$Y$546,$P200)=1,G200&lt;&gt;"Minicafé"),"X",""))</f>
        <v/>
      </c>
      <c r="I200" s="21" t="str">
        <f>IF($P200="","",IF(INDEX(BEMANNINGSPLAN!$Y$5:$Y$546,$P200)=1,"X",""))</f>
        <v/>
      </c>
      <c r="J200" s="22" t="str">
        <f>IF($P200="","",IF(SUMIF(BEMANNINGSPLAN!$W$5:$W$546,INDEX(BEMANNINGSPLAN!$W$5:$W$546,$P200),BEMANNINGSPLAN!$Z$5:$Z$546)=1,"X",""))</f>
        <v/>
      </c>
      <c r="K200" s="23" t="str">
        <f>IF($P200="","",IFERROR(LOOKUP(2,1/((BEMANNINGSPLAN!$W$5:$W$546=INDEX(BEMANNINGSPLAN!$W$5:$W$546,$P200))*(BEMANNINGSPLAN!$L$5:$L$546&lt;&gt;"")),BEMANNINGSPLAN!$L$5:$L$546),""))</f>
        <v/>
      </c>
      <c r="L200" s="18" t="str">
        <f>IF($P200="","",INDEX(BEMANNINGSPLAN!$AE$5:$AE$546,$P200))</f>
        <v/>
      </c>
      <c r="M200" s="137"/>
      <c r="N200" s="16"/>
      <c r="O200" s="16" t="str">
        <f>IF(AND(BEMANNINGSPLAN!U198=1,OR($B$4="Alla lag",BEMANNINGSPLAN!J198=$B$4),OR($E$4="Alla datum",BEMANNINGSPLAN!A198=$E$4)),COUNT($O$6:O199)+1,"")</f>
        <v/>
      </c>
      <c r="P200" s="137" t="str">
        <f t="shared" si="3"/>
        <v/>
      </c>
    </row>
    <row r="201" spans="1:16" ht="27.75" customHeight="1">
      <c r="A201" s="17" t="str">
        <f>IF($P201="","",INDEX(BEMANNINGSPLAN!$A$5:$A$546,$P201))</f>
        <v/>
      </c>
      <c r="B201" s="18" t="str">
        <f>IF($P201="","",INDEX(BEMANNINGSPLAN!$B$5:$B$546,$P201))</f>
        <v/>
      </c>
      <c r="C201" s="19" t="str">
        <f>IF($P201="","",INDEX(BEMANNINGSPLAN!$C$5:$C$546,$P201))</f>
        <v/>
      </c>
      <c r="D201" s="20" t="str">
        <f>IF($P201="","",INDEX(BEMANNINGSPLAN!$D$5:$D$546,$P201))</f>
        <v/>
      </c>
      <c r="E201" s="20" t="str">
        <f>IF($P201="","",SUMIF(BEMANNINGSPLAN!$W$5:$W$546,INDEX(BEMANNINGSPLAN!$W$5:$W$546,$P201),BEMANNINGSPLAN!$X$5:$X$546))</f>
        <v/>
      </c>
      <c r="F201" s="18" t="str">
        <f>IF($P201="","",INDEX(BEMANNINGSPLAN!$J$5:$J$546,$P201))</f>
        <v/>
      </c>
      <c r="G201" s="19" t="str">
        <f>IF($P201="","",INDEX(BEMANNINGSPLAN!$AD$5:$AD$546,$P201))</f>
        <v/>
      </c>
      <c r="H201" s="18" t="str">
        <f>IF($P201="","",IF(AND(INDEX(BEMANNINGSPLAN!$Y$5:$Y$546,$P201)=1,G201&lt;&gt;"Minicafé"),"X",""))</f>
        <v/>
      </c>
      <c r="I201" s="21" t="str">
        <f>IF($P201="","",IF(INDEX(BEMANNINGSPLAN!$Y$5:$Y$546,$P201)=1,"X",""))</f>
        <v/>
      </c>
      <c r="J201" s="22" t="str">
        <f>IF($P201="","",IF(SUMIF(BEMANNINGSPLAN!$W$5:$W$546,INDEX(BEMANNINGSPLAN!$W$5:$W$546,$P201),BEMANNINGSPLAN!$Z$5:$Z$546)=1,"X",""))</f>
        <v/>
      </c>
      <c r="K201" s="23" t="str">
        <f>IF($P201="","",IFERROR(LOOKUP(2,1/((BEMANNINGSPLAN!$W$5:$W$546=INDEX(BEMANNINGSPLAN!$W$5:$W$546,$P201))*(BEMANNINGSPLAN!$L$5:$L$546&lt;&gt;"")),BEMANNINGSPLAN!$L$5:$L$546),""))</f>
        <v/>
      </c>
      <c r="L201" s="18" t="str">
        <f>IF($P201="","",INDEX(BEMANNINGSPLAN!$AE$5:$AE$546,$P201))</f>
        <v/>
      </c>
      <c r="M201" s="137"/>
      <c r="N201" s="16"/>
      <c r="O201" s="16" t="str">
        <f>IF(AND(BEMANNINGSPLAN!U199=1,OR($B$4="Alla lag",BEMANNINGSPLAN!J199=$B$4),OR($E$4="Alla datum",BEMANNINGSPLAN!A199=$E$4)),COUNT($O$6:O200)+1,"")</f>
        <v/>
      </c>
      <c r="P201" s="137" t="str">
        <f t="shared" si="3"/>
        <v/>
      </c>
    </row>
    <row r="202" spans="1:16" ht="27.75" customHeight="1">
      <c r="A202" s="17" t="str">
        <f>IF($P202="","",INDEX(BEMANNINGSPLAN!$A$5:$A$546,$P202))</f>
        <v/>
      </c>
      <c r="B202" s="18" t="str">
        <f>IF($P202="","",INDEX(BEMANNINGSPLAN!$B$5:$B$546,$P202))</f>
        <v/>
      </c>
      <c r="C202" s="19" t="str">
        <f>IF($P202="","",INDEX(BEMANNINGSPLAN!$C$5:$C$546,$P202))</f>
        <v/>
      </c>
      <c r="D202" s="20" t="str">
        <f>IF($P202="","",INDEX(BEMANNINGSPLAN!$D$5:$D$546,$P202))</f>
        <v/>
      </c>
      <c r="E202" s="20" t="str">
        <f>IF($P202="","",SUMIF(BEMANNINGSPLAN!$W$5:$W$546,INDEX(BEMANNINGSPLAN!$W$5:$W$546,$P202),BEMANNINGSPLAN!$X$5:$X$546))</f>
        <v/>
      </c>
      <c r="F202" s="18" t="str">
        <f>IF($P202="","",INDEX(BEMANNINGSPLAN!$J$5:$J$546,$P202))</f>
        <v/>
      </c>
      <c r="G202" s="19" t="str">
        <f>IF($P202="","",INDEX(BEMANNINGSPLAN!$AD$5:$AD$546,$P202))</f>
        <v/>
      </c>
      <c r="H202" s="18" t="str">
        <f>IF($P202="","",IF(AND(INDEX(BEMANNINGSPLAN!$Y$5:$Y$546,$P202)=1,G202&lt;&gt;"Minicafé"),"X",""))</f>
        <v/>
      </c>
      <c r="I202" s="21" t="str">
        <f>IF($P202="","",IF(INDEX(BEMANNINGSPLAN!$Y$5:$Y$546,$P202)=1,"X",""))</f>
        <v/>
      </c>
      <c r="J202" s="22" t="str">
        <f>IF($P202="","",IF(SUMIF(BEMANNINGSPLAN!$W$5:$W$546,INDEX(BEMANNINGSPLAN!$W$5:$W$546,$P202),BEMANNINGSPLAN!$Z$5:$Z$546)=1,"X",""))</f>
        <v/>
      </c>
      <c r="K202" s="23" t="str">
        <f>IF($P202="","",IFERROR(LOOKUP(2,1/((BEMANNINGSPLAN!$W$5:$W$546=INDEX(BEMANNINGSPLAN!$W$5:$W$546,$P202))*(BEMANNINGSPLAN!$L$5:$L$546&lt;&gt;"")),BEMANNINGSPLAN!$L$5:$L$546),""))</f>
        <v/>
      </c>
      <c r="L202" s="18" t="str">
        <f>IF($P202="","",INDEX(BEMANNINGSPLAN!$AE$5:$AE$546,$P202))</f>
        <v/>
      </c>
      <c r="M202" s="137"/>
      <c r="N202" s="16"/>
      <c r="O202" s="16" t="str">
        <f>IF(AND(BEMANNINGSPLAN!U200=1,OR($B$4="Alla lag",BEMANNINGSPLAN!J200=$B$4),OR($E$4="Alla datum",BEMANNINGSPLAN!A200=$E$4)),COUNT($O$6:O201)+1,"")</f>
        <v/>
      </c>
      <c r="P202" s="137" t="str">
        <f t="shared" si="3"/>
        <v/>
      </c>
    </row>
    <row r="203" spans="1:16" ht="27.75" customHeight="1">
      <c r="A203" s="17" t="str">
        <f>IF($P203="","",INDEX(BEMANNINGSPLAN!$A$5:$A$546,$P203))</f>
        <v/>
      </c>
      <c r="B203" s="18" t="str">
        <f>IF($P203="","",INDEX(BEMANNINGSPLAN!$B$5:$B$546,$P203))</f>
        <v/>
      </c>
      <c r="C203" s="19" t="str">
        <f>IF($P203="","",INDEX(BEMANNINGSPLAN!$C$5:$C$546,$P203))</f>
        <v/>
      </c>
      <c r="D203" s="20" t="str">
        <f>IF($P203="","",INDEX(BEMANNINGSPLAN!$D$5:$D$546,$P203))</f>
        <v/>
      </c>
      <c r="E203" s="20" t="str">
        <f>IF($P203="","",SUMIF(BEMANNINGSPLAN!$W$5:$W$546,INDEX(BEMANNINGSPLAN!$W$5:$W$546,$P203),BEMANNINGSPLAN!$X$5:$X$546))</f>
        <v/>
      </c>
      <c r="F203" s="18" t="str">
        <f>IF($P203="","",INDEX(BEMANNINGSPLAN!$J$5:$J$546,$P203))</f>
        <v/>
      </c>
      <c r="G203" s="19" t="str">
        <f>IF($P203="","",INDEX(BEMANNINGSPLAN!$AD$5:$AD$546,$P203))</f>
        <v/>
      </c>
      <c r="H203" s="18" t="str">
        <f>IF($P203="","",IF(AND(INDEX(BEMANNINGSPLAN!$Y$5:$Y$546,$P203)=1,G203&lt;&gt;"Minicafé"),"X",""))</f>
        <v/>
      </c>
      <c r="I203" s="21" t="str">
        <f>IF($P203="","",IF(INDEX(BEMANNINGSPLAN!$Y$5:$Y$546,$P203)=1,"X",""))</f>
        <v/>
      </c>
      <c r="J203" s="22" t="str">
        <f>IF($P203="","",IF(SUMIF(BEMANNINGSPLAN!$W$5:$W$546,INDEX(BEMANNINGSPLAN!$W$5:$W$546,$P203),BEMANNINGSPLAN!$Z$5:$Z$546)=1,"X",""))</f>
        <v/>
      </c>
      <c r="K203" s="23" t="str">
        <f>IF($P203="","",IFERROR(LOOKUP(2,1/((BEMANNINGSPLAN!$W$5:$W$546=INDEX(BEMANNINGSPLAN!$W$5:$W$546,$P203))*(BEMANNINGSPLAN!$L$5:$L$546&lt;&gt;"")),BEMANNINGSPLAN!$L$5:$L$546),""))</f>
        <v/>
      </c>
      <c r="L203" s="18" t="str">
        <f>IF($P203="","",INDEX(BEMANNINGSPLAN!$AE$5:$AE$546,$P203))</f>
        <v/>
      </c>
      <c r="M203" s="137"/>
      <c r="N203" s="16"/>
      <c r="O203" s="16" t="str">
        <f>IF(AND(BEMANNINGSPLAN!U201=1,OR($B$4="Alla lag",BEMANNINGSPLAN!J201=$B$4),OR($E$4="Alla datum",BEMANNINGSPLAN!A201=$E$4)),COUNT($O$6:O202)+1,"")</f>
        <v/>
      </c>
      <c r="P203" s="137" t="str">
        <f t="shared" si="3"/>
        <v/>
      </c>
    </row>
    <row r="204" spans="1:16" ht="27.75" customHeight="1">
      <c r="A204" s="17" t="str">
        <f>IF($P204="","",INDEX(BEMANNINGSPLAN!$A$5:$A$546,$P204))</f>
        <v/>
      </c>
      <c r="B204" s="18" t="str">
        <f>IF($P204="","",INDEX(BEMANNINGSPLAN!$B$5:$B$546,$P204))</f>
        <v/>
      </c>
      <c r="C204" s="19" t="str">
        <f>IF($P204="","",INDEX(BEMANNINGSPLAN!$C$5:$C$546,$P204))</f>
        <v/>
      </c>
      <c r="D204" s="20" t="str">
        <f>IF($P204="","",INDEX(BEMANNINGSPLAN!$D$5:$D$546,$P204))</f>
        <v/>
      </c>
      <c r="E204" s="20" t="str">
        <f>IF($P204="","",SUMIF(BEMANNINGSPLAN!$W$5:$W$546,INDEX(BEMANNINGSPLAN!$W$5:$W$546,$P204),BEMANNINGSPLAN!$X$5:$X$546))</f>
        <v/>
      </c>
      <c r="F204" s="18" t="str">
        <f>IF($P204="","",INDEX(BEMANNINGSPLAN!$J$5:$J$546,$P204))</f>
        <v/>
      </c>
      <c r="G204" s="19" t="str">
        <f>IF($P204="","",INDEX(BEMANNINGSPLAN!$AD$5:$AD$546,$P204))</f>
        <v/>
      </c>
      <c r="H204" s="18" t="str">
        <f>IF($P204="","",IF(AND(INDEX(BEMANNINGSPLAN!$Y$5:$Y$546,$P204)=1,G204&lt;&gt;"Minicafé"),"X",""))</f>
        <v/>
      </c>
      <c r="I204" s="21" t="str">
        <f>IF($P204="","",IF(INDEX(BEMANNINGSPLAN!$Y$5:$Y$546,$P204)=1,"X",""))</f>
        <v/>
      </c>
      <c r="J204" s="22" t="str">
        <f>IF($P204="","",IF(SUMIF(BEMANNINGSPLAN!$W$5:$W$546,INDEX(BEMANNINGSPLAN!$W$5:$W$546,$P204),BEMANNINGSPLAN!$Z$5:$Z$546)=1,"X",""))</f>
        <v/>
      </c>
      <c r="K204" s="23" t="str">
        <f>IF($P204="","",IFERROR(LOOKUP(2,1/((BEMANNINGSPLAN!$W$5:$W$546=INDEX(BEMANNINGSPLAN!$W$5:$W$546,$P204))*(BEMANNINGSPLAN!$L$5:$L$546&lt;&gt;"")),BEMANNINGSPLAN!$L$5:$L$546),""))</f>
        <v/>
      </c>
      <c r="L204" s="18" t="str">
        <f>IF($P204="","",INDEX(BEMANNINGSPLAN!$AE$5:$AE$546,$P204))</f>
        <v/>
      </c>
      <c r="M204" s="137"/>
      <c r="N204" s="16"/>
      <c r="O204" s="16" t="str">
        <f>IF(AND(BEMANNINGSPLAN!U202=1,OR($B$4="Alla lag",BEMANNINGSPLAN!J202=$B$4),OR($E$4="Alla datum",BEMANNINGSPLAN!A202=$E$4)),COUNT($O$6:O203)+1,"")</f>
        <v/>
      </c>
      <c r="P204" s="137" t="str">
        <f t="shared" si="3"/>
        <v/>
      </c>
    </row>
    <row r="205" spans="1:16" ht="27.75" customHeight="1">
      <c r="A205" s="17" t="str">
        <f>IF($P205="","",INDEX(BEMANNINGSPLAN!$A$5:$A$546,$P205))</f>
        <v/>
      </c>
      <c r="B205" s="18" t="str">
        <f>IF($P205="","",INDEX(BEMANNINGSPLAN!$B$5:$B$546,$P205))</f>
        <v/>
      </c>
      <c r="C205" s="19" t="str">
        <f>IF($P205="","",INDEX(BEMANNINGSPLAN!$C$5:$C$546,$P205))</f>
        <v/>
      </c>
      <c r="D205" s="20" t="str">
        <f>IF($P205="","",INDEX(BEMANNINGSPLAN!$D$5:$D$546,$P205))</f>
        <v/>
      </c>
      <c r="E205" s="20" t="str">
        <f>IF($P205="","",SUMIF(BEMANNINGSPLAN!$W$5:$W$546,INDEX(BEMANNINGSPLAN!$W$5:$W$546,$P205),BEMANNINGSPLAN!$X$5:$X$546))</f>
        <v/>
      </c>
      <c r="F205" s="18" t="str">
        <f>IF($P205="","",INDEX(BEMANNINGSPLAN!$J$5:$J$546,$P205))</f>
        <v/>
      </c>
      <c r="G205" s="19" t="str">
        <f>IF($P205="","",INDEX(BEMANNINGSPLAN!$AD$5:$AD$546,$P205))</f>
        <v/>
      </c>
      <c r="H205" s="18" t="str">
        <f>IF($P205="","",IF(AND(INDEX(BEMANNINGSPLAN!$Y$5:$Y$546,$P205)=1,G205&lt;&gt;"Minicafé"),"X",""))</f>
        <v/>
      </c>
      <c r="I205" s="21" t="str">
        <f>IF($P205="","",IF(INDEX(BEMANNINGSPLAN!$Y$5:$Y$546,$P205)=1,"X",""))</f>
        <v/>
      </c>
      <c r="J205" s="22" t="str">
        <f>IF($P205="","",IF(SUMIF(BEMANNINGSPLAN!$W$5:$W$546,INDEX(BEMANNINGSPLAN!$W$5:$W$546,$P205),BEMANNINGSPLAN!$Z$5:$Z$546)=1,"X",""))</f>
        <v/>
      </c>
      <c r="K205" s="23" t="str">
        <f>IF($P205="","",IFERROR(LOOKUP(2,1/((BEMANNINGSPLAN!$W$5:$W$546=INDEX(BEMANNINGSPLAN!$W$5:$W$546,$P205))*(BEMANNINGSPLAN!$L$5:$L$546&lt;&gt;"")),BEMANNINGSPLAN!$L$5:$L$546),""))</f>
        <v/>
      </c>
      <c r="L205" s="18" t="str">
        <f>IF($P205="","",INDEX(BEMANNINGSPLAN!$AE$5:$AE$546,$P205))</f>
        <v/>
      </c>
      <c r="M205" s="137"/>
      <c r="N205" s="16"/>
      <c r="O205" s="16" t="str">
        <f>IF(AND(BEMANNINGSPLAN!U203=1,OR($B$4="Alla lag",BEMANNINGSPLAN!J203=$B$4),OR($E$4="Alla datum",BEMANNINGSPLAN!A203=$E$4)),COUNT($O$6:O204)+1,"")</f>
        <v/>
      </c>
      <c r="P205" s="137" t="str">
        <f t="shared" si="3"/>
        <v/>
      </c>
    </row>
    <row r="206" spans="1:16" ht="27.75" customHeight="1">
      <c r="A206" s="17" t="str">
        <f>IF($P206="","",INDEX(BEMANNINGSPLAN!$A$5:$A$546,$P206))</f>
        <v/>
      </c>
      <c r="B206" s="18" t="str">
        <f>IF($P206="","",INDEX(BEMANNINGSPLAN!$B$5:$B$546,$P206))</f>
        <v/>
      </c>
      <c r="C206" s="19" t="str">
        <f>IF($P206="","",INDEX(BEMANNINGSPLAN!$C$5:$C$546,$P206))</f>
        <v/>
      </c>
      <c r="D206" s="20" t="str">
        <f>IF($P206="","",INDEX(BEMANNINGSPLAN!$D$5:$D$546,$P206))</f>
        <v/>
      </c>
      <c r="E206" s="20" t="str">
        <f>IF($P206="","",SUMIF(BEMANNINGSPLAN!$W$5:$W$546,INDEX(BEMANNINGSPLAN!$W$5:$W$546,$P206),BEMANNINGSPLAN!$X$5:$X$546))</f>
        <v/>
      </c>
      <c r="F206" s="18" t="str">
        <f>IF($P206="","",INDEX(BEMANNINGSPLAN!$J$5:$J$546,$P206))</f>
        <v/>
      </c>
      <c r="G206" s="19" t="str">
        <f>IF($P206="","",INDEX(BEMANNINGSPLAN!$AD$5:$AD$546,$P206))</f>
        <v/>
      </c>
      <c r="H206" s="18" t="str">
        <f>IF($P206="","",IF(AND(INDEX(BEMANNINGSPLAN!$Y$5:$Y$546,$P206)=1,G206&lt;&gt;"Minicafé"),"X",""))</f>
        <v/>
      </c>
      <c r="I206" s="21" t="str">
        <f>IF($P206="","",IF(INDEX(BEMANNINGSPLAN!$Y$5:$Y$546,$P206)=1,"X",""))</f>
        <v/>
      </c>
      <c r="J206" s="22" t="str">
        <f>IF($P206="","",IF(SUMIF(BEMANNINGSPLAN!$W$5:$W$546,INDEX(BEMANNINGSPLAN!$W$5:$W$546,$P206),BEMANNINGSPLAN!$Z$5:$Z$546)=1,"X",""))</f>
        <v/>
      </c>
      <c r="K206" s="23" t="str">
        <f>IF($P206="","",IFERROR(LOOKUP(2,1/((BEMANNINGSPLAN!$W$5:$W$546=INDEX(BEMANNINGSPLAN!$W$5:$W$546,$P206))*(BEMANNINGSPLAN!$L$5:$L$546&lt;&gt;"")),BEMANNINGSPLAN!$L$5:$L$546),""))</f>
        <v/>
      </c>
      <c r="L206" s="18" t="str">
        <f>IF($P206="","",INDEX(BEMANNINGSPLAN!$AE$5:$AE$546,$P206))</f>
        <v/>
      </c>
      <c r="M206" s="137"/>
      <c r="N206" s="16"/>
      <c r="O206" s="16" t="str">
        <f>IF(AND(BEMANNINGSPLAN!U204=1,OR($B$4="Alla lag",BEMANNINGSPLAN!J204=$B$4),OR($E$4="Alla datum",BEMANNINGSPLAN!A204=$E$4)),COUNT($O$6:O205)+1,"")</f>
        <v/>
      </c>
      <c r="P206" s="137" t="str">
        <f t="shared" si="3"/>
        <v/>
      </c>
    </row>
    <row r="207" spans="1:16" ht="27.75" customHeight="1">
      <c r="A207" s="17" t="str">
        <f>IF($P207="","",INDEX(BEMANNINGSPLAN!$A$5:$A$546,$P207))</f>
        <v/>
      </c>
      <c r="B207" s="18" t="str">
        <f>IF($P207="","",INDEX(BEMANNINGSPLAN!$B$5:$B$546,$P207))</f>
        <v/>
      </c>
      <c r="C207" s="19" t="str">
        <f>IF($P207="","",INDEX(BEMANNINGSPLAN!$C$5:$C$546,$P207))</f>
        <v/>
      </c>
      <c r="D207" s="20" t="str">
        <f>IF($P207="","",INDEX(BEMANNINGSPLAN!$D$5:$D$546,$P207))</f>
        <v/>
      </c>
      <c r="E207" s="20" t="str">
        <f>IF($P207="","",SUMIF(BEMANNINGSPLAN!$W$5:$W$546,INDEX(BEMANNINGSPLAN!$W$5:$W$546,$P207),BEMANNINGSPLAN!$X$5:$X$546))</f>
        <v/>
      </c>
      <c r="F207" s="18" t="str">
        <f>IF($P207="","",INDEX(BEMANNINGSPLAN!$J$5:$J$546,$P207))</f>
        <v/>
      </c>
      <c r="G207" s="19" t="str">
        <f>IF($P207="","",INDEX(BEMANNINGSPLAN!$AD$5:$AD$546,$P207))</f>
        <v/>
      </c>
      <c r="H207" s="18" t="str">
        <f>IF($P207="","",IF(AND(INDEX(BEMANNINGSPLAN!$Y$5:$Y$546,$P207)=1,G207&lt;&gt;"Minicafé"),"X",""))</f>
        <v/>
      </c>
      <c r="I207" s="21" t="str">
        <f>IF($P207="","",IF(INDEX(BEMANNINGSPLAN!$Y$5:$Y$546,$P207)=1,"X",""))</f>
        <v/>
      </c>
      <c r="J207" s="22" t="str">
        <f>IF($P207="","",IF(SUMIF(BEMANNINGSPLAN!$W$5:$W$546,INDEX(BEMANNINGSPLAN!$W$5:$W$546,$P207),BEMANNINGSPLAN!$Z$5:$Z$546)=1,"X",""))</f>
        <v/>
      </c>
      <c r="K207" s="23" t="str">
        <f>IF($P207="","",IFERROR(LOOKUP(2,1/((BEMANNINGSPLAN!$W$5:$W$546=INDEX(BEMANNINGSPLAN!$W$5:$W$546,$P207))*(BEMANNINGSPLAN!$L$5:$L$546&lt;&gt;"")),BEMANNINGSPLAN!$L$5:$L$546),""))</f>
        <v/>
      </c>
      <c r="L207" s="18" t="str">
        <f>IF($P207="","",INDEX(BEMANNINGSPLAN!$AE$5:$AE$546,$P207))</f>
        <v/>
      </c>
      <c r="M207" s="137"/>
      <c r="N207" s="16"/>
      <c r="O207" s="16">
        <f>IF(AND(BEMANNINGSPLAN!U205=1,OR($B$4="Alla lag",BEMANNINGSPLAN!J205=$B$4),OR($E$4="Alla datum",BEMANNINGSPLAN!A205=$E$4)),COUNT($O$6:O206)+1,"")</f>
        <v>22</v>
      </c>
      <c r="P207" s="137" t="str">
        <f t="shared" si="3"/>
        <v/>
      </c>
    </row>
    <row r="208" spans="1:16" ht="27.75" customHeight="1">
      <c r="A208" s="17" t="str">
        <f>IF($P208="","",INDEX(BEMANNINGSPLAN!$A$5:$A$546,$P208))</f>
        <v/>
      </c>
      <c r="B208" s="18" t="str">
        <f>IF($P208="","",INDEX(BEMANNINGSPLAN!$B$5:$B$546,$P208))</f>
        <v/>
      </c>
      <c r="C208" s="19" t="str">
        <f>IF($P208="","",INDEX(BEMANNINGSPLAN!$C$5:$C$546,$P208))</f>
        <v/>
      </c>
      <c r="D208" s="20" t="str">
        <f>IF($P208="","",INDEX(BEMANNINGSPLAN!$D$5:$D$546,$P208))</f>
        <v/>
      </c>
      <c r="E208" s="20" t="str">
        <f>IF($P208="","",SUMIF(BEMANNINGSPLAN!$W$5:$W$546,INDEX(BEMANNINGSPLAN!$W$5:$W$546,$P208),BEMANNINGSPLAN!$X$5:$X$546))</f>
        <v/>
      </c>
      <c r="F208" s="18" t="str">
        <f>IF($P208="","",INDEX(BEMANNINGSPLAN!$J$5:$J$546,$P208))</f>
        <v/>
      </c>
      <c r="G208" s="19" t="str">
        <f>IF($P208="","",INDEX(BEMANNINGSPLAN!$AD$5:$AD$546,$P208))</f>
        <v/>
      </c>
      <c r="H208" s="18" t="str">
        <f>IF($P208="","",IF(AND(INDEX(BEMANNINGSPLAN!$Y$5:$Y$546,$P208)=1,G208&lt;&gt;"Minicafé"),"X",""))</f>
        <v/>
      </c>
      <c r="I208" s="21" t="str">
        <f>IF($P208="","",IF(INDEX(BEMANNINGSPLAN!$Y$5:$Y$546,$P208)=1,"X",""))</f>
        <v/>
      </c>
      <c r="J208" s="22" t="str">
        <f>IF($P208="","",IF(SUMIF(BEMANNINGSPLAN!$W$5:$W$546,INDEX(BEMANNINGSPLAN!$W$5:$W$546,$P208),BEMANNINGSPLAN!$Z$5:$Z$546)=1,"X",""))</f>
        <v/>
      </c>
      <c r="K208" s="23" t="str">
        <f>IF($P208="","",IFERROR(LOOKUP(2,1/((BEMANNINGSPLAN!$W$5:$W$546=INDEX(BEMANNINGSPLAN!$W$5:$W$546,$P208))*(BEMANNINGSPLAN!$L$5:$L$546&lt;&gt;"")),BEMANNINGSPLAN!$L$5:$L$546),""))</f>
        <v/>
      </c>
      <c r="L208" s="18" t="str">
        <f>IF($P208="","",INDEX(BEMANNINGSPLAN!$AE$5:$AE$546,$P208))</f>
        <v/>
      </c>
      <c r="M208" s="137"/>
      <c r="N208" s="16"/>
      <c r="O208" s="16" t="str">
        <f>IF(AND(BEMANNINGSPLAN!U206=1,OR($B$4="Alla lag",BEMANNINGSPLAN!J206=$B$4),OR($E$4="Alla datum",BEMANNINGSPLAN!A206=$E$4)),COUNT($O$6:O207)+1,"")</f>
        <v/>
      </c>
      <c r="P208" s="137" t="str">
        <f t="shared" si="3"/>
        <v/>
      </c>
    </row>
    <row r="209" spans="1:16" ht="27.75" customHeight="1">
      <c r="A209" s="17" t="str">
        <f>IF($P209="","",INDEX(BEMANNINGSPLAN!$A$5:$A$546,$P209))</f>
        <v/>
      </c>
      <c r="B209" s="18" t="str">
        <f>IF($P209="","",INDEX(BEMANNINGSPLAN!$B$5:$B$546,$P209))</f>
        <v/>
      </c>
      <c r="C209" s="19" t="str">
        <f>IF($P209="","",INDEX(BEMANNINGSPLAN!$C$5:$C$546,$P209))</f>
        <v/>
      </c>
      <c r="D209" s="20" t="str">
        <f>IF($P209="","",INDEX(BEMANNINGSPLAN!$D$5:$D$546,$P209))</f>
        <v/>
      </c>
      <c r="E209" s="20" t="str">
        <f>IF($P209="","",SUMIF(BEMANNINGSPLAN!$W$5:$W$546,INDEX(BEMANNINGSPLAN!$W$5:$W$546,$P209),BEMANNINGSPLAN!$X$5:$X$546))</f>
        <v/>
      </c>
      <c r="F209" s="18" t="str">
        <f>IF($P209="","",INDEX(BEMANNINGSPLAN!$J$5:$J$546,$P209))</f>
        <v/>
      </c>
      <c r="G209" s="19" t="str">
        <f>IF($P209="","",INDEX(BEMANNINGSPLAN!$AD$5:$AD$546,$P209))</f>
        <v/>
      </c>
      <c r="H209" s="18" t="str">
        <f>IF($P209="","",IF(AND(INDEX(BEMANNINGSPLAN!$Y$5:$Y$546,$P209)=1,G209&lt;&gt;"Minicafé"),"X",""))</f>
        <v/>
      </c>
      <c r="I209" s="21" t="str">
        <f>IF($P209="","",IF(INDEX(BEMANNINGSPLAN!$Y$5:$Y$546,$P209)=1,"X",""))</f>
        <v/>
      </c>
      <c r="J209" s="22" t="str">
        <f>IF($P209="","",IF(SUMIF(BEMANNINGSPLAN!$W$5:$W$546,INDEX(BEMANNINGSPLAN!$W$5:$W$546,$P209),BEMANNINGSPLAN!$Z$5:$Z$546)=1,"X",""))</f>
        <v/>
      </c>
      <c r="K209" s="23" t="str">
        <f>IF($P209="","",IFERROR(LOOKUP(2,1/((BEMANNINGSPLAN!$W$5:$W$546=INDEX(BEMANNINGSPLAN!$W$5:$W$546,$P209))*(BEMANNINGSPLAN!$L$5:$L$546&lt;&gt;"")),BEMANNINGSPLAN!$L$5:$L$546),""))</f>
        <v/>
      </c>
      <c r="L209" s="18" t="str">
        <f>IF($P209="","",INDEX(BEMANNINGSPLAN!$AE$5:$AE$546,$P209))</f>
        <v/>
      </c>
      <c r="M209" s="137"/>
      <c r="N209" s="16"/>
      <c r="O209" s="16" t="str">
        <f>IF(AND(BEMANNINGSPLAN!U207=1,OR($B$4="Alla lag",BEMANNINGSPLAN!J207=$B$4),OR($E$4="Alla datum",BEMANNINGSPLAN!A207=$E$4)),COUNT($O$6:O208)+1,"")</f>
        <v/>
      </c>
      <c r="P209" s="137" t="str">
        <f t="shared" si="3"/>
        <v/>
      </c>
    </row>
    <row r="210" spans="1:16" ht="27.75" customHeight="1">
      <c r="A210" s="17" t="str">
        <f>IF($P210="","",INDEX(BEMANNINGSPLAN!$A$5:$A$546,$P210))</f>
        <v/>
      </c>
      <c r="B210" s="18" t="str">
        <f>IF($P210="","",INDEX(BEMANNINGSPLAN!$B$5:$B$546,$P210))</f>
        <v/>
      </c>
      <c r="C210" s="19" t="str">
        <f>IF($P210="","",INDEX(BEMANNINGSPLAN!$C$5:$C$546,$P210))</f>
        <v/>
      </c>
      <c r="D210" s="20" t="str">
        <f>IF($P210="","",INDEX(BEMANNINGSPLAN!$D$5:$D$546,$P210))</f>
        <v/>
      </c>
      <c r="E210" s="20" t="str">
        <f>IF($P210="","",SUMIF(BEMANNINGSPLAN!$W$5:$W$546,INDEX(BEMANNINGSPLAN!$W$5:$W$546,$P210),BEMANNINGSPLAN!$X$5:$X$546))</f>
        <v/>
      </c>
      <c r="F210" s="18" t="str">
        <f>IF($P210="","",INDEX(BEMANNINGSPLAN!$J$5:$J$546,$P210))</f>
        <v/>
      </c>
      <c r="G210" s="19" t="str">
        <f>IF($P210="","",INDEX(BEMANNINGSPLAN!$AD$5:$AD$546,$P210))</f>
        <v/>
      </c>
      <c r="H210" s="18" t="str">
        <f>IF($P210="","",IF(AND(INDEX(BEMANNINGSPLAN!$Y$5:$Y$546,$P210)=1,G210&lt;&gt;"Minicafé"),"X",""))</f>
        <v/>
      </c>
      <c r="I210" s="21" t="str">
        <f>IF($P210="","",IF(INDEX(BEMANNINGSPLAN!$Y$5:$Y$546,$P210)=1,"X",""))</f>
        <v/>
      </c>
      <c r="J210" s="22" t="str">
        <f>IF($P210="","",IF(SUMIF(BEMANNINGSPLAN!$W$5:$W$546,INDEX(BEMANNINGSPLAN!$W$5:$W$546,$P210),BEMANNINGSPLAN!$Z$5:$Z$546)=1,"X",""))</f>
        <v/>
      </c>
      <c r="K210" s="23" t="str">
        <f>IF($P210="","",IFERROR(LOOKUP(2,1/((BEMANNINGSPLAN!$W$5:$W$546=INDEX(BEMANNINGSPLAN!$W$5:$W$546,$P210))*(BEMANNINGSPLAN!$L$5:$L$546&lt;&gt;"")),BEMANNINGSPLAN!$L$5:$L$546),""))</f>
        <v/>
      </c>
      <c r="L210" s="18" t="str">
        <f>IF($P210="","",INDEX(BEMANNINGSPLAN!$AE$5:$AE$546,$P210))</f>
        <v/>
      </c>
      <c r="M210" s="137"/>
      <c r="N210" s="16"/>
      <c r="O210" s="16" t="str">
        <f>IF(AND(BEMANNINGSPLAN!U208=1,OR($B$4="Alla lag",BEMANNINGSPLAN!J208=$B$4),OR($E$4="Alla datum",BEMANNINGSPLAN!A208=$E$4)),COUNT($O$6:O209)+1,"")</f>
        <v/>
      </c>
      <c r="P210" s="137" t="str">
        <f t="shared" si="3"/>
        <v/>
      </c>
    </row>
    <row r="211" spans="1:16" ht="27.75" customHeight="1">
      <c r="A211" s="17" t="str">
        <f>IF($P211="","",INDEX(BEMANNINGSPLAN!$A$5:$A$546,$P211))</f>
        <v/>
      </c>
      <c r="B211" s="18" t="str">
        <f>IF($P211="","",INDEX(BEMANNINGSPLAN!$B$5:$B$546,$P211))</f>
        <v/>
      </c>
      <c r="C211" s="19" t="str">
        <f>IF($P211="","",INDEX(BEMANNINGSPLAN!$C$5:$C$546,$P211))</f>
        <v/>
      </c>
      <c r="D211" s="20" t="str">
        <f>IF($P211="","",INDEX(BEMANNINGSPLAN!$D$5:$D$546,$P211))</f>
        <v/>
      </c>
      <c r="E211" s="20" t="str">
        <f>IF($P211="","",SUMIF(BEMANNINGSPLAN!$W$5:$W$546,INDEX(BEMANNINGSPLAN!$W$5:$W$546,$P211),BEMANNINGSPLAN!$X$5:$X$546))</f>
        <v/>
      </c>
      <c r="F211" s="18" t="str">
        <f>IF($P211="","",INDEX(BEMANNINGSPLAN!$J$5:$J$546,$P211))</f>
        <v/>
      </c>
      <c r="G211" s="19" t="str">
        <f>IF($P211="","",INDEX(BEMANNINGSPLAN!$AD$5:$AD$546,$P211))</f>
        <v/>
      </c>
      <c r="H211" s="18" t="str">
        <f>IF($P211="","",IF(AND(INDEX(BEMANNINGSPLAN!$Y$5:$Y$546,$P211)=1,G211&lt;&gt;"Minicafé"),"X",""))</f>
        <v/>
      </c>
      <c r="I211" s="21" t="str">
        <f>IF($P211="","",IF(INDEX(BEMANNINGSPLAN!$Y$5:$Y$546,$P211)=1,"X",""))</f>
        <v/>
      </c>
      <c r="J211" s="22" t="str">
        <f>IF($P211="","",IF(SUMIF(BEMANNINGSPLAN!$W$5:$W$546,INDEX(BEMANNINGSPLAN!$W$5:$W$546,$P211),BEMANNINGSPLAN!$Z$5:$Z$546)=1,"X",""))</f>
        <v/>
      </c>
      <c r="K211" s="23" t="str">
        <f>IF($P211="","",IFERROR(LOOKUP(2,1/((BEMANNINGSPLAN!$W$5:$W$546=INDEX(BEMANNINGSPLAN!$W$5:$W$546,$P211))*(BEMANNINGSPLAN!$L$5:$L$546&lt;&gt;"")),BEMANNINGSPLAN!$L$5:$L$546),""))</f>
        <v/>
      </c>
      <c r="L211" s="18" t="str">
        <f>IF($P211="","",INDEX(BEMANNINGSPLAN!$AE$5:$AE$546,$P211))</f>
        <v/>
      </c>
      <c r="M211" s="137"/>
      <c r="N211" s="16"/>
      <c r="O211" s="16" t="str">
        <f>IF(AND(BEMANNINGSPLAN!U209=1,OR($B$4="Alla lag",BEMANNINGSPLAN!J209=$B$4),OR($E$4="Alla datum",BEMANNINGSPLAN!A209=$E$4)),COUNT($O$6:O210)+1,"")</f>
        <v/>
      </c>
      <c r="P211" s="137" t="str">
        <f t="shared" si="3"/>
        <v/>
      </c>
    </row>
    <row r="212" spans="1:16" ht="27.75" customHeight="1">
      <c r="A212" s="17" t="str">
        <f>IF($P212="","",INDEX(BEMANNINGSPLAN!$A$5:$A$546,$P212))</f>
        <v/>
      </c>
      <c r="B212" s="18" t="str">
        <f>IF($P212="","",INDEX(BEMANNINGSPLAN!$B$5:$B$546,$P212))</f>
        <v/>
      </c>
      <c r="C212" s="19" t="str">
        <f>IF($P212="","",INDEX(BEMANNINGSPLAN!$C$5:$C$546,$P212))</f>
        <v/>
      </c>
      <c r="D212" s="20" t="str">
        <f>IF($P212="","",INDEX(BEMANNINGSPLAN!$D$5:$D$546,$P212))</f>
        <v/>
      </c>
      <c r="E212" s="20" t="str">
        <f>IF($P212="","",SUMIF(BEMANNINGSPLAN!$W$5:$W$546,INDEX(BEMANNINGSPLAN!$W$5:$W$546,$P212),BEMANNINGSPLAN!$X$5:$X$546))</f>
        <v/>
      </c>
      <c r="F212" s="18" t="str">
        <f>IF($P212="","",INDEX(BEMANNINGSPLAN!$J$5:$J$546,$P212))</f>
        <v/>
      </c>
      <c r="G212" s="19" t="str">
        <f>IF($P212="","",INDEX(BEMANNINGSPLAN!$AD$5:$AD$546,$P212))</f>
        <v/>
      </c>
      <c r="H212" s="18" t="str">
        <f>IF($P212="","",IF(AND(INDEX(BEMANNINGSPLAN!$Y$5:$Y$546,$P212)=1,G212&lt;&gt;"Minicafé"),"X",""))</f>
        <v/>
      </c>
      <c r="I212" s="21" t="str">
        <f>IF($P212="","",IF(INDEX(BEMANNINGSPLAN!$Y$5:$Y$546,$P212)=1,"X",""))</f>
        <v/>
      </c>
      <c r="J212" s="22" t="str">
        <f>IF($P212="","",IF(SUMIF(BEMANNINGSPLAN!$W$5:$W$546,INDEX(BEMANNINGSPLAN!$W$5:$W$546,$P212),BEMANNINGSPLAN!$Z$5:$Z$546)=1,"X",""))</f>
        <v/>
      </c>
      <c r="K212" s="23" t="str">
        <f>IF($P212="","",IFERROR(LOOKUP(2,1/((BEMANNINGSPLAN!$W$5:$W$546=INDEX(BEMANNINGSPLAN!$W$5:$W$546,$P212))*(BEMANNINGSPLAN!$L$5:$L$546&lt;&gt;"")),BEMANNINGSPLAN!$L$5:$L$546),""))</f>
        <v/>
      </c>
      <c r="L212" s="18" t="str">
        <f>IF($P212="","",INDEX(BEMANNINGSPLAN!$AE$5:$AE$546,$P212))</f>
        <v/>
      </c>
      <c r="M212" s="137"/>
      <c r="N212" s="16"/>
      <c r="O212" s="16" t="str">
        <f>IF(AND(BEMANNINGSPLAN!U210=1,OR($B$4="Alla lag",BEMANNINGSPLAN!J210=$B$4),OR($E$4="Alla datum",BEMANNINGSPLAN!A210=$E$4)),COUNT($O$6:O211)+1,"")</f>
        <v/>
      </c>
      <c r="P212" s="137" t="str">
        <f t="shared" si="3"/>
        <v/>
      </c>
    </row>
    <row r="213" spans="1:16" ht="27.75" customHeight="1">
      <c r="A213" s="17" t="str">
        <f>IF($P213="","",INDEX(BEMANNINGSPLAN!$A$5:$A$546,$P213))</f>
        <v/>
      </c>
      <c r="B213" s="18" t="str">
        <f>IF($P213="","",INDEX(BEMANNINGSPLAN!$B$5:$B$546,$P213))</f>
        <v/>
      </c>
      <c r="C213" s="19" t="str">
        <f>IF($P213="","",INDEX(BEMANNINGSPLAN!$C$5:$C$546,$P213))</f>
        <v/>
      </c>
      <c r="D213" s="20" t="str">
        <f>IF($P213="","",INDEX(BEMANNINGSPLAN!$D$5:$D$546,$P213))</f>
        <v/>
      </c>
      <c r="E213" s="20" t="str">
        <f>IF($P213="","",SUMIF(BEMANNINGSPLAN!$W$5:$W$546,INDEX(BEMANNINGSPLAN!$W$5:$W$546,$P213),BEMANNINGSPLAN!$X$5:$X$546))</f>
        <v/>
      </c>
      <c r="F213" s="18" t="str">
        <f>IF($P213="","",INDEX(BEMANNINGSPLAN!$J$5:$J$546,$P213))</f>
        <v/>
      </c>
      <c r="G213" s="19" t="str">
        <f>IF($P213="","",INDEX(BEMANNINGSPLAN!$AD$5:$AD$546,$P213))</f>
        <v/>
      </c>
      <c r="H213" s="18" t="str">
        <f>IF($P213="","",IF(AND(INDEX(BEMANNINGSPLAN!$Y$5:$Y$546,$P213)=1,G213&lt;&gt;"Minicafé"),"X",""))</f>
        <v/>
      </c>
      <c r="I213" s="21" t="str">
        <f>IF($P213="","",IF(INDEX(BEMANNINGSPLAN!$Y$5:$Y$546,$P213)=1,"X",""))</f>
        <v/>
      </c>
      <c r="J213" s="22" t="str">
        <f>IF($P213="","",IF(SUMIF(BEMANNINGSPLAN!$W$5:$W$546,INDEX(BEMANNINGSPLAN!$W$5:$W$546,$P213),BEMANNINGSPLAN!$Z$5:$Z$546)=1,"X",""))</f>
        <v/>
      </c>
      <c r="K213" s="23" t="str">
        <f>IF($P213="","",IFERROR(LOOKUP(2,1/((BEMANNINGSPLAN!$W$5:$W$546=INDEX(BEMANNINGSPLAN!$W$5:$W$546,$P213))*(BEMANNINGSPLAN!$L$5:$L$546&lt;&gt;"")),BEMANNINGSPLAN!$L$5:$L$546),""))</f>
        <v/>
      </c>
      <c r="L213" s="18" t="str">
        <f>IF($P213="","",INDEX(BEMANNINGSPLAN!$AE$5:$AE$546,$P213))</f>
        <v/>
      </c>
      <c r="M213" s="137"/>
      <c r="N213" s="16"/>
      <c r="O213" s="16">
        <f>IF(AND(BEMANNINGSPLAN!U211=1,OR($B$4="Alla lag",BEMANNINGSPLAN!J211=$B$4),OR($E$4="Alla datum",BEMANNINGSPLAN!A211=$E$4)),COUNT($O$6:O212)+1,"")</f>
        <v>23</v>
      </c>
      <c r="P213" s="137" t="str">
        <f t="shared" si="3"/>
        <v/>
      </c>
    </row>
    <row r="214" spans="1:16" ht="27.75" customHeight="1">
      <c r="A214" s="17" t="str">
        <f>IF($P214="","",INDEX(BEMANNINGSPLAN!$A$5:$A$546,$P214))</f>
        <v/>
      </c>
      <c r="B214" s="18" t="str">
        <f>IF($P214="","",INDEX(BEMANNINGSPLAN!$B$5:$B$546,$P214))</f>
        <v/>
      </c>
      <c r="C214" s="19" t="str">
        <f>IF($P214="","",INDEX(BEMANNINGSPLAN!$C$5:$C$546,$P214))</f>
        <v/>
      </c>
      <c r="D214" s="20" t="str">
        <f>IF($P214="","",INDEX(BEMANNINGSPLAN!$D$5:$D$546,$P214))</f>
        <v/>
      </c>
      <c r="E214" s="20" t="str">
        <f>IF($P214="","",SUMIF(BEMANNINGSPLAN!$W$5:$W$546,INDEX(BEMANNINGSPLAN!$W$5:$W$546,$P214),BEMANNINGSPLAN!$X$5:$X$546))</f>
        <v/>
      </c>
      <c r="F214" s="18" t="str">
        <f>IF($P214="","",INDEX(BEMANNINGSPLAN!$J$5:$J$546,$P214))</f>
        <v/>
      </c>
      <c r="G214" s="19" t="str">
        <f>IF($P214="","",INDEX(BEMANNINGSPLAN!$AD$5:$AD$546,$P214))</f>
        <v/>
      </c>
      <c r="H214" s="18" t="str">
        <f>IF($P214="","",IF(AND(INDEX(BEMANNINGSPLAN!$Y$5:$Y$546,$P214)=1,G214&lt;&gt;"Minicafé"),"X",""))</f>
        <v/>
      </c>
      <c r="I214" s="21" t="str">
        <f>IF($P214="","",IF(INDEX(BEMANNINGSPLAN!$Y$5:$Y$546,$P214)=1,"X",""))</f>
        <v/>
      </c>
      <c r="J214" s="22" t="str">
        <f>IF($P214="","",IF(SUMIF(BEMANNINGSPLAN!$W$5:$W$546,INDEX(BEMANNINGSPLAN!$W$5:$W$546,$P214),BEMANNINGSPLAN!$Z$5:$Z$546)=1,"X",""))</f>
        <v/>
      </c>
      <c r="K214" s="23" t="str">
        <f>IF($P214="","",IFERROR(LOOKUP(2,1/((BEMANNINGSPLAN!$W$5:$W$546=INDEX(BEMANNINGSPLAN!$W$5:$W$546,$P214))*(BEMANNINGSPLAN!$L$5:$L$546&lt;&gt;"")),BEMANNINGSPLAN!$L$5:$L$546),""))</f>
        <v/>
      </c>
      <c r="L214" s="18" t="str">
        <f>IF($P214="","",INDEX(BEMANNINGSPLAN!$AE$5:$AE$546,$P214))</f>
        <v/>
      </c>
      <c r="M214" s="137"/>
      <c r="N214" s="16"/>
      <c r="O214" s="16" t="str">
        <f>IF(AND(BEMANNINGSPLAN!U212=1,OR($B$4="Alla lag",BEMANNINGSPLAN!J212=$B$4),OR($E$4="Alla datum",BEMANNINGSPLAN!A212=$E$4)),COUNT($O$6:O213)+1,"")</f>
        <v/>
      </c>
      <c r="P214" s="137" t="str">
        <f t="shared" si="3"/>
        <v/>
      </c>
    </row>
    <row r="215" spans="1:16" ht="27.75" customHeight="1">
      <c r="A215" s="17" t="str">
        <f>IF($P215="","",INDEX(BEMANNINGSPLAN!$A$5:$A$546,$P215))</f>
        <v/>
      </c>
      <c r="B215" s="18" t="str">
        <f>IF($P215="","",INDEX(BEMANNINGSPLAN!$B$5:$B$546,$P215))</f>
        <v/>
      </c>
      <c r="C215" s="19" t="str">
        <f>IF($P215="","",INDEX(BEMANNINGSPLAN!$C$5:$C$546,$P215))</f>
        <v/>
      </c>
      <c r="D215" s="20" t="str">
        <f>IF($P215="","",INDEX(BEMANNINGSPLAN!$D$5:$D$546,$P215))</f>
        <v/>
      </c>
      <c r="E215" s="20" t="str">
        <f>IF($P215="","",SUMIF(BEMANNINGSPLAN!$W$5:$W$546,INDEX(BEMANNINGSPLAN!$W$5:$W$546,$P215),BEMANNINGSPLAN!$X$5:$X$546))</f>
        <v/>
      </c>
      <c r="F215" s="18" t="str">
        <f>IF($P215="","",INDEX(BEMANNINGSPLAN!$J$5:$J$546,$P215))</f>
        <v/>
      </c>
      <c r="G215" s="19" t="str">
        <f>IF($P215="","",INDEX(BEMANNINGSPLAN!$AD$5:$AD$546,$P215))</f>
        <v/>
      </c>
      <c r="H215" s="18" t="str">
        <f>IF($P215="","",IF(AND(INDEX(BEMANNINGSPLAN!$Y$5:$Y$546,$P215)=1,G215&lt;&gt;"Minicafé"),"X",""))</f>
        <v/>
      </c>
      <c r="I215" s="21" t="str">
        <f>IF($P215="","",IF(INDEX(BEMANNINGSPLAN!$Y$5:$Y$546,$P215)=1,"X",""))</f>
        <v/>
      </c>
      <c r="J215" s="22" t="str">
        <f>IF($P215="","",IF(SUMIF(BEMANNINGSPLAN!$W$5:$W$546,INDEX(BEMANNINGSPLAN!$W$5:$W$546,$P215),BEMANNINGSPLAN!$Z$5:$Z$546)=1,"X",""))</f>
        <v/>
      </c>
      <c r="K215" s="23" t="str">
        <f>IF($P215="","",IFERROR(LOOKUP(2,1/((BEMANNINGSPLAN!$W$5:$W$546=INDEX(BEMANNINGSPLAN!$W$5:$W$546,$P215))*(BEMANNINGSPLAN!$L$5:$L$546&lt;&gt;"")),BEMANNINGSPLAN!$L$5:$L$546),""))</f>
        <v/>
      </c>
      <c r="L215" s="18" t="str">
        <f>IF($P215="","",INDEX(BEMANNINGSPLAN!$AE$5:$AE$546,$P215))</f>
        <v/>
      </c>
      <c r="M215" s="137"/>
      <c r="N215" s="16"/>
      <c r="O215" s="16" t="str">
        <f>IF(AND(BEMANNINGSPLAN!U213=1,OR($B$4="Alla lag",BEMANNINGSPLAN!J213=$B$4),OR($E$4="Alla datum",BEMANNINGSPLAN!A213=$E$4)),COUNT($O$6:O214)+1,"")</f>
        <v/>
      </c>
      <c r="P215" s="137" t="str">
        <f t="shared" si="3"/>
        <v/>
      </c>
    </row>
    <row r="216" spans="1:16" ht="27.75" customHeight="1">
      <c r="A216" s="17" t="str">
        <f>IF($P216="","",INDEX(BEMANNINGSPLAN!$A$5:$A$546,$P216))</f>
        <v/>
      </c>
      <c r="B216" s="18" t="str">
        <f>IF($P216="","",INDEX(BEMANNINGSPLAN!$B$5:$B$546,$P216))</f>
        <v/>
      </c>
      <c r="C216" s="19" t="str">
        <f>IF($P216="","",INDEX(BEMANNINGSPLAN!$C$5:$C$546,$P216))</f>
        <v/>
      </c>
      <c r="D216" s="20" t="str">
        <f>IF($P216="","",INDEX(BEMANNINGSPLAN!$D$5:$D$546,$P216))</f>
        <v/>
      </c>
      <c r="E216" s="20" t="str">
        <f>IF($P216="","",SUMIF(BEMANNINGSPLAN!$W$5:$W$546,INDEX(BEMANNINGSPLAN!$W$5:$W$546,$P216),BEMANNINGSPLAN!$X$5:$X$546))</f>
        <v/>
      </c>
      <c r="F216" s="18" t="str">
        <f>IF($P216="","",INDEX(BEMANNINGSPLAN!$J$5:$J$546,$P216))</f>
        <v/>
      </c>
      <c r="G216" s="19" t="str">
        <f>IF($P216="","",INDEX(BEMANNINGSPLAN!$AD$5:$AD$546,$P216))</f>
        <v/>
      </c>
      <c r="H216" s="18" t="str">
        <f>IF($P216="","",IF(AND(INDEX(BEMANNINGSPLAN!$Y$5:$Y$546,$P216)=1,G216&lt;&gt;"Minicafé"),"X",""))</f>
        <v/>
      </c>
      <c r="I216" s="21" t="str">
        <f>IF($P216="","",IF(INDEX(BEMANNINGSPLAN!$Y$5:$Y$546,$P216)=1,"X",""))</f>
        <v/>
      </c>
      <c r="J216" s="22" t="str">
        <f>IF($P216="","",IF(SUMIF(BEMANNINGSPLAN!$W$5:$W$546,INDEX(BEMANNINGSPLAN!$W$5:$W$546,$P216),BEMANNINGSPLAN!$Z$5:$Z$546)=1,"X",""))</f>
        <v/>
      </c>
      <c r="K216" s="23" t="str">
        <f>IF($P216="","",IFERROR(LOOKUP(2,1/((BEMANNINGSPLAN!$W$5:$W$546=INDEX(BEMANNINGSPLAN!$W$5:$W$546,$P216))*(BEMANNINGSPLAN!$L$5:$L$546&lt;&gt;"")),BEMANNINGSPLAN!$L$5:$L$546),""))</f>
        <v/>
      </c>
      <c r="L216" s="18" t="str">
        <f>IF($P216="","",INDEX(BEMANNINGSPLAN!$AE$5:$AE$546,$P216))</f>
        <v/>
      </c>
      <c r="M216" s="137"/>
      <c r="N216" s="16"/>
      <c r="O216" s="16">
        <f>IF(AND(BEMANNINGSPLAN!U214=1,OR($B$4="Alla lag",BEMANNINGSPLAN!J214=$B$4),OR($E$4="Alla datum",BEMANNINGSPLAN!A214=$E$4)),COUNT($O$6:O215)+1,"")</f>
        <v>24</v>
      </c>
      <c r="P216" s="137" t="str">
        <f t="shared" si="3"/>
        <v/>
      </c>
    </row>
    <row r="217" spans="1:16" ht="27.75" customHeight="1">
      <c r="A217" s="17" t="str">
        <f>IF($P217="","",INDEX(BEMANNINGSPLAN!$A$5:$A$546,$P217))</f>
        <v/>
      </c>
      <c r="B217" s="18" t="str">
        <f>IF($P217="","",INDEX(BEMANNINGSPLAN!$B$5:$B$546,$P217))</f>
        <v/>
      </c>
      <c r="C217" s="19" t="str">
        <f>IF($P217="","",INDEX(BEMANNINGSPLAN!$C$5:$C$546,$P217))</f>
        <v/>
      </c>
      <c r="D217" s="20" t="str">
        <f>IF($P217="","",INDEX(BEMANNINGSPLAN!$D$5:$D$546,$P217))</f>
        <v/>
      </c>
      <c r="E217" s="20" t="str">
        <f>IF($P217="","",SUMIF(BEMANNINGSPLAN!$W$5:$W$546,INDEX(BEMANNINGSPLAN!$W$5:$W$546,$P217),BEMANNINGSPLAN!$X$5:$X$546))</f>
        <v/>
      </c>
      <c r="F217" s="18" t="str">
        <f>IF($P217="","",INDEX(BEMANNINGSPLAN!$J$5:$J$546,$P217))</f>
        <v/>
      </c>
      <c r="G217" s="19" t="str">
        <f>IF($P217="","",INDEX(BEMANNINGSPLAN!$AD$5:$AD$546,$P217))</f>
        <v/>
      </c>
      <c r="H217" s="18" t="str">
        <f>IF($P217="","",IF(AND(INDEX(BEMANNINGSPLAN!$Y$5:$Y$546,$P217)=1,G217&lt;&gt;"Minicafé"),"X",""))</f>
        <v/>
      </c>
      <c r="I217" s="21" t="str">
        <f>IF($P217="","",IF(INDEX(BEMANNINGSPLAN!$Y$5:$Y$546,$P217)=1,"X",""))</f>
        <v/>
      </c>
      <c r="J217" s="22" t="str">
        <f>IF($P217="","",IF(SUMIF(BEMANNINGSPLAN!$W$5:$W$546,INDEX(BEMANNINGSPLAN!$W$5:$W$546,$P217),BEMANNINGSPLAN!$Z$5:$Z$546)=1,"X",""))</f>
        <v/>
      </c>
      <c r="K217" s="23" t="str">
        <f>IF($P217="","",IFERROR(LOOKUP(2,1/((BEMANNINGSPLAN!$W$5:$W$546=INDEX(BEMANNINGSPLAN!$W$5:$W$546,$P217))*(BEMANNINGSPLAN!$L$5:$L$546&lt;&gt;"")),BEMANNINGSPLAN!$L$5:$L$546),""))</f>
        <v/>
      </c>
      <c r="L217" s="18" t="str">
        <f>IF($P217="","",INDEX(BEMANNINGSPLAN!$AE$5:$AE$546,$P217))</f>
        <v/>
      </c>
      <c r="M217" s="137"/>
      <c r="N217" s="16"/>
      <c r="O217" s="16" t="str">
        <f>IF(AND(BEMANNINGSPLAN!U215=1,OR($B$4="Alla lag",BEMANNINGSPLAN!J215=$B$4),OR($E$4="Alla datum",BEMANNINGSPLAN!A215=$E$4)),COUNT($O$6:O216)+1,"")</f>
        <v/>
      </c>
      <c r="P217" s="137" t="str">
        <f t="shared" si="3"/>
        <v/>
      </c>
    </row>
    <row r="218" spans="1:16" ht="27.75" customHeight="1">
      <c r="A218" s="17" t="str">
        <f>IF($P218="","",INDEX(BEMANNINGSPLAN!$A$5:$A$546,$P218))</f>
        <v/>
      </c>
      <c r="B218" s="18" t="str">
        <f>IF($P218="","",INDEX(BEMANNINGSPLAN!$B$5:$B$546,$P218))</f>
        <v/>
      </c>
      <c r="C218" s="19" t="str">
        <f>IF($P218="","",INDEX(BEMANNINGSPLAN!$C$5:$C$546,$P218))</f>
        <v/>
      </c>
      <c r="D218" s="20" t="str">
        <f>IF($P218="","",INDEX(BEMANNINGSPLAN!$D$5:$D$546,$P218))</f>
        <v/>
      </c>
      <c r="E218" s="20" t="str">
        <f>IF($P218="","",SUMIF(BEMANNINGSPLAN!$W$5:$W$546,INDEX(BEMANNINGSPLAN!$W$5:$W$546,$P218),BEMANNINGSPLAN!$X$5:$X$546))</f>
        <v/>
      </c>
      <c r="F218" s="18" t="str">
        <f>IF($P218="","",INDEX(BEMANNINGSPLAN!$J$5:$J$546,$P218))</f>
        <v/>
      </c>
      <c r="G218" s="19" t="str">
        <f>IF($P218="","",INDEX(BEMANNINGSPLAN!$AD$5:$AD$546,$P218))</f>
        <v/>
      </c>
      <c r="H218" s="18" t="str">
        <f>IF($P218="","",IF(AND(INDEX(BEMANNINGSPLAN!$Y$5:$Y$546,$P218)=1,G218&lt;&gt;"Minicafé"),"X",""))</f>
        <v/>
      </c>
      <c r="I218" s="21" t="str">
        <f>IF($P218="","",IF(INDEX(BEMANNINGSPLAN!$Y$5:$Y$546,$P218)=1,"X",""))</f>
        <v/>
      </c>
      <c r="J218" s="22" t="str">
        <f>IF($P218="","",IF(SUMIF(BEMANNINGSPLAN!$W$5:$W$546,INDEX(BEMANNINGSPLAN!$W$5:$W$546,$P218),BEMANNINGSPLAN!$Z$5:$Z$546)=1,"X",""))</f>
        <v/>
      </c>
      <c r="K218" s="23" t="str">
        <f>IF($P218="","",IFERROR(LOOKUP(2,1/((BEMANNINGSPLAN!$W$5:$W$546=INDEX(BEMANNINGSPLAN!$W$5:$W$546,$P218))*(BEMANNINGSPLAN!$L$5:$L$546&lt;&gt;"")),BEMANNINGSPLAN!$L$5:$L$546),""))</f>
        <v/>
      </c>
      <c r="L218" s="18" t="str">
        <f>IF($P218="","",INDEX(BEMANNINGSPLAN!$AE$5:$AE$546,$P218))</f>
        <v/>
      </c>
      <c r="M218" s="137"/>
      <c r="N218" s="16"/>
      <c r="O218" s="16" t="str">
        <f>IF(AND(BEMANNINGSPLAN!U216=1,OR($B$4="Alla lag",BEMANNINGSPLAN!J216=$B$4),OR($E$4="Alla datum",BEMANNINGSPLAN!A216=$E$4)),COUNT($O$6:O217)+1,"")</f>
        <v/>
      </c>
      <c r="P218" s="137" t="str">
        <f t="shared" si="3"/>
        <v/>
      </c>
    </row>
    <row r="219" spans="1:16" ht="27.75" customHeight="1">
      <c r="A219" s="17" t="str">
        <f>IF($P219="","",INDEX(BEMANNINGSPLAN!$A$5:$A$546,$P219))</f>
        <v/>
      </c>
      <c r="B219" s="18" t="str">
        <f>IF($P219="","",INDEX(BEMANNINGSPLAN!$B$5:$B$546,$P219))</f>
        <v/>
      </c>
      <c r="C219" s="19" t="str">
        <f>IF($P219="","",INDEX(BEMANNINGSPLAN!$C$5:$C$546,$P219))</f>
        <v/>
      </c>
      <c r="D219" s="20" t="str">
        <f>IF($P219="","",INDEX(BEMANNINGSPLAN!$D$5:$D$546,$P219))</f>
        <v/>
      </c>
      <c r="E219" s="20" t="str">
        <f>IF($P219="","",SUMIF(BEMANNINGSPLAN!$W$5:$W$546,INDEX(BEMANNINGSPLAN!$W$5:$W$546,$P219),BEMANNINGSPLAN!$X$5:$X$546))</f>
        <v/>
      </c>
      <c r="F219" s="18" t="str">
        <f>IF($P219="","",INDEX(BEMANNINGSPLAN!$J$5:$J$546,$P219))</f>
        <v/>
      </c>
      <c r="G219" s="19" t="str">
        <f>IF($P219="","",INDEX(BEMANNINGSPLAN!$AD$5:$AD$546,$P219))</f>
        <v/>
      </c>
      <c r="H219" s="18" t="str">
        <f>IF($P219="","",IF(AND(INDEX(BEMANNINGSPLAN!$Y$5:$Y$546,$P219)=1,G219&lt;&gt;"Minicafé"),"X",""))</f>
        <v/>
      </c>
      <c r="I219" s="21" t="str">
        <f>IF($P219="","",IF(INDEX(BEMANNINGSPLAN!$Y$5:$Y$546,$P219)=1,"X",""))</f>
        <v/>
      </c>
      <c r="J219" s="22" t="str">
        <f>IF($P219="","",IF(SUMIF(BEMANNINGSPLAN!$W$5:$W$546,INDEX(BEMANNINGSPLAN!$W$5:$W$546,$P219),BEMANNINGSPLAN!$Z$5:$Z$546)=1,"X",""))</f>
        <v/>
      </c>
      <c r="K219" s="23" t="str">
        <f>IF($P219="","",IFERROR(LOOKUP(2,1/((BEMANNINGSPLAN!$W$5:$W$546=INDEX(BEMANNINGSPLAN!$W$5:$W$546,$P219))*(BEMANNINGSPLAN!$L$5:$L$546&lt;&gt;"")),BEMANNINGSPLAN!$L$5:$L$546),""))</f>
        <v/>
      </c>
      <c r="L219" s="18" t="str">
        <f>IF($P219="","",INDEX(BEMANNINGSPLAN!$AE$5:$AE$546,$P219))</f>
        <v/>
      </c>
      <c r="M219" s="137"/>
      <c r="N219" s="16"/>
      <c r="O219" s="16" t="str">
        <f>IF(AND(BEMANNINGSPLAN!U217=1,OR($B$4="Alla lag",BEMANNINGSPLAN!J217=$B$4),OR($E$4="Alla datum",BEMANNINGSPLAN!A217=$E$4)),COUNT($O$6:O218)+1,"")</f>
        <v/>
      </c>
      <c r="P219" s="137" t="str">
        <f t="shared" si="3"/>
        <v/>
      </c>
    </row>
    <row r="220" spans="1:16" ht="27.75" customHeight="1">
      <c r="A220" s="17" t="str">
        <f>IF($P220="","",INDEX(BEMANNINGSPLAN!$A$5:$A$546,$P220))</f>
        <v/>
      </c>
      <c r="B220" s="18" t="str">
        <f>IF($P220="","",INDEX(BEMANNINGSPLAN!$B$5:$B$546,$P220))</f>
        <v/>
      </c>
      <c r="C220" s="19" t="str">
        <f>IF($P220="","",INDEX(BEMANNINGSPLAN!$C$5:$C$546,$P220))</f>
        <v/>
      </c>
      <c r="D220" s="20" t="str">
        <f>IF($P220="","",INDEX(BEMANNINGSPLAN!$D$5:$D$546,$P220))</f>
        <v/>
      </c>
      <c r="E220" s="20" t="str">
        <f>IF($P220="","",SUMIF(BEMANNINGSPLAN!$W$5:$W$546,INDEX(BEMANNINGSPLAN!$W$5:$W$546,$P220),BEMANNINGSPLAN!$X$5:$X$546))</f>
        <v/>
      </c>
      <c r="F220" s="18" t="str">
        <f>IF($P220="","",INDEX(BEMANNINGSPLAN!$J$5:$J$546,$P220))</f>
        <v/>
      </c>
      <c r="G220" s="19" t="str">
        <f>IF($P220="","",INDEX(BEMANNINGSPLAN!$AD$5:$AD$546,$P220))</f>
        <v/>
      </c>
      <c r="H220" s="18" t="str">
        <f>IF($P220="","",IF(AND(INDEX(BEMANNINGSPLAN!$Y$5:$Y$546,$P220)=1,G220&lt;&gt;"Minicafé"),"X",""))</f>
        <v/>
      </c>
      <c r="I220" s="21" t="str">
        <f>IF($P220="","",IF(INDEX(BEMANNINGSPLAN!$Y$5:$Y$546,$P220)=1,"X",""))</f>
        <v/>
      </c>
      <c r="J220" s="22" t="str">
        <f>IF($P220="","",IF(SUMIF(BEMANNINGSPLAN!$W$5:$W$546,INDEX(BEMANNINGSPLAN!$W$5:$W$546,$P220),BEMANNINGSPLAN!$Z$5:$Z$546)=1,"X",""))</f>
        <v/>
      </c>
      <c r="K220" s="23" t="str">
        <f>IF($P220="","",IFERROR(LOOKUP(2,1/((BEMANNINGSPLAN!$W$5:$W$546=INDEX(BEMANNINGSPLAN!$W$5:$W$546,$P220))*(BEMANNINGSPLAN!$L$5:$L$546&lt;&gt;"")),BEMANNINGSPLAN!$L$5:$L$546),""))</f>
        <v/>
      </c>
      <c r="L220" s="18" t="str">
        <f>IF($P220="","",INDEX(BEMANNINGSPLAN!$AE$5:$AE$546,$P220))</f>
        <v/>
      </c>
      <c r="M220" s="137"/>
      <c r="N220" s="16"/>
      <c r="O220" s="16">
        <f>IF(AND(BEMANNINGSPLAN!U218=1,OR($B$4="Alla lag",BEMANNINGSPLAN!J218=$B$4),OR($E$4="Alla datum",BEMANNINGSPLAN!A218=$E$4)),COUNT($O$6:O219)+1,"")</f>
        <v>25</v>
      </c>
      <c r="P220" s="137" t="str">
        <f t="shared" si="3"/>
        <v/>
      </c>
    </row>
    <row r="221" spans="1:16" ht="27.75" customHeight="1">
      <c r="A221" s="17" t="str">
        <f>IF($P221="","",INDEX(BEMANNINGSPLAN!$A$5:$A$546,$P221))</f>
        <v/>
      </c>
      <c r="B221" s="18" t="str">
        <f>IF($P221="","",INDEX(BEMANNINGSPLAN!$B$5:$B$546,$P221))</f>
        <v/>
      </c>
      <c r="C221" s="19" t="str">
        <f>IF($P221="","",INDEX(BEMANNINGSPLAN!$C$5:$C$546,$P221))</f>
        <v/>
      </c>
      <c r="D221" s="20" t="str">
        <f>IF($P221="","",INDEX(BEMANNINGSPLAN!$D$5:$D$546,$P221))</f>
        <v/>
      </c>
      <c r="E221" s="20" t="str">
        <f>IF($P221="","",SUMIF(BEMANNINGSPLAN!$W$5:$W$546,INDEX(BEMANNINGSPLAN!$W$5:$W$546,$P221),BEMANNINGSPLAN!$X$5:$X$546))</f>
        <v/>
      </c>
      <c r="F221" s="18" t="str">
        <f>IF($P221="","",INDEX(BEMANNINGSPLAN!$J$5:$J$546,$P221))</f>
        <v/>
      </c>
      <c r="G221" s="19" t="str">
        <f>IF($P221="","",INDEX(BEMANNINGSPLAN!$AD$5:$AD$546,$P221))</f>
        <v/>
      </c>
      <c r="H221" s="18" t="str">
        <f>IF($P221="","",IF(AND(INDEX(BEMANNINGSPLAN!$Y$5:$Y$546,$P221)=1,G221&lt;&gt;"Minicafé"),"X",""))</f>
        <v/>
      </c>
      <c r="I221" s="21" t="str">
        <f>IF($P221="","",IF(INDEX(BEMANNINGSPLAN!$Y$5:$Y$546,$P221)=1,"X",""))</f>
        <v/>
      </c>
      <c r="J221" s="22" t="str">
        <f>IF($P221="","",IF(SUMIF(BEMANNINGSPLAN!$W$5:$W$546,INDEX(BEMANNINGSPLAN!$W$5:$W$546,$P221),BEMANNINGSPLAN!$Z$5:$Z$546)=1,"X",""))</f>
        <v/>
      </c>
      <c r="K221" s="23" t="str">
        <f>IF($P221="","",IFERROR(LOOKUP(2,1/((BEMANNINGSPLAN!$W$5:$W$546=INDEX(BEMANNINGSPLAN!$W$5:$W$546,$P221))*(BEMANNINGSPLAN!$L$5:$L$546&lt;&gt;"")),BEMANNINGSPLAN!$L$5:$L$546),""))</f>
        <v/>
      </c>
      <c r="L221" s="18" t="str">
        <f>IF($P221="","",INDEX(BEMANNINGSPLAN!$AE$5:$AE$546,$P221))</f>
        <v/>
      </c>
      <c r="M221" s="137"/>
      <c r="N221" s="16"/>
      <c r="O221" s="16" t="str">
        <f>IF(AND(BEMANNINGSPLAN!U219=1,OR($B$4="Alla lag",BEMANNINGSPLAN!J219=$B$4),OR($E$4="Alla datum",BEMANNINGSPLAN!A219=$E$4)),COUNT($O$6:O220)+1,"")</f>
        <v/>
      </c>
      <c r="P221" s="137" t="str">
        <f t="shared" si="3"/>
        <v/>
      </c>
    </row>
    <row r="222" spans="1:16" ht="27.75" customHeight="1">
      <c r="A222" s="17" t="str">
        <f>IF($P222="","",INDEX(BEMANNINGSPLAN!$A$5:$A$546,$P222))</f>
        <v/>
      </c>
      <c r="B222" s="18" t="str">
        <f>IF($P222="","",INDEX(BEMANNINGSPLAN!$B$5:$B$546,$P222))</f>
        <v/>
      </c>
      <c r="C222" s="19" t="str">
        <f>IF($P222="","",INDEX(BEMANNINGSPLAN!$C$5:$C$546,$P222))</f>
        <v/>
      </c>
      <c r="D222" s="20" t="str">
        <f>IF($P222="","",INDEX(BEMANNINGSPLAN!$D$5:$D$546,$P222))</f>
        <v/>
      </c>
      <c r="E222" s="20" t="str">
        <f>IF($P222="","",SUMIF(BEMANNINGSPLAN!$W$5:$W$546,INDEX(BEMANNINGSPLAN!$W$5:$W$546,$P222),BEMANNINGSPLAN!$X$5:$X$546))</f>
        <v/>
      </c>
      <c r="F222" s="18" t="str">
        <f>IF($P222="","",INDEX(BEMANNINGSPLAN!$J$5:$J$546,$P222))</f>
        <v/>
      </c>
      <c r="G222" s="19" t="str">
        <f>IF($P222="","",INDEX(BEMANNINGSPLAN!$AD$5:$AD$546,$P222))</f>
        <v/>
      </c>
      <c r="H222" s="18" t="str">
        <f>IF($P222="","",IF(AND(INDEX(BEMANNINGSPLAN!$Y$5:$Y$546,$P222)=1,G222&lt;&gt;"Minicafé"),"X",""))</f>
        <v/>
      </c>
      <c r="I222" s="21" t="str">
        <f>IF($P222="","",IF(INDEX(BEMANNINGSPLAN!$Y$5:$Y$546,$P222)=1,"X",""))</f>
        <v/>
      </c>
      <c r="J222" s="22" t="str">
        <f>IF($P222="","",IF(SUMIF(BEMANNINGSPLAN!$W$5:$W$546,INDEX(BEMANNINGSPLAN!$W$5:$W$546,$P222),BEMANNINGSPLAN!$Z$5:$Z$546)=1,"X",""))</f>
        <v/>
      </c>
      <c r="K222" s="23" t="str">
        <f>IF($P222="","",IFERROR(LOOKUP(2,1/((BEMANNINGSPLAN!$W$5:$W$546=INDEX(BEMANNINGSPLAN!$W$5:$W$546,$P222))*(BEMANNINGSPLAN!$L$5:$L$546&lt;&gt;"")),BEMANNINGSPLAN!$L$5:$L$546),""))</f>
        <v/>
      </c>
      <c r="L222" s="18" t="str">
        <f>IF($P222="","",INDEX(BEMANNINGSPLAN!$AE$5:$AE$546,$P222))</f>
        <v/>
      </c>
      <c r="M222" s="137"/>
      <c r="N222" s="16"/>
      <c r="O222" s="16" t="str">
        <f>IF(AND(BEMANNINGSPLAN!U220=1,OR($B$4="Alla lag",BEMANNINGSPLAN!J220=$B$4),OR($E$4="Alla datum",BEMANNINGSPLAN!A220=$E$4)),COUNT($O$6:O221)+1,"")</f>
        <v/>
      </c>
      <c r="P222" s="137" t="str">
        <f t="shared" si="3"/>
        <v/>
      </c>
    </row>
    <row r="223" spans="1:16" ht="27.75" customHeight="1">
      <c r="A223" s="17" t="str">
        <f>IF($P223="","",INDEX(BEMANNINGSPLAN!$A$5:$A$546,$P223))</f>
        <v/>
      </c>
      <c r="B223" s="18" t="str">
        <f>IF($P223="","",INDEX(BEMANNINGSPLAN!$B$5:$B$546,$P223))</f>
        <v/>
      </c>
      <c r="C223" s="19" t="str">
        <f>IF($P223="","",INDEX(BEMANNINGSPLAN!$C$5:$C$546,$P223))</f>
        <v/>
      </c>
      <c r="D223" s="20" t="str">
        <f>IF($P223="","",INDEX(BEMANNINGSPLAN!$D$5:$D$546,$P223))</f>
        <v/>
      </c>
      <c r="E223" s="20" t="str">
        <f>IF($P223="","",SUMIF(BEMANNINGSPLAN!$W$5:$W$546,INDEX(BEMANNINGSPLAN!$W$5:$W$546,$P223),BEMANNINGSPLAN!$X$5:$X$546))</f>
        <v/>
      </c>
      <c r="F223" s="18" t="str">
        <f>IF($P223="","",INDEX(BEMANNINGSPLAN!$J$5:$J$546,$P223))</f>
        <v/>
      </c>
      <c r="G223" s="19" t="str">
        <f>IF($P223="","",INDEX(BEMANNINGSPLAN!$AD$5:$AD$546,$P223))</f>
        <v/>
      </c>
      <c r="H223" s="18" t="str">
        <f>IF($P223="","",IF(AND(INDEX(BEMANNINGSPLAN!$Y$5:$Y$546,$P223)=1,G223&lt;&gt;"Minicafé"),"X",""))</f>
        <v/>
      </c>
      <c r="I223" s="21" t="str">
        <f>IF($P223="","",IF(INDEX(BEMANNINGSPLAN!$Y$5:$Y$546,$P223)=1,"X",""))</f>
        <v/>
      </c>
      <c r="J223" s="22" t="str">
        <f>IF($P223="","",IF(SUMIF(BEMANNINGSPLAN!$W$5:$W$546,INDEX(BEMANNINGSPLAN!$W$5:$W$546,$P223),BEMANNINGSPLAN!$Z$5:$Z$546)=1,"X",""))</f>
        <v/>
      </c>
      <c r="K223" s="23" t="str">
        <f>IF($P223="","",IFERROR(LOOKUP(2,1/((BEMANNINGSPLAN!$W$5:$W$546=INDEX(BEMANNINGSPLAN!$W$5:$W$546,$P223))*(BEMANNINGSPLAN!$L$5:$L$546&lt;&gt;"")),BEMANNINGSPLAN!$L$5:$L$546),""))</f>
        <v/>
      </c>
      <c r="L223" s="18" t="str">
        <f>IF($P223="","",INDEX(BEMANNINGSPLAN!$AE$5:$AE$546,$P223))</f>
        <v/>
      </c>
      <c r="M223" s="137"/>
      <c r="N223" s="16"/>
      <c r="O223" s="16" t="str">
        <f>IF(AND(BEMANNINGSPLAN!U221=1,OR($B$4="Alla lag",BEMANNINGSPLAN!J221=$B$4),OR($E$4="Alla datum",BEMANNINGSPLAN!A221=$E$4)),COUNT($O$6:O222)+1,"")</f>
        <v/>
      </c>
      <c r="P223" s="137" t="str">
        <f t="shared" si="3"/>
        <v/>
      </c>
    </row>
    <row r="224" spans="1:16" ht="27.75" customHeight="1">
      <c r="A224" s="17" t="str">
        <f>IF($P224="","",INDEX(BEMANNINGSPLAN!$A$5:$A$546,$P224))</f>
        <v/>
      </c>
      <c r="B224" s="18" t="str">
        <f>IF($P224="","",INDEX(BEMANNINGSPLAN!$B$5:$B$546,$P224))</f>
        <v/>
      </c>
      <c r="C224" s="19" t="str">
        <f>IF($P224="","",INDEX(BEMANNINGSPLAN!$C$5:$C$546,$P224))</f>
        <v/>
      </c>
      <c r="D224" s="20" t="str">
        <f>IF($P224="","",INDEX(BEMANNINGSPLAN!$D$5:$D$546,$P224))</f>
        <v/>
      </c>
      <c r="E224" s="20" t="str">
        <f>IF($P224="","",SUMIF(BEMANNINGSPLAN!$W$5:$W$546,INDEX(BEMANNINGSPLAN!$W$5:$W$546,$P224),BEMANNINGSPLAN!$X$5:$X$546))</f>
        <v/>
      </c>
      <c r="F224" s="18" t="str">
        <f>IF($P224="","",INDEX(BEMANNINGSPLAN!$J$5:$J$546,$P224))</f>
        <v/>
      </c>
      <c r="G224" s="19" t="str">
        <f>IF($P224="","",INDEX(BEMANNINGSPLAN!$AD$5:$AD$546,$P224))</f>
        <v/>
      </c>
      <c r="H224" s="18" t="str">
        <f>IF($P224="","",IF(AND(INDEX(BEMANNINGSPLAN!$Y$5:$Y$546,$P224)=1,G224&lt;&gt;"Minicafé"),"X",""))</f>
        <v/>
      </c>
      <c r="I224" s="21" t="str">
        <f>IF($P224="","",IF(INDEX(BEMANNINGSPLAN!$Y$5:$Y$546,$P224)=1,"X",""))</f>
        <v/>
      </c>
      <c r="J224" s="22" t="str">
        <f>IF($P224="","",IF(SUMIF(BEMANNINGSPLAN!$W$5:$W$546,INDEX(BEMANNINGSPLAN!$W$5:$W$546,$P224),BEMANNINGSPLAN!$Z$5:$Z$546)=1,"X",""))</f>
        <v/>
      </c>
      <c r="K224" s="23" t="str">
        <f>IF($P224="","",IFERROR(LOOKUP(2,1/((BEMANNINGSPLAN!$W$5:$W$546=INDEX(BEMANNINGSPLAN!$W$5:$W$546,$P224))*(BEMANNINGSPLAN!$L$5:$L$546&lt;&gt;"")),BEMANNINGSPLAN!$L$5:$L$546),""))</f>
        <v/>
      </c>
      <c r="L224" s="18" t="str">
        <f>IF($P224="","",INDEX(BEMANNINGSPLAN!$AE$5:$AE$546,$P224))</f>
        <v/>
      </c>
      <c r="M224" s="137"/>
      <c r="N224" s="16"/>
      <c r="O224" s="16" t="str">
        <f>IF(AND(BEMANNINGSPLAN!U222=1,OR($B$4="Alla lag",BEMANNINGSPLAN!J222=$B$4),OR($E$4="Alla datum",BEMANNINGSPLAN!A222=$E$4)),COUNT($O$6:O223)+1,"")</f>
        <v/>
      </c>
      <c r="P224" s="137" t="str">
        <f t="shared" si="3"/>
        <v/>
      </c>
    </row>
    <row r="225" spans="1:16" ht="27.75" customHeight="1">
      <c r="A225" s="17" t="str">
        <f>IF($P225="","",INDEX(BEMANNINGSPLAN!$A$5:$A$546,$P225))</f>
        <v/>
      </c>
      <c r="B225" s="18" t="str">
        <f>IF($P225="","",INDEX(BEMANNINGSPLAN!$B$5:$B$546,$P225))</f>
        <v/>
      </c>
      <c r="C225" s="19" t="str">
        <f>IF($P225="","",INDEX(BEMANNINGSPLAN!$C$5:$C$546,$P225))</f>
        <v/>
      </c>
      <c r="D225" s="20" t="str">
        <f>IF($P225="","",INDEX(BEMANNINGSPLAN!$D$5:$D$546,$P225))</f>
        <v/>
      </c>
      <c r="E225" s="20" t="str">
        <f>IF($P225="","",SUMIF(BEMANNINGSPLAN!$W$5:$W$546,INDEX(BEMANNINGSPLAN!$W$5:$W$546,$P225),BEMANNINGSPLAN!$X$5:$X$546))</f>
        <v/>
      </c>
      <c r="F225" s="18" t="str">
        <f>IF($P225="","",INDEX(BEMANNINGSPLAN!$J$5:$J$546,$P225))</f>
        <v/>
      </c>
      <c r="G225" s="19" t="str">
        <f>IF($P225="","",INDEX(BEMANNINGSPLAN!$AD$5:$AD$546,$P225))</f>
        <v/>
      </c>
      <c r="H225" s="18" t="str">
        <f>IF($P225="","",IF(AND(INDEX(BEMANNINGSPLAN!$Y$5:$Y$546,$P225)=1,G225&lt;&gt;"Minicafé"),"X",""))</f>
        <v/>
      </c>
      <c r="I225" s="21" t="str">
        <f>IF($P225="","",IF(INDEX(BEMANNINGSPLAN!$Y$5:$Y$546,$P225)=1,"X",""))</f>
        <v/>
      </c>
      <c r="J225" s="22" t="str">
        <f>IF($P225="","",IF(SUMIF(BEMANNINGSPLAN!$W$5:$W$546,INDEX(BEMANNINGSPLAN!$W$5:$W$546,$P225),BEMANNINGSPLAN!$Z$5:$Z$546)=1,"X",""))</f>
        <v/>
      </c>
      <c r="K225" s="23" t="str">
        <f>IF($P225="","",IFERROR(LOOKUP(2,1/((BEMANNINGSPLAN!$W$5:$W$546=INDEX(BEMANNINGSPLAN!$W$5:$W$546,$P225))*(BEMANNINGSPLAN!$L$5:$L$546&lt;&gt;"")),BEMANNINGSPLAN!$L$5:$L$546),""))</f>
        <v/>
      </c>
      <c r="L225" s="18" t="str">
        <f>IF($P225="","",INDEX(BEMANNINGSPLAN!$AE$5:$AE$546,$P225))</f>
        <v/>
      </c>
      <c r="M225" s="137"/>
      <c r="N225" s="16"/>
      <c r="O225" s="16" t="str">
        <f>IF(AND(BEMANNINGSPLAN!U223=1,OR($B$4="Alla lag",BEMANNINGSPLAN!J223=$B$4),OR($E$4="Alla datum",BEMANNINGSPLAN!A223=$E$4)),COUNT($O$6:O224)+1,"")</f>
        <v/>
      </c>
      <c r="P225" s="137" t="str">
        <f t="shared" si="3"/>
        <v/>
      </c>
    </row>
    <row r="226" spans="1:16" ht="27.75" customHeight="1">
      <c r="A226" s="17" t="str">
        <f>IF($P226="","",INDEX(BEMANNINGSPLAN!$A$5:$A$546,$P226))</f>
        <v/>
      </c>
      <c r="B226" s="18" t="str">
        <f>IF($P226="","",INDEX(BEMANNINGSPLAN!$B$5:$B$546,$P226))</f>
        <v/>
      </c>
      <c r="C226" s="19" t="str">
        <f>IF($P226="","",INDEX(BEMANNINGSPLAN!$C$5:$C$546,$P226))</f>
        <v/>
      </c>
      <c r="D226" s="20" t="str">
        <f>IF($P226="","",INDEX(BEMANNINGSPLAN!$D$5:$D$546,$P226))</f>
        <v/>
      </c>
      <c r="E226" s="20" t="str">
        <f>IF($P226="","",SUMIF(BEMANNINGSPLAN!$W$5:$W$546,INDEX(BEMANNINGSPLAN!$W$5:$W$546,$P226),BEMANNINGSPLAN!$X$5:$X$546))</f>
        <v/>
      </c>
      <c r="F226" s="18" t="str">
        <f>IF($P226="","",INDEX(BEMANNINGSPLAN!$J$5:$J$546,$P226))</f>
        <v/>
      </c>
      <c r="G226" s="19" t="str">
        <f>IF($P226="","",INDEX(BEMANNINGSPLAN!$AD$5:$AD$546,$P226))</f>
        <v/>
      </c>
      <c r="H226" s="18" t="str">
        <f>IF($P226="","",IF(AND(INDEX(BEMANNINGSPLAN!$Y$5:$Y$546,$P226)=1,G226&lt;&gt;"Minicafé"),"X",""))</f>
        <v/>
      </c>
      <c r="I226" s="21" t="str">
        <f>IF($P226="","",IF(INDEX(BEMANNINGSPLAN!$Y$5:$Y$546,$P226)=1,"X",""))</f>
        <v/>
      </c>
      <c r="J226" s="22" t="str">
        <f>IF($P226="","",IF(SUMIF(BEMANNINGSPLAN!$W$5:$W$546,INDEX(BEMANNINGSPLAN!$W$5:$W$546,$P226),BEMANNINGSPLAN!$Z$5:$Z$546)=1,"X",""))</f>
        <v/>
      </c>
      <c r="K226" s="23" t="str">
        <f>IF($P226="","",IFERROR(LOOKUP(2,1/((BEMANNINGSPLAN!$W$5:$W$546=INDEX(BEMANNINGSPLAN!$W$5:$W$546,$P226))*(BEMANNINGSPLAN!$L$5:$L$546&lt;&gt;"")),BEMANNINGSPLAN!$L$5:$L$546),""))</f>
        <v/>
      </c>
      <c r="L226" s="18" t="str">
        <f>IF($P226="","",INDEX(BEMANNINGSPLAN!$AE$5:$AE$546,$P226))</f>
        <v/>
      </c>
      <c r="M226" s="137"/>
      <c r="N226" s="16"/>
      <c r="O226" s="16" t="str">
        <f>IF(AND(BEMANNINGSPLAN!U224=1,OR($B$4="Alla lag",BEMANNINGSPLAN!J224=$B$4),OR($E$4="Alla datum",BEMANNINGSPLAN!A224=$E$4)),COUNT($O$6:O225)+1,"")</f>
        <v/>
      </c>
      <c r="P226" s="137" t="str">
        <f t="shared" si="3"/>
        <v/>
      </c>
    </row>
    <row r="227" spans="1:16" ht="27.75" customHeight="1">
      <c r="A227" s="17" t="str">
        <f>IF($P227="","",INDEX(BEMANNINGSPLAN!$A$5:$A$546,$P227))</f>
        <v/>
      </c>
      <c r="B227" s="18" t="str">
        <f>IF($P227="","",INDEX(BEMANNINGSPLAN!$B$5:$B$546,$P227))</f>
        <v/>
      </c>
      <c r="C227" s="19" t="str">
        <f>IF($P227="","",INDEX(BEMANNINGSPLAN!$C$5:$C$546,$P227))</f>
        <v/>
      </c>
      <c r="D227" s="20" t="str">
        <f>IF($P227="","",INDEX(BEMANNINGSPLAN!$D$5:$D$546,$P227))</f>
        <v/>
      </c>
      <c r="E227" s="20" t="str">
        <f>IF($P227="","",SUMIF(BEMANNINGSPLAN!$W$5:$W$546,INDEX(BEMANNINGSPLAN!$W$5:$W$546,$P227),BEMANNINGSPLAN!$X$5:$X$546))</f>
        <v/>
      </c>
      <c r="F227" s="18" t="str">
        <f>IF($P227="","",INDEX(BEMANNINGSPLAN!$J$5:$J$546,$P227))</f>
        <v/>
      </c>
      <c r="G227" s="19" t="str">
        <f>IF($P227="","",INDEX(BEMANNINGSPLAN!$AD$5:$AD$546,$P227))</f>
        <v/>
      </c>
      <c r="H227" s="18" t="str">
        <f>IF($P227="","",IF(AND(INDEX(BEMANNINGSPLAN!$Y$5:$Y$546,$P227)=1,G227&lt;&gt;"Minicafé"),"X",""))</f>
        <v/>
      </c>
      <c r="I227" s="21" t="str">
        <f>IF($P227="","",IF(INDEX(BEMANNINGSPLAN!$Y$5:$Y$546,$P227)=1,"X",""))</f>
        <v/>
      </c>
      <c r="J227" s="22" t="str">
        <f>IF($P227="","",IF(SUMIF(BEMANNINGSPLAN!$W$5:$W$546,INDEX(BEMANNINGSPLAN!$W$5:$W$546,$P227),BEMANNINGSPLAN!$Z$5:$Z$546)=1,"X",""))</f>
        <v/>
      </c>
      <c r="K227" s="23" t="str">
        <f>IF($P227="","",IFERROR(LOOKUP(2,1/((BEMANNINGSPLAN!$W$5:$W$546=INDEX(BEMANNINGSPLAN!$W$5:$W$546,$P227))*(BEMANNINGSPLAN!$L$5:$L$546&lt;&gt;"")),BEMANNINGSPLAN!$L$5:$L$546),""))</f>
        <v/>
      </c>
      <c r="L227" s="18" t="str">
        <f>IF($P227="","",INDEX(BEMANNINGSPLAN!$AE$5:$AE$546,$P227))</f>
        <v/>
      </c>
      <c r="M227" s="137"/>
      <c r="N227" s="16"/>
      <c r="O227" s="16" t="str">
        <f>IF(AND(BEMANNINGSPLAN!U225=1,OR($B$4="Alla lag",BEMANNINGSPLAN!J225=$B$4),OR($E$4="Alla datum",BEMANNINGSPLAN!A225=$E$4)),COUNT($O$6:O226)+1,"")</f>
        <v/>
      </c>
      <c r="P227" s="137" t="str">
        <f t="shared" si="3"/>
        <v/>
      </c>
    </row>
    <row r="228" spans="1:16" ht="27.75" customHeight="1">
      <c r="A228" s="17" t="str">
        <f>IF($P228="","",INDEX(BEMANNINGSPLAN!$A$5:$A$546,$P228))</f>
        <v/>
      </c>
      <c r="B228" s="18" t="str">
        <f>IF($P228="","",INDEX(BEMANNINGSPLAN!$B$5:$B$546,$P228))</f>
        <v/>
      </c>
      <c r="C228" s="19" t="str">
        <f>IF($P228="","",INDEX(BEMANNINGSPLAN!$C$5:$C$546,$P228))</f>
        <v/>
      </c>
      <c r="D228" s="20" t="str">
        <f>IF($P228="","",INDEX(BEMANNINGSPLAN!$D$5:$D$546,$P228))</f>
        <v/>
      </c>
      <c r="E228" s="20" t="str">
        <f>IF($P228="","",SUMIF(BEMANNINGSPLAN!$W$5:$W$546,INDEX(BEMANNINGSPLAN!$W$5:$W$546,$P228),BEMANNINGSPLAN!$X$5:$X$546))</f>
        <v/>
      </c>
      <c r="F228" s="18" t="str">
        <f>IF($P228="","",INDEX(BEMANNINGSPLAN!$J$5:$J$546,$P228))</f>
        <v/>
      </c>
      <c r="G228" s="19" t="str">
        <f>IF($P228="","",INDEX(BEMANNINGSPLAN!$AD$5:$AD$546,$P228))</f>
        <v/>
      </c>
      <c r="H228" s="18" t="str">
        <f>IF($P228="","",IF(AND(INDEX(BEMANNINGSPLAN!$Y$5:$Y$546,$P228)=1,G228&lt;&gt;"Minicafé"),"X",""))</f>
        <v/>
      </c>
      <c r="I228" s="21" t="str">
        <f>IF($P228="","",IF(INDEX(BEMANNINGSPLAN!$Y$5:$Y$546,$P228)=1,"X",""))</f>
        <v/>
      </c>
      <c r="J228" s="22" t="str">
        <f>IF($P228="","",IF(SUMIF(BEMANNINGSPLAN!$W$5:$W$546,INDEX(BEMANNINGSPLAN!$W$5:$W$546,$P228),BEMANNINGSPLAN!$Z$5:$Z$546)=1,"X",""))</f>
        <v/>
      </c>
      <c r="K228" s="23" t="str">
        <f>IF($P228="","",IFERROR(LOOKUP(2,1/((BEMANNINGSPLAN!$W$5:$W$546=INDEX(BEMANNINGSPLAN!$W$5:$W$546,$P228))*(BEMANNINGSPLAN!$L$5:$L$546&lt;&gt;"")),BEMANNINGSPLAN!$L$5:$L$546),""))</f>
        <v/>
      </c>
      <c r="L228" s="18" t="str">
        <f>IF($P228="","",INDEX(BEMANNINGSPLAN!$AE$5:$AE$546,$P228))</f>
        <v/>
      </c>
      <c r="M228" s="137"/>
      <c r="N228" s="16"/>
      <c r="O228" s="16" t="str">
        <f>IF(AND(BEMANNINGSPLAN!U226=1,OR($B$4="Alla lag",BEMANNINGSPLAN!J226=$B$4),OR($E$4="Alla datum",BEMANNINGSPLAN!A226=$E$4)),COUNT($O$6:O227)+1,"")</f>
        <v/>
      </c>
      <c r="P228" s="137" t="str">
        <f t="shared" si="3"/>
        <v/>
      </c>
    </row>
    <row r="229" spans="1:16" ht="27.75" customHeight="1">
      <c r="A229" s="17" t="str">
        <f>IF($P229="","",INDEX(BEMANNINGSPLAN!$A$5:$A$546,$P229))</f>
        <v/>
      </c>
      <c r="B229" s="18" t="str">
        <f>IF($P229="","",INDEX(BEMANNINGSPLAN!$B$5:$B$546,$P229))</f>
        <v/>
      </c>
      <c r="C229" s="19" t="str">
        <f>IF($P229="","",INDEX(BEMANNINGSPLAN!$C$5:$C$546,$P229))</f>
        <v/>
      </c>
      <c r="D229" s="20" t="str">
        <f>IF($P229="","",INDEX(BEMANNINGSPLAN!$D$5:$D$546,$P229))</f>
        <v/>
      </c>
      <c r="E229" s="20" t="str">
        <f>IF($P229="","",SUMIF(BEMANNINGSPLAN!$W$5:$W$546,INDEX(BEMANNINGSPLAN!$W$5:$W$546,$P229),BEMANNINGSPLAN!$X$5:$X$546))</f>
        <v/>
      </c>
      <c r="F229" s="18" t="str">
        <f>IF($P229="","",INDEX(BEMANNINGSPLAN!$J$5:$J$546,$P229))</f>
        <v/>
      </c>
      <c r="G229" s="19" t="str">
        <f>IF($P229="","",INDEX(BEMANNINGSPLAN!$AD$5:$AD$546,$P229))</f>
        <v/>
      </c>
      <c r="H229" s="18" t="str">
        <f>IF($P229="","",IF(AND(INDEX(BEMANNINGSPLAN!$Y$5:$Y$546,$P229)=1,G229&lt;&gt;"Minicafé"),"X",""))</f>
        <v/>
      </c>
      <c r="I229" s="21" t="str">
        <f>IF($P229="","",IF(INDEX(BEMANNINGSPLAN!$Y$5:$Y$546,$P229)=1,"X",""))</f>
        <v/>
      </c>
      <c r="J229" s="22" t="str">
        <f>IF($P229="","",IF(SUMIF(BEMANNINGSPLAN!$W$5:$W$546,INDEX(BEMANNINGSPLAN!$W$5:$W$546,$P229),BEMANNINGSPLAN!$Z$5:$Z$546)=1,"X",""))</f>
        <v/>
      </c>
      <c r="K229" s="23" t="str">
        <f>IF($P229="","",IFERROR(LOOKUP(2,1/((BEMANNINGSPLAN!$W$5:$W$546=INDEX(BEMANNINGSPLAN!$W$5:$W$546,$P229))*(BEMANNINGSPLAN!$L$5:$L$546&lt;&gt;"")),BEMANNINGSPLAN!$L$5:$L$546),""))</f>
        <v/>
      </c>
      <c r="L229" s="18" t="str">
        <f>IF($P229="","",INDEX(BEMANNINGSPLAN!$AE$5:$AE$546,$P229))</f>
        <v/>
      </c>
      <c r="M229" s="137"/>
      <c r="N229" s="16"/>
      <c r="O229" s="16" t="str">
        <f>IF(AND(BEMANNINGSPLAN!U227=1,OR($B$4="Alla lag",BEMANNINGSPLAN!J227=$B$4),OR($E$4="Alla datum",BEMANNINGSPLAN!A227=$E$4)),COUNT($O$6:O228)+1,"")</f>
        <v/>
      </c>
      <c r="P229" s="137" t="str">
        <f t="shared" si="3"/>
        <v/>
      </c>
    </row>
    <row r="230" spans="1:16" ht="27.75" customHeight="1">
      <c r="A230" s="17" t="str">
        <f>IF($P230="","",INDEX(BEMANNINGSPLAN!$A$5:$A$546,$P230))</f>
        <v/>
      </c>
      <c r="B230" s="18" t="str">
        <f>IF($P230="","",INDEX(BEMANNINGSPLAN!$B$5:$B$546,$P230))</f>
        <v/>
      </c>
      <c r="C230" s="19" t="str">
        <f>IF($P230="","",INDEX(BEMANNINGSPLAN!$C$5:$C$546,$P230))</f>
        <v/>
      </c>
      <c r="D230" s="20" t="str">
        <f>IF($P230="","",INDEX(BEMANNINGSPLAN!$D$5:$D$546,$P230))</f>
        <v/>
      </c>
      <c r="E230" s="20" t="str">
        <f>IF($P230="","",SUMIF(BEMANNINGSPLAN!$W$5:$W$546,INDEX(BEMANNINGSPLAN!$W$5:$W$546,$P230),BEMANNINGSPLAN!$X$5:$X$546))</f>
        <v/>
      </c>
      <c r="F230" s="18" t="str">
        <f>IF($P230="","",INDEX(BEMANNINGSPLAN!$J$5:$J$546,$P230))</f>
        <v/>
      </c>
      <c r="G230" s="19" t="str">
        <f>IF($P230="","",INDEX(BEMANNINGSPLAN!$AD$5:$AD$546,$P230))</f>
        <v/>
      </c>
      <c r="H230" s="18" t="str">
        <f>IF($P230="","",IF(AND(INDEX(BEMANNINGSPLAN!$Y$5:$Y$546,$P230)=1,G230&lt;&gt;"Minicafé"),"X",""))</f>
        <v/>
      </c>
      <c r="I230" s="21" t="str">
        <f>IF($P230="","",IF(INDEX(BEMANNINGSPLAN!$Y$5:$Y$546,$P230)=1,"X",""))</f>
        <v/>
      </c>
      <c r="J230" s="22" t="str">
        <f>IF($P230="","",IF(SUMIF(BEMANNINGSPLAN!$W$5:$W$546,INDEX(BEMANNINGSPLAN!$W$5:$W$546,$P230),BEMANNINGSPLAN!$Z$5:$Z$546)=1,"X",""))</f>
        <v/>
      </c>
      <c r="K230" s="23" t="str">
        <f>IF($P230="","",IFERROR(LOOKUP(2,1/((BEMANNINGSPLAN!$W$5:$W$546=INDEX(BEMANNINGSPLAN!$W$5:$W$546,$P230))*(BEMANNINGSPLAN!$L$5:$L$546&lt;&gt;"")),BEMANNINGSPLAN!$L$5:$L$546),""))</f>
        <v/>
      </c>
      <c r="L230" s="18" t="str">
        <f>IF($P230="","",INDEX(BEMANNINGSPLAN!$AE$5:$AE$546,$P230))</f>
        <v/>
      </c>
      <c r="M230" s="137"/>
      <c r="N230" s="16"/>
      <c r="O230" s="16" t="str">
        <f>IF(AND(BEMANNINGSPLAN!U228=1,OR($B$4="Alla lag",BEMANNINGSPLAN!J228=$B$4),OR($E$4="Alla datum",BEMANNINGSPLAN!A228=$E$4)),COUNT($O$6:O229)+1,"")</f>
        <v/>
      </c>
      <c r="P230" s="137" t="str">
        <f t="shared" si="3"/>
        <v/>
      </c>
    </row>
    <row r="231" spans="1:16" ht="27.75" customHeight="1">
      <c r="A231" s="17" t="str">
        <f>IF($P231="","",INDEX(BEMANNINGSPLAN!$A$5:$A$546,$P231))</f>
        <v/>
      </c>
      <c r="B231" s="18" t="str">
        <f>IF($P231="","",INDEX(BEMANNINGSPLAN!$B$5:$B$546,$P231))</f>
        <v/>
      </c>
      <c r="C231" s="19" t="str">
        <f>IF($P231="","",INDEX(BEMANNINGSPLAN!$C$5:$C$546,$P231))</f>
        <v/>
      </c>
      <c r="D231" s="20" t="str">
        <f>IF($P231="","",INDEX(BEMANNINGSPLAN!$D$5:$D$546,$P231))</f>
        <v/>
      </c>
      <c r="E231" s="20" t="str">
        <f>IF($P231="","",SUMIF(BEMANNINGSPLAN!$W$5:$W$546,INDEX(BEMANNINGSPLAN!$W$5:$W$546,$P231),BEMANNINGSPLAN!$X$5:$X$546))</f>
        <v/>
      </c>
      <c r="F231" s="18" t="str">
        <f>IF($P231="","",INDEX(BEMANNINGSPLAN!$J$5:$J$546,$P231))</f>
        <v/>
      </c>
      <c r="G231" s="19" t="str">
        <f>IF($P231="","",INDEX(BEMANNINGSPLAN!$AD$5:$AD$546,$P231))</f>
        <v/>
      </c>
      <c r="H231" s="18" t="str">
        <f>IF($P231="","",IF(AND(INDEX(BEMANNINGSPLAN!$Y$5:$Y$546,$P231)=1,G231&lt;&gt;"Minicafé"),"X",""))</f>
        <v/>
      </c>
      <c r="I231" s="21" t="str">
        <f>IF($P231="","",IF(INDEX(BEMANNINGSPLAN!$Y$5:$Y$546,$P231)=1,"X",""))</f>
        <v/>
      </c>
      <c r="J231" s="22" t="str">
        <f>IF($P231="","",IF(SUMIF(BEMANNINGSPLAN!$W$5:$W$546,INDEX(BEMANNINGSPLAN!$W$5:$W$546,$P231),BEMANNINGSPLAN!$Z$5:$Z$546)=1,"X",""))</f>
        <v/>
      </c>
      <c r="K231" s="23" t="str">
        <f>IF($P231="","",IFERROR(LOOKUP(2,1/((BEMANNINGSPLAN!$W$5:$W$546=INDEX(BEMANNINGSPLAN!$W$5:$W$546,$P231))*(BEMANNINGSPLAN!$L$5:$L$546&lt;&gt;"")),BEMANNINGSPLAN!$L$5:$L$546),""))</f>
        <v/>
      </c>
      <c r="L231" s="18" t="str">
        <f>IF($P231="","",INDEX(BEMANNINGSPLAN!$AE$5:$AE$546,$P231))</f>
        <v/>
      </c>
      <c r="M231" s="137"/>
      <c r="N231" s="16"/>
      <c r="O231" s="16" t="str">
        <f>IF(AND(BEMANNINGSPLAN!U229=1,OR($B$4="Alla lag",BEMANNINGSPLAN!J229=$B$4),OR($E$4="Alla datum",BEMANNINGSPLAN!A229=$E$4)),COUNT($O$6:O230)+1,"")</f>
        <v/>
      </c>
      <c r="P231" s="137" t="str">
        <f t="shared" si="3"/>
        <v/>
      </c>
    </row>
    <row r="232" spans="1:16" ht="27.75" customHeight="1">
      <c r="A232" s="17" t="str">
        <f>IF($P232="","",INDEX(BEMANNINGSPLAN!$A$5:$A$546,$P232))</f>
        <v/>
      </c>
      <c r="B232" s="18" t="str">
        <f>IF($P232="","",INDEX(BEMANNINGSPLAN!$B$5:$B$546,$P232))</f>
        <v/>
      </c>
      <c r="C232" s="19" t="str">
        <f>IF($P232="","",INDEX(BEMANNINGSPLAN!$C$5:$C$546,$P232))</f>
        <v/>
      </c>
      <c r="D232" s="20" t="str">
        <f>IF($P232="","",INDEX(BEMANNINGSPLAN!$D$5:$D$546,$P232))</f>
        <v/>
      </c>
      <c r="E232" s="20" t="str">
        <f>IF($P232="","",SUMIF(BEMANNINGSPLAN!$W$5:$W$546,INDEX(BEMANNINGSPLAN!$W$5:$W$546,$P232),BEMANNINGSPLAN!$X$5:$X$546))</f>
        <v/>
      </c>
      <c r="F232" s="18" t="str">
        <f>IF($P232="","",INDEX(BEMANNINGSPLAN!$J$5:$J$546,$P232))</f>
        <v/>
      </c>
      <c r="G232" s="19" t="str">
        <f>IF($P232="","",INDEX(BEMANNINGSPLAN!$AD$5:$AD$546,$P232))</f>
        <v/>
      </c>
      <c r="H232" s="18" t="str">
        <f>IF($P232="","",IF(AND(INDEX(BEMANNINGSPLAN!$Y$5:$Y$546,$P232)=1,G232&lt;&gt;"Minicafé"),"X",""))</f>
        <v/>
      </c>
      <c r="I232" s="21" t="str">
        <f>IF($P232="","",IF(INDEX(BEMANNINGSPLAN!$Y$5:$Y$546,$P232)=1,"X",""))</f>
        <v/>
      </c>
      <c r="J232" s="22" t="str">
        <f>IF($P232="","",IF(SUMIF(BEMANNINGSPLAN!$W$5:$W$546,INDEX(BEMANNINGSPLAN!$W$5:$W$546,$P232),BEMANNINGSPLAN!$Z$5:$Z$546)=1,"X",""))</f>
        <v/>
      </c>
      <c r="K232" s="23" t="str">
        <f>IF($P232="","",IFERROR(LOOKUP(2,1/((BEMANNINGSPLAN!$W$5:$W$546=INDEX(BEMANNINGSPLAN!$W$5:$W$546,$P232))*(BEMANNINGSPLAN!$L$5:$L$546&lt;&gt;"")),BEMANNINGSPLAN!$L$5:$L$546),""))</f>
        <v/>
      </c>
      <c r="L232" s="18" t="str">
        <f>IF($P232="","",INDEX(BEMANNINGSPLAN!$AE$5:$AE$546,$P232))</f>
        <v/>
      </c>
      <c r="M232" s="137"/>
      <c r="N232" s="16"/>
      <c r="O232" s="16">
        <f>IF(AND(BEMANNINGSPLAN!U230=1,OR($B$4="Alla lag",BEMANNINGSPLAN!J230=$B$4),OR($E$4="Alla datum",BEMANNINGSPLAN!A230=$E$4)),COUNT($O$6:O231)+1,"")</f>
        <v>26</v>
      </c>
      <c r="P232" s="137" t="str">
        <f t="shared" si="3"/>
        <v/>
      </c>
    </row>
    <row r="233" spans="1:16" ht="27.75" customHeight="1">
      <c r="A233" s="17" t="str">
        <f>IF($P233="","",INDEX(BEMANNINGSPLAN!$A$5:$A$546,$P233))</f>
        <v/>
      </c>
      <c r="B233" s="18" t="str">
        <f>IF($P233="","",INDEX(BEMANNINGSPLAN!$B$5:$B$546,$P233))</f>
        <v/>
      </c>
      <c r="C233" s="19" t="str">
        <f>IF($P233="","",INDEX(BEMANNINGSPLAN!$C$5:$C$546,$P233))</f>
        <v/>
      </c>
      <c r="D233" s="20" t="str">
        <f>IF($P233="","",INDEX(BEMANNINGSPLAN!$D$5:$D$546,$P233))</f>
        <v/>
      </c>
      <c r="E233" s="20" t="str">
        <f>IF($P233="","",SUMIF(BEMANNINGSPLAN!$W$5:$W$546,INDEX(BEMANNINGSPLAN!$W$5:$W$546,$P233),BEMANNINGSPLAN!$X$5:$X$546))</f>
        <v/>
      </c>
      <c r="F233" s="18" t="str">
        <f>IF($P233="","",INDEX(BEMANNINGSPLAN!$J$5:$J$546,$P233))</f>
        <v/>
      </c>
      <c r="G233" s="19" t="str">
        <f>IF($P233="","",INDEX(BEMANNINGSPLAN!$AD$5:$AD$546,$P233))</f>
        <v/>
      </c>
      <c r="H233" s="18" t="str">
        <f>IF($P233="","",IF(AND(INDEX(BEMANNINGSPLAN!$Y$5:$Y$546,$P233)=1,G233&lt;&gt;"Minicafé"),"X",""))</f>
        <v/>
      </c>
      <c r="I233" s="21" t="str">
        <f>IF($P233="","",IF(INDEX(BEMANNINGSPLAN!$Y$5:$Y$546,$P233)=1,"X",""))</f>
        <v/>
      </c>
      <c r="J233" s="22" t="str">
        <f>IF($P233="","",IF(SUMIF(BEMANNINGSPLAN!$W$5:$W$546,INDEX(BEMANNINGSPLAN!$W$5:$W$546,$P233),BEMANNINGSPLAN!$Z$5:$Z$546)=1,"X",""))</f>
        <v/>
      </c>
      <c r="K233" s="23" t="str">
        <f>IF($P233="","",IFERROR(LOOKUP(2,1/((BEMANNINGSPLAN!$W$5:$W$546=INDEX(BEMANNINGSPLAN!$W$5:$W$546,$P233))*(BEMANNINGSPLAN!$L$5:$L$546&lt;&gt;"")),BEMANNINGSPLAN!$L$5:$L$546),""))</f>
        <v/>
      </c>
      <c r="L233" s="18" t="str">
        <f>IF($P233="","",INDEX(BEMANNINGSPLAN!$AE$5:$AE$546,$P233))</f>
        <v/>
      </c>
      <c r="M233" s="137"/>
      <c r="N233" s="16"/>
      <c r="O233" s="16" t="str">
        <f>IF(AND(BEMANNINGSPLAN!U231=1,OR($B$4="Alla lag",BEMANNINGSPLAN!J231=$B$4),OR($E$4="Alla datum",BEMANNINGSPLAN!A231=$E$4)),COUNT($O$6:O232)+1,"")</f>
        <v/>
      </c>
      <c r="P233" s="137" t="str">
        <f t="shared" si="3"/>
        <v/>
      </c>
    </row>
    <row r="234" spans="1:16" ht="27.75" customHeight="1">
      <c r="A234" s="17" t="str">
        <f>IF($P234="","",INDEX(BEMANNINGSPLAN!$A$5:$A$546,$P234))</f>
        <v/>
      </c>
      <c r="B234" s="18" t="str">
        <f>IF($P234="","",INDEX(BEMANNINGSPLAN!$B$5:$B$546,$P234))</f>
        <v/>
      </c>
      <c r="C234" s="19" t="str">
        <f>IF($P234="","",INDEX(BEMANNINGSPLAN!$C$5:$C$546,$P234))</f>
        <v/>
      </c>
      <c r="D234" s="20" t="str">
        <f>IF($P234="","",INDEX(BEMANNINGSPLAN!$D$5:$D$546,$P234))</f>
        <v/>
      </c>
      <c r="E234" s="20" t="str">
        <f>IF($P234="","",SUMIF(BEMANNINGSPLAN!$W$5:$W$546,INDEX(BEMANNINGSPLAN!$W$5:$W$546,$P234),BEMANNINGSPLAN!$X$5:$X$546))</f>
        <v/>
      </c>
      <c r="F234" s="18" t="str">
        <f>IF($P234="","",INDEX(BEMANNINGSPLAN!$J$5:$J$546,$P234))</f>
        <v/>
      </c>
      <c r="G234" s="19" t="str">
        <f>IF($P234="","",INDEX(BEMANNINGSPLAN!$AD$5:$AD$546,$P234))</f>
        <v/>
      </c>
      <c r="H234" s="18" t="str">
        <f>IF($P234="","",IF(AND(INDEX(BEMANNINGSPLAN!$Y$5:$Y$546,$P234)=1,G234&lt;&gt;"Minicafé"),"X",""))</f>
        <v/>
      </c>
      <c r="I234" s="21" t="str">
        <f>IF($P234="","",IF(INDEX(BEMANNINGSPLAN!$Y$5:$Y$546,$P234)=1,"X",""))</f>
        <v/>
      </c>
      <c r="J234" s="22" t="str">
        <f>IF($P234="","",IF(SUMIF(BEMANNINGSPLAN!$W$5:$W$546,INDEX(BEMANNINGSPLAN!$W$5:$W$546,$P234),BEMANNINGSPLAN!$Z$5:$Z$546)=1,"X",""))</f>
        <v/>
      </c>
      <c r="K234" s="23" t="str">
        <f>IF($P234="","",IFERROR(LOOKUP(2,1/((BEMANNINGSPLAN!$W$5:$W$546=INDEX(BEMANNINGSPLAN!$W$5:$W$546,$P234))*(BEMANNINGSPLAN!$L$5:$L$546&lt;&gt;"")),BEMANNINGSPLAN!$L$5:$L$546),""))</f>
        <v/>
      </c>
      <c r="L234" s="18" t="str">
        <f>IF($P234="","",INDEX(BEMANNINGSPLAN!$AE$5:$AE$546,$P234))</f>
        <v/>
      </c>
      <c r="M234" s="137"/>
      <c r="N234" s="16"/>
      <c r="O234" s="16" t="str">
        <f>IF(AND(BEMANNINGSPLAN!U232=1,OR($B$4="Alla lag",BEMANNINGSPLAN!J232=$B$4),OR($E$4="Alla datum",BEMANNINGSPLAN!A232=$E$4)),COUNT($O$6:O233)+1,"")</f>
        <v/>
      </c>
      <c r="P234" s="137" t="str">
        <f t="shared" si="3"/>
        <v/>
      </c>
    </row>
    <row r="235" spans="1:16" ht="27.75" customHeight="1">
      <c r="A235" s="17" t="str">
        <f>IF($P235="","",INDEX(BEMANNINGSPLAN!$A$5:$A$546,$P235))</f>
        <v/>
      </c>
      <c r="B235" s="18" t="str">
        <f>IF($P235="","",INDEX(BEMANNINGSPLAN!$B$5:$B$546,$P235))</f>
        <v/>
      </c>
      <c r="C235" s="19" t="str">
        <f>IF($P235="","",INDEX(BEMANNINGSPLAN!$C$5:$C$546,$P235))</f>
        <v/>
      </c>
      <c r="D235" s="20" t="str">
        <f>IF($P235="","",INDEX(BEMANNINGSPLAN!$D$5:$D$546,$P235))</f>
        <v/>
      </c>
      <c r="E235" s="20" t="str">
        <f>IF($P235="","",SUMIF(BEMANNINGSPLAN!$W$5:$W$546,INDEX(BEMANNINGSPLAN!$W$5:$W$546,$P235),BEMANNINGSPLAN!$X$5:$X$546))</f>
        <v/>
      </c>
      <c r="F235" s="18" t="str">
        <f>IF($P235="","",INDEX(BEMANNINGSPLAN!$J$5:$J$546,$P235))</f>
        <v/>
      </c>
      <c r="G235" s="19" t="str">
        <f>IF($P235="","",INDEX(BEMANNINGSPLAN!$AD$5:$AD$546,$P235))</f>
        <v/>
      </c>
      <c r="H235" s="18" t="str">
        <f>IF($P235="","",IF(AND(INDEX(BEMANNINGSPLAN!$Y$5:$Y$546,$P235)=1,G235&lt;&gt;"Minicafé"),"X",""))</f>
        <v/>
      </c>
      <c r="I235" s="21" t="str">
        <f>IF($P235="","",IF(INDEX(BEMANNINGSPLAN!$Y$5:$Y$546,$P235)=1,"X",""))</f>
        <v/>
      </c>
      <c r="J235" s="22" t="str">
        <f>IF($P235="","",IF(SUMIF(BEMANNINGSPLAN!$W$5:$W$546,INDEX(BEMANNINGSPLAN!$W$5:$W$546,$P235),BEMANNINGSPLAN!$Z$5:$Z$546)=1,"X",""))</f>
        <v/>
      </c>
      <c r="K235" s="23" t="str">
        <f>IF($P235="","",IFERROR(LOOKUP(2,1/((BEMANNINGSPLAN!$W$5:$W$546=INDEX(BEMANNINGSPLAN!$W$5:$W$546,$P235))*(BEMANNINGSPLAN!$L$5:$L$546&lt;&gt;"")),BEMANNINGSPLAN!$L$5:$L$546),""))</f>
        <v/>
      </c>
      <c r="L235" s="18" t="str">
        <f>IF($P235="","",INDEX(BEMANNINGSPLAN!$AE$5:$AE$546,$P235))</f>
        <v/>
      </c>
      <c r="M235" s="137"/>
      <c r="N235" s="16"/>
      <c r="O235" s="16" t="str">
        <f>IF(AND(BEMANNINGSPLAN!U233=1,OR($B$4="Alla lag",BEMANNINGSPLAN!J233=$B$4),OR($E$4="Alla datum",BEMANNINGSPLAN!A233=$E$4)),COUNT($O$6:O234)+1,"")</f>
        <v/>
      </c>
      <c r="P235" s="137" t="str">
        <f t="shared" si="3"/>
        <v/>
      </c>
    </row>
    <row r="236" spans="1:16" ht="27.75" customHeight="1">
      <c r="A236" s="17" t="str">
        <f>IF($P236="","",INDEX(BEMANNINGSPLAN!$A$5:$A$546,$P236))</f>
        <v/>
      </c>
      <c r="B236" s="18" t="str">
        <f>IF($P236="","",INDEX(BEMANNINGSPLAN!$B$5:$B$546,$P236))</f>
        <v/>
      </c>
      <c r="C236" s="19" t="str">
        <f>IF($P236="","",INDEX(BEMANNINGSPLAN!$C$5:$C$546,$P236))</f>
        <v/>
      </c>
      <c r="D236" s="20" t="str">
        <f>IF($P236="","",INDEX(BEMANNINGSPLAN!$D$5:$D$546,$P236))</f>
        <v/>
      </c>
      <c r="E236" s="20" t="str">
        <f>IF($P236="","",SUMIF(BEMANNINGSPLAN!$W$5:$W$546,INDEX(BEMANNINGSPLAN!$W$5:$W$546,$P236),BEMANNINGSPLAN!$X$5:$X$546))</f>
        <v/>
      </c>
      <c r="F236" s="18" t="str">
        <f>IF($P236="","",INDEX(BEMANNINGSPLAN!$J$5:$J$546,$P236))</f>
        <v/>
      </c>
      <c r="G236" s="19" t="str">
        <f>IF($P236="","",INDEX(BEMANNINGSPLAN!$AD$5:$AD$546,$P236))</f>
        <v/>
      </c>
      <c r="H236" s="18" t="str">
        <f>IF($P236="","",IF(AND(INDEX(BEMANNINGSPLAN!$Y$5:$Y$546,$P236)=1,G236&lt;&gt;"Minicafé"),"X",""))</f>
        <v/>
      </c>
      <c r="I236" s="21" t="str">
        <f>IF($P236="","",IF(INDEX(BEMANNINGSPLAN!$Y$5:$Y$546,$P236)=1,"X",""))</f>
        <v/>
      </c>
      <c r="J236" s="22" t="str">
        <f>IF($P236="","",IF(SUMIF(BEMANNINGSPLAN!$W$5:$W$546,INDEX(BEMANNINGSPLAN!$W$5:$W$546,$P236),BEMANNINGSPLAN!$Z$5:$Z$546)=1,"X",""))</f>
        <v/>
      </c>
      <c r="K236" s="23" t="str">
        <f>IF($P236="","",IFERROR(LOOKUP(2,1/((BEMANNINGSPLAN!$W$5:$W$546=INDEX(BEMANNINGSPLAN!$W$5:$W$546,$P236))*(BEMANNINGSPLAN!$L$5:$L$546&lt;&gt;"")),BEMANNINGSPLAN!$L$5:$L$546),""))</f>
        <v/>
      </c>
      <c r="L236" s="18" t="str">
        <f>IF($P236="","",INDEX(BEMANNINGSPLAN!$AE$5:$AE$546,$P236))</f>
        <v/>
      </c>
      <c r="M236" s="137"/>
      <c r="N236" s="16"/>
      <c r="O236" s="16" t="str">
        <f>IF(AND(BEMANNINGSPLAN!U234=1,OR($B$4="Alla lag",BEMANNINGSPLAN!J234=$B$4),OR($E$4="Alla datum",BEMANNINGSPLAN!A234=$E$4)),COUNT($O$6:O235)+1,"")</f>
        <v/>
      </c>
      <c r="P236" s="137" t="str">
        <f t="shared" si="3"/>
        <v/>
      </c>
    </row>
    <row r="237" spans="1:16" ht="27.75" customHeight="1">
      <c r="A237" s="17" t="str">
        <f>IF($P237="","",INDEX(BEMANNINGSPLAN!$A$5:$A$546,$P237))</f>
        <v/>
      </c>
      <c r="B237" s="18" t="str">
        <f>IF($P237="","",INDEX(BEMANNINGSPLAN!$B$5:$B$546,$P237))</f>
        <v/>
      </c>
      <c r="C237" s="19" t="str">
        <f>IF($P237="","",INDEX(BEMANNINGSPLAN!$C$5:$C$546,$P237))</f>
        <v/>
      </c>
      <c r="D237" s="20" t="str">
        <f>IF($P237="","",INDEX(BEMANNINGSPLAN!$D$5:$D$546,$P237))</f>
        <v/>
      </c>
      <c r="E237" s="20" t="str">
        <f>IF($P237="","",SUMIF(BEMANNINGSPLAN!$W$5:$W$546,INDEX(BEMANNINGSPLAN!$W$5:$W$546,$P237),BEMANNINGSPLAN!$X$5:$X$546))</f>
        <v/>
      </c>
      <c r="F237" s="18" t="str">
        <f>IF($P237="","",INDEX(BEMANNINGSPLAN!$J$5:$J$546,$P237))</f>
        <v/>
      </c>
      <c r="G237" s="19" t="str">
        <f>IF($P237="","",INDEX(BEMANNINGSPLAN!$AD$5:$AD$546,$P237))</f>
        <v/>
      </c>
      <c r="H237" s="18" t="str">
        <f>IF($P237="","",IF(AND(INDEX(BEMANNINGSPLAN!$Y$5:$Y$546,$P237)=1,G237&lt;&gt;"Minicafé"),"X",""))</f>
        <v/>
      </c>
      <c r="I237" s="21" t="str">
        <f>IF($P237="","",IF(INDEX(BEMANNINGSPLAN!$Y$5:$Y$546,$P237)=1,"X",""))</f>
        <v/>
      </c>
      <c r="J237" s="22" t="str">
        <f>IF($P237="","",IF(SUMIF(BEMANNINGSPLAN!$W$5:$W$546,INDEX(BEMANNINGSPLAN!$W$5:$W$546,$P237),BEMANNINGSPLAN!$Z$5:$Z$546)=1,"X",""))</f>
        <v/>
      </c>
      <c r="K237" s="23" t="str">
        <f>IF($P237="","",IFERROR(LOOKUP(2,1/((BEMANNINGSPLAN!$W$5:$W$546=INDEX(BEMANNINGSPLAN!$W$5:$W$546,$P237))*(BEMANNINGSPLAN!$L$5:$L$546&lt;&gt;"")),BEMANNINGSPLAN!$L$5:$L$546),""))</f>
        <v/>
      </c>
      <c r="L237" s="18" t="str">
        <f>IF($P237="","",INDEX(BEMANNINGSPLAN!$AE$5:$AE$546,$P237))</f>
        <v/>
      </c>
      <c r="M237" s="137"/>
      <c r="N237" s="16"/>
      <c r="O237" s="16" t="str">
        <f>IF(AND(BEMANNINGSPLAN!U235=1,OR($B$4="Alla lag",BEMANNINGSPLAN!J235=$B$4),OR($E$4="Alla datum",BEMANNINGSPLAN!A235=$E$4)),COUNT($O$6:O236)+1,"")</f>
        <v/>
      </c>
      <c r="P237" s="137" t="str">
        <f t="shared" si="3"/>
        <v/>
      </c>
    </row>
    <row r="238" spans="1:16" ht="27.75" customHeight="1">
      <c r="A238" s="17" t="str">
        <f>IF($P238="","",INDEX(BEMANNINGSPLAN!$A$5:$A$546,$P238))</f>
        <v/>
      </c>
      <c r="B238" s="18" t="str">
        <f>IF($P238="","",INDEX(BEMANNINGSPLAN!$B$5:$B$546,$P238))</f>
        <v/>
      </c>
      <c r="C238" s="19" t="str">
        <f>IF($P238="","",INDEX(BEMANNINGSPLAN!$C$5:$C$546,$P238))</f>
        <v/>
      </c>
      <c r="D238" s="20" t="str">
        <f>IF($P238="","",INDEX(BEMANNINGSPLAN!$D$5:$D$546,$P238))</f>
        <v/>
      </c>
      <c r="E238" s="20" t="str">
        <f>IF($P238="","",SUMIF(BEMANNINGSPLAN!$W$5:$W$546,INDEX(BEMANNINGSPLAN!$W$5:$W$546,$P238),BEMANNINGSPLAN!$X$5:$X$546))</f>
        <v/>
      </c>
      <c r="F238" s="18" t="str">
        <f>IF($P238="","",INDEX(BEMANNINGSPLAN!$J$5:$J$546,$P238))</f>
        <v/>
      </c>
      <c r="G238" s="19" t="str">
        <f>IF($P238="","",INDEX(BEMANNINGSPLAN!$AD$5:$AD$546,$P238))</f>
        <v/>
      </c>
      <c r="H238" s="18" t="str">
        <f>IF($P238="","",IF(AND(INDEX(BEMANNINGSPLAN!$Y$5:$Y$546,$P238)=1,G238&lt;&gt;"Minicafé"),"X",""))</f>
        <v/>
      </c>
      <c r="I238" s="21" t="str">
        <f>IF($P238="","",IF(INDEX(BEMANNINGSPLAN!$Y$5:$Y$546,$P238)=1,"X",""))</f>
        <v/>
      </c>
      <c r="J238" s="22" t="str">
        <f>IF($P238="","",IF(SUMIF(BEMANNINGSPLAN!$W$5:$W$546,INDEX(BEMANNINGSPLAN!$W$5:$W$546,$P238),BEMANNINGSPLAN!$Z$5:$Z$546)=1,"X",""))</f>
        <v/>
      </c>
      <c r="K238" s="23" t="str">
        <f>IF($P238="","",IFERROR(LOOKUP(2,1/((BEMANNINGSPLAN!$W$5:$W$546=INDEX(BEMANNINGSPLAN!$W$5:$W$546,$P238))*(BEMANNINGSPLAN!$L$5:$L$546&lt;&gt;"")),BEMANNINGSPLAN!$L$5:$L$546),""))</f>
        <v/>
      </c>
      <c r="L238" s="18" t="str">
        <f>IF($P238="","",INDEX(BEMANNINGSPLAN!$AE$5:$AE$546,$P238))</f>
        <v/>
      </c>
      <c r="M238" s="137"/>
      <c r="N238" s="16"/>
      <c r="O238" s="16">
        <f>IF(AND(BEMANNINGSPLAN!U236=1,OR($B$4="Alla lag",BEMANNINGSPLAN!J236=$B$4),OR($E$4="Alla datum",BEMANNINGSPLAN!A236=$E$4)),COUNT($O$6:O237)+1,"")</f>
        <v>27</v>
      </c>
      <c r="P238" s="137" t="str">
        <f t="shared" si="3"/>
        <v/>
      </c>
    </row>
    <row r="239" spans="1:16" ht="27.75" customHeight="1">
      <c r="A239" s="17" t="str">
        <f>IF($P239="","",INDEX(BEMANNINGSPLAN!$A$5:$A$546,$P239))</f>
        <v/>
      </c>
      <c r="B239" s="18" t="str">
        <f>IF($P239="","",INDEX(BEMANNINGSPLAN!$B$5:$B$546,$P239))</f>
        <v/>
      </c>
      <c r="C239" s="19" t="str">
        <f>IF($P239="","",INDEX(BEMANNINGSPLAN!$C$5:$C$546,$P239))</f>
        <v/>
      </c>
      <c r="D239" s="20" t="str">
        <f>IF($P239="","",INDEX(BEMANNINGSPLAN!$D$5:$D$546,$P239))</f>
        <v/>
      </c>
      <c r="E239" s="20" t="str">
        <f>IF($P239="","",SUMIF(BEMANNINGSPLAN!$W$5:$W$546,INDEX(BEMANNINGSPLAN!$W$5:$W$546,$P239),BEMANNINGSPLAN!$X$5:$X$546))</f>
        <v/>
      </c>
      <c r="F239" s="18" t="str">
        <f>IF($P239="","",INDEX(BEMANNINGSPLAN!$J$5:$J$546,$P239))</f>
        <v/>
      </c>
      <c r="G239" s="19" t="str">
        <f>IF($P239="","",INDEX(BEMANNINGSPLAN!$AD$5:$AD$546,$P239))</f>
        <v/>
      </c>
      <c r="H239" s="18" t="str">
        <f>IF($P239="","",IF(AND(INDEX(BEMANNINGSPLAN!$Y$5:$Y$546,$P239)=1,G239&lt;&gt;"Minicafé"),"X",""))</f>
        <v/>
      </c>
      <c r="I239" s="21" t="str">
        <f>IF($P239="","",IF(INDEX(BEMANNINGSPLAN!$Y$5:$Y$546,$P239)=1,"X",""))</f>
        <v/>
      </c>
      <c r="J239" s="22" t="str">
        <f>IF($P239="","",IF(SUMIF(BEMANNINGSPLAN!$W$5:$W$546,INDEX(BEMANNINGSPLAN!$W$5:$W$546,$P239),BEMANNINGSPLAN!$Z$5:$Z$546)=1,"X",""))</f>
        <v/>
      </c>
      <c r="K239" s="23" t="str">
        <f>IF($P239="","",IFERROR(LOOKUP(2,1/((BEMANNINGSPLAN!$W$5:$W$546=INDEX(BEMANNINGSPLAN!$W$5:$W$546,$P239))*(BEMANNINGSPLAN!$L$5:$L$546&lt;&gt;"")),BEMANNINGSPLAN!$L$5:$L$546),""))</f>
        <v/>
      </c>
      <c r="L239" s="18" t="str">
        <f>IF($P239="","",INDEX(BEMANNINGSPLAN!$AE$5:$AE$546,$P239))</f>
        <v/>
      </c>
      <c r="M239" s="137"/>
      <c r="N239" s="16"/>
      <c r="O239" s="16" t="str">
        <f>IF(AND(BEMANNINGSPLAN!U237=1,OR($B$4="Alla lag",BEMANNINGSPLAN!J237=$B$4),OR($E$4="Alla datum",BEMANNINGSPLAN!A237=$E$4)),COUNT($O$6:O238)+1,"")</f>
        <v/>
      </c>
      <c r="P239" s="137" t="str">
        <f t="shared" si="3"/>
        <v/>
      </c>
    </row>
    <row r="240" spans="1:16" ht="27.75" customHeight="1">
      <c r="A240" s="17" t="str">
        <f>IF($P240="","",INDEX(BEMANNINGSPLAN!$A$5:$A$546,$P240))</f>
        <v/>
      </c>
      <c r="B240" s="18" t="str">
        <f>IF($P240="","",INDEX(BEMANNINGSPLAN!$B$5:$B$546,$P240))</f>
        <v/>
      </c>
      <c r="C240" s="19" t="str">
        <f>IF($P240="","",INDEX(BEMANNINGSPLAN!$C$5:$C$546,$P240))</f>
        <v/>
      </c>
      <c r="D240" s="20" t="str">
        <f>IF($P240="","",INDEX(BEMANNINGSPLAN!$D$5:$D$546,$P240))</f>
        <v/>
      </c>
      <c r="E240" s="20" t="str">
        <f>IF($P240="","",SUMIF(BEMANNINGSPLAN!$W$5:$W$546,INDEX(BEMANNINGSPLAN!$W$5:$W$546,$P240),BEMANNINGSPLAN!$X$5:$X$546))</f>
        <v/>
      </c>
      <c r="F240" s="18" t="str">
        <f>IF($P240="","",INDEX(BEMANNINGSPLAN!$J$5:$J$546,$P240))</f>
        <v/>
      </c>
      <c r="G240" s="19" t="str">
        <f>IF($P240="","",INDEX(BEMANNINGSPLAN!$AD$5:$AD$546,$P240))</f>
        <v/>
      </c>
      <c r="H240" s="18" t="str">
        <f>IF($P240="","",IF(AND(INDEX(BEMANNINGSPLAN!$Y$5:$Y$546,$P240)=1,G240&lt;&gt;"Minicafé"),"X",""))</f>
        <v/>
      </c>
      <c r="I240" s="21" t="str">
        <f>IF($P240="","",IF(INDEX(BEMANNINGSPLAN!$Y$5:$Y$546,$P240)=1,"X",""))</f>
        <v/>
      </c>
      <c r="J240" s="22" t="str">
        <f>IF($P240="","",IF(SUMIF(BEMANNINGSPLAN!$W$5:$W$546,INDEX(BEMANNINGSPLAN!$W$5:$W$546,$P240),BEMANNINGSPLAN!$Z$5:$Z$546)=1,"X",""))</f>
        <v/>
      </c>
      <c r="K240" s="23" t="str">
        <f>IF($P240="","",IFERROR(LOOKUP(2,1/((BEMANNINGSPLAN!$W$5:$W$546=INDEX(BEMANNINGSPLAN!$W$5:$W$546,$P240))*(BEMANNINGSPLAN!$L$5:$L$546&lt;&gt;"")),BEMANNINGSPLAN!$L$5:$L$546),""))</f>
        <v/>
      </c>
      <c r="L240" s="18" t="str">
        <f>IF($P240="","",INDEX(BEMANNINGSPLAN!$AE$5:$AE$546,$P240))</f>
        <v/>
      </c>
      <c r="M240" s="137"/>
      <c r="N240" s="16"/>
      <c r="O240" s="16" t="str">
        <f>IF(AND(BEMANNINGSPLAN!U238=1,OR($B$4="Alla lag",BEMANNINGSPLAN!J238=$B$4),OR($E$4="Alla datum",BEMANNINGSPLAN!A238=$E$4)),COUNT($O$6:O239)+1,"")</f>
        <v/>
      </c>
      <c r="P240" s="137" t="str">
        <f t="shared" si="3"/>
        <v/>
      </c>
    </row>
    <row r="241" spans="1:16" ht="27.75" customHeight="1">
      <c r="A241" s="17" t="str">
        <f>IF($P241="","",INDEX(BEMANNINGSPLAN!$A$5:$A$546,$P241))</f>
        <v/>
      </c>
      <c r="B241" s="18" t="str">
        <f>IF($P241="","",INDEX(BEMANNINGSPLAN!$B$5:$B$546,$P241))</f>
        <v/>
      </c>
      <c r="C241" s="19" t="str">
        <f>IF($P241="","",INDEX(BEMANNINGSPLAN!$C$5:$C$546,$P241))</f>
        <v/>
      </c>
      <c r="D241" s="20" t="str">
        <f>IF($P241="","",INDEX(BEMANNINGSPLAN!$D$5:$D$546,$P241))</f>
        <v/>
      </c>
      <c r="E241" s="20" t="str">
        <f>IF($P241="","",SUMIF(BEMANNINGSPLAN!$W$5:$W$546,INDEX(BEMANNINGSPLAN!$W$5:$W$546,$P241),BEMANNINGSPLAN!$X$5:$X$546))</f>
        <v/>
      </c>
      <c r="F241" s="18" t="str">
        <f>IF($P241="","",INDEX(BEMANNINGSPLAN!$J$5:$J$546,$P241))</f>
        <v/>
      </c>
      <c r="G241" s="19" t="str">
        <f>IF($P241="","",INDEX(BEMANNINGSPLAN!$AD$5:$AD$546,$P241))</f>
        <v/>
      </c>
      <c r="H241" s="18" t="str">
        <f>IF($P241="","",IF(AND(INDEX(BEMANNINGSPLAN!$Y$5:$Y$546,$P241)=1,G241&lt;&gt;"Minicafé"),"X",""))</f>
        <v/>
      </c>
      <c r="I241" s="21" t="str">
        <f>IF($P241="","",IF(INDEX(BEMANNINGSPLAN!$Y$5:$Y$546,$P241)=1,"X",""))</f>
        <v/>
      </c>
      <c r="J241" s="22" t="str">
        <f>IF($P241="","",IF(SUMIF(BEMANNINGSPLAN!$W$5:$W$546,INDEX(BEMANNINGSPLAN!$W$5:$W$546,$P241),BEMANNINGSPLAN!$Z$5:$Z$546)=1,"X",""))</f>
        <v/>
      </c>
      <c r="K241" s="23" t="str">
        <f>IF($P241="","",IFERROR(LOOKUP(2,1/((BEMANNINGSPLAN!$W$5:$W$546=INDEX(BEMANNINGSPLAN!$W$5:$W$546,$P241))*(BEMANNINGSPLAN!$L$5:$L$546&lt;&gt;"")),BEMANNINGSPLAN!$L$5:$L$546),""))</f>
        <v/>
      </c>
      <c r="L241" s="18" t="str">
        <f>IF($P241="","",INDEX(BEMANNINGSPLAN!$AE$5:$AE$546,$P241))</f>
        <v/>
      </c>
      <c r="M241" s="137"/>
      <c r="N241" s="16"/>
      <c r="O241" s="16" t="str">
        <f>IF(AND(BEMANNINGSPLAN!U239=1,OR($B$4="Alla lag",BEMANNINGSPLAN!J239=$B$4),OR($E$4="Alla datum",BEMANNINGSPLAN!A239=$E$4)),COUNT($O$6:O240)+1,"")</f>
        <v/>
      </c>
      <c r="P241" s="137" t="str">
        <f t="shared" si="3"/>
        <v/>
      </c>
    </row>
    <row r="242" spans="1:16" ht="27.75" customHeight="1">
      <c r="A242" s="17" t="str">
        <f>IF($P242="","",INDEX(BEMANNINGSPLAN!$A$5:$A$546,$P242))</f>
        <v/>
      </c>
      <c r="B242" s="18" t="str">
        <f>IF($P242="","",INDEX(BEMANNINGSPLAN!$B$5:$B$546,$P242))</f>
        <v/>
      </c>
      <c r="C242" s="19" t="str">
        <f>IF($P242="","",INDEX(BEMANNINGSPLAN!$C$5:$C$546,$P242))</f>
        <v/>
      </c>
      <c r="D242" s="20" t="str">
        <f>IF($P242="","",INDEX(BEMANNINGSPLAN!$D$5:$D$546,$P242))</f>
        <v/>
      </c>
      <c r="E242" s="20" t="str">
        <f>IF($P242="","",SUMIF(BEMANNINGSPLAN!$W$5:$W$546,INDEX(BEMANNINGSPLAN!$W$5:$W$546,$P242),BEMANNINGSPLAN!$X$5:$X$546))</f>
        <v/>
      </c>
      <c r="F242" s="18" t="str">
        <f>IF($P242="","",INDEX(BEMANNINGSPLAN!$J$5:$J$546,$P242))</f>
        <v/>
      </c>
      <c r="G242" s="19" t="str">
        <f>IF($P242="","",INDEX(BEMANNINGSPLAN!$AD$5:$AD$546,$P242))</f>
        <v/>
      </c>
      <c r="H242" s="18" t="str">
        <f>IF($P242="","",IF(AND(INDEX(BEMANNINGSPLAN!$Y$5:$Y$546,$P242)=1,G242&lt;&gt;"Minicafé"),"X",""))</f>
        <v/>
      </c>
      <c r="I242" s="21" t="str">
        <f>IF($P242="","",IF(INDEX(BEMANNINGSPLAN!$Y$5:$Y$546,$P242)=1,"X",""))</f>
        <v/>
      </c>
      <c r="J242" s="22" t="str">
        <f>IF($P242="","",IF(SUMIF(BEMANNINGSPLAN!$W$5:$W$546,INDEX(BEMANNINGSPLAN!$W$5:$W$546,$P242),BEMANNINGSPLAN!$Z$5:$Z$546)=1,"X",""))</f>
        <v/>
      </c>
      <c r="K242" s="23" t="str">
        <f>IF($P242="","",IFERROR(LOOKUP(2,1/((BEMANNINGSPLAN!$W$5:$W$546=INDEX(BEMANNINGSPLAN!$W$5:$W$546,$P242))*(BEMANNINGSPLAN!$L$5:$L$546&lt;&gt;"")),BEMANNINGSPLAN!$L$5:$L$546),""))</f>
        <v/>
      </c>
      <c r="L242" s="18" t="str">
        <f>IF($P242="","",INDEX(BEMANNINGSPLAN!$AE$5:$AE$546,$P242))</f>
        <v/>
      </c>
      <c r="M242" s="137"/>
      <c r="N242" s="16"/>
      <c r="O242" s="16" t="str">
        <f>IF(AND(BEMANNINGSPLAN!U240=1,OR($B$4="Alla lag",BEMANNINGSPLAN!J240=$B$4),OR($E$4="Alla datum",BEMANNINGSPLAN!A240=$E$4)),COUNT($O$6:O241)+1,"")</f>
        <v/>
      </c>
      <c r="P242" s="137" t="str">
        <f t="shared" si="3"/>
        <v/>
      </c>
    </row>
    <row r="243" spans="1:16" ht="27.75" customHeight="1">
      <c r="A243" s="17" t="str">
        <f>IF($P243="","",INDEX(BEMANNINGSPLAN!$A$5:$A$546,$P243))</f>
        <v/>
      </c>
      <c r="B243" s="18" t="str">
        <f>IF($P243="","",INDEX(BEMANNINGSPLAN!$B$5:$B$546,$P243))</f>
        <v/>
      </c>
      <c r="C243" s="19" t="str">
        <f>IF($P243="","",INDEX(BEMANNINGSPLAN!$C$5:$C$546,$P243))</f>
        <v/>
      </c>
      <c r="D243" s="20" t="str">
        <f>IF($P243="","",INDEX(BEMANNINGSPLAN!$D$5:$D$546,$P243))</f>
        <v/>
      </c>
      <c r="E243" s="20" t="str">
        <f>IF($P243="","",SUMIF(BEMANNINGSPLAN!$W$5:$W$546,INDEX(BEMANNINGSPLAN!$W$5:$W$546,$P243),BEMANNINGSPLAN!$X$5:$X$546))</f>
        <v/>
      </c>
      <c r="F243" s="18" t="str">
        <f>IF($P243="","",INDEX(BEMANNINGSPLAN!$J$5:$J$546,$P243))</f>
        <v/>
      </c>
      <c r="G243" s="19" t="str">
        <f>IF($P243="","",INDEX(BEMANNINGSPLAN!$AD$5:$AD$546,$P243))</f>
        <v/>
      </c>
      <c r="H243" s="18" t="str">
        <f>IF($P243="","",IF(AND(INDEX(BEMANNINGSPLAN!$Y$5:$Y$546,$P243)=1,G243&lt;&gt;"Minicafé"),"X",""))</f>
        <v/>
      </c>
      <c r="I243" s="21" t="str">
        <f>IF($P243="","",IF(INDEX(BEMANNINGSPLAN!$Y$5:$Y$546,$P243)=1,"X",""))</f>
        <v/>
      </c>
      <c r="J243" s="22" t="str">
        <f>IF($P243="","",IF(SUMIF(BEMANNINGSPLAN!$W$5:$W$546,INDEX(BEMANNINGSPLAN!$W$5:$W$546,$P243),BEMANNINGSPLAN!$Z$5:$Z$546)=1,"X",""))</f>
        <v/>
      </c>
      <c r="K243" s="23" t="str">
        <f>IF($P243="","",IFERROR(LOOKUP(2,1/((BEMANNINGSPLAN!$W$5:$W$546=INDEX(BEMANNINGSPLAN!$W$5:$W$546,$P243))*(BEMANNINGSPLAN!$L$5:$L$546&lt;&gt;"")),BEMANNINGSPLAN!$L$5:$L$546),""))</f>
        <v/>
      </c>
      <c r="L243" s="18" t="str">
        <f>IF($P243="","",INDEX(BEMANNINGSPLAN!$AE$5:$AE$546,$P243))</f>
        <v/>
      </c>
      <c r="M243" s="137"/>
      <c r="N243" s="16"/>
      <c r="O243" s="16" t="str">
        <f>IF(AND(BEMANNINGSPLAN!U241=1,OR($B$4="Alla lag",BEMANNINGSPLAN!J241=$B$4),OR($E$4="Alla datum",BEMANNINGSPLAN!A241=$E$4)),COUNT($O$6:O242)+1,"")</f>
        <v/>
      </c>
      <c r="P243" s="137" t="str">
        <f t="shared" si="3"/>
        <v/>
      </c>
    </row>
    <row r="244" spans="1:16" ht="27.75" customHeight="1">
      <c r="A244" s="17" t="str">
        <f>IF($P244="","",INDEX(BEMANNINGSPLAN!$A$5:$A$546,$P244))</f>
        <v/>
      </c>
      <c r="B244" s="18" t="str">
        <f>IF($P244="","",INDEX(BEMANNINGSPLAN!$B$5:$B$546,$P244))</f>
        <v/>
      </c>
      <c r="C244" s="19" t="str">
        <f>IF($P244="","",INDEX(BEMANNINGSPLAN!$C$5:$C$546,$P244))</f>
        <v/>
      </c>
      <c r="D244" s="20" t="str">
        <f>IF($P244="","",INDEX(BEMANNINGSPLAN!$D$5:$D$546,$P244))</f>
        <v/>
      </c>
      <c r="E244" s="20" t="str">
        <f>IF($P244="","",SUMIF(BEMANNINGSPLAN!$W$5:$W$546,INDEX(BEMANNINGSPLAN!$W$5:$W$546,$P244),BEMANNINGSPLAN!$X$5:$X$546))</f>
        <v/>
      </c>
      <c r="F244" s="18" t="str">
        <f>IF($P244="","",INDEX(BEMANNINGSPLAN!$J$5:$J$546,$P244))</f>
        <v/>
      </c>
      <c r="G244" s="19" t="str">
        <f>IF($P244="","",INDEX(BEMANNINGSPLAN!$AD$5:$AD$546,$P244))</f>
        <v/>
      </c>
      <c r="H244" s="18" t="str">
        <f>IF($P244="","",IF(AND(INDEX(BEMANNINGSPLAN!$Y$5:$Y$546,$P244)=1,G244&lt;&gt;"Minicafé"),"X",""))</f>
        <v/>
      </c>
      <c r="I244" s="21" t="str">
        <f>IF($P244="","",IF(INDEX(BEMANNINGSPLAN!$Y$5:$Y$546,$P244)=1,"X",""))</f>
        <v/>
      </c>
      <c r="J244" s="22" t="str">
        <f>IF($P244="","",IF(SUMIF(BEMANNINGSPLAN!$W$5:$W$546,INDEX(BEMANNINGSPLAN!$W$5:$W$546,$P244),BEMANNINGSPLAN!$Z$5:$Z$546)=1,"X",""))</f>
        <v/>
      </c>
      <c r="K244" s="23" t="str">
        <f>IF($P244="","",IFERROR(LOOKUP(2,1/((BEMANNINGSPLAN!$W$5:$W$546=INDEX(BEMANNINGSPLAN!$W$5:$W$546,$P244))*(BEMANNINGSPLAN!$L$5:$L$546&lt;&gt;"")),BEMANNINGSPLAN!$L$5:$L$546),""))</f>
        <v/>
      </c>
      <c r="L244" s="18" t="str">
        <f>IF($P244="","",INDEX(BEMANNINGSPLAN!$AE$5:$AE$546,$P244))</f>
        <v/>
      </c>
      <c r="M244" s="137"/>
      <c r="N244" s="16"/>
      <c r="O244" s="16" t="str">
        <f>IF(AND(BEMANNINGSPLAN!U242=1,OR($B$4="Alla lag",BEMANNINGSPLAN!J242=$B$4),OR($E$4="Alla datum",BEMANNINGSPLAN!A242=$E$4)),COUNT($O$6:O243)+1,"")</f>
        <v/>
      </c>
      <c r="P244" s="137" t="str">
        <f t="shared" si="3"/>
        <v/>
      </c>
    </row>
    <row r="245" spans="1:16" ht="27.75" customHeight="1">
      <c r="A245" s="17" t="str">
        <f>IF($P245="","",INDEX(BEMANNINGSPLAN!$A$5:$A$546,$P245))</f>
        <v/>
      </c>
      <c r="B245" s="18" t="str">
        <f>IF($P245="","",INDEX(BEMANNINGSPLAN!$B$5:$B$546,$P245))</f>
        <v/>
      </c>
      <c r="C245" s="19" t="str">
        <f>IF($P245="","",INDEX(BEMANNINGSPLAN!$C$5:$C$546,$P245))</f>
        <v/>
      </c>
      <c r="D245" s="20" t="str">
        <f>IF($P245="","",INDEX(BEMANNINGSPLAN!$D$5:$D$546,$P245))</f>
        <v/>
      </c>
      <c r="E245" s="20" t="str">
        <f>IF($P245="","",SUMIF(BEMANNINGSPLAN!$W$5:$W$546,INDEX(BEMANNINGSPLAN!$W$5:$W$546,$P245),BEMANNINGSPLAN!$X$5:$X$546))</f>
        <v/>
      </c>
      <c r="F245" s="18" t="str">
        <f>IF($P245="","",INDEX(BEMANNINGSPLAN!$J$5:$J$546,$P245))</f>
        <v/>
      </c>
      <c r="G245" s="19" t="str">
        <f>IF($P245="","",INDEX(BEMANNINGSPLAN!$AD$5:$AD$546,$P245))</f>
        <v/>
      </c>
      <c r="H245" s="18" t="str">
        <f>IF($P245="","",IF(AND(INDEX(BEMANNINGSPLAN!$Y$5:$Y$546,$P245)=1,G245&lt;&gt;"Minicafé"),"X",""))</f>
        <v/>
      </c>
      <c r="I245" s="21" t="str">
        <f>IF($P245="","",IF(INDEX(BEMANNINGSPLAN!$Y$5:$Y$546,$P245)=1,"X",""))</f>
        <v/>
      </c>
      <c r="J245" s="22" t="str">
        <f>IF($P245="","",IF(SUMIF(BEMANNINGSPLAN!$W$5:$W$546,INDEX(BEMANNINGSPLAN!$W$5:$W$546,$P245),BEMANNINGSPLAN!$Z$5:$Z$546)=1,"X",""))</f>
        <v/>
      </c>
      <c r="K245" s="23" t="str">
        <f>IF($P245="","",IFERROR(LOOKUP(2,1/((BEMANNINGSPLAN!$W$5:$W$546=INDEX(BEMANNINGSPLAN!$W$5:$W$546,$P245))*(BEMANNINGSPLAN!$L$5:$L$546&lt;&gt;"")),BEMANNINGSPLAN!$L$5:$L$546),""))</f>
        <v/>
      </c>
      <c r="L245" s="18" t="str">
        <f>IF($P245="","",INDEX(BEMANNINGSPLAN!$AE$5:$AE$546,$P245))</f>
        <v/>
      </c>
      <c r="M245" s="137"/>
      <c r="N245" s="16"/>
      <c r="O245" s="16" t="str">
        <f>IF(AND(BEMANNINGSPLAN!U243=1,OR($B$4="Alla lag",BEMANNINGSPLAN!J243=$B$4),OR($E$4="Alla datum",BEMANNINGSPLAN!A243=$E$4)),COUNT($O$6:O244)+1,"")</f>
        <v/>
      </c>
      <c r="P245" s="137" t="str">
        <f t="shared" si="3"/>
        <v/>
      </c>
    </row>
    <row r="246" spans="1:16" ht="27.75" customHeight="1">
      <c r="A246" s="17" t="str">
        <f>IF($P246="","",INDEX(BEMANNINGSPLAN!$A$5:$A$546,$P246))</f>
        <v/>
      </c>
      <c r="B246" s="18" t="str">
        <f>IF($P246="","",INDEX(BEMANNINGSPLAN!$B$5:$B$546,$P246))</f>
        <v/>
      </c>
      <c r="C246" s="19" t="str">
        <f>IF($P246="","",INDEX(BEMANNINGSPLAN!$C$5:$C$546,$P246))</f>
        <v/>
      </c>
      <c r="D246" s="20" t="str">
        <f>IF($P246="","",INDEX(BEMANNINGSPLAN!$D$5:$D$546,$P246))</f>
        <v/>
      </c>
      <c r="E246" s="20" t="str">
        <f>IF($P246="","",SUMIF(BEMANNINGSPLAN!$W$5:$W$546,INDEX(BEMANNINGSPLAN!$W$5:$W$546,$P246),BEMANNINGSPLAN!$X$5:$X$546))</f>
        <v/>
      </c>
      <c r="F246" s="18" t="str">
        <f>IF($P246="","",INDEX(BEMANNINGSPLAN!$J$5:$J$546,$P246))</f>
        <v/>
      </c>
      <c r="G246" s="19" t="str">
        <f>IF($P246="","",INDEX(BEMANNINGSPLAN!$AD$5:$AD$546,$P246))</f>
        <v/>
      </c>
      <c r="H246" s="18" t="str">
        <f>IF($P246="","",IF(AND(INDEX(BEMANNINGSPLAN!$Y$5:$Y$546,$P246)=1,G246&lt;&gt;"Minicafé"),"X",""))</f>
        <v/>
      </c>
      <c r="I246" s="21" t="str">
        <f>IF($P246="","",IF(INDEX(BEMANNINGSPLAN!$Y$5:$Y$546,$P246)=1,"X",""))</f>
        <v/>
      </c>
      <c r="J246" s="22" t="str">
        <f>IF($P246="","",IF(SUMIF(BEMANNINGSPLAN!$W$5:$W$546,INDEX(BEMANNINGSPLAN!$W$5:$W$546,$P246),BEMANNINGSPLAN!$Z$5:$Z$546)=1,"X",""))</f>
        <v/>
      </c>
      <c r="K246" s="23" t="str">
        <f>IF($P246="","",IFERROR(LOOKUP(2,1/((BEMANNINGSPLAN!$W$5:$W$546=INDEX(BEMANNINGSPLAN!$W$5:$W$546,$P246))*(BEMANNINGSPLAN!$L$5:$L$546&lt;&gt;"")),BEMANNINGSPLAN!$L$5:$L$546),""))</f>
        <v/>
      </c>
      <c r="L246" s="18" t="str">
        <f>IF($P246="","",INDEX(BEMANNINGSPLAN!$AE$5:$AE$546,$P246))</f>
        <v/>
      </c>
      <c r="M246" s="137"/>
      <c r="N246" s="16"/>
      <c r="O246" s="16" t="str">
        <f>IF(AND(BEMANNINGSPLAN!U244=1,OR($B$4="Alla lag",BEMANNINGSPLAN!J244=$B$4),OR($E$4="Alla datum",BEMANNINGSPLAN!A244=$E$4)),COUNT($O$6:O245)+1,"")</f>
        <v/>
      </c>
      <c r="P246" s="137" t="str">
        <f t="shared" si="3"/>
        <v/>
      </c>
    </row>
    <row r="247" spans="1:16" ht="27.75" customHeight="1">
      <c r="A247" s="17" t="str">
        <f>IF($P247="","",INDEX(BEMANNINGSPLAN!$A$5:$A$546,$P247))</f>
        <v/>
      </c>
      <c r="B247" s="18" t="str">
        <f>IF($P247="","",INDEX(BEMANNINGSPLAN!$B$5:$B$546,$P247))</f>
        <v/>
      </c>
      <c r="C247" s="19" t="str">
        <f>IF($P247="","",INDEX(BEMANNINGSPLAN!$C$5:$C$546,$P247))</f>
        <v/>
      </c>
      <c r="D247" s="20" t="str">
        <f>IF($P247="","",INDEX(BEMANNINGSPLAN!$D$5:$D$546,$P247))</f>
        <v/>
      </c>
      <c r="E247" s="20" t="str">
        <f>IF($P247="","",SUMIF(BEMANNINGSPLAN!$W$5:$W$546,INDEX(BEMANNINGSPLAN!$W$5:$W$546,$P247),BEMANNINGSPLAN!$X$5:$X$546))</f>
        <v/>
      </c>
      <c r="F247" s="18" t="str">
        <f>IF($P247="","",INDEX(BEMANNINGSPLAN!$J$5:$J$546,$P247))</f>
        <v/>
      </c>
      <c r="G247" s="19" t="str">
        <f>IF($P247="","",INDEX(BEMANNINGSPLAN!$AD$5:$AD$546,$P247))</f>
        <v/>
      </c>
      <c r="H247" s="18" t="str">
        <f>IF($P247="","",IF(AND(INDEX(BEMANNINGSPLAN!$Y$5:$Y$546,$P247)=1,G247&lt;&gt;"Minicafé"),"X",""))</f>
        <v/>
      </c>
      <c r="I247" s="21" t="str">
        <f>IF($P247="","",IF(INDEX(BEMANNINGSPLAN!$Y$5:$Y$546,$P247)=1,"X",""))</f>
        <v/>
      </c>
      <c r="J247" s="22" t="str">
        <f>IF($P247="","",IF(SUMIF(BEMANNINGSPLAN!$W$5:$W$546,INDEX(BEMANNINGSPLAN!$W$5:$W$546,$P247),BEMANNINGSPLAN!$Z$5:$Z$546)=1,"X",""))</f>
        <v/>
      </c>
      <c r="K247" s="23" t="str">
        <f>IF($P247="","",IFERROR(LOOKUP(2,1/((BEMANNINGSPLAN!$W$5:$W$546=INDEX(BEMANNINGSPLAN!$W$5:$W$546,$P247))*(BEMANNINGSPLAN!$L$5:$L$546&lt;&gt;"")),BEMANNINGSPLAN!$L$5:$L$546),""))</f>
        <v/>
      </c>
      <c r="L247" s="18" t="str">
        <f>IF($P247="","",INDEX(BEMANNINGSPLAN!$AE$5:$AE$546,$P247))</f>
        <v/>
      </c>
      <c r="M247" s="137"/>
      <c r="N247" s="16"/>
      <c r="O247" s="16">
        <f>IF(AND(BEMANNINGSPLAN!U245=1,OR($B$4="Alla lag",BEMANNINGSPLAN!J245=$B$4),OR($E$4="Alla datum",BEMANNINGSPLAN!A245=$E$4)),COUNT($O$6:O246)+1,"")</f>
        <v>28</v>
      </c>
      <c r="P247" s="137" t="str">
        <f t="shared" si="3"/>
        <v/>
      </c>
    </row>
    <row r="248" spans="1:16" ht="27.75" customHeight="1">
      <c r="A248" s="17" t="str">
        <f>IF($P248="","",INDEX(BEMANNINGSPLAN!$A$5:$A$546,$P248))</f>
        <v/>
      </c>
      <c r="B248" s="18" t="str">
        <f>IF($P248="","",INDEX(BEMANNINGSPLAN!$B$5:$B$546,$P248))</f>
        <v/>
      </c>
      <c r="C248" s="19" t="str">
        <f>IF($P248="","",INDEX(BEMANNINGSPLAN!$C$5:$C$546,$P248))</f>
        <v/>
      </c>
      <c r="D248" s="20" t="str">
        <f>IF($P248="","",INDEX(BEMANNINGSPLAN!$D$5:$D$546,$P248))</f>
        <v/>
      </c>
      <c r="E248" s="20" t="str">
        <f>IF($P248="","",SUMIF(BEMANNINGSPLAN!$W$5:$W$546,INDEX(BEMANNINGSPLAN!$W$5:$W$546,$P248),BEMANNINGSPLAN!$X$5:$X$546))</f>
        <v/>
      </c>
      <c r="F248" s="18" t="str">
        <f>IF($P248="","",INDEX(BEMANNINGSPLAN!$J$5:$J$546,$P248))</f>
        <v/>
      </c>
      <c r="G248" s="19" t="str">
        <f>IF($P248="","",INDEX(BEMANNINGSPLAN!$AD$5:$AD$546,$P248))</f>
        <v/>
      </c>
      <c r="H248" s="18" t="str">
        <f>IF($P248="","",IF(AND(INDEX(BEMANNINGSPLAN!$Y$5:$Y$546,$P248)=1,G248&lt;&gt;"Minicafé"),"X",""))</f>
        <v/>
      </c>
      <c r="I248" s="21" t="str">
        <f>IF($P248="","",IF(INDEX(BEMANNINGSPLAN!$Y$5:$Y$546,$P248)=1,"X",""))</f>
        <v/>
      </c>
      <c r="J248" s="22" t="str">
        <f>IF($P248="","",IF(SUMIF(BEMANNINGSPLAN!$W$5:$W$546,INDEX(BEMANNINGSPLAN!$W$5:$W$546,$P248),BEMANNINGSPLAN!$Z$5:$Z$546)=1,"X",""))</f>
        <v/>
      </c>
      <c r="K248" s="23" t="str">
        <f>IF($P248="","",IFERROR(LOOKUP(2,1/((BEMANNINGSPLAN!$W$5:$W$546=INDEX(BEMANNINGSPLAN!$W$5:$W$546,$P248))*(BEMANNINGSPLAN!$L$5:$L$546&lt;&gt;"")),BEMANNINGSPLAN!$L$5:$L$546),""))</f>
        <v/>
      </c>
      <c r="L248" s="18" t="str">
        <f>IF($P248="","",INDEX(BEMANNINGSPLAN!$AE$5:$AE$546,$P248))</f>
        <v/>
      </c>
      <c r="M248" s="137"/>
      <c r="N248" s="16"/>
      <c r="O248" s="16" t="str">
        <f>IF(AND(BEMANNINGSPLAN!U246=1,OR($B$4="Alla lag",BEMANNINGSPLAN!J246=$B$4),OR($E$4="Alla datum",BEMANNINGSPLAN!A246=$E$4)),COUNT($O$6:O247)+1,"")</f>
        <v/>
      </c>
      <c r="P248" s="137" t="str">
        <f t="shared" si="3"/>
        <v/>
      </c>
    </row>
    <row r="249" spans="1:16" ht="27.75" customHeight="1">
      <c r="A249" s="17" t="str">
        <f>IF($P249="","",INDEX(BEMANNINGSPLAN!$A$5:$A$546,$P249))</f>
        <v/>
      </c>
      <c r="B249" s="18" t="str">
        <f>IF($P249="","",INDEX(BEMANNINGSPLAN!$B$5:$B$546,$P249))</f>
        <v/>
      </c>
      <c r="C249" s="19" t="str">
        <f>IF($P249="","",INDEX(BEMANNINGSPLAN!$C$5:$C$546,$P249))</f>
        <v/>
      </c>
      <c r="D249" s="20" t="str">
        <f>IF($P249="","",INDEX(BEMANNINGSPLAN!$D$5:$D$546,$P249))</f>
        <v/>
      </c>
      <c r="E249" s="20" t="str">
        <f>IF($P249="","",SUMIF(BEMANNINGSPLAN!$W$5:$W$546,INDEX(BEMANNINGSPLAN!$W$5:$W$546,$P249),BEMANNINGSPLAN!$X$5:$X$546))</f>
        <v/>
      </c>
      <c r="F249" s="18" t="str">
        <f>IF($P249="","",INDEX(BEMANNINGSPLAN!$J$5:$J$546,$P249))</f>
        <v/>
      </c>
      <c r="G249" s="19" t="str">
        <f>IF($P249="","",INDEX(BEMANNINGSPLAN!$AD$5:$AD$546,$P249))</f>
        <v/>
      </c>
      <c r="H249" s="18" t="str">
        <f>IF($P249="","",IF(AND(INDEX(BEMANNINGSPLAN!$Y$5:$Y$546,$P249)=1,G249&lt;&gt;"Minicafé"),"X",""))</f>
        <v/>
      </c>
      <c r="I249" s="21" t="str">
        <f>IF($P249="","",IF(INDEX(BEMANNINGSPLAN!$Y$5:$Y$546,$P249)=1,"X",""))</f>
        <v/>
      </c>
      <c r="J249" s="22" t="str">
        <f>IF($P249="","",IF(SUMIF(BEMANNINGSPLAN!$W$5:$W$546,INDEX(BEMANNINGSPLAN!$W$5:$W$546,$P249),BEMANNINGSPLAN!$Z$5:$Z$546)=1,"X",""))</f>
        <v/>
      </c>
      <c r="K249" s="23" t="str">
        <f>IF($P249="","",IFERROR(LOOKUP(2,1/((BEMANNINGSPLAN!$W$5:$W$546=INDEX(BEMANNINGSPLAN!$W$5:$W$546,$P249))*(BEMANNINGSPLAN!$L$5:$L$546&lt;&gt;"")),BEMANNINGSPLAN!$L$5:$L$546),""))</f>
        <v/>
      </c>
      <c r="L249" s="18" t="str">
        <f>IF($P249="","",INDEX(BEMANNINGSPLAN!$AE$5:$AE$546,$P249))</f>
        <v/>
      </c>
      <c r="M249" s="137"/>
      <c r="N249" s="16"/>
      <c r="O249" s="16" t="str">
        <f>IF(AND(BEMANNINGSPLAN!U247=1,OR($B$4="Alla lag",BEMANNINGSPLAN!J247=$B$4),OR($E$4="Alla datum",BEMANNINGSPLAN!A247=$E$4)),COUNT($O$6:O248)+1,"")</f>
        <v/>
      </c>
      <c r="P249" s="137" t="str">
        <f t="shared" si="3"/>
        <v/>
      </c>
    </row>
    <row r="250" spans="1:16" ht="27.75" customHeight="1">
      <c r="A250" s="17" t="str">
        <f>IF($P250="","",INDEX(BEMANNINGSPLAN!$A$5:$A$546,$P250))</f>
        <v/>
      </c>
      <c r="B250" s="18" t="str">
        <f>IF($P250="","",INDEX(BEMANNINGSPLAN!$B$5:$B$546,$P250))</f>
        <v/>
      </c>
      <c r="C250" s="19" t="str">
        <f>IF($P250="","",INDEX(BEMANNINGSPLAN!$C$5:$C$546,$P250))</f>
        <v/>
      </c>
      <c r="D250" s="20" t="str">
        <f>IF($P250="","",INDEX(BEMANNINGSPLAN!$D$5:$D$546,$P250))</f>
        <v/>
      </c>
      <c r="E250" s="20" t="str">
        <f>IF($P250="","",SUMIF(BEMANNINGSPLAN!$W$5:$W$546,INDEX(BEMANNINGSPLAN!$W$5:$W$546,$P250),BEMANNINGSPLAN!$X$5:$X$546))</f>
        <v/>
      </c>
      <c r="F250" s="18" t="str">
        <f>IF($P250="","",INDEX(BEMANNINGSPLAN!$J$5:$J$546,$P250))</f>
        <v/>
      </c>
      <c r="G250" s="19" t="str">
        <f>IF($P250="","",INDEX(BEMANNINGSPLAN!$AD$5:$AD$546,$P250))</f>
        <v/>
      </c>
      <c r="H250" s="18" t="str">
        <f>IF($P250="","",IF(AND(INDEX(BEMANNINGSPLAN!$Y$5:$Y$546,$P250)=1,G250&lt;&gt;"Minicafé"),"X",""))</f>
        <v/>
      </c>
      <c r="I250" s="21" t="str">
        <f>IF($P250="","",IF(INDEX(BEMANNINGSPLAN!$Y$5:$Y$546,$P250)=1,"X",""))</f>
        <v/>
      </c>
      <c r="J250" s="22" t="str">
        <f>IF($P250="","",IF(SUMIF(BEMANNINGSPLAN!$W$5:$W$546,INDEX(BEMANNINGSPLAN!$W$5:$W$546,$P250),BEMANNINGSPLAN!$Z$5:$Z$546)=1,"X",""))</f>
        <v/>
      </c>
      <c r="K250" s="23" t="str">
        <f>IF($P250="","",IFERROR(LOOKUP(2,1/((BEMANNINGSPLAN!$W$5:$W$546=INDEX(BEMANNINGSPLAN!$W$5:$W$546,$P250))*(BEMANNINGSPLAN!$L$5:$L$546&lt;&gt;"")),BEMANNINGSPLAN!$L$5:$L$546),""))</f>
        <v/>
      </c>
      <c r="L250" s="18" t="str">
        <f>IF($P250="","",INDEX(BEMANNINGSPLAN!$AE$5:$AE$546,$P250))</f>
        <v/>
      </c>
      <c r="M250" s="137"/>
      <c r="N250" s="16"/>
      <c r="O250" s="16" t="str">
        <f>IF(AND(BEMANNINGSPLAN!U248=1,OR($B$4="Alla lag",BEMANNINGSPLAN!J248=$B$4),OR($E$4="Alla datum",BEMANNINGSPLAN!A248=$E$4)),COUNT($O$6:O249)+1,"")</f>
        <v/>
      </c>
      <c r="P250" s="137" t="str">
        <f t="shared" si="3"/>
        <v/>
      </c>
    </row>
    <row r="251" spans="1:16" ht="27.75" customHeight="1">
      <c r="A251" s="17" t="str">
        <f>IF($P251="","",INDEX(BEMANNINGSPLAN!$A$5:$A$546,$P251))</f>
        <v/>
      </c>
      <c r="B251" s="18" t="str">
        <f>IF($P251="","",INDEX(BEMANNINGSPLAN!$B$5:$B$546,$P251))</f>
        <v/>
      </c>
      <c r="C251" s="19" t="str">
        <f>IF($P251="","",INDEX(BEMANNINGSPLAN!$C$5:$C$546,$P251))</f>
        <v/>
      </c>
      <c r="D251" s="20" t="str">
        <f>IF($P251="","",INDEX(BEMANNINGSPLAN!$D$5:$D$546,$P251))</f>
        <v/>
      </c>
      <c r="E251" s="20" t="str">
        <f>IF($P251="","",SUMIF(BEMANNINGSPLAN!$W$5:$W$546,INDEX(BEMANNINGSPLAN!$W$5:$W$546,$P251),BEMANNINGSPLAN!$X$5:$X$546))</f>
        <v/>
      </c>
      <c r="F251" s="18" t="str">
        <f>IF($P251="","",INDEX(BEMANNINGSPLAN!$J$5:$J$546,$P251))</f>
        <v/>
      </c>
      <c r="G251" s="19" t="str">
        <f>IF($P251="","",INDEX(BEMANNINGSPLAN!$AD$5:$AD$546,$P251))</f>
        <v/>
      </c>
      <c r="H251" s="18" t="str">
        <f>IF($P251="","",IF(AND(INDEX(BEMANNINGSPLAN!$Y$5:$Y$546,$P251)=1,G251&lt;&gt;"Minicafé"),"X",""))</f>
        <v/>
      </c>
      <c r="I251" s="21" t="str">
        <f>IF($P251="","",IF(INDEX(BEMANNINGSPLAN!$Y$5:$Y$546,$P251)=1,"X",""))</f>
        <v/>
      </c>
      <c r="J251" s="22" t="str">
        <f>IF($P251="","",IF(SUMIF(BEMANNINGSPLAN!$W$5:$W$546,INDEX(BEMANNINGSPLAN!$W$5:$W$546,$P251),BEMANNINGSPLAN!$Z$5:$Z$546)=1,"X",""))</f>
        <v/>
      </c>
      <c r="K251" s="23" t="str">
        <f>IF($P251="","",IFERROR(LOOKUP(2,1/((BEMANNINGSPLAN!$W$5:$W$546=INDEX(BEMANNINGSPLAN!$W$5:$W$546,$P251))*(BEMANNINGSPLAN!$L$5:$L$546&lt;&gt;"")),BEMANNINGSPLAN!$L$5:$L$546),""))</f>
        <v/>
      </c>
      <c r="L251" s="18" t="str">
        <f>IF($P251="","",INDEX(BEMANNINGSPLAN!$AE$5:$AE$546,$P251))</f>
        <v/>
      </c>
      <c r="M251" s="137"/>
      <c r="N251" s="16"/>
      <c r="O251" s="16" t="str">
        <f>IF(AND(BEMANNINGSPLAN!U249=1,OR($B$4="Alla lag",BEMANNINGSPLAN!J249=$B$4),OR($E$4="Alla datum",BEMANNINGSPLAN!A249=$E$4)),COUNT($O$6:O250)+1,"")</f>
        <v/>
      </c>
      <c r="P251" s="137" t="str">
        <f t="shared" si="3"/>
        <v/>
      </c>
    </row>
    <row r="252" spans="1:16" ht="27.75" customHeight="1">
      <c r="A252" s="17" t="str">
        <f>IF($P252="","",INDEX(BEMANNINGSPLAN!$A$5:$A$546,$P252))</f>
        <v/>
      </c>
      <c r="B252" s="18" t="str">
        <f>IF($P252="","",INDEX(BEMANNINGSPLAN!$B$5:$B$546,$P252))</f>
        <v/>
      </c>
      <c r="C252" s="19" t="str">
        <f>IF($P252="","",INDEX(BEMANNINGSPLAN!$C$5:$C$546,$P252))</f>
        <v/>
      </c>
      <c r="D252" s="20" t="str">
        <f>IF($P252="","",INDEX(BEMANNINGSPLAN!$D$5:$D$546,$P252))</f>
        <v/>
      </c>
      <c r="E252" s="20" t="str">
        <f>IF($P252="","",SUMIF(BEMANNINGSPLAN!$W$5:$W$546,INDEX(BEMANNINGSPLAN!$W$5:$W$546,$P252),BEMANNINGSPLAN!$X$5:$X$546))</f>
        <v/>
      </c>
      <c r="F252" s="18" t="str">
        <f>IF($P252="","",INDEX(BEMANNINGSPLAN!$J$5:$J$546,$P252))</f>
        <v/>
      </c>
      <c r="G252" s="19" t="str">
        <f>IF($P252="","",INDEX(BEMANNINGSPLAN!$AD$5:$AD$546,$P252))</f>
        <v/>
      </c>
      <c r="H252" s="18" t="str">
        <f>IF($P252="","",IF(AND(INDEX(BEMANNINGSPLAN!$Y$5:$Y$546,$P252)=1,G252&lt;&gt;"Minicafé"),"X",""))</f>
        <v/>
      </c>
      <c r="I252" s="21" t="str">
        <f>IF($P252="","",IF(INDEX(BEMANNINGSPLAN!$Y$5:$Y$546,$P252)=1,"X",""))</f>
        <v/>
      </c>
      <c r="J252" s="22" t="str">
        <f>IF($P252="","",IF(SUMIF(BEMANNINGSPLAN!$W$5:$W$546,INDEX(BEMANNINGSPLAN!$W$5:$W$546,$P252),BEMANNINGSPLAN!$Z$5:$Z$546)=1,"X",""))</f>
        <v/>
      </c>
      <c r="K252" s="23" t="str">
        <f>IF($P252="","",IFERROR(LOOKUP(2,1/((BEMANNINGSPLAN!$W$5:$W$546=INDEX(BEMANNINGSPLAN!$W$5:$W$546,$P252))*(BEMANNINGSPLAN!$L$5:$L$546&lt;&gt;"")),BEMANNINGSPLAN!$L$5:$L$546),""))</f>
        <v/>
      </c>
      <c r="L252" s="18" t="str">
        <f>IF($P252="","",INDEX(BEMANNINGSPLAN!$AE$5:$AE$546,$P252))</f>
        <v/>
      </c>
      <c r="M252" s="137"/>
      <c r="N252" s="16"/>
      <c r="O252" s="16" t="str">
        <f>IF(AND(BEMANNINGSPLAN!U250=1,OR($B$4="Alla lag",BEMANNINGSPLAN!J250=$B$4),OR($E$4="Alla datum",BEMANNINGSPLAN!A250=$E$4)),COUNT($O$6:O251)+1,"")</f>
        <v/>
      </c>
      <c r="P252" s="137" t="str">
        <f t="shared" si="3"/>
        <v/>
      </c>
    </row>
    <row r="253" spans="1:16" ht="27.75" customHeight="1">
      <c r="A253" s="17" t="str">
        <f>IF($P253="","",INDEX(BEMANNINGSPLAN!$A$5:$A$546,$P253))</f>
        <v/>
      </c>
      <c r="B253" s="18" t="str">
        <f>IF($P253="","",INDEX(BEMANNINGSPLAN!$B$5:$B$546,$P253))</f>
        <v/>
      </c>
      <c r="C253" s="19" t="str">
        <f>IF($P253="","",INDEX(BEMANNINGSPLAN!$C$5:$C$546,$P253))</f>
        <v/>
      </c>
      <c r="D253" s="20" t="str">
        <f>IF($P253="","",INDEX(BEMANNINGSPLAN!$D$5:$D$546,$P253))</f>
        <v/>
      </c>
      <c r="E253" s="20" t="str">
        <f>IF($P253="","",SUMIF(BEMANNINGSPLAN!$W$5:$W$546,INDEX(BEMANNINGSPLAN!$W$5:$W$546,$P253),BEMANNINGSPLAN!$X$5:$X$546))</f>
        <v/>
      </c>
      <c r="F253" s="18" t="str">
        <f>IF($P253="","",INDEX(BEMANNINGSPLAN!$J$5:$J$546,$P253))</f>
        <v/>
      </c>
      <c r="G253" s="19" t="str">
        <f>IF($P253="","",INDEX(BEMANNINGSPLAN!$AD$5:$AD$546,$P253))</f>
        <v/>
      </c>
      <c r="H253" s="18" t="str">
        <f>IF($P253="","",IF(AND(INDEX(BEMANNINGSPLAN!$Y$5:$Y$546,$P253)=1,G253&lt;&gt;"Minicafé"),"X",""))</f>
        <v/>
      </c>
      <c r="I253" s="21" t="str">
        <f>IF($P253="","",IF(INDEX(BEMANNINGSPLAN!$Y$5:$Y$546,$P253)=1,"X",""))</f>
        <v/>
      </c>
      <c r="J253" s="22" t="str">
        <f>IF($P253="","",IF(SUMIF(BEMANNINGSPLAN!$W$5:$W$546,INDEX(BEMANNINGSPLAN!$W$5:$W$546,$P253),BEMANNINGSPLAN!$Z$5:$Z$546)=1,"X",""))</f>
        <v/>
      </c>
      <c r="K253" s="23" t="str">
        <f>IF($P253="","",IFERROR(LOOKUP(2,1/((BEMANNINGSPLAN!$W$5:$W$546=INDEX(BEMANNINGSPLAN!$W$5:$W$546,$P253))*(BEMANNINGSPLAN!$L$5:$L$546&lt;&gt;"")),BEMANNINGSPLAN!$L$5:$L$546),""))</f>
        <v/>
      </c>
      <c r="L253" s="18" t="str">
        <f>IF($P253="","",INDEX(BEMANNINGSPLAN!$AE$5:$AE$546,$P253))</f>
        <v/>
      </c>
      <c r="M253" s="137"/>
      <c r="N253" s="16"/>
      <c r="O253" s="16" t="str">
        <f>IF(AND(BEMANNINGSPLAN!U251=1,OR($B$4="Alla lag",BEMANNINGSPLAN!J251=$B$4),OR($E$4="Alla datum",BEMANNINGSPLAN!A251=$E$4)),COUNT($O$6:O252)+1,"")</f>
        <v/>
      </c>
      <c r="P253" s="137" t="str">
        <f t="shared" si="3"/>
        <v/>
      </c>
    </row>
    <row r="254" spans="1:16" ht="27.75" customHeight="1">
      <c r="A254" s="17" t="str">
        <f>IF($P254="","",INDEX(BEMANNINGSPLAN!$A$5:$A$546,$P254))</f>
        <v/>
      </c>
      <c r="B254" s="18" t="str">
        <f>IF($P254="","",INDEX(BEMANNINGSPLAN!$B$5:$B$546,$P254))</f>
        <v/>
      </c>
      <c r="C254" s="19" t="str">
        <f>IF($P254="","",INDEX(BEMANNINGSPLAN!$C$5:$C$546,$P254))</f>
        <v/>
      </c>
      <c r="D254" s="20" t="str">
        <f>IF($P254="","",INDEX(BEMANNINGSPLAN!$D$5:$D$546,$P254))</f>
        <v/>
      </c>
      <c r="E254" s="20" t="str">
        <f>IF($P254="","",SUMIF(BEMANNINGSPLAN!$W$5:$W$546,INDEX(BEMANNINGSPLAN!$W$5:$W$546,$P254),BEMANNINGSPLAN!$X$5:$X$546))</f>
        <v/>
      </c>
      <c r="F254" s="18" t="str">
        <f>IF($P254="","",INDEX(BEMANNINGSPLAN!$J$5:$J$546,$P254))</f>
        <v/>
      </c>
      <c r="G254" s="19" t="str">
        <f>IF($P254="","",INDEX(BEMANNINGSPLAN!$AD$5:$AD$546,$P254))</f>
        <v/>
      </c>
      <c r="H254" s="18" t="str">
        <f>IF($P254="","",IF(AND(INDEX(BEMANNINGSPLAN!$Y$5:$Y$546,$P254)=1,G254&lt;&gt;"Minicafé"),"X",""))</f>
        <v/>
      </c>
      <c r="I254" s="21" t="str">
        <f>IF($P254="","",IF(INDEX(BEMANNINGSPLAN!$Y$5:$Y$546,$P254)=1,"X",""))</f>
        <v/>
      </c>
      <c r="J254" s="22" t="str">
        <f>IF($P254="","",IF(SUMIF(BEMANNINGSPLAN!$W$5:$W$546,INDEX(BEMANNINGSPLAN!$W$5:$W$546,$P254),BEMANNINGSPLAN!$Z$5:$Z$546)=1,"X",""))</f>
        <v/>
      </c>
      <c r="K254" s="23" t="str">
        <f>IF($P254="","",IFERROR(LOOKUP(2,1/((BEMANNINGSPLAN!$W$5:$W$546=INDEX(BEMANNINGSPLAN!$W$5:$W$546,$P254))*(BEMANNINGSPLAN!$L$5:$L$546&lt;&gt;"")),BEMANNINGSPLAN!$L$5:$L$546),""))</f>
        <v/>
      </c>
      <c r="L254" s="18" t="str">
        <f>IF($P254="","",INDEX(BEMANNINGSPLAN!$AE$5:$AE$546,$P254))</f>
        <v/>
      </c>
      <c r="M254" s="137"/>
      <c r="N254" s="16"/>
      <c r="O254" s="16" t="str">
        <f>IF(AND(BEMANNINGSPLAN!U252=1,OR($B$4="Alla lag",BEMANNINGSPLAN!J252=$B$4),OR($E$4="Alla datum",BEMANNINGSPLAN!A252=$E$4)),COUNT($O$6:O253)+1,"")</f>
        <v/>
      </c>
      <c r="P254" s="137" t="str">
        <f t="shared" si="3"/>
        <v/>
      </c>
    </row>
    <row r="255" spans="1:16" ht="27.75" customHeight="1">
      <c r="A255" s="17" t="str">
        <f>IF($P255="","",INDEX(BEMANNINGSPLAN!$A$5:$A$546,$P255))</f>
        <v/>
      </c>
      <c r="B255" s="18" t="str">
        <f>IF($P255="","",INDEX(BEMANNINGSPLAN!$B$5:$B$546,$P255))</f>
        <v/>
      </c>
      <c r="C255" s="19" t="str">
        <f>IF($P255="","",INDEX(BEMANNINGSPLAN!$C$5:$C$546,$P255))</f>
        <v/>
      </c>
      <c r="D255" s="20" t="str">
        <f>IF($P255="","",INDEX(BEMANNINGSPLAN!$D$5:$D$546,$P255))</f>
        <v/>
      </c>
      <c r="E255" s="20" t="str">
        <f>IF($P255="","",SUMIF(BEMANNINGSPLAN!$W$5:$W$546,INDEX(BEMANNINGSPLAN!$W$5:$W$546,$P255),BEMANNINGSPLAN!$X$5:$X$546))</f>
        <v/>
      </c>
      <c r="F255" s="18" t="str">
        <f>IF($P255="","",INDEX(BEMANNINGSPLAN!$J$5:$J$546,$P255))</f>
        <v/>
      </c>
      <c r="G255" s="19" t="str">
        <f>IF($P255="","",INDEX(BEMANNINGSPLAN!$AD$5:$AD$546,$P255))</f>
        <v/>
      </c>
      <c r="H255" s="18" t="str">
        <f>IF($P255="","",IF(AND(INDEX(BEMANNINGSPLAN!$Y$5:$Y$546,$P255)=1,G255&lt;&gt;"Minicafé"),"X",""))</f>
        <v/>
      </c>
      <c r="I255" s="21" t="str">
        <f>IF($P255="","",IF(INDEX(BEMANNINGSPLAN!$Y$5:$Y$546,$P255)=1,"X",""))</f>
        <v/>
      </c>
      <c r="J255" s="22" t="str">
        <f>IF($P255="","",IF(SUMIF(BEMANNINGSPLAN!$W$5:$W$546,INDEX(BEMANNINGSPLAN!$W$5:$W$546,$P255),BEMANNINGSPLAN!$Z$5:$Z$546)=1,"X",""))</f>
        <v/>
      </c>
      <c r="K255" s="23" t="str">
        <f>IF($P255="","",IFERROR(LOOKUP(2,1/((BEMANNINGSPLAN!$W$5:$W$546=INDEX(BEMANNINGSPLAN!$W$5:$W$546,$P255))*(BEMANNINGSPLAN!$L$5:$L$546&lt;&gt;"")),BEMANNINGSPLAN!$L$5:$L$546),""))</f>
        <v/>
      </c>
      <c r="L255" s="18" t="str">
        <f>IF($P255="","",INDEX(BEMANNINGSPLAN!$AE$5:$AE$546,$P255))</f>
        <v/>
      </c>
      <c r="M255" s="137"/>
      <c r="N255" s="16"/>
      <c r="O255" s="16" t="str">
        <f>IF(AND(BEMANNINGSPLAN!U253=1,OR($B$4="Alla lag",BEMANNINGSPLAN!J253=$B$4),OR($E$4="Alla datum",BEMANNINGSPLAN!A253=$E$4)),COUNT($O$6:O254)+1,"")</f>
        <v/>
      </c>
      <c r="P255" s="137" t="str">
        <f t="shared" si="3"/>
        <v/>
      </c>
    </row>
    <row r="256" spans="1:16" ht="27.75" customHeight="1">
      <c r="A256" s="17" t="str">
        <f>IF($P256="","",INDEX(BEMANNINGSPLAN!$A$5:$A$546,$P256))</f>
        <v/>
      </c>
      <c r="B256" s="18" t="str">
        <f>IF($P256="","",INDEX(BEMANNINGSPLAN!$B$5:$B$546,$P256))</f>
        <v/>
      </c>
      <c r="C256" s="19" t="str">
        <f>IF($P256="","",INDEX(BEMANNINGSPLAN!$C$5:$C$546,$P256))</f>
        <v/>
      </c>
      <c r="D256" s="20" t="str">
        <f>IF($P256="","",INDEX(BEMANNINGSPLAN!$D$5:$D$546,$P256))</f>
        <v/>
      </c>
      <c r="E256" s="20" t="str">
        <f>IF($P256="","",SUMIF(BEMANNINGSPLAN!$W$5:$W$546,INDEX(BEMANNINGSPLAN!$W$5:$W$546,$P256),BEMANNINGSPLAN!$X$5:$X$546))</f>
        <v/>
      </c>
      <c r="F256" s="18" t="str">
        <f>IF($P256="","",INDEX(BEMANNINGSPLAN!$J$5:$J$546,$P256))</f>
        <v/>
      </c>
      <c r="G256" s="19" t="str">
        <f>IF($P256="","",INDEX(BEMANNINGSPLAN!$AD$5:$AD$546,$P256))</f>
        <v/>
      </c>
      <c r="H256" s="18" t="str">
        <f>IF($P256="","",IF(AND(INDEX(BEMANNINGSPLAN!$Y$5:$Y$546,$P256)=1,G256&lt;&gt;"Minicafé"),"X",""))</f>
        <v/>
      </c>
      <c r="I256" s="21" t="str">
        <f>IF($P256="","",IF(INDEX(BEMANNINGSPLAN!$Y$5:$Y$546,$P256)=1,"X",""))</f>
        <v/>
      </c>
      <c r="J256" s="22" t="str">
        <f>IF($P256="","",IF(SUMIF(BEMANNINGSPLAN!$W$5:$W$546,INDEX(BEMANNINGSPLAN!$W$5:$W$546,$P256),BEMANNINGSPLAN!$Z$5:$Z$546)=1,"X",""))</f>
        <v/>
      </c>
      <c r="K256" s="23" t="str">
        <f>IF($P256="","",IFERROR(LOOKUP(2,1/((BEMANNINGSPLAN!$W$5:$W$546=INDEX(BEMANNINGSPLAN!$W$5:$W$546,$P256))*(BEMANNINGSPLAN!$L$5:$L$546&lt;&gt;"")),BEMANNINGSPLAN!$L$5:$L$546),""))</f>
        <v/>
      </c>
      <c r="L256" s="18" t="str">
        <f>IF($P256="","",INDEX(BEMANNINGSPLAN!$AE$5:$AE$546,$P256))</f>
        <v/>
      </c>
      <c r="M256" s="137"/>
      <c r="N256" s="16"/>
      <c r="O256" s="16" t="str">
        <f>IF(AND(BEMANNINGSPLAN!U254=1,OR($B$4="Alla lag",BEMANNINGSPLAN!J254=$B$4),OR($E$4="Alla datum",BEMANNINGSPLAN!A254=$E$4)),COUNT($O$6:O255)+1,"")</f>
        <v/>
      </c>
      <c r="P256" s="137" t="str">
        <f t="shared" si="3"/>
        <v/>
      </c>
    </row>
    <row r="257" spans="1:16" ht="27.75" customHeight="1">
      <c r="A257" s="17" t="str">
        <f>IF($P257="","",INDEX(BEMANNINGSPLAN!$A$5:$A$546,$P257))</f>
        <v/>
      </c>
      <c r="B257" s="18" t="str">
        <f>IF($P257="","",INDEX(BEMANNINGSPLAN!$B$5:$B$546,$P257))</f>
        <v/>
      </c>
      <c r="C257" s="19" t="str">
        <f>IF($P257="","",INDEX(BEMANNINGSPLAN!$C$5:$C$546,$P257))</f>
        <v/>
      </c>
      <c r="D257" s="20" t="str">
        <f>IF($P257="","",INDEX(BEMANNINGSPLAN!$D$5:$D$546,$P257))</f>
        <v/>
      </c>
      <c r="E257" s="20" t="str">
        <f>IF($P257="","",SUMIF(BEMANNINGSPLAN!$W$5:$W$546,INDEX(BEMANNINGSPLAN!$W$5:$W$546,$P257),BEMANNINGSPLAN!$X$5:$X$546))</f>
        <v/>
      </c>
      <c r="F257" s="18" t="str">
        <f>IF($P257="","",INDEX(BEMANNINGSPLAN!$J$5:$J$546,$P257))</f>
        <v/>
      </c>
      <c r="G257" s="19" t="str">
        <f>IF($P257="","",INDEX(BEMANNINGSPLAN!$AD$5:$AD$546,$P257))</f>
        <v/>
      </c>
      <c r="H257" s="18" t="str">
        <f>IF($P257="","",IF(AND(INDEX(BEMANNINGSPLAN!$Y$5:$Y$546,$P257)=1,G257&lt;&gt;"Minicafé"),"X",""))</f>
        <v/>
      </c>
      <c r="I257" s="21" t="str">
        <f>IF($P257="","",IF(INDEX(BEMANNINGSPLAN!$Y$5:$Y$546,$P257)=1,"X",""))</f>
        <v/>
      </c>
      <c r="J257" s="22" t="str">
        <f>IF($P257="","",IF(SUMIF(BEMANNINGSPLAN!$W$5:$W$546,INDEX(BEMANNINGSPLAN!$W$5:$W$546,$P257),BEMANNINGSPLAN!$Z$5:$Z$546)=1,"X",""))</f>
        <v/>
      </c>
      <c r="K257" s="23" t="str">
        <f>IF($P257="","",IFERROR(LOOKUP(2,1/((BEMANNINGSPLAN!$W$5:$W$546=INDEX(BEMANNINGSPLAN!$W$5:$W$546,$P257))*(BEMANNINGSPLAN!$L$5:$L$546&lt;&gt;"")),BEMANNINGSPLAN!$L$5:$L$546),""))</f>
        <v/>
      </c>
      <c r="L257" s="18" t="str">
        <f>IF($P257="","",INDEX(BEMANNINGSPLAN!$AE$5:$AE$546,$P257))</f>
        <v/>
      </c>
      <c r="M257" s="137"/>
      <c r="N257" s="16"/>
      <c r="O257" s="16" t="str">
        <f>IF(AND(BEMANNINGSPLAN!U255=1,OR($B$4="Alla lag",BEMANNINGSPLAN!J255=$B$4),OR($E$4="Alla datum",BEMANNINGSPLAN!A255=$E$4)),COUNT($O$6:O256)+1,"")</f>
        <v/>
      </c>
      <c r="P257" s="137" t="str">
        <f t="shared" si="3"/>
        <v/>
      </c>
    </row>
    <row r="258" spans="1:16" ht="27.75" customHeight="1">
      <c r="A258" s="17" t="str">
        <f>IF($P258="","",INDEX(BEMANNINGSPLAN!$A$5:$A$546,$P258))</f>
        <v/>
      </c>
      <c r="B258" s="18" t="str">
        <f>IF($P258="","",INDEX(BEMANNINGSPLAN!$B$5:$B$546,$P258))</f>
        <v/>
      </c>
      <c r="C258" s="19" t="str">
        <f>IF($P258="","",INDEX(BEMANNINGSPLAN!$C$5:$C$546,$P258))</f>
        <v/>
      </c>
      <c r="D258" s="20" t="str">
        <f>IF($P258="","",INDEX(BEMANNINGSPLAN!$D$5:$D$546,$P258))</f>
        <v/>
      </c>
      <c r="E258" s="20" t="str">
        <f>IF($P258="","",SUMIF(BEMANNINGSPLAN!$W$5:$W$546,INDEX(BEMANNINGSPLAN!$W$5:$W$546,$P258),BEMANNINGSPLAN!$X$5:$X$546))</f>
        <v/>
      </c>
      <c r="F258" s="18" t="str">
        <f>IF($P258="","",INDEX(BEMANNINGSPLAN!$J$5:$J$546,$P258))</f>
        <v/>
      </c>
      <c r="G258" s="19" t="str">
        <f>IF($P258="","",INDEX(BEMANNINGSPLAN!$AD$5:$AD$546,$P258))</f>
        <v/>
      </c>
      <c r="H258" s="18" t="str">
        <f>IF($P258="","",IF(AND(INDEX(BEMANNINGSPLAN!$Y$5:$Y$546,$P258)=1,G258&lt;&gt;"Minicafé"),"X",""))</f>
        <v/>
      </c>
      <c r="I258" s="21" t="str">
        <f>IF($P258="","",IF(INDEX(BEMANNINGSPLAN!$Y$5:$Y$546,$P258)=1,"X",""))</f>
        <v/>
      </c>
      <c r="J258" s="22" t="str">
        <f>IF($P258="","",IF(SUMIF(BEMANNINGSPLAN!$W$5:$W$546,INDEX(BEMANNINGSPLAN!$W$5:$W$546,$P258),BEMANNINGSPLAN!$Z$5:$Z$546)=1,"X",""))</f>
        <v/>
      </c>
      <c r="K258" s="23" t="str">
        <f>IF($P258="","",IFERROR(LOOKUP(2,1/((BEMANNINGSPLAN!$W$5:$W$546=INDEX(BEMANNINGSPLAN!$W$5:$W$546,$P258))*(BEMANNINGSPLAN!$L$5:$L$546&lt;&gt;"")),BEMANNINGSPLAN!$L$5:$L$546),""))</f>
        <v/>
      </c>
      <c r="L258" s="18" t="str">
        <f>IF($P258="","",INDEX(BEMANNINGSPLAN!$AE$5:$AE$546,$P258))</f>
        <v/>
      </c>
      <c r="M258" s="137"/>
      <c r="N258" s="16"/>
      <c r="O258" s="16" t="str">
        <f>IF(AND(BEMANNINGSPLAN!U256=1,OR($B$4="Alla lag",BEMANNINGSPLAN!J256=$B$4),OR($E$4="Alla datum",BEMANNINGSPLAN!A256=$E$4)),COUNT($O$6:O257)+1,"")</f>
        <v/>
      </c>
      <c r="P258" s="137" t="str">
        <f t="shared" si="3"/>
        <v/>
      </c>
    </row>
    <row r="259" spans="1:16" ht="27.75" customHeight="1">
      <c r="A259" s="17" t="str">
        <f>IF($P259="","",INDEX(BEMANNINGSPLAN!$A$5:$A$546,$P259))</f>
        <v/>
      </c>
      <c r="B259" s="18" t="str">
        <f>IF($P259="","",INDEX(BEMANNINGSPLAN!$B$5:$B$546,$P259))</f>
        <v/>
      </c>
      <c r="C259" s="19" t="str">
        <f>IF($P259="","",INDEX(BEMANNINGSPLAN!$C$5:$C$546,$P259))</f>
        <v/>
      </c>
      <c r="D259" s="20" t="str">
        <f>IF($P259="","",INDEX(BEMANNINGSPLAN!$D$5:$D$546,$P259))</f>
        <v/>
      </c>
      <c r="E259" s="20" t="str">
        <f>IF($P259="","",SUMIF(BEMANNINGSPLAN!$W$5:$W$546,INDEX(BEMANNINGSPLAN!$W$5:$W$546,$P259),BEMANNINGSPLAN!$X$5:$X$546))</f>
        <v/>
      </c>
      <c r="F259" s="18" t="str">
        <f>IF($P259="","",INDEX(BEMANNINGSPLAN!$J$5:$J$546,$P259))</f>
        <v/>
      </c>
      <c r="G259" s="19" t="str">
        <f>IF($P259="","",INDEX(BEMANNINGSPLAN!$AD$5:$AD$546,$P259))</f>
        <v/>
      </c>
      <c r="H259" s="18" t="str">
        <f>IF($P259="","",IF(AND(INDEX(BEMANNINGSPLAN!$Y$5:$Y$546,$P259)=1,G259&lt;&gt;"Minicafé"),"X",""))</f>
        <v/>
      </c>
      <c r="I259" s="21" t="str">
        <f>IF($P259="","",IF(INDEX(BEMANNINGSPLAN!$Y$5:$Y$546,$P259)=1,"X",""))</f>
        <v/>
      </c>
      <c r="J259" s="22" t="str">
        <f>IF($P259="","",IF(SUMIF(BEMANNINGSPLAN!$W$5:$W$546,INDEX(BEMANNINGSPLAN!$W$5:$W$546,$P259),BEMANNINGSPLAN!$Z$5:$Z$546)=1,"X",""))</f>
        <v/>
      </c>
      <c r="K259" s="23" t="str">
        <f>IF($P259="","",IFERROR(LOOKUP(2,1/((BEMANNINGSPLAN!$W$5:$W$546=INDEX(BEMANNINGSPLAN!$W$5:$W$546,$P259))*(BEMANNINGSPLAN!$L$5:$L$546&lt;&gt;"")),BEMANNINGSPLAN!$L$5:$L$546),""))</f>
        <v/>
      </c>
      <c r="L259" s="18" t="str">
        <f>IF($P259="","",INDEX(BEMANNINGSPLAN!$AE$5:$AE$546,$P259))</f>
        <v/>
      </c>
      <c r="M259" s="137"/>
      <c r="N259" s="16"/>
      <c r="O259" s="16" t="str">
        <f>IF(AND(BEMANNINGSPLAN!U257=1,OR($B$4="Alla lag",BEMANNINGSPLAN!J257=$B$4),OR($E$4="Alla datum",BEMANNINGSPLAN!A257=$E$4)),COUNT($O$6:O258)+1,"")</f>
        <v/>
      </c>
      <c r="P259" s="137" t="str">
        <f t="shared" si="3"/>
        <v/>
      </c>
    </row>
    <row r="260" spans="1:16" ht="27.75" customHeight="1">
      <c r="A260" s="17" t="str">
        <f>IF($P260="","",INDEX(BEMANNINGSPLAN!$A$5:$A$546,$P260))</f>
        <v/>
      </c>
      <c r="B260" s="18" t="str">
        <f>IF($P260="","",INDEX(BEMANNINGSPLAN!$B$5:$B$546,$P260))</f>
        <v/>
      </c>
      <c r="C260" s="19" t="str">
        <f>IF($P260="","",INDEX(BEMANNINGSPLAN!$C$5:$C$546,$P260))</f>
        <v/>
      </c>
      <c r="D260" s="20" t="str">
        <f>IF($P260="","",INDEX(BEMANNINGSPLAN!$D$5:$D$546,$P260))</f>
        <v/>
      </c>
      <c r="E260" s="20" t="str">
        <f>IF($P260="","",SUMIF(BEMANNINGSPLAN!$W$5:$W$546,INDEX(BEMANNINGSPLAN!$W$5:$W$546,$P260),BEMANNINGSPLAN!$X$5:$X$546))</f>
        <v/>
      </c>
      <c r="F260" s="18" t="str">
        <f>IF($P260="","",INDEX(BEMANNINGSPLAN!$J$5:$J$546,$P260))</f>
        <v/>
      </c>
      <c r="G260" s="19" t="str">
        <f>IF($P260="","",INDEX(BEMANNINGSPLAN!$AD$5:$AD$546,$P260))</f>
        <v/>
      </c>
      <c r="H260" s="18" t="str">
        <f>IF($P260="","",IF(AND(INDEX(BEMANNINGSPLAN!$Y$5:$Y$546,$P260)=1,G260&lt;&gt;"Minicafé"),"X",""))</f>
        <v/>
      </c>
      <c r="I260" s="21" t="str">
        <f>IF($P260="","",IF(INDEX(BEMANNINGSPLAN!$Y$5:$Y$546,$P260)=1,"X",""))</f>
        <v/>
      </c>
      <c r="J260" s="22" t="str">
        <f>IF($P260="","",IF(SUMIF(BEMANNINGSPLAN!$W$5:$W$546,INDEX(BEMANNINGSPLAN!$W$5:$W$546,$P260),BEMANNINGSPLAN!$Z$5:$Z$546)=1,"X",""))</f>
        <v/>
      </c>
      <c r="K260" s="23" t="str">
        <f>IF($P260="","",IFERROR(LOOKUP(2,1/((BEMANNINGSPLAN!$W$5:$W$546=INDEX(BEMANNINGSPLAN!$W$5:$W$546,$P260))*(BEMANNINGSPLAN!$L$5:$L$546&lt;&gt;"")),BEMANNINGSPLAN!$L$5:$L$546),""))</f>
        <v/>
      </c>
      <c r="L260" s="18" t="str">
        <f>IF($P260="","",INDEX(BEMANNINGSPLAN!$AE$5:$AE$546,$P260))</f>
        <v/>
      </c>
      <c r="M260" s="137"/>
      <c r="N260" s="16"/>
      <c r="O260" s="16" t="str">
        <f>IF(AND(BEMANNINGSPLAN!U258=1,OR($B$4="Alla lag",BEMANNINGSPLAN!J258=$B$4),OR($E$4="Alla datum",BEMANNINGSPLAN!A258=$E$4)),COUNT($O$6:O259)+1,"")</f>
        <v/>
      </c>
      <c r="P260" s="137" t="str">
        <f t="shared" si="3"/>
        <v/>
      </c>
    </row>
    <row r="261" spans="1:16" ht="27.75" customHeight="1">
      <c r="A261" s="17" t="str">
        <f>IF($P261="","",INDEX(BEMANNINGSPLAN!$A$5:$A$546,$P261))</f>
        <v/>
      </c>
      <c r="B261" s="18" t="str">
        <f>IF($P261="","",INDEX(BEMANNINGSPLAN!$B$5:$B$546,$P261))</f>
        <v/>
      </c>
      <c r="C261" s="19" t="str">
        <f>IF($P261="","",INDEX(BEMANNINGSPLAN!$C$5:$C$546,$P261))</f>
        <v/>
      </c>
      <c r="D261" s="20" t="str">
        <f>IF($P261="","",INDEX(BEMANNINGSPLAN!$D$5:$D$546,$P261))</f>
        <v/>
      </c>
      <c r="E261" s="20" t="str">
        <f>IF($P261="","",SUMIF(BEMANNINGSPLAN!$W$5:$W$546,INDEX(BEMANNINGSPLAN!$W$5:$W$546,$P261),BEMANNINGSPLAN!$X$5:$X$546))</f>
        <v/>
      </c>
      <c r="F261" s="18" t="str">
        <f>IF($P261="","",INDEX(BEMANNINGSPLAN!$J$5:$J$546,$P261))</f>
        <v/>
      </c>
      <c r="G261" s="19" t="str">
        <f>IF($P261="","",INDEX(BEMANNINGSPLAN!$AD$5:$AD$546,$P261))</f>
        <v/>
      </c>
      <c r="H261" s="18" t="str">
        <f>IF($P261="","",IF(AND(INDEX(BEMANNINGSPLAN!$Y$5:$Y$546,$P261)=1,G261&lt;&gt;"Minicafé"),"X",""))</f>
        <v/>
      </c>
      <c r="I261" s="21" t="str">
        <f>IF($P261="","",IF(INDEX(BEMANNINGSPLAN!$Y$5:$Y$546,$P261)=1,"X",""))</f>
        <v/>
      </c>
      <c r="J261" s="22" t="str">
        <f>IF($P261="","",IF(SUMIF(BEMANNINGSPLAN!$W$5:$W$546,INDEX(BEMANNINGSPLAN!$W$5:$W$546,$P261),BEMANNINGSPLAN!$Z$5:$Z$546)=1,"X",""))</f>
        <v/>
      </c>
      <c r="K261" s="23" t="str">
        <f>IF($P261="","",IFERROR(LOOKUP(2,1/((BEMANNINGSPLAN!$W$5:$W$546=INDEX(BEMANNINGSPLAN!$W$5:$W$546,$P261))*(BEMANNINGSPLAN!$L$5:$L$546&lt;&gt;"")),BEMANNINGSPLAN!$L$5:$L$546),""))</f>
        <v/>
      </c>
      <c r="L261" s="18" t="str">
        <f>IF($P261="","",INDEX(BEMANNINGSPLAN!$AE$5:$AE$546,$P261))</f>
        <v/>
      </c>
      <c r="M261" s="137"/>
      <c r="N261" s="16"/>
      <c r="O261" s="16">
        <f>IF(AND(BEMANNINGSPLAN!U259=1,OR($B$4="Alla lag",BEMANNINGSPLAN!J259=$B$4),OR($E$4="Alla datum",BEMANNINGSPLAN!A259=$E$4)),COUNT($O$6:O260)+1,"")</f>
        <v>29</v>
      </c>
      <c r="P261" s="137" t="str">
        <f t="shared" si="3"/>
        <v/>
      </c>
    </row>
    <row r="262" spans="1:16" ht="27.75" customHeight="1">
      <c r="A262" s="17" t="str">
        <f>IF($P262="","",INDEX(BEMANNINGSPLAN!$A$5:$A$546,$P262))</f>
        <v/>
      </c>
      <c r="B262" s="18" t="str">
        <f>IF($P262="","",INDEX(BEMANNINGSPLAN!$B$5:$B$546,$P262))</f>
        <v/>
      </c>
      <c r="C262" s="19" t="str">
        <f>IF($P262="","",INDEX(BEMANNINGSPLAN!$C$5:$C$546,$P262))</f>
        <v/>
      </c>
      <c r="D262" s="20" t="str">
        <f>IF($P262="","",INDEX(BEMANNINGSPLAN!$D$5:$D$546,$P262))</f>
        <v/>
      </c>
      <c r="E262" s="20" t="str">
        <f>IF($P262="","",SUMIF(BEMANNINGSPLAN!$W$5:$W$546,INDEX(BEMANNINGSPLAN!$W$5:$W$546,$P262),BEMANNINGSPLAN!$X$5:$X$546))</f>
        <v/>
      </c>
      <c r="F262" s="18" t="str">
        <f>IF($P262="","",INDEX(BEMANNINGSPLAN!$J$5:$J$546,$P262))</f>
        <v/>
      </c>
      <c r="G262" s="19" t="str">
        <f>IF($P262="","",INDEX(BEMANNINGSPLAN!$AD$5:$AD$546,$P262))</f>
        <v/>
      </c>
      <c r="H262" s="18" t="str">
        <f>IF($P262="","",IF(AND(INDEX(BEMANNINGSPLAN!$Y$5:$Y$546,$P262)=1,G262&lt;&gt;"Minicafé"),"X",""))</f>
        <v/>
      </c>
      <c r="I262" s="21" t="str">
        <f>IF($P262="","",IF(INDEX(BEMANNINGSPLAN!$Y$5:$Y$546,$P262)=1,"X",""))</f>
        <v/>
      </c>
      <c r="J262" s="22" t="str">
        <f>IF($P262="","",IF(SUMIF(BEMANNINGSPLAN!$W$5:$W$546,INDEX(BEMANNINGSPLAN!$W$5:$W$546,$P262),BEMANNINGSPLAN!$Z$5:$Z$546)=1,"X",""))</f>
        <v/>
      </c>
      <c r="K262" s="23" t="str">
        <f>IF($P262="","",IFERROR(LOOKUP(2,1/((BEMANNINGSPLAN!$W$5:$W$546=INDEX(BEMANNINGSPLAN!$W$5:$W$546,$P262))*(BEMANNINGSPLAN!$L$5:$L$546&lt;&gt;"")),BEMANNINGSPLAN!$L$5:$L$546),""))</f>
        <v/>
      </c>
      <c r="L262" s="18" t="str">
        <f>IF($P262="","",INDEX(BEMANNINGSPLAN!$AE$5:$AE$546,$P262))</f>
        <v/>
      </c>
      <c r="M262" s="137"/>
      <c r="N262" s="16"/>
      <c r="O262" s="16" t="str">
        <f>IF(AND(BEMANNINGSPLAN!U260=1,OR($B$4="Alla lag",BEMANNINGSPLAN!J260=$B$4),OR($E$4="Alla datum",BEMANNINGSPLAN!A260=$E$4)),COUNT($O$6:O261)+1,"")</f>
        <v/>
      </c>
      <c r="P262" s="137" t="str">
        <f t="shared" si="3"/>
        <v/>
      </c>
    </row>
    <row r="263" spans="1:16" ht="27.75" customHeight="1">
      <c r="A263" s="17" t="str">
        <f>IF($P263="","",INDEX(BEMANNINGSPLAN!$A$5:$A$546,$P263))</f>
        <v/>
      </c>
      <c r="B263" s="18" t="str">
        <f>IF($P263="","",INDEX(BEMANNINGSPLAN!$B$5:$B$546,$P263))</f>
        <v/>
      </c>
      <c r="C263" s="19" t="str">
        <f>IF($P263="","",INDEX(BEMANNINGSPLAN!$C$5:$C$546,$P263))</f>
        <v/>
      </c>
      <c r="D263" s="20" t="str">
        <f>IF($P263="","",INDEX(BEMANNINGSPLAN!$D$5:$D$546,$P263))</f>
        <v/>
      </c>
      <c r="E263" s="20" t="str">
        <f>IF($P263="","",SUMIF(BEMANNINGSPLAN!$W$5:$W$546,INDEX(BEMANNINGSPLAN!$W$5:$W$546,$P263),BEMANNINGSPLAN!$X$5:$X$546))</f>
        <v/>
      </c>
      <c r="F263" s="18" t="str">
        <f>IF($P263="","",INDEX(BEMANNINGSPLAN!$J$5:$J$546,$P263))</f>
        <v/>
      </c>
      <c r="G263" s="19" t="str">
        <f>IF($P263="","",INDEX(BEMANNINGSPLAN!$AD$5:$AD$546,$P263))</f>
        <v/>
      </c>
      <c r="H263" s="18" t="str">
        <f>IF($P263="","",IF(AND(INDEX(BEMANNINGSPLAN!$Y$5:$Y$546,$P263)=1,G263&lt;&gt;"Minicafé"),"X",""))</f>
        <v/>
      </c>
      <c r="I263" s="21" t="str">
        <f>IF($P263="","",IF(INDEX(BEMANNINGSPLAN!$Y$5:$Y$546,$P263)=1,"X",""))</f>
        <v/>
      </c>
      <c r="J263" s="22" t="str">
        <f>IF($P263="","",IF(SUMIF(BEMANNINGSPLAN!$W$5:$W$546,INDEX(BEMANNINGSPLAN!$W$5:$W$546,$P263),BEMANNINGSPLAN!$Z$5:$Z$546)=1,"X",""))</f>
        <v/>
      </c>
      <c r="K263" s="23" t="str">
        <f>IF($P263="","",IFERROR(LOOKUP(2,1/((BEMANNINGSPLAN!$W$5:$W$546=INDEX(BEMANNINGSPLAN!$W$5:$W$546,$P263))*(BEMANNINGSPLAN!$L$5:$L$546&lt;&gt;"")),BEMANNINGSPLAN!$L$5:$L$546),""))</f>
        <v/>
      </c>
      <c r="L263" s="18" t="str">
        <f>IF($P263="","",INDEX(BEMANNINGSPLAN!$AE$5:$AE$546,$P263))</f>
        <v/>
      </c>
      <c r="M263" s="137"/>
      <c r="N263" s="16"/>
      <c r="O263" s="16" t="str">
        <f>IF(AND(BEMANNINGSPLAN!U261=1,OR($B$4="Alla lag",BEMANNINGSPLAN!J261=$B$4),OR($E$4="Alla datum",BEMANNINGSPLAN!A261=$E$4)),COUNT($O$6:O262)+1,"")</f>
        <v/>
      </c>
      <c r="P263" s="137" t="str">
        <f t="shared" ref="P263:P326" si="4">IFERROR(MATCH(ROW()-ROW($P$7)+1,$O$7:$O$548,0),"")</f>
        <v/>
      </c>
    </row>
    <row r="264" spans="1:16" ht="27.75" customHeight="1">
      <c r="A264" s="17" t="str">
        <f>IF($P264="","",INDEX(BEMANNINGSPLAN!$A$5:$A$546,$P264))</f>
        <v/>
      </c>
      <c r="B264" s="18" t="str">
        <f>IF($P264="","",INDEX(BEMANNINGSPLAN!$B$5:$B$546,$P264))</f>
        <v/>
      </c>
      <c r="C264" s="19" t="str">
        <f>IF($P264="","",INDEX(BEMANNINGSPLAN!$C$5:$C$546,$P264))</f>
        <v/>
      </c>
      <c r="D264" s="20" t="str">
        <f>IF($P264="","",INDEX(BEMANNINGSPLAN!$D$5:$D$546,$P264))</f>
        <v/>
      </c>
      <c r="E264" s="20" t="str">
        <f>IF($P264="","",SUMIF(BEMANNINGSPLAN!$W$5:$W$546,INDEX(BEMANNINGSPLAN!$W$5:$W$546,$P264),BEMANNINGSPLAN!$X$5:$X$546))</f>
        <v/>
      </c>
      <c r="F264" s="18" t="str">
        <f>IF($P264="","",INDEX(BEMANNINGSPLAN!$J$5:$J$546,$P264))</f>
        <v/>
      </c>
      <c r="G264" s="19" t="str">
        <f>IF($P264="","",INDEX(BEMANNINGSPLAN!$AD$5:$AD$546,$P264))</f>
        <v/>
      </c>
      <c r="H264" s="18" t="str">
        <f>IF($P264="","",IF(AND(INDEX(BEMANNINGSPLAN!$Y$5:$Y$546,$P264)=1,G264&lt;&gt;"Minicafé"),"X",""))</f>
        <v/>
      </c>
      <c r="I264" s="21" t="str">
        <f>IF($P264="","",IF(INDEX(BEMANNINGSPLAN!$Y$5:$Y$546,$P264)=1,"X",""))</f>
        <v/>
      </c>
      <c r="J264" s="22" t="str">
        <f>IF($P264="","",IF(SUMIF(BEMANNINGSPLAN!$W$5:$W$546,INDEX(BEMANNINGSPLAN!$W$5:$W$546,$P264),BEMANNINGSPLAN!$Z$5:$Z$546)=1,"X",""))</f>
        <v/>
      </c>
      <c r="K264" s="23" t="str">
        <f>IF($P264="","",IFERROR(LOOKUP(2,1/((BEMANNINGSPLAN!$W$5:$W$546=INDEX(BEMANNINGSPLAN!$W$5:$W$546,$P264))*(BEMANNINGSPLAN!$L$5:$L$546&lt;&gt;"")),BEMANNINGSPLAN!$L$5:$L$546),""))</f>
        <v/>
      </c>
      <c r="L264" s="18" t="str">
        <f>IF($P264="","",INDEX(BEMANNINGSPLAN!$AE$5:$AE$546,$P264))</f>
        <v/>
      </c>
      <c r="M264" s="137"/>
      <c r="N264" s="16"/>
      <c r="O264" s="16" t="str">
        <f>IF(AND(BEMANNINGSPLAN!U262=1,OR($B$4="Alla lag",BEMANNINGSPLAN!J262=$B$4),OR($E$4="Alla datum",BEMANNINGSPLAN!A262=$E$4)),COUNT($O$6:O263)+1,"")</f>
        <v/>
      </c>
      <c r="P264" s="137" t="str">
        <f t="shared" si="4"/>
        <v/>
      </c>
    </row>
    <row r="265" spans="1:16" ht="27.75" customHeight="1">
      <c r="A265" s="17" t="str">
        <f>IF($P265="","",INDEX(BEMANNINGSPLAN!$A$5:$A$546,$P265))</f>
        <v/>
      </c>
      <c r="B265" s="18" t="str">
        <f>IF($P265="","",INDEX(BEMANNINGSPLAN!$B$5:$B$546,$P265))</f>
        <v/>
      </c>
      <c r="C265" s="19" t="str">
        <f>IF($P265="","",INDEX(BEMANNINGSPLAN!$C$5:$C$546,$P265))</f>
        <v/>
      </c>
      <c r="D265" s="20" t="str">
        <f>IF($P265="","",INDEX(BEMANNINGSPLAN!$D$5:$D$546,$P265))</f>
        <v/>
      </c>
      <c r="E265" s="20" t="str">
        <f>IF($P265="","",SUMIF(BEMANNINGSPLAN!$W$5:$W$546,INDEX(BEMANNINGSPLAN!$W$5:$W$546,$P265),BEMANNINGSPLAN!$X$5:$X$546))</f>
        <v/>
      </c>
      <c r="F265" s="18" t="str">
        <f>IF($P265="","",INDEX(BEMANNINGSPLAN!$J$5:$J$546,$P265))</f>
        <v/>
      </c>
      <c r="G265" s="19" t="str">
        <f>IF($P265="","",INDEX(BEMANNINGSPLAN!$AD$5:$AD$546,$P265))</f>
        <v/>
      </c>
      <c r="H265" s="18" t="str">
        <f>IF($P265="","",IF(AND(INDEX(BEMANNINGSPLAN!$Y$5:$Y$546,$P265)=1,G265&lt;&gt;"Minicafé"),"X",""))</f>
        <v/>
      </c>
      <c r="I265" s="21" t="str">
        <f>IF($P265="","",IF(INDEX(BEMANNINGSPLAN!$Y$5:$Y$546,$P265)=1,"X",""))</f>
        <v/>
      </c>
      <c r="J265" s="22" t="str">
        <f>IF($P265="","",IF(SUMIF(BEMANNINGSPLAN!$W$5:$W$546,INDEX(BEMANNINGSPLAN!$W$5:$W$546,$P265),BEMANNINGSPLAN!$Z$5:$Z$546)=1,"X",""))</f>
        <v/>
      </c>
      <c r="K265" s="23" t="str">
        <f>IF($P265="","",IFERROR(LOOKUP(2,1/((BEMANNINGSPLAN!$W$5:$W$546=INDEX(BEMANNINGSPLAN!$W$5:$W$546,$P265))*(BEMANNINGSPLAN!$L$5:$L$546&lt;&gt;"")),BEMANNINGSPLAN!$L$5:$L$546),""))</f>
        <v/>
      </c>
      <c r="L265" s="18" t="str">
        <f>IF($P265="","",INDEX(BEMANNINGSPLAN!$AE$5:$AE$546,$P265))</f>
        <v/>
      </c>
      <c r="M265" s="137"/>
      <c r="N265" s="16"/>
      <c r="O265" s="16" t="str">
        <f>IF(AND(BEMANNINGSPLAN!U263=1,OR($B$4="Alla lag",BEMANNINGSPLAN!J263=$B$4),OR($E$4="Alla datum",BEMANNINGSPLAN!A263=$E$4)),COUNT($O$6:O264)+1,"")</f>
        <v/>
      </c>
      <c r="P265" s="137" t="str">
        <f t="shared" si="4"/>
        <v/>
      </c>
    </row>
    <row r="266" spans="1:16" ht="27.75" customHeight="1">
      <c r="A266" s="17" t="str">
        <f>IF($P266="","",INDEX(BEMANNINGSPLAN!$A$5:$A$546,$P266))</f>
        <v/>
      </c>
      <c r="B266" s="18" t="str">
        <f>IF($P266="","",INDEX(BEMANNINGSPLAN!$B$5:$B$546,$P266))</f>
        <v/>
      </c>
      <c r="C266" s="19" t="str">
        <f>IF($P266="","",INDEX(BEMANNINGSPLAN!$C$5:$C$546,$P266))</f>
        <v/>
      </c>
      <c r="D266" s="20" t="str">
        <f>IF($P266="","",INDEX(BEMANNINGSPLAN!$D$5:$D$546,$P266))</f>
        <v/>
      </c>
      <c r="E266" s="20" t="str">
        <f>IF($P266="","",SUMIF(BEMANNINGSPLAN!$W$5:$W$546,INDEX(BEMANNINGSPLAN!$W$5:$W$546,$P266),BEMANNINGSPLAN!$X$5:$X$546))</f>
        <v/>
      </c>
      <c r="F266" s="18" t="str">
        <f>IF($P266="","",INDEX(BEMANNINGSPLAN!$J$5:$J$546,$P266))</f>
        <v/>
      </c>
      <c r="G266" s="19" t="str">
        <f>IF($P266="","",INDEX(BEMANNINGSPLAN!$AD$5:$AD$546,$P266))</f>
        <v/>
      </c>
      <c r="H266" s="18" t="str">
        <f>IF($P266="","",IF(AND(INDEX(BEMANNINGSPLAN!$Y$5:$Y$546,$P266)=1,G266&lt;&gt;"Minicafé"),"X",""))</f>
        <v/>
      </c>
      <c r="I266" s="21" t="str">
        <f>IF($P266="","",IF(INDEX(BEMANNINGSPLAN!$Y$5:$Y$546,$P266)=1,"X",""))</f>
        <v/>
      </c>
      <c r="J266" s="22" t="str">
        <f>IF($P266="","",IF(SUMIF(BEMANNINGSPLAN!$W$5:$W$546,INDEX(BEMANNINGSPLAN!$W$5:$W$546,$P266),BEMANNINGSPLAN!$Z$5:$Z$546)=1,"X",""))</f>
        <v/>
      </c>
      <c r="K266" s="23" t="str">
        <f>IF($P266="","",IFERROR(LOOKUP(2,1/((BEMANNINGSPLAN!$W$5:$W$546=INDEX(BEMANNINGSPLAN!$W$5:$W$546,$P266))*(BEMANNINGSPLAN!$L$5:$L$546&lt;&gt;"")),BEMANNINGSPLAN!$L$5:$L$546),""))</f>
        <v/>
      </c>
      <c r="L266" s="18" t="str">
        <f>IF($P266="","",INDEX(BEMANNINGSPLAN!$AE$5:$AE$546,$P266))</f>
        <v/>
      </c>
      <c r="M266" s="137"/>
      <c r="N266" s="16"/>
      <c r="O266" s="16" t="str">
        <f>IF(AND(BEMANNINGSPLAN!U264=1,OR($B$4="Alla lag",BEMANNINGSPLAN!J264=$B$4),OR($E$4="Alla datum",BEMANNINGSPLAN!A264=$E$4)),COUNT($O$6:O265)+1,"")</f>
        <v/>
      </c>
      <c r="P266" s="137" t="str">
        <f t="shared" si="4"/>
        <v/>
      </c>
    </row>
    <row r="267" spans="1:16" ht="27.75" customHeight="1">
      <c r="A267" s="17" t="str">
        <f>IF($P267="","",INDEX(BEMANNINGSPLAN!$A$5:$A$546,$P267))</f>
        <v/>
      </c>
      <c r="B267" s="18" t="str">
        <f>IF($P267="","",INDEX(BEMANNINGSPLAN!$B$5:$B$546,$P267))</f>
        <v/>
      </c>
      <c r="C267" s="19" t="str">
        <f>IF($P267="","",INDEX(BEMANNINGSPLAN!$C$5:$C$546,$P267))</f>
        <v/>
      </c>
      <c r="D267" s="20" t="str">
        <f>IF($P267="","",INDEX(BEMANNINGSPLAN!$D$5:$D$546,$P267))</f>
        <v/>
      </c>
      <c r="E267" s="20" t="str">
        <f>IF($P267="","",SUMIF(BEMANNINGSPLAN!$W$5:$W$546,INDEX(BEMANNINGSPLAN!$W$5:$W$546,$P267),BEMANNINGSPLAN!$X$5:$X$546))</f>
        <v/>
      </c>
      <c r="F267" s="18" t="str">
        <f>IF($P267="","",INDEX(BEMANNINGSPLAN!$J$5:$J$546,$P267))</f>
        <v/>
      </c>
      <c r="G267" s="19" t="str">
        <f>IF($P267="","",INDEX(BEMANNINGSPLAN!$AD$5:$AD$546,$P267))</f>
        <v/>
      </c>
      <c r="H267" s="18" t="str">
        <f>IF($P267="","",IF(AND(INDEX(BEMANNINGSPLAN!$Y$5:$Y$546,$P267)=1,G267&lt;&gt;"Minicafé"),"X",""))</f>
        <v/>
      </c>
      <c r="I267" s="21" t="str">
        <f>IF($P267="","",IF(INDEX(BEMANNINGSPLAN!$Y$5:$Y$546,$P267)=1,"X",""))</f>
        <v/>
      </c>
      <c r="J267" s="22" t="str">
        <f>IF($P267="","",IF(SUMIF(BEMANNINGSPLAN!$W$5:$W$546,INDEX(BEMANNINGSPLAN!$W$5:$W$546,$P267),BEMANNINGSPLAN!$Z$5:$Z$546)=1,"X",""))</f>
        <v/>
      </c>
      <c r="K267" s="23" t="str">
        <f>IF($P267="","",IFERROR(LOOKUP(2,1/((BEMANNINGSPLAN!$W$5:$W$546=INDEX(BEMANNINGSPLAN!$W$5:$W$546,$P267))*(BEMANNINGSPLAN!$L$5:$L$546&lt;&gt;"")),BEMANNINGSPLAN!$L$5:$L$546),""))</f>
        <v/>
      </c>
      <c r="L267" s="18" t="str">
        <f>IF($P267="","",INDEX(BEMANNINGSPLAN!$AE$5:$AE$546,$P267))</f>
        <v/>
      </c>
      <c r="M267" s="137"/>
      <c r="N267" s="16"/>
      <c r="O267" s="16" t="str">
        <f>IF(AND(BEMANNINGSPLAN!U265=1,OR($B$4="Alla lag",BEMANNINGSPLAN!J265=$B$4),OR($E$4="Alla datum",BEMANNINGSPLAN!A265=$E$4)),COUNT($O$6:O266)+1,"")</f>
        <v/>
      </c>
      <c r="P267" s="137" t="str">
        <f t="shared" si="4"/>
        <v/>
      </c>
    </row>
    <row r="268" spans="1:16" ht="27.75" customHeight="1">
      <c r="A268" s="17" t="str">
        <f>IF($P268="","",INDEX(BEMANNINGSPLAN!$A$5:$A$546,$P268))</f>
        <v/>
      </c>
      <c r="B268" s="18" t="str">
        <f>IF($P268="","",INDEX(BEMANNINGSPLAN!$B$5:$B$546,$P268))</f>
        <v/>
      </c>
      <c r="C268" s="19" t="str">
        <f>IF($P268="","",INDEX(BEMANNINGSPLAN!$C$5:$C$546,$P268))</f>
        <v/>
      </c>
      <c r="D268" s="20" t="str">
        <f>IF($P268="","",INDEX(BEMANNINGSPLAN!$D$5:$D$546,$P268))</f>
        <v/>
      </c>
      <c r="E268" s="20" t="str">
        <f>IF($P268="","",SUMIF(BEMANNINGSPLAN!$W$5:$W$546,INDEX(BEMANNINGSPLAN!$W$5:$W$546,$P268),BEMANNINGSPLAN!$X$5:$X$546))</f>
        <v/>
      </c>
      <c r="F268" s="18" t="str">
        <f>IF($P268="","",INDEX(BEMANNINGSPLAN!$J$5:$J$546,$P268))</f>
        <v/>
      </c>
      <c r="G268" s="19" t="str">
        <f>IF($P268="","",INDEX(BEMANNINGSPLAN!$AD$5:$AD$546,$P268))</f>
        <v/>
      </c>
      <c r="H268" s="18" t="str">
        <f>IF($P268="","",IF(AND(INDEX(BEMANNINGSPLAN!$Y$5:$Y$546,$P268)=1,G268&lt;&gt;"Minicafé"),"X",""))</f>
        <v/>
      </c>
      <c r="I268" s="21" t="str">
        <f>IF($P268="","",IF(INDEX(BEMANNINGSPLAN!$Y$5:$Y$546,$P268)=1,"X",""))</f>
        <v/>
      </c>
      <c r="J268" s="22" t="str">
        <f>IF($P268="","",IF(SUMIF(BEMANNINGSPLAN!$W$5:$W$546,INDEX(BEMANNINGSPLAN!$W$5:$W$546,$P268),BEMANNINGSPLAN!$Z$5:$Z$546)=1,"X",""))</f>
        <v/>
      </c>
      <c r="K268" s="23" t="str">
        <f>IF($P268="","",IFERROR(LOOKUP(2,1/((BEMANNINGSPLAN!$W$5:$W$546=INDEX(BEMANNINGSPLAN!$W$5:$W$546,$P268))*(BEMANNINGSPLAN!$L$5:$L$546&lt;&gt;"")),BEMANNINGSPLAN!$L$5:$L$546),""))</f>
        <v/>
      </c>
      <c r="L268" s="18" t="str">
        <f>IF($P268="","",INDEX(BEMANNINGSPLAN!$AE$5:$AE$546,$P268))</f>
        <v/>
      </c>
      <c r="M268" s="137"/>
      <c r="N268" s="16"/>
      <c r="O268" s="16" t="str">
        <f>IF(AND(BEMANNINGSPLAN!U266=1,OR($B$4="Alla lag",BEMANNINGSPLAN!J266=$B$4),OR($E$4="Alla datum",BEMANNINGSPLAN!A266=$E$4)),COUNT($O$6:O267)+1,"")</f>
        <v/>
      </c>
      <c r="P268" s="137" t="str">
        <f t="shared" si="4"/>
        <v/>
      </c>
    </row>
    <row r="269" spans="1:16" ht="27.75" customHeight="1">
      <c r="A269" s="17" t="str">
        <f>IF($P269="","",INDEX(BEMANNINGSPLAN!$A$5:$A$546,$P269))</f>
        <v/>
      </c>
      <c r="B269" s="18" t="str">
        <f>IF($P269="","",INDEX(BEMANNINGSPLAN!$B$5:$B$546,$P269))</f>
        <v/>
      </c>
      <c r="C269" s="19" t="str">
        <f>IF($P269="","",INDEX(BEMANNINGSPLAN!$C$5:$C$546,$P269))</f>
        <v/>
      </c>
      <c r="D269" s="20" t="str">
        <f>IF($P269="","",INDEX(BEMANNINGSPLAN!$D$5:$D$546,$P269))</f>
        <v/>
      </c>
      <c r="E269" s="20" t="str">
        <f>IF($P269="","",SUMIF(BEMANNINGSPLAN!$W$5:$W$546,INDEX(BEMANNINGSPLAN!$W$5:$W$546,$P269),BEMANNINGSPLAN!$X$5:$X$546))</f>
        <v/>
      </c>
      <c r="F269" s="18" t="str">
        <f>IF($P269="","",INDEX(BEMANNINGSPLAN!$J$5:$J$546,$P269))</f>
        <v/>
      </c>
      <c r="G269" s="19" t="str">
        <f>IF($P269="","",INDEX(BEMANNINGSPLAN!$AD$5:$AD$546,$P269))</f>
        <v/>
      </c>
      <c r="H269" s="18" t="str">
        <f>IF($P269="","",IF(AND(INDEX(BEMANNINGSPLAN!$Y$5:$Y$546,$P269)=1,G269&lt;&gt;"Minicafé"),"X",""))</f>
        <v/>
      </c>
      <c r="I269" s="21" t="str">
        <f>IF($P269="","",IF(INDEX(BEMANNINGSPLAN!$Y$5:$Y$546,$P269)=1,"X",""))</f>
        <v/>
      </c>
      <c r="J269" s="22" t="str">
        <f>IF($P269="","",IF(SUMIF(BEMANNINGSPLAN!$W$5:$W$546,INDEX(BEMANNINGSPLAN!$W$5:$W$546,$P269),BEMANNINGSPLAN!$Z$5:$Z$546)=1,"X",""))</f>
        <v/>
      </c>
      <c r="K269" s="23" t="str">
        <f>IF($P269="","",IFERROR(LOOKUP(2,1/((BEMANNINGSPLAN!$W$5:$W$546=INDEX(BEMANNINGSPLAN!$W$5:$W$546,$P269))*(BEMANNINGSPLAN!$L$5:$L$546&lt;&gt;"")),BEMANNINGSPLAN!$L$5:$L$546),""))</f>
        <v/>
      </c>
      <c r="L269" s="18" t="str">
        <f>IF($P269="","",INDEX(BEMANNINGSPLAN!$AE$5:$AE$546,$P269))</f>
        <v/>
      </c>
      <c r="M269" s="137"/>
      <c r="N269" s="16"/>
      <c r="O269" s="16">
        <f>IF(AND(BEMANNINGSPLAN!U267=1,OR($B$4="Alla lag",BEMANNINGSPLAN!J267=$B$4),OR($E$4="Alla datum",BEMANNINGSPLAN!A267=$E$4)),COUNT($O$6:O268)+1,"")</f>
        <v>30</v>
      </c>
      <c r="P269" s="137" t="str">
        <f t="shared" si="4"/>
        <v/>
      </c>
    </row>
    <row r="270" spans="1:16" ht="27.75" customHeight="1">
      <c r="A270" s="17" t="str">
        <f>IF($P270="","",INDEX(BEMANNINGSPLAN!$A$5:$A$546,$P270))</f>
        <v/>
      </c>
      <c r="B270" s="18" t="str">
        <f>IF($P270="","",INDEX(BEMANNINGSPLAN!$B$5:$B$546,$P270))</f>
        <v/>
      </c>
      <c r="C270" s="19" t="str">
        <f>IF($P270="","",INDEX(BEMANNINGSPLAN!$C$5:$C$546,$P270))</f>
        <v/>
      </c>
      <c r="D270" s="20" t="str">
        <f>IF($P270="","",INDEX(BEMANNINGSPLAN!$D$5:$D$546,$P270))</f>
        <v/>
      </c>
      <c r="E270" s="20" t="str">
        <f>IF($P270="","",SUMIF(BEMANNINGSPLAN!$W$5:$W$546,INDEX(BEMANNINGSPLAN!$W$5:$W$546,$P270),BEMANNINGSPLAN!$X$5:$X$546))</f>
        <v/>
      </c>
      <c r="F270" s="18" t="str">
        <f>IF($P270="","",INDEX(BEMANNINGSPLAN!$J$5:$J$546,$P270))</f>
        <v/>
      </c>
      <c r="G270" s="19" t="str">
        <f>IF($P270="","",INDEX(BEMANNINGSPLAN!$AD$5:$AD$546,$P270))</f>
        <v/>
      </c>
      <c r="H270" s="18" t="str">
        <f>IF($P270="","",IF(AND(INDEX(BEMANNINGSPLAN!$Y$5:$Y$546,$P270)=1,G270&lt;&gt;"Minicafé"),"X",""))</f>
        <v/>
      </c>
      <c r="I270" s="21" t="str">
        <f>IF($P270="","",IF(INDEX(BEMANNINGSPLAN!$Y$5:$Y$546,$P270)=1,"X",""))</f>
        <v/>
      </c>
      <c r="J270" s="22" t="str">
        <f>IF($P270="","",IF(SUMIF(BEMANNINGSPLAN!$W$5:$W$546,INDEX(BEMANNINGSPLAN!$W$5:$W$546,$P270),BEMANNINGSPLAN!$Z$5:$Z$546)=1,"X",""))</f>
        <v/>
      </c>
      <c r="K270" s="23" t="str">
        <f>IF($P270="","",IFERROR(LOOKUP(2,1/((BEMANNINGSPLAN!$W$5:$W$546=INDEX(BEMANNINGSPLAN!$W$5:$W$546,$P270))*(BEMANNINGSPLAN!$L$5:$L$546&lt;&gt;"")),BEMANNINGSPLAN!$L$5:$L$546),""))</f>
        <v/>
      </c>
      <c r="L270" s="18" t="str">
        <f>IF($P270="","",INDEX(BEMANNINGSPLAN!$AE$5:$AE$546,$P270))</f>
        <v/>
      </c>
      <c r="M270" s="137"/>
      <c r="N270" s="16"/>
      <c r="O270" s="16" t="str">
        <f>IF(AND(BEMANNINGSPLAN!U268=1,OR($B$4="Alla lag",BEMANNINGSPLAN!J268=$B$4),OR($E$4="Alla datum",BEMANNINGSPLAN!A268=$E$4)),COUNT($O$6:O269)+1,"")</f>
        <v/>
      </c>
      <c r="P270" s="137" t="str">
        <f t="shared" si="4"/>
        <v/>
      </c>
    </row>
    <row r="271" spans="1:16" ht="27.75" customHeight="1">
      <c r="A271" s="17" t="str">
        <f>IF($P271="","",INDEX(BEMANNINGSPLAN!$A$5:$A$546,$P271))</f>
        <v/>
      </c>
      <c r="B271" s="18" t="str">
        <f>IF($P271="","",INDEX(BEMANNINGSPLAN!$B$5:$B$546,$P271))</f>
        <v/>
      </c>
      <c r="C271" s="19" t="str">
        <f>IF($P271="","",INDEX(BEMANNINGSPLAN!$C$5:$C$546,$P271))</f>
        <v/>
      </c>
      <c r="D271" s="20" t="str">
        <f>IF($P271="","",INDEX(BEMANNINGSPLAN!$D$5:$D$546,$P271))</f>
        <v/>
      </c>
      <c r="E271" s="20" t="str">
        <f>IF($P271="","",SUMIF(BEMANNINGSPLAN!$W$5:$W$546,INDEX(BEMANNINGSPLAN!$W$5:$W$546,$P271),BEMANNINGSPLAN!$X$5:$X$546))</f>
        <v/>
      </c>
      <c r="F271" s="18" t="str">
        <f>IF($P271="","",INDEX(BEMANNINGSPLAN!$J$5:$J$546,$P271))</f>
        <v/>
      </c>
      <c r="G271" s="19" t="str">
        <f>IF($P271="","",INDEX(BEMANNINGSPLAN!$AD$5:$AD$546,$P271))</f>
        <v/>
      </c>
      <c r="H271" s="18" t="str">
        <f>IF($P271="","",IF(AND(INDEX(BEMANNINGSPLAN!$Y$5:$Y$546,$P271)=1,G271&lt;&gt;"Minicafé"),"X",""))</f>
        <v/>
      </c>
      <c r="I271" s="21" t="str">
        <f>IF($P271="","",IF(INDEX(BEMANNINGSPLAN!$Y$5:$Y$546,$P271)=1,"X",""))</f>
        <v/>
      </c>
      <c r="J271" s="22" t="str">
        <f>IF($P271="","",IF(SUMIF(BEMANNINGSPLAN!$W$5:$W$546,INDEX(BEMANNINGSPLAN!$W$5:$W$546,$P271),BEMANNINGSPLAN!$Z$5:$Z$546)=1,"X",""))</f>
        <v/>
      </c>
      <c r="K271" s="23" t="str">
        <f>IF($P271="","",IFERROR(LOOKUP(2,1/((BEMANNINGSPLAN!$W$5:$W$546=INDEX(BEMANNINGSPLAN!$W$5:$W$546,$P271))*(BEMANNINGSPLAN!$L$5:$L$546&lt;&gt;"")),BEMANNINGSPLAN!$L$5:$L$546),""))</f>
        <v/>
      </c>
      <c r="L271" s="18" t="str">
        <f>IF($P271="","",INDEX(BEMANNINGSPLAN!$AE$5:$AE$546,$P271))</f>
        <v/>
      </c>
      <c r="M271" s="137"/>
      <c r="N271" s="16"/>
      <c r="O271" s="16" t="str">
        <f>IF(AND(BEMANNINGSPLAN!U269=1,OR($B$4="Alla lag",BEMANNINGSPLAN!J269=$B$4),OR($E$4="Alla datum",BEMANNINGSPLAN!A269=$E$4)),COUNT($O$6:O270)+1,"")</f>
        <v/>
      </c>
      <c r="P271" s="137" t="str">
        <f t="shared" si="4"/>
        <v/>
      </c>
    </row>
    <row r="272" spans="1:16" ht="27.75" customHeight="1">
      <c r="A272" s="17" t="str">
        <f>IF($P272="","",INDEX(BEMANNINGSPLAN!$A$5:$A$546,$P272))</f>
        <v/>
      </c>
      <c r="B272" s="18" t="str">
        <f>IF($P272="","",INDEX(BEMANNINGSPLAN!$B$5:$B$546,$P272))</f>
        <v/>
      </c>
      <c r="C272" s="19" t="str">
        <f>IF($P272="","",INDEX(BEMANNINGSPLAN!$C$5:$C$546,$P272))</f>
        <v/>
      </c>
      <c r="D272" s="20" t="str">
        <f>IF($P272="","",INDEX(BEMANNINGSPLAN!$D$5:$D$546,$P272))</f>
        <v/>
      </c>
      <c r="E272" s="20" t="str">
        <f>IF($P272="","",SUMIF(BEMANNINGSPLAN!$W$5:$W$546,INDEX(BEMANNINGSPLAN!$W$5:$W$546,$P272),BEMANNINGSPLAN!$X$5:$X$546))</f>
        <v/>
      </c>
      <c r="F272" s="18" t="str">
        <f>IF($P272="","",INDEX(BEMANNINGSPLAN!$J$5:$J$546,$P272))</f>
        <v/>
      </c>
      <c r="G272" s="19" t="str">
        <f>IF($P272="","",INDEX(BEMANNINGSPLAN!$AD$5:$AD$546,$P272))</f>
        <v/>
      </c>
      <c r="H272" s="18" t="str">
        <f>IF($P272="","",IF(AND(INDEX(BEMANNINGSPLAN!$Y$5:$Y$546,$P272)=1,G272&lt;&gt;"Minicafé"),"X",""))</f>
        <v/>
      </c>
      <c r="I272" s="21" t="str">
        <f>IF($P272="","",IF(INDEX(BEMANNINGSPLAN!$Y$5:$Y$546,$P272)=1,"X",""))</f>
        <v/>
      </c>
      <c r="J272" s="22" t="str">
        <f>IF($P272="","",IF(SUMIF(BEMANNINGSPLAN!$W$5:$W$546,INDEX(BEMANNINGSPLAN!$W$5:$W$546,$P272),BEMANNINGSPLAN!$Z$5:$Z$546)=1,"X",""))</f>
        <v/>
      </c>
      <c r="K272" s="23" t="str">
        <f>IF($P272="","",IFERROR(LOOKUP(2,1/((BEMANNINGSPLAN!$W$5:$W$546=INDEX(BEMANNINGSPLAN!$W$5:$W$546,$P272))*(BEMANNINGSPLAN!$L$5:$L$546&lt;&gt;"")),BEMANNINGSPLAN!$L$5:$L$546),""))</f>
        <v/>
      </c>
      <c r="L272" s="18" t="str">
        <f>IF($P272="","",INDEX(BEMANNINGSPLAN!$AE$5:$AE$546,$P272))</f>
        <v/>
      </c>
      <c r="M272" s="137"/>
      <c r="N272" s="16"/>
      <c r="O272" s="16" t="str">
        <f>IF(AND(BEMANNINGSPLAN!U270=1,OR($B$4="Alla lag",BEMANNINGSPLAN!J270=$B$4),OR($E$4="Alla datum",BEMANNINGSPLAN!A270=$E$4)),COUNT($O$6:O271)+1,"")</f>
        <v/>
      </c>
      <c r="P272" s="137" t="str">
        <f t="shared" si="4"/>
        <v/>
      </c>
    </row>
    <row r="273" spans="1:16" ht="27.75" customHeight="1">
      <c r="A273" s="17" t="str">
        <f>IF($P273="","",INDEX(BEMANNINGSPLAN!$A$5:$A$546,$P273))</f>
        <v/>
      </c>
      <c r="B273" s="18" t="str">
        <f>IF($P273="","",INDEX(BEMANNINGSPLAN!$B$5:$B$546,$P273))</f>
        <v/>
      </c>
      <c r="C273" s="19" t="str">
        <f>IF($P273="","",INDEX(BEMANNINGSPLAN!$C$5:$C$546,$P273))</f>
        <v/>
      </c>
      <c r="D273" s="20" t="str">
        <f>IF($P273="","",INDEX(BEMANNINGSPLAN!$D$5:$D$546,$P273))</f>
        <v/>
      </c>
      <c r="E273" s="20" t="str">
        <f>IF($P273="","",SUMIF(BEMANNINGSPLAN!$W$5:$W$546,INDEX(BEMANNINGSPLAN!$W$5:$W$546,$P273),BEMANNINGSPLAN!$X$5:$X$546))</f>
        <v/>
      </c>
      <c r="F273" s="18" t="str">
        <f>IF($P273="","",INDEX(BEMANNINGSPLAN!$J$5:$J$546,$P273))</f>
        <v/>
      </c>
      <c r="G273" s="19" t="str">
        <f>IF($P273="","",INDEX(BEMANNINGSPLAN!$AD$5:$AD$546,$P273))</f>
        <v/>
      </c>
      <c r="H273" s="18" t="str">
        <f>IF($P273="","",IF(AND(INDEX(BEMANNINGSPLAN!$Y$5:$Y$546,$P273)=1,G273&lt;&gt;"Minicafé"),"X",""))</f>
        <v/>
      </c>
      <c r="I273" s="21" t="str">
        <f>IF($P273="","",IF(INDEX(BEMANNINGSPLAN!$Y$5:$Y$546,$P273)=1,"X",""))</f>
        <v/>
      </c>
      <c r="J273" s="22" t="str">
        <f>IF($P273="","",IF(SUMIF(BEMANNINGSPLAN!$W$5:$W$546,INDEX(BEMANNINGSPLAN!$W$5:$W$546,$P273),BEMANNINGSPLAN!$Z$5:$Z$546)=1,"X",""))</f>
        <v/>
      </c>
      <c r="K273" s="23" t="str">
        <f>IF($P273="","",IFERROR(LOOKUP(2,1/((BEMANNINGSPLAN!$W$5:$W$546=INDEX(BEMANNINGSPLAN!$W$5:$W$546,$P273))*(BEMANNINGSPLAN!$L$5:$L$546&lt;&gt;"")),BEMANNINGSPLAN!$L$5:$L$546),""))</f>
        <v/>
      </c>
      <c r="L273" s="18" t="str">
        <f>IF($P273="","",INDEX(BEMANNINGSPLAN!$AE$5:$AE$546,$P273))</f>
        <v/>
      </c>
      <c r="M273" s="137"/>
      <c r="N273" s="16"/>
      <c r="O273" s="16" t="str">
        <f>IF(AND(BEMANNINGSPLAN!U271=1,OR($B$4="Alla lag",BEMANNINGSPLAN!J271=$B$4),OR($E$4="Alla datum",BEMANNINGSPLAN!A271=$E$4)),COUNT($O$6:O272)+1,"")</f>
        <v/>
      </c>
      <c r="P273" s="137" t="str">
        <f t="shared" si="4"/>
        <v/>
      </c>
    </row>
    <row r="274" spans="1:16" ht="27.75" customHeight="1">
      <c r="A274" s="17" t="str">
        <f>IF($P274="","",INDEX(BEMANNINGSPLAN!$A$5:$A$546,$P274))</f>
        <v/>
      </c>
      <c r="B274" s="18" t="str">
        <f>IF($P274="","",INDEX(BEMANNINGSPLAN!$B$5:$B$546,$P274))</f>
        <v/>
      </c>
      <c r="C274" s="19" t="str">
        <f>IF($P274="","",INDEX(BEMANNINGSPLAN!$C$5:$C$546,$P274))</f>
        <v/>
      </c>
      <c r="D274" s="20" t="str">
        <f>IF($P274="","",INDEX(BEMANNINGSPLAN!$D$5:$D$546,$P274))</f>
        <v/>
      </c>
      <c r="E274" s="20" t="str">
        <f>IF($P274="","",SUMIF(BEMANNINGSPLAN!$W$5:$W$546,INDEX(BEMANNINGSPLAN!$W$5:$W$546,$P274),BEMANNINGSPLAN!$X$5:$X$546))</f>
        <v/>
      </c>
      <c r="F274" s="18" t="str">
        <f>IF($P274="","",INDEX(BEMANNINGSPLAN!$J$5:$J$546,$P274))</f>
        <v/>
      </c>
      <c r="G274" s="19" t="str">
        <f>IF($P274="","",INDEX(BEMANNINGSPLAN!$AD$5:$AD$546,$P274))</f>
        <v/>
      </c>
      <c r="H274" s="18" t="str">
        <f>IF($P274="","",IF(AND(INDEX(BEMANNINGSPLAN!$Y$5:$Y$546,$P274)=1,G274&lt;&gt;"Minicafé"),"X",""))</f>
        <v/>
      </c>
      <c r="I274" s="21" t="str">
        <f>IF($P274="","",IF(INDEX(BEMANNINGSPLAN!$Y$5:$Y$546,$P274)=1,"X",""))</f>
        <v/>
      </c>
      <c r="J274" s="22" t="str">
        <f>IF($P274="","",IF(SUMIF(BEMANNINGSPLAN!$W$5:$W$546,INDEX(BEMANNINGSPLAN!$W$5:$W$546,$P274),BEMANNINGSPLAN!$Z$5:$Z$546)=1,"X",""))</f>
        <v/>
      </c>
      <c r="K274" s="23" t="str">
        <f>IF($P274="","",IFERROR(LOOKUP(2,1/((BEMANNINGSPLAN!$W$5:$W$546=INDEX(BEMANNINGSPLAN!$W$5:$W$546,$P274))*(BEMANNINGSPLAN!$L$5:$L$546&lt;&gt;"")),BEMANNINGSPLAN!$L$5:$L$546),""))</f>
        <v/>
      </c>
      <c r="L274" s="18" t="str">
        <f>IF($P274="","",INDEX(BEMANNINGSPLAN!$AE$5:$AE$546,$P274))</f>
        <v/>
      </c>
      <c r="M274" s="137"/>
      <c r="N274" s="16"/>
      <c r="O274" s="16" t="str">
        <f>IF(AND(BEMANNINGSPLAN!U272=1,OR($B$4="Alla lag",BEMANNINGSPLAN!J272=$B$4),OR($E$4="Alla datum",BEMANNINGSPLAN!A272=$E$4)),COUNT($O$6:O273)+1,"")</f>
        <v/>
      </c>
      <c r="P274" s="137" t="str">
        <f t="shared" si="4"/>
        <v/>
      </c>
    </row>
    <row r="275" spans="1:16" ht="27.75" customHeight="1">
      <c r="A275" s="17" t="str">
        <f>IF($P275="","",INDEX(BEMANNINGSPLAN!$A$5:$A$546,$P275))</f>
        <v/>
      </c>
      <c r="B275" s="18" t="str">
        <f>IF($P275="","",INDEX(BEMANNINGSPLAN!$B$5:$B$546,$P275))</f>
        <v/>
      </c>
      <c r="C275" s="19" t="str">
        <f>IF($P275="","",INDEX(BEMANNINGSPLAN!$C$5:$C$546,$P275))</f>
        <v/>
      </c>
      <c r="D275" s="20" t="str">
        <f>IF($P275="","",INDEX(BEMANNINGSPLAN!$D$5:$D$546,$P275))</f>
        <v/>
      </c>
      <c r="E275" s="20" t="str">
        <f>IF($P275="","",SUMIF(BEMANNINGSPLAN!$W$5:$W$546,INDEX(BEMANNINGSPLAN!$W$5:$W$546,$P275),BEMANNINGSPLAN!$X$5:$X$546))</f>
        <v/>
      </c>
      <c r="F275" s="18" t="str">
        <f>IF($P275="","",INDEX(BEMANNINGSPLAN!$J$5:$J$546,$P275))</f>
        <v/>
      </c>
      <c r="G275" s="19" t="str">
        <f>IF($P275="","",INDEX(BEMANNINGSPLAN!$AD$5:$AD$546,$P275))</f>
        <v/>
      </c>
      <c r="H275" s="18" t="str">
        <f>IF($P275="","",IF(AND(INDEX(BEMANNINGSPLAN!$Y$5:$Y$546,$P275)=1,G275&lt;&gt;"Minicafé"),"X",""))</f>
        <v/>
      </c>
      <c r="I275" s="21" t="str">
        <f>IF($P275="","",IF(INDEX(BEMANNINGSPLAN!$Y$5:$Y$546,$P275)=1,"X",""))</f>
        <v/>
      </c>
      <c r="J275" s="22" t="str">
        <f>IF($P275="","",IF(SUMIF(BEMANNINGSPLAN!$W$5:$W$546,INDEX(BEMANNINGSPLAN!$W$5:$W$546,$P275),BEMANNINGSPLAN!$Z$5:$Z$546)=1,"X",""))</f>
        <v/>
      </c>
      <c r="K275" s="23" t="str">
        <f>IF($P275="","",IFERROR(LOOKUP(2,1/((BEMANNINGSPLAN!$W$5:$W$546=INDEX(BEMANNINGSPLAN!$W$5:$W$546,$P275))*(BEMANNINGSPLAN!$L$5:$L$546&lt;&gt;"")),BEMANNINGSPLAN!$L$5:$L$546),""))</f>
        <v/>
      </c>
      <c r="L275" s="18" t="str">
        <f>IF($P275="","",INDEX(BEMANNINGSPLAN!$AE$5:$AE$546,$P275))</f>
        <v/>
      </c>
      <c r="M275" s="137"/>
      <c r="N275" s="16"/>
      <c r="O275" s="16" t="str">
        <f>IF(AND(BEMANNINGSPLAN!U273=1,OR($B$4="Alla lag",BEMANNINGSPLAN!J273=$B$4),OR($E$4="Alla datum",BEMANNINGSPLAN!A273=$E$4)),COUNT($O$6:O274)+1,"")</f>
        <v/>
      </c>
      <c r="P275" s="137" t="str">
        <f t="shared" si="4"/>
        <v/>
      </c>
    </row>
    <row r="276" spans="1:16" ht="27.75" customHeight="1">
      <c r="A276" s="17" t="str">
        <f>IF($P276="","",INDEX(BEMANNINGSPLAN!$A$5:$A$546,$P276))</f>
        <v/>
      </c>
      <c r="B276" s="18" t="str">
        <f>IF($P276="","",INDEX(BEMANNINGSPLAN!$B$5:$B$546,$P276))</f>
        <v/>
      </c>
      <c r="C276" s="19" t="str">
        <f>IF($P276="","",INDEX(BEMANNINGSPLAN!$C$5:$C$546,$P276))</f>
        <v/>
      </c>
      <c r="D276" s="20" t="str">
        <f>IF($P276="","",INDEX(BEMANNINGSPLAN!$D$5:$D$546,$P276))</f>
        <v/>
      </c>
      <c r="E276" s="20" t="str">
        <f>IF($P276="","",SUMIF(BEMANNINGSPLAN!$W$5:$W$546,INDEX(BEMANNINGSPLAN!$W$5:$W$546,$P276),BEMANNINGSPLAN!$X$5:$X$546))</f>
        <v/>
      </c>
      <c r="F276" s="18" t="str">
        <f>IF($P276="","",INDEX(BEMANNINGSPLAN!$J$5:$J$546,$P276))</f>
        <v/>
      </c>
      <c r="G276" s="19" t="str">
        <f>IF($P276="","",INDEX(BEMANNINGSPLAN!$AD$5:$AD$546,$P276))</f>
        <v/>
      </c>
      <c r="H276" s="18" t="str">
        <f>IF($P276="","",IF(AND(INDEX(BEMANNINGSPLAN!$Y$5:$Y$546,$P276)=1,G276&lt;&gt;"Minicafé"),"X",""))</f>
        <v/>
      </c>
      <c r="I276" s="21" t="str">
        <f>IF($P276="","",IF(INDEX(BEMANNINGSPLAN!$Y$5:$Y$546,$P276)=1,"X",""))</f>
        <v/>
      </c>
      <c r="J276" s="22" t="str">
        <f>IF($P276="","",IF(SUMIF(BEMANNINGSPLAN!$W$5:$W$546,INDEX(BEMANNINGSPLAN!$W$5:$W$546,$P276),BEMANNINGSPLAN!$Z$5:$Z$546)=1,"X",""))</f>
        <v/>
      </c>
      <c r="K276" s="23" t="str">
        <f>IF($P276="","",IFERROR(LOOKUP(2,1/((BEMANNINGSPLAN!$W$5:$W$546=INDEX(BEMANNINGSPLAN!$W$5:$W$546,$P276))*(BEMANNINGSPLAN!$L$5:$L$546&lt;&gt;"")),BEMANNINGSPLAN!$L$5:$L$546),""))</f>
        <v/>
      </c>
      <c r="L276" s="18" t="str">
        <f>IF($P276="","",INDEX(BEMANNINGSPLAN!$AE$5:$AE$546,$P276))</f>
        <v/>
      </c>
      <c r="M276" s="137"/>
      <c r="N276" s="16"/>
      <c r="O276" s="16">
        <f>IF(AND(BEMANNINGSPLAN!U274=1,OR($B$4="Alla lag",BEMANNINGSPLAN!J274=$B$4),OR($E$4="Alla datum",BEMANNINGSPLAN!A274=$E$4)),COUNT($O$6:O275)+1,"")</f>
        <v>31</v>
      </c>
      <c r="P276" s="137" t="str">
        <f t="shared" si="4"/>
        <v/>
      </c>
    </row>
    <row r="277" spans="1:16" ht="27.75" customHeight="1">
      <c r="A277" s="17" t="str">
        <f>IF($P277="","",INDEX(BEMANNINGSPLAN!$A$5:$A$546,$P277))</f>
        <v/>
      </c>
      <c r="B277" s="18" t="str">
        <f>IF($P277="","",INDEX(BEMANNINGSPLAN!$B$5:$B$546,$P277))</f>
        <v/>
      </c>
      <c r="C277" s="19" t="str">
        <f>IF($P277="","",INDEX(BEMANNINGSPLAN!$C$5:$C$546,$P277))</f>
        <v/>
      </c>
      <c r="D277" s="20" t="str">
        <f>IF($P277="","",INDEX(BEMANNINGSPLAN!$D$5:$D$546,$P277))</f>
        <v/>
      </c>
      <c r="E277" s="20" t="str">
        <f>IF($P277="","",SUMIF(BEMANNINGSPLAN!$W$5:$W$546,INDEX(BEMANNINGSPLAN!$W$5:$W$546,$P277),BEMANNINGSPLAN!$X$5:$X$546))</f>
        <v/>
      </c>
      <c r="F277" s="18" t="str">
        <f>IF($P277="","",INDEX(BEMANNINGSPLAN!$J$5:$J$546,$P277))</f>
        <v/>
      </c>
      <c r="G277" s="19" t="str">
        <f>IF($P277="","",INDEX(BEMANNINGSPLAN!$AD$5:$AD$546,$P277))</f>
        <v/>
      </c>
      <c r="H277" s="18" t="str">
        <f>IF($P277="","",IF(AND(INDEX(BEMANNINGSPLAN!$Y$5:$Y$546,$P277)=1,G277&lt;&gt;"Minicafé"),"X",""))</f>
        <v/>
      </c>
      <c r="I277" s="21" t="str">
        <f>IF($P277="","",IF(INDEX(BEMANNINGSPLAN!$Y$5:$Y$546,$P277)=1,"X",""))</f>
        <v/>
      </c>
      <c r="J277" s="22" t="str">
        <f>IF($P277="","",IF(SUMIF(BEMANNINGSPLAN!$W$5:$W$546,INDEX(BEMANNINGSPLAN!$W$5:$W$546,$P277),BEMANNINGSPLAN!$Z$5:$Z$546)=1,"X",""))</f>
        <v/>
      </c>
      <c r="K277" s="23" t="str">
        <f>IF($P277="","",IFERROR(LOOKUP(2,1/((BEMANNINGSPLAN!$W$5:$W$546=INDEX(BEMANNINGSPLAN!$W$5:$W$546,$P277))*(BEMANNINGSPLAN!$L$5:$L$546&lt;&gt;"")),BEMANNINGSPLAN!$L$5:$L$546),""))</f>
        <v/>
      </c>
      <c r="L277" s="18" t="str">
        <f>IF($P277="","",INDEX(BEMANNINGSPLAN!$AE$5:$AE$546,$P277))</f>
        <v/>
      </c>
      <c r="M277" s="137"/>
      <c r="N277" s="16"/>
      <c r="O277" s="16" t="str">
        <f>IF(AND(BEMANNINGSPLAN!U275=1,OR($B$4="Alla lag",BEMANNINGSPLAN!J275=$B$4),OR($E$4="Alla datum",BEMANNINGSPLAN!A275=$E$4)),COUNT($O$6:O276)+1,"")</f>
        <v/>
      </c>
      <c r="P277" s="137" t="str">
        <f t="shared" si="4"/>
        <v/>
      </c>
    </row>
    <row r="278" spans="1:16" ht="27.75" customHeight="1">
      <c r="A278" s="17" t="str">
        <f>IF($P278="","",INDEX(BEMANNINGSPLAN!$A$5:$A$546,$P278))</f>
        <v/>
      </c>
      <c r="B278" s="18" t="str">
        <f>IF($P278="","",INDEX(BEMANNINGSPLAN!$B$5:$B$546,$P278))</f>
        <v/>
      </c>
      <c r="C278" s="19" t="str">
        <f>IF($P278="","",INDEX(BEMANNINGSPLAN!$C$5:$C$546,$P278))</f>
        <v/>
      </c>
      <c r="D278" s="20" t="str">
        <f>IF($P278="","",INDEX(BEMANNINGSPLAN!$D$5:$D$546,$P278))</f>
        <v/>
      </c>
      <c r="E278" s="20" t="str">
        <f>IF($P278="","",SUMIF(BEMANNINGSPLAN!$W$5:$W$546,INDEX(BEMANNINGSPLAN!$W$5:$W$546,$P278),BEMANNINGSPLAN!$X$5:$X$546))</f>
        <v/>
      </c>
      <c r="F278" s="18" t="str">
        <f>IF($P278="","",INDEX(BEMANNINGSPLAN!$J$5:$J$546,$P278))</f>
        <v/>
      </c>
      <c r="G278" s="19" t="str">
        <f>IF($P278="","",INDEX(BEMANNINGSPLAN!$AD$5:$AD$546,$P278))</f>
        <v/>
      </c>
      <c r="H278" s="18" t="str">
        <f>IF($P278="","",IF(AND(INDEX(BEMANNINGSPLAN!$Y$5:$Y$546,$P278)=1,G278&lt;&gt;"Minicafé"),"X",""))</f>
        <v/>
      </c>
      <c r="I278" s="21" t="str">
        <f>IF($P278="","",IF(INDEX(BEMANNINGSPLAN!$Y$5:$Y$546,$P278)=1,"X",""))</f>
        <v/>
      </c>
      <c r="J278" s="22" t="str">
        <f>IF($P278="","",IF(SUMIF(BEMANNINGSPLAN!$W$5:$W$546,INDEX(BEMANNINGSPLAN!$W$5:$W$546,$P278),BEMANNINGSPLAN!$Z$5:$Z$546)=1,"X",""))</f>
        <v/>
      </c>
      <c r="K278" s="23" t="str">
        <f>IF($P278="","",IFERROR(LOOKUP(2,1/((BEMANNINGSPLAN!$W$5:$W$546=INDEX(BEMANNINGSPLAN!$W$5:$W$546,$P278))*(BEMANNINGSPLAN!$L$5:$L$546&lt;&gt;"")),BEMANNINGSPLAN!$L$5:$L$546),""))</f>
        <v/>
      </c>
      <c r="L278" s="18" t="str">
        <f>IF($P278="","",INDEX(BEMANNINGSPLAN!$AE$5:$AE$546,$P278))</f>
        <v/>
      </c>
      <c r="M278" s="137"/>
      <c r="N278" s="16"/>
      <c r="O278" s="16" t="str">
        <f>IF(AND(BEMANNINGSPLAN!U276=1,OR($B$4="Alla lag",BEMANNINGSPLAN!J276=$B$4),OR($E$4="Alla datum",BEMANNINGSPLAN!A276=$E$4)),COUNT($O$6:O277)+1,"")</f>
        <v/>
      </c>
      <c r="P278" s="137" t="str">
        <f t="shared" si="4"/>
        <v/>
      </c>
    </row>
    <row r="279" spans="1:16" ht="27.75" customHeight="1">
      <c r="A279" s="17" t="str">
        <f>IF($P279="","",INDEX(BEMANNINGSPLAN!$A$5:$A$546,$P279))</f>
        <v/>
      </c>
      <c r="B279" s="18" t="str">
        <f>IF($P279="","",INDEX(BEMANNINGSPLAN!$B$5:$B$546,$P279))</f>
        <v/>
      </c>
      <c r="C279" s="19" t="str">
        <f>IF($P279="","",INDEX(BEMANNINGSPLAN!$C$5:$C$546,$P279))</f>
        <v/>
      </c>
      <c r="D279" s="20" t="str">
        <f>IF($P279="","",INDEX(BEMANNINGSPLAN!$D$5:$D$546,$P279))</f>
        <v/>
      </c>
      <c r="E279" s="20" t="str">
        <f>IF($P279="","",SUMIF(BEMANNINGSPLAN!$W$5:$W$546,INDEX(BEMANNINGSPLAN!$W$5:$W$546,$P279),BEMANNINGSPLAN!$X$5:$X$546))</f>
        <v/>
      </c>
      <c r="F279" s="18" t="str">
        <f>IF($P279="","",INDEX(BEMANNINGSPLAN!$J$5:$J$546,$P279))</f>
        <v/>
      </c>
      <c r="G279" s="19" t="str">
        <f>IF($P279="","",INDEX(BEMANNINGSPLAN!$AD$5:$AD$546,$P279))</f>
        <v/>
      </c>
      <c r="H279" s="18" t="str">
        <f>IF($P279="","",IF(AND(INDEX(BEMANNINGSPLAN!$Y$5:$Y$546,$P279)=1,G279&lt;&gt;"Minicafé"),"X",""))</f>
        <v/>
      </c>
      <c r="I279" s="21" t="str">
        <f>IF($P279="","",IF(INDEX(BEMANNINGSPLAN!$Y$5:$Y$546,$P279)=1,"X",""))</f>
        <v/>
      </c>
      <c r="J279" s="22" t="str">
        <f>IF($P279="","",IF(SUMIF(BEMANNINGSPLAN!$W$5:$W$546,INDEX(BEMANNINGSPLAN!$W$5:$W$546,$P279),BEMANNINGSPLAN!$Z$5:$Z$546)=1,"X",""))</f>
        <v/>
      </c>
      <c r="K279" s="23" t="str">
        <f>IF($P279="","",IFERROR(LOOKUP(2,1/((BEMANNINGSPLAN!$W$5:$W$546=INDEX(BEMANNINGSPLAN!$W$5:$W$546,$P279))*(BEMANNINGSPLAN!$L$5:$L$546&lt;&gt;"")),BEMANNINGSPLAN!$L$5:$L$546),""))</f>
        <v/>
      </c>
      <c r="L279" s="18" t="str">
        <f>IF($P279="","",INDEX(BEMANNINGSPLAN!$AE$5:$AE$546,$P279))</f>
        <v/>
      </c>
      <c r="M279" s="137"/>
      <c r="N279" s="16"/>
      <c r="O279" s="16" t="str">
        <f>IF(AND(BEMANNINGSPLAN!U277=1,OR($B$4="Alla lag",BEMANNINGSPLAN!J277=$B$4),OR($E$4="Alla datum",BEMANNINGSPLAN!A277=$E$4)),COUNT($O$6:O278)+1,"")</f>
        <v/>
      </c>
      <c r="P279" s="137" t="str">
        <f t="shared" si="4"/>
        <v/>
      </c>
    </row>
    <row r="280" spans="1:16" ht="27.75" customHeight="1">
      <c r="A280" s="17" t="str">
        <f>IF($P280="","",INDEX(BEMANNINGSPLAN!$A$5:$A$546,$P280))</f>
        <v/>
      </c>
      <c r="B280" s="18" t="str">
        <f>IF($P280="","",INDEX(BEMANNINGSPLAN!$B$5:$B$546,$P280))</f>
        <v/>
      </c>
      <c r="C280" s="19" t="str">
        <f>IF($P280="","",INDEX(BEMANNINGSPLAN!$C$5:$C$546,$P280))</f>
        <v/>
      </c>
      <c r="D280" s="20" t="str">
        <f>IF($P280="","",INDEX(BEMANNINGSPLAN!$D$5:$D$546,$P280))</f>
        <v/>
      </c>
      <c r="E280" s="20" t="str">
        <f>IF($P280="","",SUMIF(BEMANNINGSPLAN!$W$5:$W$546,INDEX(BEMANNINGSPLAN!$W$5:$W$546,$P280),BEMANNINGSPLAN!$X$5:$X$546))</f>
        <v/>
      </c>
      <c r="F280" s="18" t="str">
        <f>IF($P280="","",INDEX(BEMANNINGSPLAN!$J$5:$J$546,$P280))</f>
        <v/>
      </c>
      <c r="G280" s="19" t="str">
        <f>IF($P280="","",INDEX(BEMANNINGSPLAN!$AD$5:$AD$546,$P280))</f>
        <v/>
      </c>
      <c r="H280" s="18" t="str">
        <f>IF($P280="","",IF(AND(INDEX(BEMANNINGSPLAN!$Y$5:$Y$546,$P280)=1,G280&lt;&gt;"Minicafé"),"X",""))</f>
        <v/>
      </c>
      <c r="I280" s="21" t="str">
        <f>IF($P280="","",IF(INDEX(BEMANNINGSPLAN!$Y$5:$Y$546,$P280)=1,"X",""))</f>
        <v/>
      </c>
      <c r="J280" s="22" t="str">
        <f>IF($P280="","",IF(SUMIF(BEMANNINGSPLAN!$W$5:$W$546,INDEX(BEMANNINGSPLAN!$W$5:$W$546,$P280),BEMANNINGSPLAN!$Z$5:$Z$546)=1,"X",""))</f>
        <v/>
      </c>
      <c r="K280" s="23" t="str">
        <f>IF($P280="","",IFERROR(LOOKUP(2,1/((BEMANNINGSPLAN!$W$5:$W$546=INDEX(BEMANNINGSPLAN!$W$5:$W$546,$P280))*(BEMANNINGSPLAN!$L$5:$L$546&lt;&gt;"")),BEMANNINGSPLAN!$L$5:$L$546),""))</f>
        <v/>
      </c>
      <c r="L280" s="18" t="str">
        <f>IF($P280="","",INDEX(BEMANNINGSPLAN!$AE$5:$AE$546,$P280))</f>
        <v/>
      </c>
      <c r="M280" s="137"/>
      <c r="N280" s="16"/>
      <c r="O280" s="16">
        <f>IF(AND(BEMANNINGSPLAN!U278=1,OR($B$4="Alla lag",BEMANNINGSPLAN!J278=$B$4),OR($E$4="Alla datum",BEMANNINGSPLAN!A278=$E$4)),COUNT($O$6:O279)+1,"")</f>
        <v>32</v>
      </c>
      <c r="P280" s="137" t="str">
        <f t="shared" si="4"/>
        <v/>
      </c>
    </row>
    <row r="281" spans="1:16" ht="27.75" customHeight="1">
      <c r="A281" s="17" t="str">
        <f>IF($P281="","",INDEX(BEMANNINGSPLAN!$A$5:$A$546,$P281))</f>
        <v/>
      </c>
      <c r="B281" s="18" t="str">
        <f>IF($P281="","",INDEX(BEMANNINGSPLAN!$B$5:$B$546,$P281))</f>
        <v/>
      </c>
      <c r="C281" s="19" t="str">
        <f>IF($P281="","",INDEX(BEMANNINGSPLAN!$C$5:$C$546,$P281))</f>
        <v/>
      </c>
      <c r="D281" s="20" t="str">
        <f>IF($P281="","",INDEX(BEMANNINGSPLAN!$D$5:$D$546,$P281))</f>
        <v/>
      </c>
      <c r="E281" s="20" t="str">
        <f>IF($P281="","",SUMIF(BEMANNINGSPLAN!$W$5:$W$546,INDEX(BEMANNINGSPLAN!$W$5:$W$546,$P281),BEMANNINGSPLAN!$X$5:$X$546))</f>
        <v/>
      </c>
      <c r="F281" s="18" t="str">
        <f>IF($P281="","",INDEX(BEMANNINGSPLAN!$J$5:$J$546,$P281))</f>
        <v/>
      </c>
      <c r="G281" s="19" t="str">
        <f>IF($P281="","",INDEX(BEMANNINGSPLAN!$AD$5:$AD$546,$P281))</f>
        <v/>
      </c>
      <c r="H281" s="18" t="str">
        <f>IF($P281="","",IF(AND(INDEX(BEMANNINGSPLAN!$Y$5:$Y$546,$P281)=1,G281&lt;&gt;"Minicafé"),"X",""))</f>
        <v/>
      </c>
      <c r="I281" s="21" t="str">
        <f>IF($P281="","",IF(INDEX(BEMANNINGSPLAN!$Y$5:$Y$546,$P281)=1,"X",""))</f>
        <v/>
      </c>
      <c r="J281" s="22" t="str">
        <f>IF($P281="","",IF(SUMIF(BEMANNINGSPLAN!$W$5:$W$546,INDEX(BEMANNINGSPLAN!$W$5:$W$546,$P281),BEMANNINGSPLAN!$Z$5:$Z$546)=1,"X",""))</f>
        <v/>
      </c>
      <c r="K281" s="23" t="str">
        <f>IF($P281="","",IFERROR(LOOKUP(2,1/((BEMANNINGSPLAN!$W$5:$W$546=INDEX(BEMANNINGSPLAN!$W$5:$W$546,$P281))*(BEMANNINGSPLAN!$L$5:$L$546&lt;&gt;"")),BEMANNINGSPLAN!$L$5:$L$546),""))</f>
        <v/>
      </c>
      <c r="L281" s="18" t="str">
        <f>IF($P281="","",INDEX(BEMANNINGSPLAN!$AE$5:$AE$546,$P281))</f>
        <v/>
      </c>
      <c r="M281" s="137"/>
      <c r="N281" s="16"/>
      <c r="O281" s="16" t="str">
        <f>IF(AND(BEMANNINGSPLAN!U279=1,OR($B$4="Alla lag",BEMANNINGSPLAN!J279=$B$4),OR($E$4="Alla datum",BEMANNINGSPLAN!A279=$E$4)),COUNT($O$6:O280)+1,"")</f>
        <v/>
      </c>
      <c r="P281" s="137" t="str">
        <f t="shared" si="4"/>
        <v/>
      </c>
    </row>
    <row r="282" spans="1:16" ht="27.75" customHeight="1">
      <c r="A282" s="17" t="str">
        <f>IF($P282="","",INDEX(BEMANNINGSPLAN!$A$5:$A$546,$P282))</f>
        <v/>
      </c>
      <c r="B282" s="18" t="str">
        <f>IF($P282="","",INDEX(BEMANNINGSPLAN!$B$5:$B$546,$P282))</f>
        <v/>
      </c>
      <c r="C282" s="19" t="str">
        <f>IF($P282="","",INDEX(BEMANNINGSPLAN!$C$5:$C$546,$P282))</f>
        <v/>
      </c>
      <c r="D282" s="20" t="str">
        <f>IF($P282="","",INDEX(BEMANNINGSPLAN!$D$5:$D$546,$P282))</f>
        <v/>
      </c>
      <c r="E282" s="20" t="str">
        <f>IF($P282="","",SUMIF(BEMANNINGSPLAN!$W$5:$W$546,INDEX(BEMANNINGSPLAN!$W$5:$W$546,$P282),BEMANNINGSPLAN!$X$5:$X$546))</f>
        <v/>
      </c>
      <c r="F282" s="18" t="str">
        <f>IF($P282="","",INDEX(BEMANNINGSPLAN!$J$5:$J$546,$P282))</f>
        <v/>
      </c>
      <c r="G282" s="19" t="str">
        <f>IF($P282="","",INDEX(BEMANNINGSPLAN!$AD$5:$AD$546,$P282))</f>
        <v/>
      </c>
      <c r="H282" s="18" t="str">
        <f>IF($P282="","",IF(AND(INDEX(BEMANNINGSPLAN!$Y$5:$Y$546,$P282)=1,G282&lt;&gt;"Minicafé"),"X",""))</f>
        <v/>
      </c>
      <c r="I282" s="21" t="str">
        <f>IF($P282="","",IF(INDEX(BEMANNINGSPLAN!$Y$5:$Y$546,$P282)=1,"X",""))</f>
        <v/>
      </c>
      <c r="J282" s="22" t="str">
        <f>IF($P282="","",IF(SUMIF(BEMANNINGSPLAN!$W$5:$W$546,INDEX(BEMANNINGSPLAN!$W$5:$W$546,$P282),BEMANNINGSPLAN!$Z$5:$Z$546)=1,"X",""))</f>
        <v/>
      </c>
      <c r="K282" s="23" t="str">
        <f>IF($P282="","",IFERROR(LOOKUP(2,1/((BEMANNINGSPLAN!$W$5:$W$546=INDEX(BEMANNINGSPLAN!$W$5:$W$546,$P282))*(BEMANNINGSPLAN!$L$5:$L$546&lt;&gt;"")),BEMANNINGSPLAN!$L$5:$L$546),""))</f>
        <v/>
      </c>
      <c r="L282" s="18" t="str">
        <f>IF($P282="","",INDEX(BEMANNINGSPLAN!$AE$5:$AE$546,$P282))</f>
        <v/>
      </c>
      <c r="M282" s="137"/>
      <c r="N282" s="16"/>
      <c r="O282" s="16" t="str">
        <f>IF(AND(BEMANNINGSPLAN!U280=1,OR($B$4="Alla lag",BEMANNINGSPLAN!J280=$B$4),OR($E$4="Alla datum",BEMANNINGSPLAN!A280=$E$4)),COUNT($O$6:O281)+1,"")</f>
        <v/>
      </c>
      <c r="P282" s="137" t="str">
        <f t="shared" si="4"/>
        <v/>
      </c>
    </row>
    <row r="283" spans="1:16" ht="27.75" customHeight="1">
      <c r="A283" s="17" t="str">
        <f>IF($P283="","",INDEX(BEMANNINGSPLAN!$A$5:$A$546,$P283))</f>
        <v/>
      </c>
      <c r="B283" s="18" t="str">
        <f>IF($P283="","",INDEX(BEMANNINGSPLAN!$B$5:$B$546,$P283))</f>
        <v/>
      </c>
      <c r="C283" s="19" t="str">
        <f>IF($P283="","",INDEX(BEMANNINGSPLAN!$C$5:$C$546,$P283))</f>
        <v/>
      </c>
      <c r="D283" s="20" t="str">
        <f>IF($P283="","",INDEX(BEMANNINGSPLAN!$D$5:$D$546,$P283))</f>
        <v/>
      </c>
      <c r="E283" s="20" t="str">
        <f>IF($P283="","",SUMIF(BEMANNINGSPLAN!$W$5:$W$546,INDEX(BEMANNINGSPLAN!$W$5:$W$546,$P283),BEMANNINGSPLAN!$X$5:$X$546))</f>
        <v/>
      </c>
      <c r="F283" s="18" t="str">
        <f>IF($P283="","",INDEX(BEMANNINGSPLAN!$J$5:$J$546,$P283))</f>
        <v/>
      </c>
      <c r="G283" s="19" t="str">
        <f>IF($P283="","",INDEX(BEMANNINGSPLAN!$AD$5:$AD$546,$P283))</f>
        <v/>
      </c>
      <c r="H283" s="18" t="str">
        <f>IF($P283="","",IF(AND(INDEX(BEMANNINGSPLAN!$Y$5:$Y$546,$P283)=1,G283&lt;&gt;"Minicafé"),"X",""))</f>
        <v/>
      </c>
      <c r="I283" s="21" t="str">
        <f>IF($P283="","",IF(INDEX(BEMANNINGSPLAN!$Y$5:$Y$546,$P283)=1,"X",""))</f>
        <v/>
      </c>
      <c r="J283" s="22" t="str">
        <f>IF($P283="","",IF(SUMIF(BEMANNINGSPLAN!$W$5:$W$546,INDEX(BEMANNINGSPLAN!$W$5:$W$546,$P283),BEMANNINGSPLAN!$Z$5:$Z$546)=1,"X",""))</f>
        <v/>
      </c>
      <c r="K283" s="23" t="str">
        <f>IF($P283="","",IFERROR(LOOKUP(2,1/((BEMANNINGSPLAN!$W$5:$W$546=INDEX(BEMANNINGSPLAN!$W$5:$W$546,$P283))*(BEMANNINGSPLAN!$L$5:$L$546&lt;&gt;"")),BEMANNINGSPLAN!$L$5:$L$546),""))</f>
        <v/>
      </c>
      <c r="L283" s="18" t="str">
        <f>IF($P283="","",INDEX(BEMANNINGSPLAN!$AE$5:$AE$546,$P283))</f>
        <v/>
      </c>
      <c r="M283" s="137"/>
      <c r="N283" s="16"/>
      <c r="O283" s="16" t="str">
        <f>IF(AND(BEMANNINGSPLAN!U281=1,OR($B$4="Alla lag",BEMANNINGSPLAN!J281=$B$4),OR($E$4="Alla datum",BEMANNINGSPLAN!A281=$E$4)),COUNT($O$6:O282)+1,"")</f>
        <v/>
      </c>
      <c r="P283" s="137" t="str">
        <f t="shared" si="4"/>
        <v/>
      </c>
    </row>
    <row r="284" spans="1:16" ht="27.75" customHeight="1">
      <c r="A284" s="17" t="str">
        <f>IF($P284="","",INDEX(BEMANNINGSPLAN!$A$5:$A$546,$P284))</f>
        <v/>
      </c>
      <c r="B284" s="18" t="str">
        <f>IF($P284="","",INDEX(BEMANNINGSPLAN!$B$5:$B$546,$P284))</f>
        <v/>
      </c>
      <c r="C284" s="19" t="str">
        <f>IF($P284="","",INDEX(BEMANNINGSPLAN!$C$5:$C$546,$P284))</f>
        <v/>
      </c>
      <c r="D284" s="20" t="str">
        <f>IF($P284="","",INDEX(BEMANNINGSPLAN!$D$5:$D$546,$P284))</f>
        <v/>
      </c>
      <c r="E284" s="20" t="str">
        <f>IF($P284="","",SUMIF(BEMANNINGSPLAN!$W$5:$W$546,INDEX(BEMANNINGSPLAN!$W$5:$W$546,$P284),BEMANNINGSPLAN!$X$5:$X$546))</f>
        <v/>
      </c>
      <c r="F284" s="18" t="str">
        <f>IF($P284="","",INDEX(BEMANNINGSPLAN!$J$5:$J$546,$P284))</f>
        <v/>
      </c>
      <c r="G284" s="19" t="str">
        <f>IF($P284="","",INDEX(BEMANNINGSPLAN!$AD$5:$AD$546,$P284))</f>
        <v/>
      </c>
      <c r="H284" s="18" t="str">
        <f>IF($P284="","",IF(AND(INDEX(BEMANNINGSPLAN!$Y$5:$Y$546,$P284)=1,G284&lt;&gt;"Minicafé"),"X",""))</f>
        <v/>
      </c>
      <c r="I284" s="21" t="str">
        <f>IF($P284="","",IF(INDEX(BEMANNINGSPLAN!$Y$5:$Y$546,$P284)=1,"X",""))</f>
        <v/>
      </c>
      <c r="J284" s="22" t="str">
        <f>IF($P284="","",IF(SUMIF(BEMANNINGSPLAN!$W$5:$W$546,INDEX(BEMANNINGSPLAN!$W$5:$W$546,$P284),BEMANNINGSPLAN!$Z$5:$Z$546)=1,"X",""))</f>
        <v/>
      </c>
      <c r="K284" s="23" t="str">
        <f>IF($P284="","",IFERROR(LOOKUP(2,1/((BEMANNINGSPLAN!$W$5:$W$546=INDEX(BEMANNINGSPLAN!$W$5:$W$546,$P284))*(BEMANNINGSPLAN!$L$5:$L$546&lt;&gt;"")),BEMANNINGSPLAN!$L$5:$L$546),""))</f>
        <v/>
      </c>
      <c r="L284" s="18" t="str">
        <f>IF($P284="","",INDEX(BEMANNINGSPLAN!$AE$5:$AE$546,$P284))</f>
        <v/>
      </c>
      <c r="M284" s="137"/>
      <c r="N284" s="16"/>
      <c r="O284" s="16" t="str">
        <f>IF(AND(BEMANNINGSPLAN!U282=1,OR($B$4="Alla lag",BEMANNINGSPLAN!J282=$B$4),OR($E$4="Alla datum",BEMANNINGSPLAN!A282=$E$4)),COUNT($O$6:O283)+1,"")</f>
        <v/>
      </c>
      <c r="P284" s="137" t="str">
        <f t="shared" si="4"/>
        <v/>
      </c>
    </row>
    <row r="285" spans="1:16" ht="27.75" customHeight="1">
      <c r="A285" s="17" t="str">
        <f>IF($P285="","",INDEX(BEMANNINGSPLAN!$A$5:$A$546,$P285))</f>
        <v/>
      </c>
      <c r="B285" s="18" t="str">
        <f>IF($P285="","",INDEX(BEMANNINGSPLAN!$B$5:$B$546,$P285))</f>
        <v/>
      </c>
      <c r="C285" s="19" t="str">
        <f>IF($P285="","",INDEX(BEMANNINGSPLAN!$C$5:$C$546,$P285))</f>
        <v/>
      </c>
      <c r="D285" s="20" t="str">
        <f>IF($P285="","",INDEX(BEMANNINGSPLAN!$D$5:$D$546,$P285))</f>
        <v/>
      </c>
      <c r="E285" s="20" t="str">
        <f>IF($P285="","",SUMIF(BEMANNINGSPLAN!$W$5:$W$546,INDEX(BEMANNINGSPLAN!$W$5:$W$546,$P285),BEMANNINGSPLAN!$X$5:$X$546))</f>
        <v/>
      </c>
      <c r="F285" s="18" t="str">
        <f>IF($P285="","",INDEX(BEMANNINGSPLAN!$J$5:$J$546,$P285))</f>
        <v/>
      </c>
      <c r="G285" s="19" t="str">
        <f>IF($P285="","",INDEX(BEMANNINGSPLAN!$AD$5:$AD$546,$P285))</f>
        <v/>
      </c>
      <c r="H285" s="18" t="str">
        <f>IF($P285="","",IF(AND(INDEX(BEMANNINGSPLAN!$Y$5:$Y$546,$P285)=1,G285&lt;&gt;"Minicafé"),"X",""))</f>
        <v/>
      </c>
      <c r="I285" s="21" t="str">
        <f>IF($P285="","",IF(INDEX(BEMANNINGSPLAN!$Y$5:$Y$546,$P285)=1,"X",""))</f>
        <v/>
      </c>
      <c r="J285" s="22" t="str">
        <f>IF($P285="","",IF(SUMIF(BEMANNINGSPLAN!$W$5:$W$546,INDEX(BEMANNINGSPLAN!$W$5:$W$546,$P285),BEMANNINGSPLAN!$Z$5:$Z$546)=1,"X",""))</f>
        <v/>
      </c>
      <c r="K285" s="23" t="str">
        <f>IF($P285="","",IFERROR(LOOKUP(2,1/((BEMANNINGSPLAN!$W$5:$W$546=INDEX(BEMANNINGSPLAN!$W$5:$W$546,$P285))*(BEMANNINGSPLAN!$L$5:$L$546&lt;&gt;"")),BEMANNINGSPLAN!$L$5:$L$546),""))</f>
        <v/>
      </c>
      <c r="L285" s="18" t="str">
        <f>IF($P285="","",INDEX(BEMANNINGSPLAN!$AE$5:$AE$546,$P285))</f>
        <v/>
      </c>
      <c r="M285" s="137"/>
      <c r="N285" s="16"/>
      <c r="O285" s="16" t="str">
        <f>IF(AND(BEMANNINGSPLAN!U283=1,OR($B$4="Alla lag",BEMANNINGSPLAN!J283=$B$4),OR($E$4="Alla datum",BEMANNINGSPLAN!A283=$E$4)),COUNT($O$6:O284)+1,"")</f>
        <v/>
      </c>
      <c r="P285" s="137" t="str">
        <f t="shared" si="4"/>
        <v/>
      </c>
    </row>
    <row r="286" spans="1:16" ht="27.75" customHeight="1">
      <c r="A286" s="17" t="str">
        <f>IF($P286="","",INDEX(BEMANNINGSPLAN!$A$5:$A$546,$P286))</f>
        <v/>
      </c>
      <c r="B286" s="18" t="str">
        <f>IF($P286="","",INDEX(BEMANNINGSPLAN!$B$5:$B$546,$P286))</f>
        <v/>
      </c>
      <c r="C286" s="19" t="str">
        <f>IF($P286="","",INDEX(BEMANNINGSPLAN!$C$5:$C$546,$P286))</f>
        <v/>
      </c>
      <c r="D286" s="20" t="str">
        <f>IF($P286="","",INDEX(BEMANNINGSPLAN!$D$5:$D$546,$P286))</f>
        <v/>
      </c>
      <c r="E286" s="20" t="str">
        <f>IF($P286="","",SUMIF(BEMANNINGSPLAN!$W$5:$W$546,INDEX(BEMANNINGSPLAN!$W$5:$W$546,$P286),BEMANNINGSPLAN!$X$5:$X$546))</f>
        <v/>
      </c>
      <c r="F286" s="18" t="str">
        <f>IF($P286="","",INDEX(BEMANNINGSPLAN!$J$5:$J$546,$P286))</f>
        <v/>
      </c>
      <c r="G286" s="19" t="str">
        <f>IF($P286="","",INDEX(BEMANNINGSPLAN!$AD$5:$AD$546,$P286))</f>
        <v/>
      </c>
      <c r="H286" s="18" t="str">
        <f>IF($P286="","",IF(AND(INDEX(BEMANNINGSPLAN!$Y$5:$Y$546,$P286)=1,G286&lt;&gt;"Minicafé"),"X",""))</f>
        <v/>
      </c>
      <c r="I286" s="21" t="str">
        <f>IF($P286="","",IF(INDEX(BEMANNINGSPLAN!$Y$5:$Y$546,$P286)=1,"X",""))</f>
        <v/>
      </c>
      <c r="J286" s="22" t="str">
        <f>IF($P286="","",IF(SUMIF(BEMANNINGSPLAN!$W$5:$W$546,INDEX(BEMANNINGSPLAN!$W$5:$W$546,$P286),BEMANNINGSPLAN!$Z$5:$Z$546)=1,"X",""))</f>
        <v/>
      </c>
      <c r="K286" s="23" t="str">
        <f>IF($P286="","",IFERROR(LOOKUP(2,1/((BEMANNINGSPLAN!$W$5:$W$546=INDEX(BEMANNINGSPLAN!$W$5:$W$546,$P286))*(BEMANNINGSPLAN!$L$5:$L$546&lt;&gt;"")),BEMANNINGSPLAN!$L$5:$L$546),""))</f>
        <v/>
      </c>
      <c r="L286" s="18" t="str">
        <f>IF($P286="","",INDEX(BEMANNINGSPLAN!$AE$5:$AE$546,$P286))</f>
        <v/>
      </c>
      <c r="M286" s="137"/>
      <c r="N286" s="16"/>
      <c r="O286" s="16" t="str">
        <f>IF(AND(BEMANNINGSPLAN!U284=1,OR($B$4="Alla lag",BEMANNINGSPLAN!J284=$B$4),OR($E$4="Alla datum",BEMANNINGSPLAN!A284=$E$4)),COUNT($O$6:O285)+1,"")</f>
        <v/>
      </c>
      <c r="P286" s="137" t="str">
        <f t="shared" si="4"/>
        <v/>
      </c>
    </row>
    <row r="287" spans="1:16" ht="27.75" customHeight="1">
      <c r="A287" s="17" t="str">
        <f>IF($P287="","",INDEX(BEMANNINGSPLAN!$A$5:$A$546,$P287))</f>
        <v/>
      </c>
      <c r="B287" s="18" t="str">
        <f>IF($P287="","",INDEX(BEMANNINGSPLAN!$B$5:$B$546,$P287))</f>
        <v/>
      </c>
      <c r="C287" s="19" t="str">
        <f>IF($P287="","",INDEX(BEMANNINGSPLAN!$C$5:$C$546,$P287))</f>
        <v/>
      </c>
      <c r="D287" s="20" t="str">
        <f>IF($P287="","",INDEX(BEMANNINGSPLAN!$D$5:$D$546,$P287))</f>
        <v/>
      </c>
      <c r="E287" s="20" t="str">
        <f>IF($P287="","",SUMIF(BEMANNINGSPLAN!$W$5:$W$546,INDEX(BEMANNINGSPLAN!$W$5:$W$546,$P287),BEMANNINGSPLAN!$X$5:$X$546))</f>
        <v/>
      </c>
      <c r="F287" s="18" t="str">
        <f>IF($P287="","",INDEX(BEMANNINGSPLAN!$J$5:$J$546,$P287))</f>
        <v/>
      </c>
      <c r="G287" s="19" t="str">
        <f>IF($P287="","",INDEX(BEMANNINGSPLAN!$AD$5:$AD$546,$P287))</f>
        <v/>
      </c>
      <c r="H287" s="18" t="str">
        <f>IF($P287="","",IF(AND(INDEX(BEMANNINGSPLAN!$Y$5:$Y$546,$P287)=1,G287&lt;&gt;"Minicafé"),"X",""))</f>
        <v/>
      </c>
      <c r="I287" s="21" t="str">
        <f>IF($P287="","",IF(INDEX(BEMANNINGSPLAN!$Y$5:$Y$546,$P287)=1,"X",""))</f>
        <v/>
      </c>
      <c r="J287" s="22" t="str">
        <f>IF($P287="","",IF(SUMIF(BEMANNINGSPLAN!$W$5:$W$546,INDEX(BEMANNINGSPLAN!$W$5:$W$546,$P287),BEMANNINGSPLAN!$Z$5:$Z$546)=1,"X",""))</f>
        <v/>
      </c>
      <c r="K287" s="23" t="str">
        <f>IF($P287="","",IFERROR(LOOKUP(2,1/((BEMANNINGSPLAN!$W$5:$W$546=INDEX(BEMANNINGSPLAN!$W$5:$W$546,$P287))*(BEMANNINGSPLAN!$L$5:$L$546&lt;&gt;"")),BEMANNINGSPLAN!$L$5:$L$546),""))</f>
        <v/>
      </c>
      <c r="L287" s="18" t="str">
        <f>IF($P287="","",INDEX(BEMANNINGSPLAN!$AE$5:$AE$546,$P287))</f>
        <v/>
      </c>
      <c r="M287" s="137"/>
      <c r="N287" s="16"/>
      <c r="O287" s="16" t="str">
        <f>IF(AND(BEMANNINGSPLAN!U285=1,OR($B$4="Alla lag",BEMANNINGSPLAN!J285=$B$4),OR($E$4="Alla datum",BEMANNINGSPLAN!A285=$E$4)),COUNT($O$6:O286)+1,"")</f>
        <v/>
      </c>
      <c r="P287" s="137" t="str">
        <f t="shared" si="4"/>
        <v/>
      </c>
    </row>
    <row r="288" spans="1:16" ht="27.75" customHeight="1">
      <c r="A288" s="17" t="str">
        <f>IF($P288="","",INDEX(BEMANNINGSPLAN!$A$5:$A$546,$P288))</f>
        <v/>
      </c>
      <c r="B288" s="18" t="str">
        <f>IF($P288="","",INDEX(BEMANNINGSPLAN!$B$5:$B$546,$P288))</f>
        <v/>
      </c>
      <c r="C288" s="19" t="str">
        <f>IF($P288="","",INDEX(BEMANNINGSPLAN!$C$5:$C$546,$P288))</f>
        <v/>
      </c>
      <c r="D288" s="20" t="str">
        <f>IF($P288="","",INDEX(BEMANNINGSPLAN!$D$5:$D$546,$P288))</f>
        <v/>
      </c>
      <c r="E288" s="20" t="str">
        <f>IF($P288="","",SUMIF(BEMANNINGSPLAN!$W$5:$W$546,INDEX(BEMANNINGSPLAN!$W$5:$W$546,$P288),BEMANNINGSPLAN!$X$5:$X$546))</f>
        <v/>
      </c>
      <c r="F288" s="18" t="str">
        <f>IF($P288="","",INDEX(BEMANNINGSPLAN!$J$5:$J$546,$P288))</f>
        <v/>
      </c>
      <c r="G288" s="19" t="str">
        <f>IF($P288="","",INDEX(BEMANNINGSPLAN!$AD$5:$AD$546,$P288))</f>
        <v/>
      </c>
      <c r="H288" s="18" t="str">
        <f>IF($P288="","",IF(AND(INDEX(BEMANNINGSPLAN!$Y$5:$Y$546,$P288)=1,G288&lt;&gt;"Minicafé"),"X",""))</f>
        <v/>
      </c>
      <c r="I288" s="21" t="str">
        <f>IF($P288="","",IF(INDEX(BEMANNINGSPLAN!$Y$5:$Y$546,$P288)=1,"X",""))</f>
        <v/>
      </c>
      <c r="J288" s="22" t="str">
        <f>IF($P288="","",IF(SUMIF(BEMANNINGSPLAN!$W$5:$W$546,INDEX(BEMANNINGSPLAN!$W$5:$W$546,$P288),BEMANNINGSPLAN!$Z$5:$Z$546)=1,"X",""))</f>
        <v/>
      </c>
      <c r="K288" s="23" t="str">
        <f>IF($P288="","",IFERROR(LOOKUP(2,1/((BEMANNINGSPLAN!$W$5:$W$546=INDEX(BEMANNINGSPLAN!$W$5:$W$546,$P288))*(BEMANNINGSPLAN!$L$5:$L$546&lt;&gt;"")),BEMANNINGSPLAN!$L$5:$L$546),""))</f>
        <v/>
      </c>
      <c r="L288" s="18" t="str">
        <f>IF($P288="","",INDEX(BEMANNINGSPLAN!$AE$5:$AE$546,$P288))</f>
        <v/>
      </c>
      <c r="M288" s="137"/>
      <c r="N288" s="16"/>
      <c r="O288" s="16" t="str">
        <f>IF(AND(BEMANNINGSPLAN!U286=1,OR($B$4="Alla lag",BEMANNINGSPLAN!J286=$B$4),OR($E$4="Alla datum",BEMANNINGSPLAN!A286=$E$4)),COUNT($O$6:O287)+1,"")</f>
        <v/>
      </c>
      <c r="P288" s="137" t="str">
        <f t="shared" si="4"/>
        <v/>
      </c>
    </row>
    <row r="289" spans="1:16" ht="27.75" customHeight="1">
      <c r="A289" s="17" t="str">
        <f>IF($P289="","",INDEX(BEMANNINGSPLAN!$A$5:$A$546,$P289))</f>
        <v/>
      </c>
      <c r="B289" s="18" t="str">
        <f>IF($P289="","",INDEX(BEMANNINGSPLAN!$B$5:$B$546,$P289))</f>
        <v/>
      </c>
      <c r="C289" s="19" t="str">
        <f>IF($P289="","",INDEX(BEMANNINGSPLAN!$C$5:$C$546,$P289))</f>
        <v/>
      </c>
      <c r="D289" s="20" t="str">
        <f>IF($P289="","",INDEX(BEMANNINGSPLAN!$D$5:$D$546,$P289))</f>
        <v/>
      </c>
      <c r="E289" s="20" t="str">
        <f>IF($P289="","",SUMIF(BEMANNINGSPLAN!$W$5:$W$546,INDEX(BEMANNINGSPLAN!$W$5:$W$546,$P289),BEMANNINGSPLAN!$X$5:$X$546))</f>
        <v/>
      </c>
      <c r="F289" s="18" t="str">
        <f>IF($P289="","",INDEX(BEMANNINGSPLAN!$J$5:$J$546,$P289))</f>
        <v/>
      </c>
      <c r="G289" s="19" t="str">
        <f>IF($P289="","",INDEX(BEMANNINGSPLAN!$AD$5:$AD$546,$P289))</f>
        <v/>
      </c>
      <c r="H289" s="18" t="str">
        <f>IF($P289="","",IF(AND(INDEX(BEMANNINGSPLAN!$Y$5:$Y$546,$P289)=1,G289&lt;&gt;"Minicafé"),"X",""))</f>
        <v/>
      </c>
      <c r="I289" s="21" t="str">
        <f>IF($P289="","",IF(INDEX(BEMANNINGSPLAN!$Y$5:$Y$546,$P289)=1,"X",""))</f>
        <v/>
      </c>
      <c r="J289" s="22" t="str">
        <f>IF($P289="","",IF(SUMIF(BEMANNINGSPLAN!$W$5:$W$546,INDEX(BEMANNINGSPLAN!$W$5:$W$546,$P289),BEMANNINGSPLAN!$Z$5:$Z$546)=1,"X",""))</f>
        <v/>
      </c>
      <c r="K289" s="23" t="str">
        <f>IF($P289="","",IFERROR(LOOKUP(2,1/((BEMANNINGSPLAN!$W$5:$W$546=INDEX(BEMANNINGSPLAN!$W$5:$W$546,$P289))*(BEMANNINGSPLAN!$L$5:$L$546&lt;&gt;"")),BEMANNINGSPLAN!$L$5:$L$546),""))</f>
        <v/>
      </c>
      <c r="L289" s="18" t="str">
        <f>IF($P289="","",INDEX(BEMANNINGSPLAN!$AE$5:$AE$546,$P289))</f>
        <v/>
      </c>
      <c r="M289" s="137"/>
      <c r="N289" s="16"/>
      <c r="O289" s="16" t="str">
        <f>IF(AND(BEMANNINGSPLAN!U287=1,OR($B$4="Alla lag",BEMANNINGSPLAN!J287=$B$4),OR($E$4="Alla datum",BEMANNINGSPLAN!A287=$E$4)),COUNT($O$6:O288)+1,"")</f>
        <v/>
      </c>
      <c r="P289" s="137" t="str">
        <f t="shared" si="4"/>
        <v/>
      </c>
    </row>
    <row r="290" spans="1:16" ht="27.75" customHeight="1">
      <c r="A290" s="17" t="str">
        <f>IF($P290="","",INDEX(BEMANNINGSPLAN!$A$5:$A$546,$P290))</f>
        <v/>
      </c>
      <c r="B290" s="18" t="str">
        <f>IF($P290="","",INDEX(BEMANNINGSPLAN!$B$5:$B$546,$P290))</f>
        <v/>
      </c>
      <c r="C290" s="19" t="str">
        <f>IF($P290="","",INDEX(BEMANNINGSPLAN!$C$5:$C$546,$P290))</f>
        <v/>
      </c>
      <c r="D290" s="20" t="str">
        <f>IF($P290="","",INDEX(BEMANNINGSPLAN!$D$5:$D$546,$P290))</f>
        <v/>
      </c>
      <c r="E290" s="20" t="str">
        <f>IF($P290="","",SUMIF(BEMANNINGSPLAN!$W$5:$W$546,INDEX(BEMANNINGSPLAN!$W$5:$W$546,$P290),BEMANNINGSPLAN!$X$5:$X$546))</f>
        <v/>
      </c>
      <c r="F290" s="18" t="str">
        <f>IF($P290="","",INDEX(BEMANNINGSPLAN!$J$5:$J$546,$P290))</f>
        <v/>
      </c>
      <c r="G290" s="19" t="str">
        <f>IF($P290="","",INDEX(BEMANNINGSPLAN!$AD$5:$AD$546,$P290))</f>
        <v/>
      </c>
      <c r="H290" s="18" t="str">
        <f>IF($P290="","",IF(AND(INDEX(BEMANNINGSPLAN!$Y$5:$Y$546,$P290)=1,G290&lt;&gt;"Minicafé"),"X",""))</f>
        <v/>
      </c>
      <c r="I290" s="21" t="str">
        <f>IF($P290="","",IF(INDEX(BEMANNINGSPLAN!$Y$5:$Y$546,$P290)=1,"X",""))</f>
        <v/>
      </c>
      <c r="J290" s="22" t="str">
        <f>IF($P290="","",IF(SUMIF(BEMANNINGSPLAN!$W$5:$W$546,INDEX(BEMANNINGSPLAN!$W$5:$W$546,$P290),BEMANNINGSPLAN!$Z$5:$Z$546)=1,"X",""))</f>
        <v/>
      </c>
      <c r="K290" s="23" t="str">
        <f>IF($P290="","",IFERROR(LOOKUP(2,1/((BEMANNINGSPLAN!$W$5:$W$546=INDEX(BEMANNINGSPLAN!$W$5:$W$546,$P290))*(BEMANNINGSPLAN!$L$5:$L$546&lt;&gt;"")),BEMANNINGSPLAN!$L$5:$L$546),""))</f>
        <v/>
      </c>
      <c r="L290" s="18" t="str">
        <f>IF($P290="","",INDEX(BEMANNINGSPLAN!$AE$5:$AE$546,$P290))</f>
        <v/>
      </c>
      <c r="M290" s="137"/>
      <c r="N290" s="16"/>
      <c r="O290" s="16" t="str">
        <f>IF(AND(BEMANNINGSPLAN!U288=1,OR($B$4="Alla lag",BEMANNINGSPLAN!J288=$B$4),OR($E$4="Alla datum",BEMANNINGSPLAN!A288=$E$4)),COUNT($O$6:O289)+1,"")</f>
        <v/>
      </c>
      <c r="P290" s="137" t="str">
        <f t="shared" si="4"/>
        <v/>
      </c>
    </row>
    <row r="291" spans="1:16" ht="27.75" customHeight="1">
      <c r="A291" s="17" t="str">
        <f>IF($P291="","",INDEX(BEMANNINGSPLAN!$A$5:$A$546,$P291))</f>
        <v/>
      </c>
      <c r="B291" s="18" t="str">
        <f>IF($P291="","",INDEX(BEMANNINGSPLAN!$B$5:$B$546,$P291))</f>
        <v/>
      </c>
      <c r="C291" s="19" t="str">
        <f>IF($P291="","",INDEX(BEMANNINGSPLAN!$C$5:$C$546,$P291))</f>
        <v/>
      </c>
      <c r="D291" s="20" t="str">
        <f>IF($P291="","",INDEX(BEMANNINGSPLAN!$D$5:$D$546,$P291))</f>
        <v/>
      </c>
      <c r="E291" s="20" t="str">
        <f>IF($P291="","",SUMIF(BEMANNINGSPLAN!$W$5:$W$546,INDEX(BEMANNINGSPLAN!$W$5:$W$546,$P291),BEMANNINGSPLAN!$X$5:$X$546))</f>
        <v/>
      </c>
      <c r="F291" s="18" t="str">
        <f>IF($P291="","",INDEX(BEMANNINGSPLAN!$J$5:$J$546,$P291))</f>
        <v/>
      </c>
      <c r="G291" s="19" t="str">
        <f>IF($P291="","",INDEX(BEMANNINGSPLAN!$AD$5:$AD$546,$P291))</f>
        <v/>
      </c>
      <c r="H291" s="18" t="str">
        <f>IF($P291="","",IF(AND(INDEX(BEMANNINGSPLAN!$Y$5:$Y$546,$P291)=1,G291&lt;&gt;"Minicafé"),"X",""))</f>
        <v/>
      </c>
      <c r="I291" s="21" t="str">
        <f>IF($P291="","",IF(INDEX(BEMANNINGSPLAN!$Y$5:$Y$546,$P291)=1,"X",""))</f>
        <v/>
      </c>
      <c r="J291" s="22" t="str">
        <f>IF($P291="","",IF(SUMIF(BEMANNINGSPLAN!$W$5:$W$546,INDEX(BEMANNINGSPLAN!$W$5:$W$546,$P291),BEMANNINGSPLAN!$Z$5:$Z$546)=1,"X",""))</f>
        <v/>
      </c>
      <c r="K291" s="23" t="str">
        <f>IF($P291="","",IFERROR(LOOKUP(2,1/((BEMANNINGSPLAN!$W$5:$W$546=INDEX(BEMANNINGSPLAN!$W$5:$W$546,$P291))*(BEMANNINGSPLAN!$L$5:$L$546&lt;&gt;"")),BEMANNINGSPLAN!$L$5:$L$546),""))</f>
        <v/>
      </c>
      <c r="L291" s="18" t="str">
        <f>IF($P291="","",INDEX(BEMANNINGSPLAN!$AE$5:$AE$546,$P291))</f>
        <v/>
      </c>
      <c r="M291" s="137"/>
      <c r="N291" s="16"/>
      <c r="O291" s="16" t="str">
        <f>IF(AND(BEMANNINGSPLAN!U289=1,OR($B$4="Alla lag",BEMANNINGSPLAN!J289=$B$4),OR($E$4="Alla datum",BEMANNINGSPLAN!A289=$E$4)),COUNT($O$6:O290)+1,"")</f>
        <v/>
      </c>
      <c r="P291" s="137" t="str">
        <f t="shared" si="4"/>
        <v/>
      </c>
    </row>
    <row r="292" spans="1:16" ht="27.75" customHeight="1">
      <c r="A292" s="17" t="str">
        <f>IF($P292="","",INDEX(BEMANNINGSPLAN!$A$5:$A$546,$P292))</f>
        <v/>
      </c>
      <c r="B292" s="18" t="str">
        <f>IF($P292="","",INDEX(BEMANNINGSPLAN!$B$5:$B$546,$P292))</f>
        <v/>
      </c>
      <c r="C292" s="19" t="str">
        <f>IF($P292="","",INDEX(BEMANNINGSPLAN!$C$5:$C$546,$P292))</f>
        <v/>
      </c>
      <c r="D292" s="20" t="str">
        <f>IF($P292="","",INDEX(BEMANNINGSPLAN!$D$5:$D$546,$P292))</f>
        <v/>
      </c>
      <c r="E292" s="20" t="str">
        <f>IF($P292="","",SUMIF(BEMANNINGSPLAN!$W$5:$W$546,INDEX(BEMANNINGSPLAN!$W$5:$W$546,$P292),BEMANNINGSPLAN!$X$5:$X$546))</f>
        <v/>
      </c>
      <c r="F292" s="18" t="str">
        <f>IF($P292="","",INDEX(BEMANNINGSPLAN!$J$5:$J$546,$P292))</f>
        <v/>
      </c>
      <c r="G292" s="19" t="str">
        <f>IF($P292="","",INDEX(BEMANNINGSPLAN!$AD$5:$AD$546,$P292))</f>
        <v/>
      </c>
      <c r="H292" s="18" t="str">
        <f>IF($P292="","",IF(AND(INDEX(BEMANNINGSPLAN!$Y$5:$Y$546,$P292)=1,G292&lt;&gt;"Minicafé"),"X",""))</f>
        <v/>
      </c>
      <c r="I292" s="21" t="str">
        <f>IF($P292="","",IF(INDEX(BEMANNINGSPLAN!$Y$5:$Y$546,$P292)=1,"X",""))</f>
        <v/>
      </c>
      <c r="J292" s="22" t="str">
        <f>IF($P292="","",IF(SUMIF(BEMANNINGSPLAN!$W$5:$W$546,INDEX(BEMANNINGSPLAN!$W$5:$W$546,$P292),BEMANNINGSPLAN!$Z$5:$Z$546)=1,"X",""))</f>
        <v/>
      </c>
      <c r="K292" s="23" t="str">
        <f>IF($P292="","",IFERROR(LOOKUP(2,1/((BEMANNINGSPLAN!$W$5:$W$546=INDEX(BEMANNINGSPLAN!$W$5:$W$546,$P292))*(BEMANNINGSPLAN!$L$5:$L$546&lt;&gt;"")),BEMANNINGSPLAN!$L$5:$L$546),""))</f>
        <v/>
      </c>
      <c r="L292" s="18" t="str">
        <f>IF($P292="","",INDEX(BEMANNINGSPLAN!$AE$5:$AE$546,$P292))</f>
        <v/>
      </c>
      <c r="M292" s="137"/>
      <c r="N292" s="16"/>
      <c r="O292" s="16">
        <f>IF(AND(BEMANNINGSPLAN!U290=1,OR($B$4="Alla lag",BEMANNINGSPLAN!J290=$B$4),OR($E$4="Alla datum",BEMANNINGSPLAN!A290=$E$4)),COUNT($O$6:O291)+1,"")</f>
        <v>33</v>
      </c>
      <c r="P292" s="137" t="str">
        <f t="shared" si="4"/>
        <v/>
      </c>
    </row>
    <row r="293" spans="1:16" ht="27.75" customHeight="1">
      <c r="A293" s="17" t="str">
        <f>IF($P293="","",INDEX(BEMANNINGSPLAN!$A$5:$A$546,$P293))</f>
        <v/>
      </c>
      <c r="B293" s="18" t="str">
        <f>IF($P293="","",INDEX(BEMANNINGSPLAN!$B$5:$B$546,$P293))</f>
        <v/>
      </c>
      <c r="C293" s="19" t="str">
        <f>IF($P293="","",INDEX(BEMANNINGSPLAN!$C$5:$C$546,$P293))</f>
        <v/>
      </c>
      <c r="D293" s="20" t="str">
        <f>IF($P293="","",INDEX(BEMANNINGSPLAN!$D$5:$D$546,$P293))</f>
        <v/>
      </c>
      <c r="E293" s="20" t="str">
        <f>IF($P293="","",SUMIF(BEMANNINGSPLAN!$W$5:$W$546,INDEX(BEMANNINGSPLAN!$W$5:$W$546,$P293),BEMANNINGSPLAN!$X$5:$X$546))</f>
        <v/>
      </c>
      <c r="F293" s="18" t="str">
        <f>IF($P293="","",INDEX(BEMANNINGSPLAN!$J$5:$J$546,$P293))</f>
        <v/>
      </c>
      <c r="G293" s="19" t="str">
        <f>IF($P293="","",INDEX(BEMANNINGSPLAN!$AD$5:$AD$546,$P293))</f>
        <v/>
      </c>
      <c r="H293" s="18" t="str">
        <f>IF($P293="","",IF(AND(INDEX(BEMANNINGSPLAN!$Y$5:$Y$546,$P293)=1,G293&lt;&gt;"Minicafé"),"X",""))</f>
        <v/>
      </c>
      <c r="I293" s="21" t="str">
        <f>IF($P293="","",IF(INDEX(BEMANNINGSPLAN!$Y$5:$Y$546,$P293)=1,"X",""))</f>
        <v/>
      </c>
      <c r="J293" s="22" t="str">
        <f>IF($P293="","",IF(SUMIF(BEMANNINGSPLAN!$W$5:$W$546,INDEX(BEMANNINGSPLAN!$W$5:$W$546,$P293),BEMANNINGSPLAN!$Z$5:$Z$546)=1,"X",""))</f>
        <v/>
      </c>
      <c r="K293" s="23" t="str">
        <f>IF($P293="","",IFERROR(LOOKUP(2,1/((BEMANNINGSPLAN!$W$5:$W$546=INDEX(BEMANNINGSPLAN!$W$5:$W$546,$P293))*(BEMANNINGSPLAN!$L$5:$L$546&lt;&gt;"")),BEMANNINGSPLAN!$L$5:$L$546),""))</f>
        <v/>
      </c>
      <c r="L293" s="18" t="str">
        <f>IF($P293="","",INDEX(BEMANNINGSPLAN!$AE$5:$AE$546,$P293))</f>
        <v/>
      </c>
      <c r="M293" s="137"/>
      <c r="N293" s="16"/>
      <c r="O293" s="16" t="str">
        <f>IF(AND(BEMANNINGSPLAN!U291=1,OR($B$4="Alla lag",BEMANNINGSPLAN!J291=$B$4),OR($E$4="Alla datum",BEMANNINGSPLAN!A291=$E$4)),COUNT($O$6:O292)+1,"")</f>
        <v/>
      </c>
      <c r="P293" s="137" t="str">
        <f t="shared" si="4"/>
        <v/>
      </c>
    </row>
    <row r="294" spans="1:16" ht="27.75" customHeight="1">
      <c r="A294" s="17" t="str">
        <f>IF($P294="","",INDEX(BEMANNINGSPLAN!$A$5:$A$546,$P294))</f>
        <v/>
      </c>
      <c r="B294" s="18" t="str">
        <f>IF($P294="","",INDEX(BEMANNINGSPLAN!$B$5:$B$546,$P294))</f>
        <v/>
      </c>
      <c r="C294" s="19" t="str">
        <f>IF($P294="","",INDEX(BEMANNINGSPLAN!$C$5:$C$546,$P294))</f>
        <v/>
      </c>
      <c r="D294" s="20" t="str">
        <f>IF($P294="","",INDEX(BEMANNINGSPLAN!$D$5:$D$546,$P294))</f>
        <v/>
      </c>
      <c r="E294" s="20" t="str">
        <f>IF($P294="","",SUMIF(BEMANNINGSPLAN!$W$5:$W$546,INDEX(BEMANNINGSPLAN!$W$5:$W$546,$P294),BEMANNINGSPLAN!$X$5:$X$546))</f>
        <v/>
      </c>
      <c r="F294" s="18" t="str">
        <f>IF($P294="","",INDEX(BEMANNINGSPLAN!$J$5:$J$546,$P294))</f>
        <v/>
      </c>
      <c r="G294" s="19" t="str">
        <f>IF($P294="","",INDEX(BEMANNINGSPLAN!$AD$5:$AD$546,$P294))</f>
        <v/>
      </c>
      <c r="H294" s="18" t="str">
        <f>IF($P294="","",IF(AND(INDEX(BEMANNINGSPLAN!$Y$5:$Y$546,$P294)=1,G294&lt;&gt;"Minicafé"),"X",""))</f>
        <v/>
      </c>
      <c r="I294" s="21" t="str">
        <f>IF($P294="","",IF(INDEX(BEMANNINGSPLAN!$Y$5:$Y$546,$P294)=1,"X",""))</f>
        <v/>
      </c>
      <c r="J294" s="22" t="str">
        <f>IF($P294="","",IF(SUMIF(BEMANNINGSPLAN!$W$5:$W$546,INDEX(BEMANNINGSPLAN!$W$5:$W$546,$P294),BEMANNINGSPLAN!$Z$5:$Z$546)=1,"X",""))</f>
        <v/>
      </c>
      <c r="K294" s="23" t="str">
        <f>IF($P294="","",IFERROR(LOOKUP(2,1/((BEMANNINGSPLAN!$W$5:$W$546=INDEX(BEMANNINGSPLAN!$W$5:$W$546,$P294))*(BEMANNINGSPLAN!$L$5:$L$546&lt;&gt;"")),BEMANNINGSPLAN!$L$5:$L$546),""))</f>
        <v/>
      </c>
      <c r="L294" s="18" t="str">
        <f>IF($P294="","",INDEX(BEMANNINGSPLAN!$AE$5:$AE$546,$P294))</f>
        <v/>
      </c>
      <c r="M294" s="137"/>
      <c r="N294" s="16"/>
      <c r="O294" s="16" t="str">
        <f>IF(AND(BEMANNINGSPLAN!U292=1,OR($B$4="Alla lag",BEMANNINGSPLAN!J292=$B$4),OR($E$4="Alla datum",BEMANNINGSPLAN!A292=$E$4)),COUNT($O$6:O293)+1,"")</f>
        <v/>
      </c>
      <c r="P294" s="137" t="str">
        <f t="shared" si="4"/>
        <v/>
      </c>
    </row>
    <row r="295" spans="1:16" ht="27.75" customHeight="1">
      <c r="A295" s="17" t="str">
        <f>IF($P295="","",INDEX(BEMANNINGSPLAN!$A$5:$A$546,$P295))</f>
        <v/>
      </c>
      <c r="B295" s="18" t="str">
        <f>IF($P295="","",INDEX(BEMANNINGSPLAN!$B$5:$B$546,$P295))</f>
        <v/>
      </c>
      <c r="C295" s="19" t="str">
        <f>IF($P295="","",INDEX(BEMANNINGSPLAN!$C$5:$C$546,$P295))</f>
        <v/>
      </c>
      <c r="D295" s="20" t="str">
        <f>IF($P295="","",INDEX(BEMANNINGSPLAN!$D$5:$D$546,$P295))</f>
        <v/>
      </c>
      <c r="E295" s="20" t="str">
        <f>IF($P295="","",SUMIF(BEMANNINGSPLAN!$W$5:$W$546,INDEX(BEMANNINGSPLAN!$W$5:$W$546,$P295),BEMANNINGSPLAN!$X$5:$X$546))</f>
        <v/>
      </c>
      <c r="F295" s="18" t="str">
        <f>IF($P295="","",INDEX(BEMANNINGSPLAN!$J$5:$J$546,$P295))</f>
        <v/>
      </c>
      <c r="G295" s="19" t="str">
        <f>IF($P295="","",INDEX(BEMANNINGSPLAN!$AD$5:$AD$546,$P295))</f>
        <v/>
      </c>
      <c r="H295" s="18" t="str">
        <f>IF($P295="","",IF(AND(INDEX(BEMANNINGSPLAN!$Y$5:$Y$546,$P295)=1,G295&lt;&gt;"Minicafé"),"X",""))</f>
        <v/>
      </c>
      <c r="I295" s="21" t="str">
        <f>IF($P295="","",IF(INDEX(BEMANNINGSPLAN!$Y$5:$Y$546,$P295)=1,"X",""))</f>
        <v/>
      </c>
      <c r="J295" s="22" t="str">
        <f>IF($P295="","",IF(SUMIF(BEMANNINGSPLAN!$W$5:$W$546,INDEX(BEMANNINGSPLAN!$W$5:$W$546,$P295),BEMANNINGSPLAN!$Z$5:$Z$546)=1,"X",""))</f>
        <v/>
      </c>
      <c r="K295" s="23" t="str">
        <f>IF($P295="","",IFERROR(LOOKUP(2,1/((BEMANNINGSPLAN!$W$5:$W$546=INDEX(BEMANNINGSPLAN!$W$5:$W$546,$P295))*(BEMANNINGSPLAN!$L$5:$L$546&lt;&gt;"")),BEMANNINGSPLAN!$L$5:$L$546),""))</f>
        <v/>
      </c>
      <c r="L295" s="18" t="str">
        <f>IF($P295="","",INDEX(BEMANNINGSPLAN!$AE$5:$AE$546,$P295))</f>
        <v/>
      </c>
      <c r="M295" s="137"/>
      <c r="N295" s="16"/>
      <c r="O295" s="16" t="str">
        <f>IF(AND(BEMANNINGSPLAN!U293=1,OR($B$4="Alla lag",BEMANNINGSPLAN!J293=$B$4),OR($E$4="Alla datum",BEMANNINGSPLAN!A293=$E$4)),COUNT($O$6:O294)+1,"")</f>
        <v/>
      </c>
      <c r="P295" s="137" t="str">
        <f t="shared" si="4"/>
        <v/>
      </c>
    </row>
    <row r="296" spans="1:16" ht="27.75" customHeight="1">
      <c r="A296" s="17" t="str">
        <f>IF($P296="","",INDEX(BEMANNINGSPLAN!$A$5:$A$546,$P296))</f>
        <v/>
      </c>
      <c r="B296" s="18" t="str">
        <f>IF($P296="","",INDEX(BEMANNINGSPLAN!$B$5:$B$546,$P296))</f>
        <v/>
      </c>
      <c r="C296" s="19" t="str">
        <f>IF($P296="","",INDEX(BEMANNINGSPLAN!$C$5:$C$546,$P296))</f>
        <v/>
      </c>
      <c r="D296" s="20" t="str">
        <f>IF($P296="","",INDEX(BEMANNINGSPLAN!$D$5:$D$546,$P296))</f>
        <v/>
      </c>
      <c r="E296" s="20" t="str">
        <f>IF($P296="","",SUMIF(BEMANNINGSPLAN!$W$5:$W$546,INDEX(BEMANNINGSPLAN!$W$5:$W$546,$P296),BEMANNINGSPLAN!$X$5:$X$546))</f>
        <v/>
      </c>
      <c r="F296" s="18" t="str">
        <f>IF($P296="","",INDEX(BEMANNINGSPLAN!$J$5:$J$546,$P296))</f>
        <v/>
      </c>
      <c r="G296" s="19" t="str">
        <f>IF($P296="","",INDEX(BEMANNINGSPLAN!$AD$5:$AD$546,$P296))</f>
        <v/>
      </c>
      <c r="H296" s="18" t="str">
        <f>IF($P296="","",IF(AND(INDEX(BEMANNINGSPLAN!$Y$5:$Y$546,$P296)=1,G296&lt;&gt;"Minicafé"),"X",""))</f>
        <v/>
      </c>
      <c r="I296" s="21" t="str">
        <f>IF($P296="","",IF(INDEX(BEMANNINGSPLAN!$Y$5:$Y$546,$P296)=1,"X",""))</f>
        <v/>
      </c>
      <c r="J296" s="22" t="str">
        <f>IF($P296="","",IF(SUMIF(BEMANNINGSPLAN!$W$5:$W$546,INDEX(BEMANNINGSPLAN!$W$5:$W$546,$P296),BEMANNINGSPLAN!$Z$5:$Z$546)=1,"X",""))</f>
        <v/>
      </c>
      <c r="K296" s="23" t="str">
        <f>IF($P296="","",IFERROR(LOOKUP(2,1/((BEMANNINGSPLAN!$W$5:$W$546=INDEX(BEMANNINGSPLAN!$W$5:$W$546,$P296))*(BEMANNINGSPLAN!$L$5:$L$546&lt;&gt;"")),BEMANNINGSPLAN!$L$5:$L$546),""))</f>
        <v/>
      </c>
      <c r="L296" s="18" t="str">
        <f>IF($P296="","",INDEX(BEMANNINGSPLAN!$AE$5:$AE$546,$P296))</f>
        <v/>
      </c>
      <c r="M296" s="137"/>
      <c r="N296" s="16"/>
      <c r="O296" s="16" t="str">
        <f>IF(AND(BEMANNINGSPLAN!U294=1,OR($B$4="Alla lag",BEMANNINGSPLAN!J294=$B$4),OR($E$4="Alla datum",BEMANNINGSPLAN!A294=$E$4)),COUNT($O$6:O295)+1,"")</f>
        <v/>
      </c>
      <c r="P296" s="137" t="str">
        <f t="shared" si="4"/>
        <v/>
      </c>
    </row>
    <row r="297" spans="1:16" ht="27.75" customHeight="1">
      <c r="A297" s="17" t="str">
        <f>IF($P297="","",INDEX(BEMANNINGSPLAN!$A$5:$A$546,$P297))</f>
        <v/>
      </c>
      <c r="B297" s="18" t="str">
        <f>IF($P297="","",INDEX(BEMANNINGSPLAN!$B$5:$B$546,$P297))</f>
        <v/>
      </c>
      <c r="C297" s="19" t="str">
        <f>IF($P297="","",INDEX(BEMANNINGSPLAN!$C$5:$C$546,$P297))</f>
        <v/>
      </c>
      <c r="D297" s="20" t="str">
        <f>IF($P297="","",INDEX(BEMANNINGSPLAN!$D$5:$D$546,$P297))</f>
        <v/>
      </c>
      <c r="E297" s="20" t="str">
        <f>IF($P297="","",SUMIF(BEMANNINGSPLAN!$W$5:$W$546,INDEX(BEMANNINGSPLAN!$W$5:$W$546,$P297),BEMANNINGSPLAN!$X$5:$X$546))</f>
        <v/>
      </c>
      <c r="F297" s="18" t="str">
        <f>IF($P297="","",INDEX(BEMANNINGSPLAN!$J$5:$J$546,$P297))</f>
        <v/>
      </c>
      <c r="G297" s="19" t="str">
        <f>IF($P297="","",INDEX(BEMANNINGSPLAN!$AD$5:$AD$546,$P297))</f>
        <v/>
      </c>
      <c r="H297" s="18" t="str">
        <f>IF($P297="","",IF(AND(INDEX(BEMANNINGSPLAN!$Y$5:$Y$546,$P297)=1,G297&lt;&gt;"Minicafé"),"X",""))</f>
        <v/>
      </c>
      <c r="I297" s="21" t="str">
        <f>IF($P297="","",IF(INDEX(BEMANNINGSPLAN!$Y$5:$Y$546,$P297)=1,"X",""))</f>
        <v/>
      </c>
      <c r="J297" s="22" t="str">
        <f>IF($P297="","",IF(SUMIF(BEMANNINGSPLAN!$W$5:$W$546,INDEX(BEMANNINGSPLAN!$W$5:$W$546,$P297),BEMANNINGSPLAN!$Z$5:$Z$546)=1,"X",""))</f>
        <v/>
      </c>
      <c r="K297" s="23" t="str">
        <f>IF($P297="","",IFERROR(LOOKUP(2,1/((BEMANNINGSPLAN!$W$5:$W$546=INDEX(BEMANNINGSPLAN!$W$5:$W$546,$P297))*(BEMANNINGSPLAN!$L$5:$L$546&lt;&gt;"")),BEMANNINGSPLAN!$L$5:$L$546),""))</f>
        <v/>
      </c>
      <c r="L297" s="18" t="str">
        <f>IF($P297="","",INDEX(BEMANNINGSPLAN!$AE$5:$AE$546,$P297))</f>
        <v/>
      </c>
      <c r="M297" s="137"/>
      <c r="N297" s="16"/>
      <c r="O297" s="16" t="str">
        <f>IF(AND(BEMANNINGSPLAN!U295=1,OR($B$4="Alla lag",BEMANNINGSPLAN!J295=$B$4),OR($E$4="Alla datum",BEMANNINGSPLAN!A295=$E$4)),COUNT($O$6:O296)+1,"")</f>
        <v/>
      </c>
      <c r="P297" s="137" t="str">
        <f t="shared" si="4"/>
        <v/>
      </c>
    </row>
    <row r="298" spans="1:16" ht="27.75" customHeight="1">
      <c r="A298" s="17" t="str">
        <f>IF($P298="","",INDEX(BEMANNINGSPLAN!$A$5:$A$546,$P298))</f>
        <v/>
      </c>
      <c r="B298" s="18" t="str">
        <f>IF($P298="","",INDEX(BEMANNINGSPLAN!$B$5:$B$546,$P298))</f>
        <v/>
      </c>
      <c r="C298" s="19" t="str">
        <f>IF($P298="","",INDEX(BEMANNINGSPLAN!$C$5:$C$546,$P298))</f>
        <v/>
      </c>
      <c r="D298" s="20" t="str">
        <f>IF($P298="","",INDEX(BEMANNINGSPLAN!$D$5:$D$546,$P298))</f>
        <v/>
      </c>
      <c r="E298" s="20" t="str">
        <f>IF($P298="","",SUMIF(BEMANNINGSPLAN!$W$5:$W$546,INDEX(BEMANNINGSPLAN!$W$5:$W$546,$P298),BEMANNINGSPLAN!$X$5:$X$546))</f>
        <v/>
      </c>
      <c r="F298" s="18" t="str">
        <f>IF($P298="","",INDEX(BEMANNINGSPLAN!$J$5:$J$546,$P298))</f>
        <v/>
      </c>
      <c r="G298" s="19" t="str">
        <f>IF($P298="","",INDEX(BEMANNINGSPLAN!$AD$5:$AD$546,$P298))</f>
        <v/>
      </c>
      <c r="H298" s="18" t="str">
        <f>IF($P298="","",IF(AND(INDEX(BEMANNINGSPLAN!$Y$5:$Y$546,$P298)=1,G298&lt;&gt;"Minicafé"),"X",""))</f>
        <v/>
      </c>
      <c r="I298" s="21" t="str">
        <f>IF($P298="","",IF(INDEX(BEMANNINGSPLAN!$Y$5:$Y$546,$P298)=1,"X",""))</f>
        <v/>
      </c>
      <c r="J298" s="22" t="str">
        <f>IF($P298="","",IF(SUMIF(BEMANNINGSPLAN!$W$5:$W$546,INDEX(BEMANNINGSPLAN!$W$5:$W$546,$P298),BEMANNINGSPLAN!$Z$5:$Z$546)=1,"X",""))</f>
        <v/>
      </c>
      <c r="K298" s="23" t="str">
        <f>IF($P298="","",IFERROR(LOOKUP(2,1/((BEMANNINGSPLAN!$W$5:$W$546=INDEX(BEMANNINGSPLAN!$W$5:$W$546,$P298))*(BEMANNINGSPLAN!$L$5:$L$546&lt;&gt;"")),BEMANNINGSPLAN!$L$5:$L$546),""))</f>
        <v/>
      </c>
      <c r="L298" s="18" t="str">
        <f>IF($P298="","",INDEX(BEMANNINGSPLAN!$AE$5:$AE$546,$P298))</f>
        <v/>
      </c>
      <c r="M298" s="137"/>
      <c r="N298" s="16"/>
      <c r="O298" s="16" t="str">
        <f>IF(AND(BEMANNINGSPLAN!U296=1,OR($B$4="Alla lag",BEMANNINGSPLAN!J296=$B$4),OR($E$4="Alla datum",BEMANNINGSPLAN!A296=$E$4)),COUNT($O$6:O297)+1,"")</f>
        <v/>
      </c>
      <c r="P298" s="137" t="str">
        <f t="shared" si="4"/>
        <v/>
      </c>
    </row>
    <row r="299" spans="1:16" ht="27.75" customHeight="1">
      <c r="A299" s="17" t="str">
        <f>IF($P299="","",INDEX(BEMANNINGSPLAN!$A$5:$A$546,$P299))</f>
        <v/>
      </c>
      <c r="B299" s="18" t="str">
        <f>IF($P299="","",INDEX(BEMANNINGSPLAN!$B$5:$B$546,$P299))</f>
        <v/>
      </c>
      <c r="C299" s="19" t="str">
        <f>IF($P299="","",INDEX(BEMANNINGSPLAN!$C$5:$C$546,$P299))</f>
        <v/>
      </c>
      <c r="D299" s="20" t="str">
        <f>IF($P299="","",INDEX(BEMANNINGSPLAN!$D$5:$D$546,$P299))</f>
        <v/>
      </c>
      <c r="E299" s="20" t="str">
        <f>IF($P299="","",SUMIF(BEMANNINGSPLAN!$W$5:$W$546,INDEX(BEMANNINGSPLAN!$W$5:$W$546,$P299),BEMANNINGSPLAN!$X$5:$X$546))</f>
        <v/>
      </c>
      <c r="F299" s="18" t="str">
        <f>IF($P299="","",INDEX(BEMANNINGSPLAN!$J$5:$J$546,$P299))</f>
        <v/>
      </c>
      <c r="G299" s="19" t="str">
        <f>IF($P299="","",INDEX(BEMANNINGSPLAN!$AD$5:$AD$546,$P299))</f>
        <v/>
      </c>
      <c r="H299" s="18" t="str">
        <f>IF($P299="","",IF(AND(INDEX(BEMANNINGSPLAN!$Y$5:$Y$546,$P299)=1,G299&lt;&gt;"Minicafé"),"X",""))</f>
        <v/>
      </c>
      <c r="I299" s="21" t="str">
        <f>IF($P299="","",IF(INDEX(BEMANNINGSPLAN!$Y$5:$Y$546,$P299)=1,"X",""))</f>
        <v/>
      </c>
      <c r="J299" s="22" t="str">
        <f>IF($P299="","",IF(SUMIF(BEMANNINGSPLAN!$W$5:$W$546,INDEX(BEMANNINGSPLAN!$W$5:$W$546,$P299),BEMANNINGSPLAN!$Z$5:$Z$546)=1,"X",""))</f>
        <v/>
      </c>
      <c r="K299" s="23" t="str">
        <f>IF($P299="","",IFERROR(LOOKUP(2,1/((BEMANNINGSPLAN!$W$5:$W$546=INDEX(BEMANNINGSPLAN!$W$5:$W$546,$P299))*(BEMANNINGSPLAN!$L$5:$L$546&lt;&gt;"")),BEMANNINGSPLAN!$L$5:$L$546),""))</f>
        <v/>
      </c>
      <c r="L299" s="18" t="str">
        <f>IF($P299="","",INDEX(BEMANNINGSPLAN!$AE$5:$AE$546,$P299))</f>
        <v/>
      </c>
      <c r="M299" s="137"/>
      <c r="N299" s="16"/>
      <c r="O299" s="16" t="str">
        <f>IF(AND(BEMANNINGSPLAN!U297=1,OR($B$4="Alla lag",BEMANNINGSPLAN!J297=$B$4),OR($E$4="Alla datum",BEMANNINGSPLAN!A297=$E$4)),COUNT($O$6:O298)+1,"")</f>
        <v/>
      </c>
      <c r="P299" s="137" t="str">
        <f t="shared" si="4"/>
        <v/>
      </c>
    </row>
    <row r="300" spans="1:16" ht="27.75" customHeight="1">
      <c r="A300" s="17" t="str">
        <f>IF($P300="","",INDEX(BEMANNINGSPLAN!$A$5:$A$546,$P300))</f>
        <v/>
      </c>
      <c r="B300" s="18" t="str">
        <f>IF($P300="","",INDEX(BEMANNINGSPLAN!$B$5:$B$546,$P300))</f>
        <v/>
      </c>
      <c r="C300" s="19" t="str">
        <f>IF($P300="","",INDEX(BEMANNINGSPLAN!$C$5:$C$546,$P300))</f>
        <v/>
      </c>
      <c r="D300" s="20" t="str">
        <f>IF($P300="","",INDEX(BEMANNINGSPLAN!$D$5:$D$546,$P300))</f>
        <v/>
      </c>
      <c r="E300" s="20" t="str">
        <f>IF($P300="","",SUMIF(BEMANNINGSPLAN!$W$5:$W$546,INDEX(BEMANNINGSPLAN!$W$5:$W$546,$P300),BEMANNINGSPLAN!$X$5:$X$546))</f>
        <v/>
      </c>
      <c r="F300" s="18" t="str">
        <f>IF($P300="","",INDEX(BEMANNINGSPLAN!$J$5:$J$546,$P300))</f>
        <v/>
      </c>
      <c r="G300" s="19" t="str">
        <f>IF($P300="","",INDEX(BEMANNINGSPLAN!$AD$5:$AD$546,$P300))</f>
        <v/>
      </c>
      <c r="H300" s="18" t="str">
        <f>IF($P300="","",IF(AND(INDEX(BEMANNINGSPLAN!$Y$5:$Y$546,$P300)=1,G300&lt;&gt;"Minicafé"),"X",""))</f>
        <v/>
      </c>
      <c r="I300" s="21" t="str">
        <f>IF($P300="","",IF(INDEX(BEMANNINGSPLAN!$Y$5:$Y$546,$P300)=1,"X",""))</f>
        <v/>
      </c>
      <c r="J300" s="22" t="str">
        <f>IF($P300="","",IF(SUMIF(BEMANNINGSPLAN!$W$5:$W$546,INDEX(BEMANNINGSPLAN!$W$5:$W$546,$P300),BEMANNINGSPLAN!$Z$5:$Z$546)=1,"X",""))</f>
        <v/>
      </c>
      <c r="K300" s="23" t="str">
        <f>IF($P300="","",IFERROR(LOOKUP(2,1/((BEMANNINGSPLAN!$W$5:$W$546=INDEX(BEMANNINGSPLAN!$W$5:$W$546,$P300))*(BEMANNINGSPLAN!$L$5:$L$546&lt;&gt;"")),BEMANNINGSPLAN!$L$5:$L$546),""))</f>
        <v/>
      </c>
      <c r="L300" s="18" t="str">
        <f>IF($P300="","",INDEX(BEMANNINGSPLAN!$AE$5:$AE$546,$P300))</f>
        <v/>
      </c>
      <c r="M300" s="137"/>
      <c r="N300" s="16"/>
      <c r="O300" s="16" t="str">
        <f>IF(AND(BEMANNINGSPLAN!U298=1,OR($B$4="Alla lag",BEMANNINGSPLAN!J298=$B$4),OR($E$4="Alla datum",BEMANNINGSPLAN!A298=$E$4)),COUNT($O$6:O299)+1,"")</f>
        <v/>
      </c>
      <c r="P300" s="137" t="str">
        <f t="shared" si="4"/>
        <v/>
      </c>
    </row>
    <row r="301" spans="1:16" ht="27.75" customHeight="1">
      <c r="A301" s="17" t="str">
        <f>IF($P301="","",INDEX(BEMANNINGSPLAN!$A$5:$A$546,$P301))</f>
        <v/>
      </c>
      <c r="B301" s="18" t="str">
        <f>IF($P301="","",INDEX(BEMANNINGSPLAN!$B$5:$B$546,$P301))</f>
        <v/>
      </c>
      <c r="C301" s="19" t="str">
        <f>IF($P301="","",INDEX(BEMANNINGSPLAN!$C$5:$C$546,$P301))</f>
        <v/>
      </c>
      <c r="D301" s="20" t="str">
        <f>IF($P301="","",INDEX(BEMANNINGSPLAN!$D$5:$D$546,$P301))</f>
        <v/>
      </c>
      <c r="E301" s="20" t="str">
        <f>IF($P301="","",SUMIF(BEMANNINGSPLAN!$W$5:$W$546,INDEX(BEMANNINGSPLAN!$W$5:$W$546,$P301),BEMANNINGSPLAN!$X$5:$X$546))</f>
        <v/>
      </c>
      <c r="F301" s="18" t="str">
        <f>IF($P301="","",INDEX(BEMANNINGSPLAN!$J$5:$J$546,$P301))</f>
        <v/>
      </c>
      <c r="G301" s="19" t="str">
        <f>IF($P301="","",INDEX(BEMANNINGSPLAN!$AD$5:$AD$546,$P301))</f>
        <v/>
      </c>
      <c r="H301" s="18" t="str">
        <f>IF($P301="","",IF(AND(INDEX(BEMANNINGSPLAN!$Y$5:$Y$546,$P301)=1,G301&lt;&gt;"Minicafé"),"X",""))</f>
        <v/>
      </c>
      <c r="I301" s="21" t="str">
        <f>IF($P301="","",IF(INDEX(BEMANNINGSPLAN!$Y$5:$Y$546,$P301)=1,"X",""))</f>
        <v/>
      </c>
      <c r="J301" s="22" t="str">
        <f>IF($P301="","",IF(SUMIF(BEMANNINGSPLAN!$W$5:$W$546,INDEX(BEMANNINGSPLAN!$W$5:$W$546,$P301),BEMANNINGSPLAN!$Z$5:$Z$546)=1,"X",""))</f>
        <v/>
      </c>
      <c r="K301" s="23" t="str">
        <f>IF($P301="","",IFERROR(LOOKUP(2,1/((BEMANNINGSPLAN!$W$5:$W$546=INDEX(BEMANNINGSPLAN!$W$5:$W$546,$P301))*(BEMANNINGSPLAN!$L$5:$L$546&lt;&gt;"")),BEMANNINGSPLAN!$L$5:$L$546),""))</f>
        <v/>
      </c>
      <c r="L301" s="18" t="str">
        <f>IF($P301="","",INDEX(BEMANNINGSPLAN!$AE$5:$AE$546,$P301))</f>
        <v/>
      </c>
      <c r="M301" s="137"/>
      <c r="N301" s="16"/>
      <c r="O301" s="16" t="str">
        <f>IF(AND(BEMANNINGSPLAN!U299=1,OR($B$4="Alla lag",BEMANNINGSPLAN!J299=$B$4),OR($E$4="Alla datum",BEMANNINGSPLAN!A299=$E$4)),COUNT($O$6:O300)+1,"")</f>
        <v/>
      </c>
      <c r="P301" s="137" t="str">
        <f t="shared" si="4"/>
        <v/>
      </c>
    </row>
    <row r="302" spans="1:16" ht="27.75" customHeight="1">
      <c r="A302" s="17" t="str">
        <f>IF($P302="","",INDEX(BEMANNINGSPLAN!$A$5:$A$546,$P302))</f>
        <v/>
      </c>
      <c r="B302" s="18" t="str">
        <f>IF($P302="","",INDEX(BEMANNINGSPLAN!$B$5:$B$546,$P302))</f>
        <v/>
      </c>
      <c r="C302" s="19" t="str">
        <f>IF($P302="","",INDEX(BEMANNINGSPLAN!$C$5:$C$546,$P302))</f>
        <v/>
      </c>
      <c r="D302" s="20" t="str">
        <f>IF($P302="","",INDEX(BEMANNINGSPLAN!$D$5:$D$546,$P302))</f>
        <v/>
      </c>
      <c r="E302" s="20" t="str">
        <f>IF($P302="","",SUMIF(BEMANNINGSPLAN!$W$5:$W$546,INDEX(BEMANNINGSPLAN!$W$5:$W$546,$P302),BEMANNINGSPLAN!$X$5:$X$546))</f>
        <v/>
      </c>
      <c r="F302" s="18" t="str">
        <f>IF($P302="","",INDEX(BEMANNINGSPLAN!$J$5:$J$546,$P302))</f>
        <v/>
      </c>
      <c r="G302" s="19" t="str">
        <f>IF($P302="","",INDEX(BEMANNINGSPLAN!$AD$5:$AD$546,$P302))</f>
        <v/>
      </c>
      <c r="H302" s="18" t="str">
        <f>IF($P302="","",IF(AND(INDEX(BEMANNINGSPLAN!$Y$5:$Y$546,$P302)=1,G302&lt;&gt;"Minicafé"),"X",""))</f>
        <v/>
      </c>
      <c r="I302" s="21" t="str">
        <f>IF($P302="","",IF(INDEX(BEMANNINGSPLAN!$Y$5:$Y$546,$P302)=1,"X",""))</f>
        <v/>
      </c>
      <c r="J302" s="22" t="str">
        <f>IF($P302="","",IF(SUMIF(BEMANNINGSPLAN!$W$5:$W$546,INDEX(BEMANNINGSPLAN!$W$5:$W$546,$P302),BEMANNINGSPLAN!$Z$5:$Z$546)=1,"X",""))</f>
        <v/>
      </c>
      <c r="K302" s="23" t="str">
        <f>IF($P302="","",IFERROR(LOOKUP(2,1/((BEMANNINGSPLAN!$W$5:$W$546=INDEX(BEMANNINGSPLAN!$W$5:$W$546,$P302))*(BEMANNINGSPLAN!$L$5:$L$546&lt;&gt;"")),BEMANNINGSPLAN!$L$5:$L$546),""))</f>
        <v/>
      </c>
      <c r="L302" s="18" t="str">
        <f>IF($P302="","",INDEX(BEMANNINGSPLAN!$AE$5:$AE$546,$P302))</f>
        <v/>
      </c>
      <c r="M302" s="137"/>
      <c r="N302" s="16"/>
      <c r="O302" s="16" t="str">
        <f>IF(AND(BEMANNINGSPLAN!U300=1,OR($B$4="Alla lag",BEMANNINGSPLAN!J300=$B$4),OR($E$4="Alla datum",BEMANNINGSPLAN!A300=$E$4)),COUNT($O$6:O301)+1,"")</f>
        <v/>
      </c>
      <c r="P302" s="137" t="str">
        <f t="shared" si="4"/>
        <v/>
      </c>
    </row>
    <row r="303" spans="1:16" ht="27.75" customHeight="1">
      <c r="A303" s="17" t="str">
        <f>IF($P303="","",INDEX(BEMANNINGSPLAN!$A$5:$A$546,$P303))</f>
        <v/>
      </c>
      <c r="B303" s="18" t="str">
        <f>IF($P303="","",INDEX(BEMANNINGSPLAN!$B$5:$B$546,$P303))</f>
        <v/>
      </c>
      <c r="C303" s="19" t="str">
        <f>IF($P303="","",INDEX(BEMANNINGSPLAN!$C$5:$C$546,$P303))</f>
        <v/>
      </c>
      <c r="D303" s="20" t="str">
        <f>IF($P303="","",INDEX(BEMANNINGSPLAN!$D$5:$D$546,$P303))</f>
        <v/>
      </c>
      <c r="E303" s="20" t="str">
        <f>IF($P303="","",SUMIF(BEMANNINGSPLAN!$W$5:$W$546,INDEX(BEMANNINGSPLAN!$W$5:$W$546,$P303),BEMANNINGSPLAN!$X$5:$X$546))</f>
        <v/>
      </c>
      <c r="F303" s="18" t="str">
        <f>IF($P303="","",INDEX(BEMANNINGSPLAN!$J$5:$J$546,$P303))</f>
        <v/>
      </c>
      <c r="G303" s="19" t="str">
        <f>IF($P303="","",INDEX(BEMANNINGSPLAN!$AD$5:$AD$546,$P303))</f>
        <v/>
      </c>
      <c r="H303" s="18" t="str">
        <f>IF($P303="","",IF(AND(INDEX(BEMANNINGSPLAN!$Y$5:$Y$546,$P303)=1,G303&lt;&gt;"Minicafé"),"X",""))</f>
        <v/>
      </c>
      <c r="I303" s="21" t="str">
        <f>IF($P303="","",IF(INDEX(BEMANNINGSPLAN!$Y$5:$Y$546,$P303)=1,"X",""))</f>
        <v/>
      </c>
      <c r="J303" s="22" t="str">
        <f>IF($P303="","",IF(SUMIF(BEMANNINGSPLAN!$W$5:$W$546,INDEX(BEMANNINGSPLAN!$W$5:$W$546,$P303),BEMANNINGSPLAN!$Z$5:$Z$546)=1,"X",""))</f>
        <v/>
      </c>
      <c r="K303" s="23" t="str">
        <f>IF($P303="","",IFERROR(LOOKUP(2,1/((BEMANNINGSPLAN!$W$5:$W$546=INDEX(BEMANNINGSPLAN!$W$5:$W$546,$P303))*(BEMANNINGSPLAN!$L$5:$L$546&lt;&gt;"")),BEMANNINGSPLAN!$L$5:$L$546),""))</f>
        <v/>
      </c>
      <c r="L303" s="18" t="str">
        <f>IF($P303="","",INDEX(BEMANNINGSPLAN!$AE$5:$AE$546,$P303))</f>
        <v/>
      </c>
      <c r="M303" s="137"/>
      <c r="N303" s="16"/>
      <c r="O303" s="16" t="str">
        <f>IF(AND(BEMANNINGSPLAN!U301=1,OR($B$4="Alla lag",BEMANNINGSPLAN!J301=$B$4),OR($E$4="Alla datum",BEMANNINGSPLAN!A301=$E$4)),COUNT($O$6:O302)+1,"")</f>
        <v/>
      </c>
      <c r="P303" s="137" t="str">
        <f t="shared" si="4"/>
        <v/>
      </c>
    </row>
    <row r="304" spans="1:16" ht="27.75" customHeight="1">
      <c r="A304" s="17" t="str">
        <f>IF($P304="","",INDEX(BEMANNINGSPLAN!$A$5:$A$546,$P304))</f>
        <v/>
      </c>
      <c r="B304" s="18" t="str">
        <f>IF($P304="","",INDEX(BEMANNINGSPLAN!$B$5:$B$546,$P304))</f>
        <v/>
      </c>
      <c r="C304" s="19" t="str">
        <f>IF($P304="","",INDEX(BEMANNINGSPLAN!$C$5:$C$546,$P304))</f>
        <v/>
      </c>
      <c r="D304" s="20" t="str">
        <f>IF($P304="","",INDEX(BEMANNINGSPLAN!$D$5:$D$546,$P304))</f>
        <v/>
      </c>
      <c r="E304" s="20" t="str">
        <f>IF($P304="","",SUMIF(BEMANNINGSPLAN!$W$5:$W$546,INDEX(BEMANNINGSPLAN!$W$5:$W$546,$P304),BEMANNINGSPLAN!$X$5:$X$546))</f>
        <v/>
      </c>
      <c r="F304" s="18" t="str">
        <f>IF($P304="","",INDEX(BEMANNINGSPLAN!$J$5:$J$546,$P304))</f>
        <v/>
      </c>
      <c r="G304" s="19" t="str">
        <f>IF($P304="","",INDEX(BEMANNINGSPLAN!$AD$5:$AD$546,$P304))</f>
        <v/>
      </c>
      <c r="H304" s="18" t="str">
        <f>IF($P304="","",IF(AND(INDEX(BEMANNINGSPLAN!$Y$5:$Y$546,$P304)=1,G304&lt;&gt;"Minicafé"),"X",""))</f>
        <v/>
      </c>
      <c r="I304" s="21" t="str">
        <f>IF($P304="","",IF(INDEX(BEMANNINGSPLAN!$Y$5:$Y$546,$P304)=1,"X",""))</f>
        <v/>
      </c>
      <c r="J304" s="22" t="str">
        <f>IF($P304="","",IF(SUMIF(BEMANNINGSPLAN!$W$5:$W$546,INDEX(BEMANNINGSPLAN!$W$5:$W$546,$P304),BEMANNINGSPLAN!$Z$5:$Z$546)=1,"X",""))</f>
        <v/>
      </c>
      <c r="K304" s="23" t="str">
        <f>IF($P304="","",IFERROR(LOOKUP(2,1/((BEMANNINGSPLAN!$W$5:$W$546=INDEX(BEMANNINGSPLAN!$W$5:$W$546,$P304))*(BEMANNINGSPLAN!$L$5:$L$546&lt;&gt;"")),BEMANNINGSPLAN!$L$5:$L$546),""))</f>
        <v/>
      </c>
      <c r="L304" s="18" t="str">
        <f>IF($P304="","",INDEX(BEMANNINGSPLAN!$AE$5:$AE$546,$P304))</f>
        <v/>
      </c>
      <c r="M304" s="137"/>
      <c r="N304" s="16"/>
      <c r="O304" s="16" t="str">
        <f>IF(AND(BEMANNINGSPLAN!U302=1,OR($B$4="Alla lag",BEMANNINGSPLAN!J302=$B$4),OR($E$4="Alla datum",BEMANNINGSPLAN!A302=$E$4)),COUNT($O$6:O303)+1,"")</f>
        <v/>
      </c>
      <c r="P304" s="137" t="str">
        <f t="shared" si="4"/>
        <v/>
      </c>
    </row>
    <row r="305" spans="1:16" ht="27.75" customHeight="1">
      <c r="A305" s="17" t="str">
        <f>IF($P305="","",INDEX(BEMANNINGSPLAN!$A$5:$A$546,$P305))</f>
        <v/>
      </c>
      <c r="B305" s="18" t="str">
        <f>IF($P305="","",INDEX(BEMANNINGSPLAN!$B$5:$B$546,$P305))</f>
        <v/>
      </c>
      <c r="C305" s="19" t="str">
        <f>IF($P305="","",INDEX(BEMANNINGSPLAN!$C$5:$C$546,$P305))</f>
        <v/>
      </c>
      <c r="D305" s="20" t="str">
        <f>IF($P305="","",INDEX(BEMANNINGSPLAN!$D$5:$D$546,$P305))</f>
        <v/>
      </c>
      <c r="E305" s="20" t="str">
        <f>IF($P305="","",SUMIF(BEMANNINGSPLAN!$W$5:$W$546,INDEX(BEMANNINGSPLAN!$W$5:$W$546,$P305),BEMANNINGSPLAN!$X$5:$X$546))</f>
        <v/>
      </c>
      <c r="F305" s="18" t="str">
        <f>IF($P305="","",INDEX(BEMANNINGSPLAN!$J$5:$J$546,$P305))</f>
        <v/>
      </c>
      <c r="G305" s="19" t="str">
        <f>IF($P305="","",INDEX(BEMANNINGSPLAN!$AD$5:$AD$546,$P305))</f>
        <v/>
      </c>
      <c r="H305" s="18" t="str">
        <f>IF($P305="","",IF(AND(INDEX(BEMANNINGSPLAN!$Y$5:$Y$546,$P305)=1,G305&lt;&gt;"Minicafé"),"X",""))</f>
        <v/>
      </c>
      <c r="I305" s="21" t="str">
        <f>IF($P305="","",IF(INDEX(BEMANNINGSPLAN!$Y$5:$Y$546,$P305)=1,"X",""))</f>
        <v/>
      </c>
      <c r="J305" s="22" t="str">
        <f>IF($P305="","",IF(SUMIF(BEMANNINGSPLAN!$W$5:$W$546,INDEX(BEMANNINGSPLAN!$W$5:$W$546,$P305),BEMANNINGSPLAN!$Z$5:$Z$546)=1,"X",""))</f>
        <v/>
      </c>
      <c r="K305" s="23" t="str">
        <f>IF($P305="","",IFERROR(LOOKUP(2,1/((BEMANNINGSPLAN!$W$5:$W$546=INDEX(BEMANNINGSPLAN!$W$5:$W$546,$P305))*(BEMANNINGSPLAN!$L$5:$L$546&lt;&gt;"")),BEMANNINGSPLAN!$L$5:$L$546),""))</f>
        <v/>
      </c>
      <c r="L305" s="18" t="str">
        <f>IF($P305="","",INDEX(BEMANNINGSPLAN!$AE$5:$AE$546,$P305))</f>
        <v/>
      </c>
      <c r="M305" s="137"/>
      <c r="N305" s="16"/>
      <c r="O305" s="16" t="str">
        <f>IF(AND(BEMANNINGSPLAN!U303=1,OR($B$4="Alla lag",BEMANNINGSPLAN!J303=$B$4),OR($E$4="Alla datum",BEMANNINGSPLAN!A303=$E$4)),COUNT($O$6:O304)+1,"")</f>
        <v/>
      </c>
      <c r="P305" s="137" t="str">
        <f t="shared" si="4"/>
        <v/>
      </c>
    </row>
    <row r="306" spans="1:16" ht="27.75" customHeight="1">
      <c r="A306" s="17" t="str">
        <f>IF($P306="","",INDEX(BEMANNINGSPLAN!$A$5:$A$546,$P306))</f>
        <v/>
      </c>
      <c r="B306" s="18" t="str">
        <f>IF($P306="","",INDEX(BEMANNINGSPLAN!$B$5:$B$546,$P306))</f>
        <v/>
      </c>
      <c r="C306" s="19" t="str">
        <f>IF($P306="","",INDEX(BEMANNINGSPLAN!$C$5:$C$546,$P306))</f>
        <v/>
      </c>
      <c r="D306" s="20" t="str">
        <f>IF($P306="","",INDEX(BEMANNINGSPLAN!$D$5:$D$546,$P306))</f>
        <v/>
      </c>
      <c r="E306" s="20" t="str">
        <f>IF($P306="","",SUMIF(BEMANNINGSPLAN!$W$5:$W$546,INDEX(BEMANNINGSPLAN!$W$5:$W$546,$P306),BEMANNINGSPLAN!$X$5:$X$546))</f>
        <v/>
      </c>
      <c r="F306" s="18" t="str">
        <f>IF($P306="","",INDEX(BEMANNINGSPLAN!$J$5:$J$546,$P306))</f>
        <v/>
      </c>
      <c r="G306" s="19" t="str">
        <f>IF($P306="","",INDEX(BEMANNINGSPLAN!$AD$5:$AD$546,$P306))</f>
        <v/>
      </c>
      <c r="H306" s="18" t="str">
        <f>IF($P306="","",IF(AND(INDEX(BEMANNINGSPLAN!$Y$5:$Y$546,$P306)=1,G306&lt;&gt;"Minicafé"),"X",""))</f>
        <v/>
      </c>
      <c r="I306" s="21" t="str">
        <f>IF($P306="","",IF(INDEX(BEMANNINGSPLAN!$Y$5:$Y$546,$P306)=1,"X",""))</f>
        <v/>
      </c>
      <c r="J306" s="22" t="str">
        <f>IF($P306="","",IF(SUMIF(BEMANNINGSPLAN!$W$5:$W$546,INDEX(BEMANNINGSPLAN!$W$5:$W$546,$P306),BEMANNINGSPLAN!$Z$5:$Z$546)=1,"X",""))</f>
        <v/>
      </c>
      <c r="K306" s="23" t="str">
        <f>IF($P306="","",IFERROR(LOOKUP(2,1/((BEMANNINGSPLAN!$W$5:$W$546=INDEX(BEMANNINGSPLAN!$W$5:$W$546,$P306))*(BEMANNINGSPLAN!$L$5:$L$546&lt;&gt;"")),BEMANNINGSPLAN!$L$5:$L$546),""))</f>
        <v/>
      </c>
      <c r="L306" s="18" t="str">
        <f>IF($P306="","",INDEX(BEMANNINGSPLAN!$AE$5:$AE$546,$P306))</f>
        <v/>
      </c>
      <c r="M306" s="137"/>
      <c r="N306" s="16"/>
      <c r="O306" s="16" t="str">
        <f>IF(AND(BEMANNINGSPLAN!U304=1,OR($B$4="Alla lag",BEMANNINGSPLAN!J304=$B$4),OR($E$4="Alla datum",BEMANNINGSPLAN!A304=$E$4)),COUNT($O$6:O305)+1,"")</f>
        <v/>
      </c>
      <c r="P306" s="137" t="str">
        <f t="shared" si="4"/>
        <v/>
      </c>
    </row>
    <row r="307" spans="1:16" ht="27.75" customHeight="1">
      <c r="A307" s="17" t="str">
        <f>IF($P307="","",INDEX(BEMANNINGSPLAN!$A$5:$A$546,$P307))</f>
        <v/>
      </c>
      <c r="B307" s="18" t="str">
        <f>IF($P307="","",INDEX(BEMANNINGSPLAN!$B$5:$B$546,$P307))</f>
        <v/>
      </c>
      <c r="C307" s="19" t="str">
        <f>IF($P307="","",INDEX(BEMANNINGSPLAN!$C$5:$C$546,$P307))</f>
        <v/>
      </c>
      <c r="D307" s="20" t="str">
        <f>IF($P307="","",INDEX(BEMANNINGSPLAN!$D$5:$D$546,$P307))</f>
        <v/>
      </c>
      <c r="E307" s="20" t="str">
        <f>IF($P307="","",SUMIF(BEMANNINGSPLAN!$W$5:$W$546,INDEX(BEMANNINGSPLAN!$W$5:$W$546,$P307),BEMANNINGSPLAN!$X$5:$X$546))</f>
        <v/>
      </c>
      <c r="F307" s="18" t="str">
        <f>IF($P307="","",INDEX(BEMANNINGSPLAN!$J$5:$J$546,$P307))</f>
        <v/>
      </c>
      <c r="G307" s="19" t="str">
        <f>IF($P307="","",INDEX(BEMANNINGSPLAN!$AD$5:$AD$546,$P307))</f>
        <v/>
      </c>
      <c r="H307" s="18" t="str">
        <f>IF($P307="","",IF(AND(INDEX(BEMANNINGSPLAN!$Y$5:$Y$546,$P307)=1,G307&lt;&gt;"Minicafé"),"X",""))</f>
        <v/>
      </c>
      <c r="I307" s="21" t="str">
        <f>IF($P307="","",IF(INDEX(BEMANNINGSPLAN!$Y$5:$Y$546,$P307)=1,"X",""))</f>
        <v/>
      </c>
      <c r="J307" s="22" t="str">
        <f>IF($P307="","",IF(SUMIF(BEMANNINGSPLAN!$W$5:$W$546,INDEX(BEMANNINGSPLAN!$W$5:$W$546,$P307),BEMANNINGSPLAN!$Z$5:$Z$546)=1,"X",""))</f>
        <v/>
      </c>
      <c r="K307" s="23" t="str">
        <f>IF($P307="","",IFERROR(LOOKUP(2,1/((BEMANNINGSPLAN!$W$5:$W$546=INDEX(BEMANNINGSPLAN!$W$5:$W$546,$P307))*(BEMANNINGSPLAN!$L$5:$L$546&lt;&gt;"")),BEMANNINGSPLAN!$L$5:$L$546),""))</f>
        <v/>
      </c>
      <c r="L307" s="18" t="str">
        <f>IF($P307="","",INDEX(BEMANNINGSPLAN!$AE$5:$AE$546,$P307))</f>
        <v/>
      </c>
      <c r="M307" s="137"/>
      <c r="N307" s="16"/>
      <c r="O307" s="16">
        <f>IF(AND(BEMANNINGSPLAN!U305=1,OR($B$4="Alla lag",BEMANNINGSPLAN!J305=$B$4),OR($E$4="Alla datum",BEMANNINGSPLAN!A305=$E$4)),COUNT($O$6:O306)+1,"")</f>
        <v>34</v>
      </c>
      <c r="P307" s="137" t="str">
        <f t="shared" si="4"/>
        <v/>
      </c>
    </row>
    <row r="308" spans="1:16" ht="27.75" customHeight="1">
      <c r="A308" s="17" t="str">
        <f>IF($P308="","",INDEX(BEMANNINGSPLAN!$A$5:$A$546,$P308))</f>
        <v/>
      </c>
      <c r="B308" s="18" t="str">
        <f>IF($P308="","",INDEX(BEMANNINGSPLAN!$B$5:$B$546,$P308))</f>
        <v/>
      </c>
      <c r="C308" s="19" t="str">
        <f>IF($P308="","",INDEX(BEMANNINGSPLAN!$C$5:$C$546,$P308))</f>
        <v/>
      </c>
      <c r="D308" s="20" t="str">
        <f>IF($P308="","",INDEX(BEMANNINGSPLAN!$D$5:$D$546,$P308))</f>
        <v/>
      </c>
      <c r="E308" s="20" t="str">
        <f>IF($P308="","",SUMIF(BEMANNINGSPLAN!$W$5:$W$546,INDEX(BEMANNINGSPLAN!$W$5:$W$546,$P308),BEMANNINGSPLAN!$X$5:$X$546))</f>
        <v/>
      </c>
      <c r="F308" s="18" t="str">
        <f>IF($P308="","",INDEX(BEMANNINGSPLAN!$J$5:$J$546,$P308))</f>
        <v/>
      </c>
      <c r="G308" s="19" t="str">
        <f>IF($P308="","",INDEX(BEMANNINGSPLAN!$AD$5:$AD$546,$P308))</f>
        <v/>
      </c>
      <c r="H308" s="18" t="str">
        <f>IF($P308="","",IF(AND(INDEX(BEMANNINGSPLAN!$Y$5:$Y$546,$P308)=1,G308&lt;&gt;"Minicafé"),"X",""))</f>
        <v/>
      </c>
      <c r="I308" s="21" t="str">
        <f>IF($P308="","",IF(INDEX(BEMANNINGSPLAN!$Y$5:$Y$546,$P308)=1,"X",""))</f>
        <v/>
      </c>
      <c r="J308" s="22" t="str">
        <f>IF($P308="","",IF(SUMIF(BEMANNINGSPLAN!$W$5:$W$546,INDEX(BEMANNINGSPLAN!$W$5:$W$546,$P308),BEMANNINGSPLAN!$Z$5:$Z$546)=1,"X",""))</f>
        <v/>
      </c>
      <c r="K308" s="23" t="str">
        <f>IF($P308="","",IFERROR(LOOKUP(2,1/((BEMANNINGSPLAN!$W$5:$W$546=INDEX(BEMANNINGSPLAN!$W$5:$W$546,$P308))*(BEMANNINGSPLAN!$L$5:$L$546&lt;&gt;"")),BEMANNINGSPLAN!$L$5:$L$546),""))</f>
        <v/>
      </c>
      <c r="L308" s="18" t="str">
        <f>IF($P308="","",INDEX(BEMANNINGSPLAN!$AE$5:$AE$546,$P308))</f>
        <v/>
      </c>
      <c r="M308" s="137"/>
      <c r="N308" s="16"/>
      <c r="O308" s="16" t="str">
        <f>IF(AND(BEMANNINGSPLAN!U306=1,OR($B$4="Alla lag",BEMANNINGSPLAN!J306=$B$4),OR($E$4="Alla datum",BEMANNINGSPLAN!A306=$E$4)),COUNT($O$6:O307)+1,"")</f>
        <v/>
      </c>
      <c r="P308" s="137" t="str">
        <f t="shared" si="4"/>
        <v/>
      </c>
    </row>
    <row r="309" spans="1:16" ht="27.75" customHeight="1">
      <c r="A309" s="17" t="str">
        <f>IF($P309="","",INDEX(BEMANNINGSPLAN!$A$5:$A$546,$P309))</f>
        <v/>
      </c>
      <c r="B309" s="18" t="str">
        <f>IF($P309="","",INDEX(BEMANNINGSPLAN!$B$5:$B$546,$P309))</f>
        <v/>
      </c>
      <c r="C309" s="19" t="str">
        <f>IF($P309="","",INDEX(BEMANNINGSPLAN!$C$5:$C$546,$P309))</f>
        <v/>
      </c>
      <c r="D309" s="20" t="str">
        <f>IF($P309="","",INDEX(BEMANNINGSPLAN!$D$5:$D$546,$P309))</f>
        <v/>
      </c>
      <c r="E309" s="20" t="str">
        <f>IF($P309="","",SUMIF(BEMANNINGSPLAN!$W$5:$W$546,INDEX(BEMANNINGSPLAN!$W$5:$W$546,$P309),BEMANNINGSPLAN!$X$5:$X$546))</f>
        <v/>
      </c>
      <c r="F309" s="18" t="str">
        <f>IF($P309="","",INDEX(BEMANNINGSPLAN!$J$5:$J$546,$P309))</f>
        <v/>
      </c>
      <c r="G309" s="19" t="str">
        <f>IF($P309="","",INDEX(BEMANNINGSPLAN!$AD$5:$AD$546,$P309))</f>
        <v/>
      </c>
      <c r="H309" s="18" t="str">
        <f>IF($P309="","",IF(AND(INDEX(BEMANNINGSPLAN!$Y$5:$Y$546,$P309)=1,G309&lt;&gt;"Minicafé"),"X",""))</f>
        <v/>
      </c>
      <c r="I309" s="21" t="str">
        <f>IF($P309="","",IF(INDEX(BEMANNINGSPLAN!$Y$5:$Y$546,$P309)=1,"X",""))</f>
        <v/>
      </c>
      <c r="J309" s="22" t="str">
        <f>IF($P309="","",IF(SUMIF(BEMANNINGSPLAN!$W$5:$W$546,INDEX(BEMANNINGSPLAN!$W$5:$W$546,$P309),BEMANNINGSPLAN!$Z$5:$Z$546)=1,"X",""))</f>
        <v/>
      </c>
      <c r="K309" s="23" t="str">
        <f>IF($P309="","",IFERROR(LOOKUP(2,1/((BEMANNINGSPLAN!$W$5:$W$546=INDEX(BEMANNINGSPLAN!$W$5:$W$546,$P309))*(BEMANNINGSPLAN!$L$5:$L$546&lt;&gt;"")),BEMANNINGSPLAN!$L$5:$L$546),""))</f>
        <v/>
      </c>
      <c r="L309" s="18" t="str">
        <f>IF($P309="","",INDEX(BEMANNINGSPLAN!$AE$5:$AE$546,$P309))</f>
        <v/>
      </c>
      <c r="M309" s="137"/>
      <c r="N309" s="16"/>
      <c r="O309" s="16" t="str">
        <f>IF(AND(BEMANNINGSPLAN!U307=1,OR($B$4="Alla lag",BEMANNINGSPLAN!J307=$B$4),OR($E$4="Alla datum",BEMANNINGSPLAN!A307=$E$4)),COUNT($O$6:O308)+1,"")</f>
        <v/>
      </c>
      <c r="P309" s="137" t="str">
        <f t="shared" si="4"/>
        <v/>
      </c>
    </row>
    <row r="310" spans="1:16" ht="27.75" customHeight="1">
      <c r="A310" s="17" t="str">
        <f>IF($P310="","",INDEX(BEMANNINGSPLAN!$A$5:$A$546,$P310))</f>
        <v/>
      </c>
      <c r="B310" s="18" t="str">
        <f>IF($P310="","",INDEX(BEMANNINGSPLAN!$B$5:$B$546,$P310))</f>
        <v/>
      </c>
      <c r="C310" s="19" t="str">
        <f>IF($P310="","",INDEX(BEMANNINGSPLAN!$C$5:$C$546,$P310))</f>
        <v/>
      </c>
      <c r="D310" s="20" t="str">
        <f>IF($P310="","",INDEX(BEMANNINGSPLAN!$D$5:$D$546,$P310))</f>
        <v/>
      </c>
      <c r="E310" s="20" t="str">
        <f>IF($P310="","",SUMIF(BEMANNINGSPLAN!$W$5:$W$546,INDEX(BEMANNINGSPLAN!$W$5:$W$546,$P310),BEMANNINGSPLAN!$X$5:$X$546))</f>
        <v/>
      </c>
      <c r="F310" s="18" t="str">
        <f>IF($P310="","",INDEX(BEMANNINGSPLAN!$J$5:$J$546,$P310))</f>
        <v/>
      </c>
      <c r="G310" s="19" t="str">
        <f>IF($P310="","",INDEX(BEMANNINGSPLAN!$AD$5:$AD$546,$P310))</f>
        <v/>
      </c>
      <c r="H310" s="18" t="str">
        <f>IF($P310="","",IF(AND(INDEX(BEMANNINGSPLAN!$Y$5:$Y$546,$P310)=1,G310&lt;&gt;"Minicafé"),"X",""))</f>
        <v/>
      </c>
      <c r="I310" s="21" t="str">
        <f>IF($P310="","",IF(INDEX(BEMANNINGSPLAN!$Y$5:$Y$546,$P310)=1,"X",""))</f>
        <v/>
      </c>
      <c r="J310" s="22" t="str">
        <f>IF($P310="","",IF(SUMIF(BEMANNINGSPLAN!$W$5:$W$546,INDEX(BEMANNINGSPLAN!$W$5:$W$546,$P310),BEMANNINGSPLAN!$Z$5:$Z$546)=1,"X",""))</f>
        <v/>
      </c>
      <c r="K310" s="23" t="str">
        <f>IF($P310="","",IFERROR(LOOKUP(2,1/((BEMANNINGSPLAN!$W$5:$W$546=INDEX(BEMANNINGSPLAN!$W$5:$W$546,$P310))*(BEMANNINGSPLAN!$L$5:$L$546&lt;&gt;"")),BEMANNINGSPLAN!$L$5:$L$546),""))</f>
        <v/>
      </c>
      <c r="L310" s="18" t="str">
        <f>IF($P310="","",INDEX(BEMANNINGSPLAN!$AE$5:$AE$546,$P310))</f>
        <v/>
      </c>
      <c r="M310" s="137"/>
      <c r="N310" s="16"/>
      <c r="O310" s="16">
        <f>IF(AND(BEMANNINGSPLAN!U308=1,OR($B$4="Alla lag",BEMANNINGSPLAN!J308=$B$4),OR($E$4="Alla datum",BEMANNINGSPLAN!A308=$E$4)),COUNT($O$6:O309)+1,"")</f>
        <v>35</v>
      </c>
      <c r="P310" s="137" t="str">
        <f t="shared" si="4"/>
        <v/>
      </c>
    </row>
    <row r="311" spans="1:16" ht="27.75" customHeight="1">
      <c r="A311" s="17" t="str">
        <f>IF($P311="","",INDEX(BEMANNINGSPLAN!$A$5:$A$546,$P311))</f>
        <v/>
      </c>
      <c r="B311" s="18" t="str">
        <f>IF($P311="","",INDEX(BEMANNINGSPLAN!$B$5:$B$546,$P311))</f>
        <v/>
      </c>
      <c r="C311" s="19" t="str">
        <f>IF($P311="","",INDEX(BEMANNINGSPLAN!$C$5:$C$546,$P311))</f>
        <v/>
      </c>
      <c r="D311" s="20" t="str">
        <f>IF($P311="","",INDEX(BEMANNINGSPLAN!$D$5:$D$546,$P311))</f>
        <v/>
      </c>
      <c r="E311" s="20" t="str">
        <f>IF($P311="","",SUMIF(BEMANNINGSPLAN!$W$5:$W$546,INDEX(BEMANNINGSPLAN!$W$5:$W$546,$P311),BEMANNINGSPLAN!$X$5:$X$546))</f>
        <v/>
      </c>
      <c r="F311" s="18" t="str">
        <f>IF($P311="","",INDEX(BEMANNINGSPLAN!$J$5:$J$546,$P311))</f>
        <v/>
      </c>
      <c r="G311" s="19" t="str">
        <f>IF($P311="","",INDEX(BEMANNINGSPLAN!$AD$5:$AD$546,$P311))</f>
        <v/>
      </c>
      <c r="H311" s="18" t="str">
        <f>IF($P311="","",IF(AND(INDEX(BEMANNINGSPLAN!$Y$5:$Y$546,$P311)=1,G311&lt;&gt;"Minicafé"),"X",""))</f>
        <v/>
      </c>
      <c r="I311" s="21" t="str">
        <f>IF($P311="","",IF(INDEX(BEMANNINGSPLAN!$Y$5:$Y$546,$P311)=1,"X",""))</f>
        <v/>
      </c>
      <c r="J311" s="22" t="str">
        <f>IF($P311="","",IF(SUMIF(BEMANNINGSPLAN!$W$5:$W$546,INDEX(BEMANNINGSPLAN!$W$5:$W$546,$P311),BEMANNINGSPLAN!$Z$5:$Z$546)=1,"X",""))</f>
        <v/>
      </c>
      <c r="K311" s="23" t="str">
        <f>IF($P311="","",IFERROR(LOOKUP(2,1/((BEMANNINGSPLAN!$W$5:$W$546=INDEX(BEMANNINGSPLAN!$W$5:$W$546,$P311))*(BEMANNINGSPLAN!$L$5:$L$546&lt;&gt;"")),BEMANNINGSPLAN!$L$5:$L$546),""))</f>
        <v/>
      </c>
      <c r="L311" s="18" t="str">
        <f>IF($P311="","",INDEX(BEMANNINGSPLAN!$AE$5:$AE$546,$P311))</f>
        <v/>
      </c>
      <c r="M311" s="137"/>
      <c r="N311" s="16"/>
      <c r="O311" s="16" t="str">
        <f>IF(AND(BEMANNINGSPLAN!U309=1,OR($B$4="Alla lag",BEMANNINGSPLAN!J309=$B$4),OR($E$4="Alla datum",BEMANNINGSPLAN!A309=$E$4)),COUNT($O$6:O310)+1,"")</f>
        <v/>
      </c>
      <c r="P311" s="137" t="str">
        <f t="shared" si="4"/>
        <v/>
      </c>
    </row>
    <row r="312" spans="1:16" ht="27.75" customHeight="1">
      <c r="A312" s="17" t="str">
        <f>IF($P312="","",INDEX(BEMANNINGSPLAN!$A$5:$A$546,$P312))</f>
        <v/>
      </c>
      <c r="B312" s="18" t="str">
        <f>IF($P312="","",INDEX(BEMANNINGSPLAN!$B$5:$B$546,$P312))</f>
        <v/>
      </c>
      <c r="C312" s="19" t="str">
        <f>IF($P312="","",INDEX(BEMANNINGSPLAN!$C$5:$C$546,$P312))</f>
        <v/>
      </c>
      <c r="D312" s="20" t="str">
        <f>IF($P312="","",INDEX(BEMANNINGSPLAN!$D$5:$D$546,$P312))</f>
        <v/>
      </c>
      <c r="E312" s="20" t="str">
        <f>IF($P312="","",SUMIF(BEMANNINGSPLAN!$W$5:$W$546,INDEX(BEMANNINGSPLAN!$W$5:$W$546,$P312),BEMANNINGSPLAN!$X$5:$X$546))</f>
        <v/>
      </c>
      <c r="F312" s="18" t="str">
        <f>IF($P312="","",INDEX(BEMANNINGSPLAN!$J$5:$J$546,$P312))</f>
        <v/>
      </c>
      <c r="G312" s="19" t="str">
        <f>IF($P312="","",INDEX(BEMANNINGSPLAN!$AD$5:$AD$546,$P312))</f>
        <v/>
      </c>
      <c r="H312" s="18" t="str">
        <f>IF($P312="","",IF(AND(INDEX(BEMANNINGSPLAN!$Y$5:$Y$546,$P312)=1,G312&lt;&gt;"Minicafé"),"X",""))</f>
        <v/>
      </c>
      <c r="I312" s="21" t="str">
        <f>IF($P312="","",IF(INDEX(BEMANNINGSPLAN!$Y$5:$Y$546,$P312)=1,"X",""))</f>
        <v/>
      </c>
      <c r="J312" s="22" t="str">
        <f>IF($P312="","",IF(SUMIF(BEMANNINGSPLAN!$W$5:$W$546,INDEX(BEMANNINGSPLAN!$W$5:$W$546,$P312),BEMANNINGSPLAN!$Z$5:$Z$546)=1,"X",""))</f>
        <v/>
      </c>
      <c r="K312" s="23" t="str">
        <f>IF($P312="","",IFERROR(LOOKUP(2,1/((BEMANNINGSPLAN!$W$5:$W$546=INDEX(BEMANNINGSPLAN!$W$5:$W$546,$P312))*(BEMANNINGSPLAN!$L$5:$L$546&lt;&gt;"")),BEMANNINGSPLAN!$L$5:$L$546),""))</f>
        <v/>
      </c>
      <c r="L312" s="18" t="str">
        <f>IF($P312="","",INDEX(BEMANNINGSPLAN!$AE$5:$AE$546,$P312))</f>
        <v/>
      </c>
      <c r="M312" s="137"/>
      <c r="N312" s="16"/>
      <c r="O312" s="16" t="str">
        <f>IF(AND(BEMANNINGSPLAN!U310=1,OR($B$4="Alla lag",BEMANNINGSPLAN!J310=$B$4),OR($E$4="Alla datum",BEMANNINGSPLAN!A310=$E$4)),COUNT($O$6:O311)+1,"")</f>
        <v/>
      </c>
      <c r="P312" s="137" t="str">
        <f t="shared" si="4"/>
        <v/>
      </c>
    </row>
    <row r="313" spans="1:16" ht="27.75" customHeight="1">
      <c r="A313" s="17" t="str">
        <f>IF($P313="","",INDEX(BEMANNINGSPLAN!$A$5:$A$546,$P313))</f>
        <v/>
      </c>
      <c r="B313" s="18" t="str">
        <f>IF($P313="","",INDEX(BEMANNINGSPLAN!$B$5:$B$546,$P313))</f>
        <v/>
      </c>
      <c r="C313" s="19" t="str">
        <f>IF($P313="","",INDEX(BEMANNINGSPLAN!$C$5:$C$546,$P313))</f>
        <v/>
      </c>
      <c r="D313" s="20" t="str">
        <f>IF($P313="","",INDEX(BEMANNINGSPLAN!$D$5:$D$546,$P313))</f>
        <v/>
      </c>
      <c r="E313" s="20" t="str">
        <f>IF($P313="","",SUMIF(BEMANNINGSPLAN!$W$5:$W$546,INDEX(BEMANNINGSPLAN!$W$5:$W$546,$P313),BEMANNINGSPLAN!$X$5:$X$546))</f>
        <v/>
      </c>
      <c r="F313" s="18" t="str">
        <f>IF($P313="","",INDEX(BEMANNINGSPLAN!$J$5:$J$546,$P313))</f>
        <v/>
      </c>
      <c r="G313" s="19" t="str">
        <f>IF($P313="","",INDEX(BEMANNINGSPLAN!$AD$5:$AD$546,$P313))</f>
        <v/>
      </c>
      <c r="H313" s="18" t="str">
        <f>IF($P313="","",IF(AND(INDEX(BEMANNINGSPLAN!$Y$5:$Y$546,$P313)=1,G313&lt;&gt;"Minicafé"),"X",""))</f>
        <v/>
      </c>
      <c r="I313" s="21" t="str">
        <f>IF($P313="","",IF(INDEX(BEMANNINGSPLAN!$Y$5:$Y$546,$P313)=1,"X",""))</f>
        <v/>
      </c>
      <c r="J313" s="22" t="str">
        <f>IF($P313="","",IF(SUMIF(BEMANNINGSPLAN!$W$5:$W$546,INDEX(BEMANNINGSPLAN!$W$5:$W$546,$P313),BEMANNINGSPLAN!$Z$5:$Z$546)=1,"X",""))</f>
        <v/>
      </c>
      <c r="K313" s="23" t="str">
        <f>IF($P313="","",IFERROR(LOOKUP(2,1/((BEMANNINGSPLAN!$W$5:$W$546=INDEX(BEMANNINGSPLAN!$W$5:$W$546,$P313))*(BEMANNINGSPLAN!$L$5:$L$546&lt;&gt;"")),BEMANNINGSPLAN!$L$5:$L$546),""))</f>
        <v/>
      </c>
      <c r="L313" s="18" t="str">
        <f>IF($P313="","",INDEX(BEMANNINGSPLAN!$AE$5:$AE$546,$P313))</f>
        <v/>
      </c>
      <c r="M313" s="137"/>
      <c r="N313" s="16"/>
      <c r="O313" s="16" t="str">
        <f>IF(AND(BEMANNINGSPLAN!U311=1,OR($B$4="Alla lag",BEMANNINGSPLAN!J311=$B$4),OR($E$4="Alla datum",BEMANNINGSPLAN!A311=$E$4)),COUNT($O$6:O312)+1,"")</f>
        <v/>
      </c>
      <c r="P313" s="137" t="str">
        <f t="shared" si="4"/>
        <v/>
      </c>
    </row>
    <row r="314" spans="1:16" ht="27.75" customHeight="1">
      <c r="A314" s="17" t="str">
        <f>IF($P314="","",INDEX(BEMANNINGSPLAN!$A$5:$A$546,$P314))</f>
        <v/>
      </c>
      <c r="B314" s="18" t="str">
        <f>IF($P314="","",INDEX(BEMANNINGSPLAN!$B$5:$B$546,$P314))</f>
        <v/>
      </c>
      <c r="C314" s="19" t="str">
        <f>IF($P314="","",INDEX(BEMANNINGSPLAN!$C$5:$C$546,$P314))</f>
        <v/>
      </c>
      <c r="D314" s="20" t="str">
        <f>IF($P314="","",INDEX(BEMANNINGSPLAN!$D$5:$D$546,$P314))</f>
        <v/>
      </c>
      <c r="E314" s="20" t="str">
        <f>IF($P314="","",SUMIF(BEMANNINGSPLAN!$W$5:$W$546,INDEX(BEMANNINGSPLAN!$W$5:$W$546,$P314),BEMANNINGSPLAN!$X$5:$X$546))</f>
        <v/>
      </c>
      <c r="F314" s="18" t="str">
        <f>IF($P314="","",INDEX(BEMANNINGSPLAN!$J$5:$J$546,$P314))</f>
        <v/>
      </c>
      <c r="G314" s="19" t="str">
        <f>IF($P314="","",INDEX(BEMANNINGSPLAN!$AD$5:$AD$546,$P314))</f>
        <v/>
      </c>
      <c r="H314" s="18" t="str">
        <f>IF($P314="","",IF(AND(INDEX(BEMANNINGSPLAN!$Y$5:$Y$546,$P314)=1,G314&lt;&gt;"Minicafé"),"X",""))</f>
        <v/>
      </c>
      <c r="I314" s="21" t="str">
        <f>IF($P314="","",IF(INDEX(BEMANNINGSPLAN!$Y$5:$Y$546,$P314)=1,"X",""))</f>
        <v/>
      </c>
      <c r="J314" s="22" t="str">
        <f>IF($P314="","",IF(SUMIF(BEMANNINGSPLAN!$W$5:$W$546,INDEX(BEMANNINGSPLAN!$W$5:$W$546,$P314),BEMANNINGSPLAN!$Z$5:$Z$546)=1,"X",""))</f>
        <v/>
      </c>
      <c r="K314" s="23" t="str">
        <f>IF($P314="","",IFERROR(LOOKUP(2,1/((BEMANNINGSPLAN!$W$5:$W$546=INDEX(BEMANNINGSPLAN!$W$5:$W$546,$P314))*(BEMANNINGSPLAN!$L$5:$L$546&lt;&gt;"")),BEMANNINGSPLAN!$L$5:$L$546),""))</f>
        <v/>
      </c>
      <c r="L314" s="18" t="str">
        <f>IF($P314="","",INDEX(BEMANNINGSPLAN!$AE$5:$AE$546,$P314))</f>
        <v/>
      </c>
      <c r="M314" s="137"/>
      <c r="N314" s="16"/>
      <c r="O314" s="16" t="str">
        <f>IF(AND(BEMANNINGSPLAN!U312=1,OR($B$4="Alla lag",BEMANNINGSPLAN!J312=$B$4),OR($E$4="Alla datum",BEMANNINGSPLAN!A312=$E$4)),COUNT($O$6:O313)+1,"")</f>
        <v/>
      </c>
      <c r="P314" s="137" t="str">
        <f t="shared" si="4"/>
        <v/>
      </c>
    </row>
    <row r="315" spans="1:16" ht="27.75" customHeight="1">
      <c r="A315" s="17" t="str">
        <f>IF($P315="","",INDEX(BEMANNINGSPLAN!$A$5:$A$546,$P315))</f>
        <v/>
      </c>
      <c r="B315" s="18" t="str">
        <f>IF($P315="","",INDEX(BEMANNINGSPLAN!$B$5:$B$546,$P315))</f>
        <v/>
      </c>
      <c r="C315" s="19" t="str">
        <f>IF($P315="","",INDEX(BEMANNINGSPLAN!$C$5:$C$546,$P315))</f>
        <v/>
      </c>
      <c r="D315" s="20" t="str">
        <f>IF($P315="","",INDEX(BEMANNINGSPLAN!$D$5:$D$546,$P315))</f>
        <v/>
      </c>
      <c r="E315" s="20" t="str">
        <f>IF($P315="","",SUMIF(BEMANNINGSPLAN!$W$5:$W$546,INDEX(BEMANNINGSPLAN!$W$5:$W$546,$P315),BEMANNINGSPLAN!$X$5:$X$546))</f>
        <v/>
      </c>
      <c r="F315" s="18" t="str">
        <f>IF($P315="","",INDEX(BEMANNINGSPLAN!$J$5:$J$546,$P315))</f>
        <v/>
      </c>
      <c r="G315" s="19" t="str">
        <f>IF($P315="","",INDEX(BEMANNINGSPLAN!$AD$5:$AD$546,$P315))</f>
        <v/>
      </c>
      <c r="H315" s="18" t="str">
        <f>IF($P315="","",IF(AND(INDEX(BEMANNINGSPLAN!$Y$5:$Y$546,$P315)=1,G315&lt;&gt;"Minicafé"),"X",""))</f>
        <v/>
      </c>
      <c r="I315" s="21" t="str">
        <f>IF($P315="","",IF(INDEX(BEMANNINGSPLAN!$Y$5:$Y$546,$P315)=1,"X",""))</f>
        <v/>
      </c>
      <c r="J315" s="22" t="str">
        <f>IF($P315="","",IF(SUMIF(BEMANNINGSPLAN!$W$5:$W$546,INDEX(BEMANNINGSPLAN!$W$5:$W$546,$P315),BEMANNINGSPLAN!$Z$5:$Z$546)=1,"X",""))</f>
        <v/>
      </c>
      <c r="K315" s="23" t="str">
        <f>IF($P315="","",IFERROR(LOOKUP(2,1/((BEMANNINGSPLAN!$W$5:$W$546=INDEX(BEMANNINGSPLAN!$W$5:$W$546,$P315))*(BEMANNINGSPLAN!$L$5:$L$546&lt;&gt;"")),BEMANNINGSPLAN!$L$5:$L$546),""))</f>
        <v/>
      </c>
      <c r="L315" s="18" t="str">
        <f>IF($P315="","",INDEX(BEMANNINGSPLAN!$AE$5:$AE$546,$P315))</f>
        <v/>
      </c>
      <c r="M315" s="137"/>
      <c r="N315" s="16"/>
      <c r="O315" s="16" t="str">
        <f>IF(AND(BEMANNINGSPLAN!U313=1,OR($B$4="Alla lag",BEMANNINGSPLAN!J313=$B$4),OR($E$4="Alla datum",BEMANNINGSPLAN!A313=$E$4)),COUNT($O$6:O314)+1,"")</f>
        <v/>
      </c>
      <c r="P315" s="137" t="str">
        <f t="shared" si="4"/>
        <v/>
      </c>
    </row>
    <row r="316" spans="1:16" ht="27.75" customHeight="1">
      <c r="A316" s="17" t="str">
        <f>IF($P316="","",INDEX(BEMANNINGSPLAN!$A$5:$A$546,$P316))</f>
        <v/>
      </c>
      <c r="B316" s="18" t="str">
        <f>IF($P316="","",INDEX(BEMANNINGSPLAN!$B$5:$B$546,$P316))</f>
        <v/>
      </c>
      <c r="C316" s="19" t="str">
        <f>IF($P316="","",INDEX(BEMANNINGSPLAN!$C$5:$C$546,$P316))</f>
        <v/>
      </c>
      <c r="D316" s="20" t="str">
        <f>IF($P316="","",INDEX(BEMANNINGSPLAN!$D$5:$D$546,$P316))</f>
        <v/>
      </c>
      <c r="E316" s="20" t="str">
        <f>IF($P316="","",SUMIF(BEMANNINGSPLAN!$W$5:$W$546,INDEX(BEMANNINGSPLAN!$W$5:$W$546,$P316),BEMANNINGSPLAN!$X$5:$X$546))</f>
        <v/>
      </c>
      <c r="F316" s="18" t="str">
        <f>IF($P316="","",INDEX(BEMANNINGSPLAN!$J$5:$J$546,$P316))</f>
        <v/>
      </c>
      <c r="G316" s="19" t="str">
        <f>IF($P316="","",INDEX(BEMANNINGSPLAN!$AD$5:$AD$546,$P316))</f>
        <v/>
      </c>
      <c r="H316" s="18" t="str">
        <f>IF($P316="","",IF(AND(INDEX(BEMANNINGSPLAN!$Y$5:$Y$546,$P316)=1,G316&lt;&gt;"Minicafé"),"X",""))</f>
        <v/>
      </c>
      <c r="I316" s="21" t="str">
        <f>IF($P316="","",IF(INDEX(BEMANNINGSPLAN!$Y$5:$Y$546,$P316)=1,"X",""))</f>
        <v/>
      </c>
      <c r="J316" s="22" t="str">
        <f>IF($P316="","",IF(SUMIF(BEMANNINGSPLAN!$W$5:$W$546,INDEX(BEMANNINGSPLAN!$W$5:$W$546,$P316),BEMANNINGSPLAN!$Z$5:$Z$546)=1,"X",""))</f>
        <v/>
      </c>
      <c r="K316" s="23" t="str">
        <f>IF($P316="","",IFERROR(LOOKUP(2,1/((BEMANNINGSPLAN!$W$5:$W$546=INDEX(BEMANNINGSPLAN!$W$5:$W$546,$P316))*(BEMANNINGSPLAN!$L$5:$L$546&lt;&gt;"")),BEMANNINGSPLAN!$L$5:$L$546),""))</f>
        <v/>
      </c>
      <c r="L316" s="18" t="str">
        <f>IF($P316="","",INDEX(BEMANNINGSPLAN!$AE$5:$AE$546,$P316))</f>
        <v/>
      </c>
      <c r="M316" s="137"/>
      <c r="N316" s="16"/>
      <c r="O316" s="16" t="str">
        <f>IF(AND(BEMANNINGSPLAN!U314=1,OR($B$4="Alla lag",BEMANNINGSPLAN!J314=$B$4),OR($E$4="Alla datum",BEMANNINGSPLAN!A314=$E$4)),COUNT($O$6:O315)+1,"")</f>
        <v/>
      </c>
      <c r="P316" s="137" t="str">
        <f t="shared" si="4"/>
        <v/>
      </c>
    </row>
    <row r="317" spans="1:16" ht="27.75" customHeight="1">
      <c r="A317" s="17" t="str">
        <f>IF($P317="","",INDEX(BEMANNINGSPLAN!$A$5:$A$546,$P317))</f>
        <v/>
      </c>
      <c r="B317" s="18" t="str">
        <f>IF($P317="","",INDEX(BEMANNINGSPLAN!$B$5:$B$546,$P317))</f>
        <v/>
      </c>
      <c r="C317" s="19" t="str">
        <f>IF($P317="","",INDEX(BEMANNINGSPLAN!$C$5:$C$546,$P317))</f>
        <v/>
      </c>
      <c r="D317" s="20" t="str">
        <f>IF($P317="","",INDEX(BEMANNINGSPLAN!$D$5:$D$546,$P317))</f>
        <v/>
      </c>
      <c r="E317" s="20" t="str">
        <f>IF($P317="","",SUMIF(BEMANNINGSPLAN!$W$5:$W$546,INDEX(BEMANNINGSPLAN!$W$5:$W$546,$P317),BEMANNINGSPLAN!$X$5:$X$546))</f>
        <v/>
      </c>
      <c r="F317" s="18" t="str">
        <f>IF($P317="","",INDEX(BEMANNINGSPLAN!$J$5:$J$546,$P317))</f>
        <v/>
      </c>
      <c r="G317" s="19" t="str">
        <f>IF($P317="","",INDEX(BEMANNINGSPLAN!$AD$5:$AD$546,$P317))</f>
        <v/>
      </c>
      <c r="H317" s="18" t="str">
        <f>IF($P317="","",IF(AND(INDEX(BEMANNINGSPLAN!$Y$5:$Y$546,$P317)=1,G317&lt;&gt;"Minicafé"),"X",""))</f>
        <v/>
      </c>
      <c r="I317" s="21" t="str">
        <f>IF($P317="","",IF(INDEX(BEMANNINGSPLAN!$Y$5:$Y$546,$P317)=1,"X",""))</f>
        <v/>
      </c>
      <c r="J317" s="22" t="str">
        <f>IF($P317="","",IF(SUMIF(BEMANNINGSPLAN!$W$5:$W$546,INDEX(BEMANNINGSPLAN!$W$5:$W$546,$P317),BEMANNINGSPLAN!$Z$5:$Z$546)=1,"X",""))</f>
        <v/>
      </c>
      <c r="K317" s="23" t="str">
        <f>IF($P317="","",IFERROR(LOOKUP(2,1/((BEMANNINGSPLAN!$W$5:$W$546=INDEX(BEMANNINGSPLAN!$W$5:$W$546,$P317))*(BEMANNINGSPLAN!$L$5:$L$546&lt;&gt;"")),BEMANNINGSPLAN!$L$5:$L$546),""))</f>
        <v/>
      </c>
      <c r="L317" s="18" t="str">
        <f>IF($P317="","",INDEX(BEMANNINGSPLAN!$AE$5:$AE$546,$P317))</f>
        <v/>
      </c>
      <c r="M317" s="137"/>
      <c r="N317" s="16"/>
      <c r="O317" s="16" t="str">
        <f>IF(AND(BEMANNINGSPLAN!U315=1,OR($B$4="Alla lag",BEMANNINGSPLAN!J315=$B$4),OR($E$4="Alla datum",BEMANNINGSPLAN!A315=$E$4)),COUNT($O$6:O316)+1,"")</f>
        <v/>
      </c>
      <c r="P317" s="137" t="str">
        <f t="shared" si="4"/>
        <v/>
      </c>
    </row>
    <row r="318" spans="1:16" ht="27.75" customHeight="1">
      <c r="A318" s="17" t="str">
        <f>IF($P318="","",INDEX(BEMANNINGSPLAN!$A$5:$A$546,$P318))</f>
        <v/>
      </c>
      <c r="B318" s="18" t="str">
        <f>IF($P318="","",INDEX(BEMANNINGSPLAN!$B$5:$B$546,$P318))</f>
        <v/>
      </c>
      <c r="C318" s="19" t="str">
        <f>IF($P318="","",INDEX(BEMANNINGSPLAN!$C$5:$C$546,$P318))</f>
        <v/>
      </c>
      <c r="D318" s="20" t="str">
        <f>IF($P318="","",INDEX(BEMANNINGSPLAN!$D$5:$D$546,$P318))</f>
        <v/>
      </c>
      <c r="E318" s="20" t="str">
        <f>IF($P318="","",SUMIF(BEMANNINGSPLAN!$W$5:$W$546,INDEX(BEMANNINGSPLAN!$W$5:$W$546,$P318),BEMANNINGSPLAN!$X$5:$X$546))</f>
        <v/>
      </c>
      <c r="F318" s="18" t="str">
        <f>IF($P318="","",INDEX(BEMANNINGSPLAN!$J$5:$J$546,$P318))</f>
        <v/>
      </c>
      <c r="G318" s="19" t="str">
        <f>IF($P318="","",INDEX(BEMANNINGSPLAN!$AD$5:$AD$546,$P318))</f>
        <v/>
      </c>
      <c r="H318" s="18" t="str">
        <f>IF($P318="","",IF(AND(INDEX(BEMANNINGSPLAN!$Y$5:$Y$546,$P318)=1,G318&lt;&gt;"Minicafé"),"X",""))</f>
        <v/>
      </c>
      <c r="I318" s="21" t="str">
        <f>IF($P318="","",IF(INDEX(BEMANNINGSPLAN!$Y$5:$Y$546,$P318)=1,"X",""))</f>
        <v/>
      </c>
      <c r="J318" s="22" t="str">
        <f>IF($P318="","",IF(SUMIF(BEMANNINGSPLAN!$W$5:$W$546,INDEX(BEMANNINGSPLAN!$W$5:$W$546,$P318),BEMANNINGSPLAN!$Z$5:$Z$546)=1,"X",""))</f>
        <v/>
      </c>
      <c r="K318" s="23" t="str">
        <f>IF($P318="","",IFERROR(LOOKUP(2,1/((BEMANNINGSPLAN!$W$5:$W$546=INDEX(BEMANNINGSPLAN!$W$5:$W$546,$P318))*(BEMANNINGSPLAN!$L$5:$L$546&lt;&gt;"")),BEMANNINGSPLAN!$L$5:$L$546),""))</f>
        <v/>
      </c>
      <c r="L318" s="18" t="str">
        <f>IF($P318="","",INDEX(BEMANNINGSPLAN!$AE$5:$AE$546,$P318))</f>
        <v/>
      </c>
      <c r="M318" s="137"/>
      <c r="N318" s="16"/>
      <c r="O318" s="16">
        <f>IF(AND(BEMANNINGSPLAN!U316=1,OR($B$4="Alla lag",BEMANNINGSPLAN!J316=$B$4),OR($E$4="Alla datum",BEMANNINGSPLAN!A316=$E$4)),COUNT($O$6:O317)+1,"")</f>
        <v>36</v>
      </c>
      <c r="P318" s="137" t="str">
        <f t="shared" si="4"/>
        <v/>
      </c>
    </row>
    <row r="319" spans="1:16" ht="27.75" customHeight="1">
      <c r="A319" s="17" t="str">
        <f>IF($P319="","",INDEX(BEMANNINGSPLAN!$A$5:$A$546,$P319))</f>
        <v/>
      </c>
      <c r="B319" s="18" t="str">
        <f>IF($P319="","",INDEX(BEMANNINGSPLAN!$B$5:$B$546,$P319))</f>
        <v/>
      </c>
      <c r="C319" s="19" t="str">
        <f>IF($P319="","",INDEX(BEMANNINGSPLAN!$C$5:$C$546,$P319))</f>
        <v/>
      </c>
      <c r="D319" s="20" t="str">
        <f>IF($P319="","",INDEX(BEMANNINGSPLAN!$D$5:$D$546,$P319))</f>
        <v/>
      </c>
      <c r="E319" s="20" t="str">
        <f>IF($P319="","",SUMIF(BEMANNINGSPLAN!$W$5:$W$546,INDEX(BEMANNINGSPLAN!$W$5:$W$546,$P319),BEMANNINGSPLAN!$X$5:$X$546))</f>
        <v/>
      </c>
      <c r="F319" s="18" t="str">
        <f>IF($P319="","",INDEX(BEMANNINGSPLAN!$J$5:$J$546,$P319))</f>
        <v/>
      </c>
      <c r="G319" s="19" t="str">
        <f>IF($P319="","",INDEX(BEMANNINGSPLAN!$AD$5:$AD$546,$P319))</f>
        <v/>
      </c>
      <c r="H319" s="18" t="str">
        <f>IF($P319="","",IF(AND(INDEX(BEMANNINGSPLAN!$Y$5:$Y$546,$P319)=1,G319&lt;&gt;"Minicafé"),"X",""))</f>
        <v/>
      </c>
      <c r="I319" s="21" t="str">
        <f>IF($P319="","",IF(INDEX(BEMANNINGSPLAN!$Y$5:$Y$546,$P319)=1,"X",""))</f>
        <v/>
      </c>
      <c r="J319" s="22" t="str">
        <f>IF($P319="","",IF(SUMIF(BEMANNINGSPLAN!$W$5:$W$546,INDEX(BEMANNINGSPLAN!$W$5:$W$546,$P319),BEMANNINGSPLAN!$Z$5:$Z$546)=1,"X",""))</f>
        <v/>
      </c>
      <c r="K319" s="23" t="str">
        <f>IF($P319="","",IFERROR(LOOKUP(2,1/((BEMANNINGSPLAN!$W$5:$W$546=INDEX(BEMANNINGSPLAN!$W$5:$W$546,$P319))*(BEMANNINGSPLAN!$L$5:$L$546&lt;&gt;"")),BEMANNINGSPLAN!$L$5:$L$546),""))</f>
        <v/>
      </c>
      <c r="L319" s="18" t="str">
        <f>IF($P319="","",INDEX(BEMANNINGSPLAN!$AE$5:$AE$546,$P319))</f>
        <v/>
      </c>
      <c r="M319" s="137"/>
      <c r="N319" s="16"/>
      <c r="O319" s="16" t="str">
        <f>IF(AND(BEMANNINGSPLAN!U317=1,OR($B$4="Alla lag",BEMANNINGSPLAN!J317=$B$4),OR($E$4="Alla datum",BEMANNINGSPLAN!A317=$E$4)),COUNT($O$6:O318)+1,"")</f>
        <v/>
      </c>
      <c r="P319" s="137" t="str">
        <f t="shared" si="4"/>
        <v/>
      </c>
    </row>
    <row r="320" spans="1:16" ht="27.75" customHeight="1">
      <c r="A320" s="17" t="str">
        <f>IF($P320="","",INDEX(BEMANNINGSPLAN!$A$5:$A$546,$P320))</f>
        <v/>
      </c>
      <c r="B320" s="18" t="str">
        <f>IF($P320="","",INDEX(BEMANNINGSPLAN!$B$5:$B$546,$P320))</f>
        <v/>
      </c>
      <c r="C320" s="19" t="str">
        <f>IF($P320="","",INDEX(BEMANNINGSPLAN!$C$5:$C$546,$P320))</f>
        <v/>
      </c>
      <c r="D320" s="20" t="str">
        <f>IF($P320="","",INDEX(BEMANNINGSPLAN!$D$5:$D$546,$P320))</f>
        <v/>
      </c>
      <c r="E320" s="20" t="str">
        <f>IF($P320="","",SUMIF(BEMANNINGSPLAN!$W$5:$W$546,INDEX(BEMANNINGSPLAN!$W$5:$W$546,$P320),BEMANNINGSPLAN!$X$5:$X$546))</f>
        <v/>
      </c>
      <c r="F320" s="18" t="str">
        <f>IF($P320="","",INDEX(BEMANNINGSPLAN!$J$5:$J$546,$P320))</f>
        <v/>
      </c>
      <c r="G320" s="19" t="str">
        <f>IF($P320="","",INDEX(BEMANNINGSPLAN!$AD$5:$AD$546,$P320))</f>
        <v/>
      </c>
      <c r="H320" s="18" t="str">
        <f>IF($P320="","",IF(AND(INDEX(BEMANNINGSPLAN!$Y$5:$Y$546,$P320)=1,G320&lt;&gt;"Minicafé"),"X",""))</f>
        <v/>
      </c>
      <c r="I320" s="21" t="str">
        <f>IF($P320="","",IF(INDEX(BEMANNINGSPLAN!$Y$5:$Y$546,$P320)=1,"X",""))</f>
        <v/>
      </c>
      <c r="J320" s="22" t="str">
        <f>IF($P320="","",IF(SUMIF(BEMANNINGSPLAN!$W$5:$W$546,INDEX(BEMANNINGSPLAN!$W$5:$W$546,$P320),BEMANNINGSPLAN!$Z$5:$Z$546)=1,"X",""))</f>
        <v/>
      </c>
      <c r="K320" s="23" t="str">
        <f>IF($P320="","",IFERROR(LOOKUP(2,1/((BEMANNINGSPLAN!$W$5:$W$546=INDEX(BEMANNINGSPLAN!$W$5:$W$546,$P320))*(BEMANNINGSPLAN!$L$5:$L$546&lt;&gt;"")),BEMANNINGSPLAN!$L$5:$L$546),""))</f>
        <v/>
      </c>
      <c r="L320" s="18" t="str">
        <f>IF($P320="","",INDEX(BEMANNINGSPLAN!$AE$5:$AE$546,$P320))</f>
        <v/>
      </c>
      <c r="M320" s="137"/>
      <c r="N320" s="16"/>
      <c r="O320" s="16" t="str">
        <f>IF(AND(BEMANNINGSPLAN!U318=1,OR($B$4="Alla lag",BEMANNINGSPLAN!J318=$B$4),OR($E$4="Alla datum",BEMANNINGSPLAN!A318=$E$4)),COUNT($O$6:O319)+1,"")</f>
        <v/>
      </c>
      <c r="P320" s="137" t="str">
        <f t="shared" si="4"/>
        <v/>
      </c>
    </row>
    <row r="321" spans="1:16" ht="27.75" customHeight="1">
      <c r="A321" s="17" t="str">
        <f>IF($P321="","",INDEX(BEMANNINGSPLAN!$A$5:$A$546,$P321))</f>
        <v/>
      </c>
      <c r="B321" s="18" t="str">
        <f>IF($P321="","",INDEX(BEMANNINGSPLAN!$B$5:$B$546,$P321))</f>
        <v/>
      </c>
      <c r="C321" s="19" t="str">
        <f>IF($P321="","",INDEX(BEMANNINGSPLAN!$C$5:$C$546,$P321))</f>
        <v/>
      </c>
      <c r="D321" s="20" t="str">
        <f>IF($P321="","",INDEX(BEMANNINGSPLAN!$D$5:$D$546,$P321))</f>
        <v/>
      </c>
      <c r="E321" s="20" t="str">
        <f>IF($P321="","",SUMIF(BEMANNINGSPLAN!$W$5:$W$546,INDEX(BEMANNINGSPLAN!$W$5:$W$546,$P321),BEMANNINGSPLAN!$X$5:$X$546))</f>
        <v/>
      </c>
      <c r="F321" s="18" t="str">
        <f>IF($P321="","",INDEX(BEMANNINGSPLAN!$J$5:$J$546,$P321))</f>
        <v/>
      </c>
      <c r="G321" s="19" t="str">
        <f>IF($P321="","",INDEX(BEMANNINGSPLAN!$AD$5:$AD$546,$P321))</f>
        <v/>
      </c>
      <c r="H321" s="18" t="str">
        <f>IF($P321="","",IF(AND(INDEX(BEMANNINGSPLAN!$Y$5:$Y$546,$P321)=1,G321&lt;&gt;"Minicafé"),"X",""))</f>
        <v/>
      </c>
      <c r="I321" s="21" t="str">
        <f>IF($P321="","",IF(INDEX(BEMANNINGSPLAN!$Y$5:$Y$546,$P321)=1,"X",""))</f>
        <v/>
      </c>
      <c r="J321" s="22" t="str">
        <f>IF($P321="","",IF(SUMIF(BEMANNINGSPLAN!$W$5:$W$546,INDEX(BEMANNINGSPLAN!$W$5:$W$546,$P321),BEMANNINGSPLAN!$Z$5:$Z$546)=1,"X",""))</f>
        <v/>
      </c>
      <c r="K321" s="23" t="str">
        <f>IF($P321="","",IFERROR(LOOKUP(2,1/((BEMANNINGSPLAN!$W$5:$W$546=INDEX(BEMANNINGSPLAN!$W$5:$W$546,$P321))*(BEMANNINGSPLAN!$L$5:$L$546&lt;&gt;"")),BEMANNINGSPLAN!$L$5:$L$546),""))</f>
        <v/>
      </c>
      <c r="L321" s="18" t="str">
        <f>IF($P321="","",INDEX(BEMANNINGSPLAN!$AE$5:$AE$546,$P321))</f>
        <v/>
      </c>
      <c r="M321" s="137"/>
      <c r="N321" s="16"/>
      <c r="O321" s="16" t="str">
        <f>IF(AND(BEMANNINGSPLAN!U319=1,OR($B$4="Alla lag",BEMANNINGSPLAN!J319=$B$4),OR($E$4="Alla datum",BEMANNINGSPLAN!A319=$E$4)),COUNT($O$6:O320)+1,"")</f>
        <v/>
      </c>
      <c r="P321" s="137" t="str">
        <f t="shared" si="4"/>
        <v/>
      </c>
    </row>
    <row r="322" spans="1:16" ht="27.75" customHeight="1">
      <c r="A322" s="17" t="str">
        <f>IF($P322="","",INDEX(BEMANNINGSPLAN!$A$5:$A$546,$P322))</f>
        <v/>
      </c>
      <c r="B322" s="18" t="str">
        <f>IF($P322="","",INDEX(BEMANNINGSPLAN!$B$5:$B$546,$P322))</f>
        <v/>
      </c>
      <c r="C322" s="19" t="str">
        <f>IF($P322="","",INDEX(BEMANNINGSPLAN!$C$5:$C$546,$P322))</f>
        <v/>
      </c>
      <c r="D322" s="20" t="str">
        <f>IF($P322="","",INDEX(BEMANNINGSPLAN!$D$5:$D$546,$P322))</f>
        <v/>
      </c>
      <c r="E322" s="20" t="str">
        <f>IF($P322="","",SUMIF(BEMANNINGSPLAN!$W$5:$W$546,INDEX(BEMANNINGSPLAN!$W$5:$W$546,$P322),BEMANNINGSPLAN!$X$5:$X$546))</f>
        <v/>
      </c>
      <c r="F322" s="18" t="str">
        <f>IF($P322="","",INDEX(BEMANNINGSPLAN!$J$5:$J$546,$P322))</f>
        <v/>
      </c>
      <c r="G322" s="19" t="str">
        <f>IF($P322="","",INDEX(BEMANNINGSPLAN!$AD$5:$AD$546,$P322))</f>
        <v/>
      </c>
      <c r="H322" s="18" t="str">
        <f>IF($P322="","",IF(AND(INDEX(BEMANNINGSPLAN!$Y$5:$Y$546,$P322)=1,G322&lt;&gt;"Minicafé"),"X",""))</f>
        <v/>
      </c>
      <c r="I322" s="21" t="str">
        <f>IF($P322="","",IF(INDEX(BEMANNINGSPLAN!$Y$5:$Y$546,$P322)=1,"X",""))</f>
        <v/>
      </c>
      <c r="J322" s="22" t="str">
        <f>IF($P322="","",IF(SUMIF(BEMANNINGSPLAN!$W$5:$W$546,INDEX(BEMANNINGSPLAN!$W$5:$W$546,$P322),BEMANNINGSPLAN!$Z$5:$Z$546)=1,"X",""))</f>
        <v/>
      </c>
      <c r="K322" s="23" t="str">
        <f>IF($P322="","",IFERROR(LOOKUP(2,1/((BEMANNINGSPLAN!$W$5:$W$546=INDEX(BEMANNINGSPLAN!$W$5:$W$546,$P322))*(BEMANNINGSPLAN!$L$5:$L$546&lt;&gt;"")),BEMANNINGSPLAN!$L$5:$L$546),""))</f>
        <v/>
      </c>
      <c r="L322" s="18" t="str">
        <f>IF($P322="","",INDEX(BEMANNINGSPLAN!$AE$5:$AE$546,$P322))</f>
        <v/>
      </c>
      <c r="M322" s="137"/>
      <c r="N322" s="16"/>
      <c r="O322" s="16" t="str">
        <f>IF(AND(BEMANNINGSPLAN!U320=1,OR($B$4="Alla lag",BEMANNINGSPLAN!J320=$B$4),OR($E$4="Alla datum",BEMANNINGSPLAN!A320=$E$4)),COUNT($O$6:O321)+1,"")</f>
        <v/>
      </c>
      <c r="P322" s="137" t="str">
        <f t="shared" si="4"/>
        <v/>
      </c>
    </row>
    <row r="323" spans="1:16" ht="27.75" customHeight="1">
      <c r="A323" s="17" t="str">
        <f>IF($P323="","",INDEX(BEMANNINGSPLAN!$A$5:$A$546,$P323))</f>
        <v/>
      </c>
      <c r="B323" s="18" t="str">
        <f>IF($P323="","",INDEX(BEMANNINGSPLAN!$B$5:$B$546,$P323))</f>
        <v/>
      </c>
      <c r="C323" s="19" t="str">
        <f>IF($P323="","",INDEX(BEMANNINGSPLAN!$C$5:$C$546,$P323))</f>
        <v/>
      </c>
      <c r="D323" s="20" t="str">
        <f>IF($P323="","",INDEX(BEMANNINGSPLAN!$D$5:$D$546,$P323))</f>
        <v/>
      </c>
      <c r="E323" s="20" t="str">
        <f>IF($P323="","",SUMIF(BEMANNINGSPLAN!$W$5:$W$546,INDEX(BEMANNINGSPLAN!$W$5:$W$546,$P323),BEMANNINGSPLAN!$X$5:$X$546))</f>
        <v/>
      </c>
      <c r="F323" s="18" t="str">
        <f>IF($P323="","",INDEX(BEMANNINGSPLAN!$J$5:$J$546,$P323))</f>
        <v/>
      </c>
      <c r="G323" s="19" t="str">
        <f>IF($P323="","",INDEX(BEMANNINGSPLAN!$AD$5:$AD$546,$P323))</f>
        <v/>
      </c>
      <c r="H323" s="18" t="str">
        <f>IF($P323="","",IF(AND(INDEX(BEMANNINGSPLAN!$Y$5:$Y$546,$P323)=1,G323&lt;&gt;"Minicafé"),"X",""))</f>
        <v/>
      </c>
      <c r="I323" s="21" t="str">
        <f>IF($P323="","",IF(INDEX(BEMANNINGSPLAN!$Y$5:$Y$546,$P323)=1,"X",""))</f>
        <v/>
      </c>
      <c r="J323" s="22" t="str">
        <f>IF($P323="","",IF(SUMIF(BEMANNINGSPLAN!$W$5:$W$546,INDEX(BEMANNINGSPLAN!$W$5:$W$546,$P323),BEMANNINGSPLAN!$Z$5:$Z$546)=1,"X",""))</f>
        <v/>
      </c>
      <c r="K323" s="23" t="str">
        <f>IF($P323="","",IFERROR(LOOKUP(2,1/((BEMANNINGSPLAN!$W$5:$W$546=INDEX(BEMANNINGSPLAN!$W$5:$W$546,$P323))*(BEMANNINGSPLAN!$L$5:$L$546&lt;&gt;"")),BEMANNINGSPLAN!$L$5:$L$546),""))</f>
        <v/>
      </c>
      <c r="L323" s="18" t="str">
        <f>IF($P323="","",INDEX(BEMANNINGSPLAN!$AE$5:$AE$546,$P323))</f>
        <v/>
      </c>
      <c r="M323" s="137"/>
      <c r="N323" s="16"/>
      <c r="O323" s="16" t="str">
        <f>IF(AND(BEMANNINGSPLAN!U321=1,OR($B$4="Alla lag",BEMANNINGSPLAN!J321=$B$4),OR($E$4="Alla datum",BEMANNINGSPLAN!A321=$E$4)),COUNT($O$6:O322)+1,"")</f>
        <v/>
      </c>
      <c r="P323" s="137" t="str">
        <f t="shared" si="4"/>
        <v/>
      </c>
    </row>
    <row r="324" spans="1:16" ht="27.75" customHeight="1">
      <c r="A324" s="17" t="str">
        <f>IF($P324="","",INDEX(BEMANNINGSPLAN!$A$5:$A$546,$P324))</f>
        <v/>
      </c>
      <c r="B324" s="18" t="str">
        <f>IF($P324="","",INDEX(BEMANNINGSPLAN!$B$5:$B$546,$P324))</f>
        <v/>
      </c>
      <c r="C324" s="19" t="str">
        <f>IF($P324="","",INDEX(BEMANNINGSPLAN!$C$5:$C$546,$P324))</f>
        <v/>
      </c>
      <c r="D324" s="20" t="str">
        <f>IF($P324="","",INDEX(BEMANNINGSPLAN!$D$5:$D$546,$P324))</f>
        <v/>
      </c>
      <c r="E324" s="20" t="str">
        <f>IF($P324="","",SUMIF(BEMANNINGSPLAN!$W$5:$W$546,INDEX(BEMANNINGSPLAN!$W$5:$W$546,$P324),BEMANNINGSPLAN!$X$5:$X$546))</f>
        <v/>
      </c>
      <c r="F324" s="18" t="str">
        <f>IF($P324="","",INDEX(BEMANNINGSPLAN!$J$5:$J$546,$P324))</f>
        <v/>
      </c>
      <c r="G324" s="19" t="str">
        <f>IF($P324="","",INDEX(BEMANNINGSPLAN!$AD$5:$AD$546,$P324))</f>
        <v/>
      </c>
      <c r="H324" s="18" t="str">
        <f>IF($P324="","",IF(AND(INDEX(BEMANNINGSPLAN!$Y$5:$Y$546,$P324)=1,G324&lt;&gt;"Minicafé"),"X",""))</f>
        <v/>
      </c>
      <c r="I324" s="21" t="str">
        <f>IF($P324="","",IF(INDEX(BEMANNINGSPLAN!$Y$5:$Y$546,$P324)=1,"X",""))</f>
        <v/>
      </c>
      <c r="J324" s="22" t="str">
        <f>IF($P324="","",IF(SUMIF(BEMANNINGSPLAN!$W$5:$W$546,INDEX(BEMANNINGSPLAN!$W$5:$W$546,$P324),BEMANNINGSPLAN!$Z$5:$Z$546)=1,"X",""))</f>
        <v/>
      </c>
      <c r="K324" s="23" t="str">
        <f>IF($P324="","",IFERROR(LOOKUP(2,1/((BEMANNINGSPLAN!$W$5:$W$546=INDEX(BEMANNINGSPLAN!$W$5:$W$546,$P324))*(BEMANNINGSPLAN!$L$5:$L$546&lt;&gt;"")),BEMANNINGSPLAN!$L$5:$L$546),""))</f>
        <v/>
      </c>
      <c r="L324" s="18" t="str">
        <f>IF($P324="","",INDEX(BEMANNINGSPLAN!$AE$5:$AE$546,$P324))</f>
        <v/>
      </c>
      <c r="M324" s="137"/>
      <c r="N324" s="16"/>
      <c r="O324" s="16" t="str">
        <f>IF(AND(BEMANNINGSPLAN!U322=1,OR($B$4="Alla lag",BEMANNINGSPLAN!J322=$B$4),OR($E$4="Alla datum",BEMANNINGSPLAN!A322=$E$4)),COUNT($O$6:O323)+1,"")</f>
        <v/>
      </c>
      <c r="P324" s="137" t="str">
        <f t="shared" si="4"/>
        <v/>
      </c>
    </row>
    <row r="325" spans="1:16" ht="27.75" customHeight="1">
      <c r="A325" s="17" t="str">
        <f>IF($P325="","",INDEX(BEMANNINGSPLAN!$A$5:$A$546,$P325))</f>
        <v/>
      </c>
      <c r="B325" s="18" t="str">
        <f>IF($P325="","",INDEX(BEMANNINGSPLAN!$B$5:$B$546,$P325))</f>
        <v/>
      </c>
      <c r="C325" s="19" t="str">
        <f>IF($P325="","",INDEX(BEMANNINGSPLAN!$C$5:$C$546,$P325))</f>
        <v/>
      </c>
      <c r="D325" s="20" t="str">
        <f>IF($P325="","",INDEX(BEMANNINGSPLAN!$D$5:$D$546,$P325))</f>
        <v/>
      </c>
      <c r="E325" s="20" t="str">
        <f>IF($P325="","",SUMIF(BEMANNINGSPLAN!$W$5:$W$546,INDEX(BEMANNINGSPLAN!$W$5:$W$546,$P325),BEMANNINGSPLAN!$X$5:$X$546))</f>
        <v/>
      </c>
      <c r="F325" s="18" t="str">
        <f>IF($P325="","",INDEX(BEMANNINGSPLAN!$J$5:$J$546,$P325))</f>
        <v/>
      </c>
      <c r="G325" s="19" t="str">
        <f>IF($P325="","",INDEX(BEMANNINGSPLAN!$AD$5:$AD$546,$P325))</f>
        <v/>
      </c>
      <c r="H325" s="18" t="str">
        <f>IF($P325="","",IF(AND(INDEX(BEMANNINGSPLAN!$Y$5:$Y$546,$P325)=1,G325&lt;&gt;"Minicafé"),"X",""))</f>
        <v/>
      </c>
      <c r="I325" s="21" t="str">
        <f>IF($P325="","",IF(INDEX(BEMANNINGSPLAN!$Y$5:$Y$546,$P325)=1,"X",""))</f>
        <v/>
      </c>
      <c r="J325" s="22" t="str">
        <f>IF($P325="","",IF(SUMIF(BEMANNINGSPLAN!$W$5:$W$546,INDEX(BEMANNINGSPLAN!$W$5:$W$546,$P325),BEMANNINGSPLAN!$Z$5:$Z$546)=1,"X",""))</f>
        <v/>
      </c>
      <c r="K325" s="23" t="str">
        <f>IF($P325="","",IFERROR(LOOKUP(2,1/((BEMANNINGSPLAN!$W$5:$W$546=INDEX(BEMANNINGSPLAN!$W$5:$W$546,$P325))*(BEMANNINGSPLAN!$L$5:$L$546&lt;&gt;"")),BEMANNINGSPLAN!$L$5:$L$546),""))</f>
        <v/>
      </c>
      <c r="L325" s="18" t="str">
        <f>IF($P325="","",INDEX(BEMANNINGSPLAN!$AE$5:$AE$546,$P325))</f>
        <v/>
      </c>
      <c r="M325" s="137"/>
      <c r="N325" s="16"/>
      <c r="O325" s="16" t="str">
        <f>IF(AND(BEMANNINGSPLAN!U323=1,OR($B$4="Alla lag",BEMANNINGSPLAN!J323=$B$4),OR($E$4="Alla datum",BEMANNINGSPLAN!A323=$E$4)),COUNT($O$6:O324)+1,"")</f>
        <v/>
      </c>
      <c r="P325" s="137" t="str">
        <f t="shared" si="4"/>
        <v/>
      </c>
    </row>
    <row r="326" spans="1:16" ht="27.75" customHeight="1">
      <c r="A326" s="17" t="str">
        <f>IF($P326="","",INDEX(BEMANNINGSPLAN!$A$5:$A$546,$P326))</f>
        <v/>
      </c>
      <c r="B326" s="18" t="str">
        <f>IF($P326="","",INDEX(BEMANNINGSPLAN!$B$5:$B$546,$P326))</f>
        <v/>
      </c>
      <c r="C326" s="19" t="str">
        <f>IF($P326="","",INDEX(BEMANNINGSPLAN!$C$5:$C$546,$P326))</f>
        <v/>
      </c>
      <c r="D326" s="20" t="str">
        <f>IF($P326="","",INDEX(BEMANNINGSPLAN!$D$5:$D$546,$P326))</f>
        <v/>
      </c>
      <c r="E326" s="20" t="str">
        <f>IF($P326="","",SUMIF(BEMANNINGSPLAN!$W$5:$W$546,INDEX(BEMANNINGSPLAN!$W$5:$W$546,$P326),BEMANNINGSPLAN!$X$5:$X$546))</f>
        <v/>
      </c>
      <c r="F326" s="18" t="str">
        <f>IF($P326="","",INDEX(BEMANNINGSPLAN!$J$5:$J$546,$P326))</f>
        <v/>
      </c>
      <c r="G326" s="19" t="str">
        <f>IF($P326="","",INDEX(BEMANNINGSPLAN!$AD$5:$AD$546,$P326))</f>
        <v/>
      </c>
      <c r="H326" s="18" t="str">
        <f>IF($P326="","",IF(AND(INDEX(BEMANNINGSPLAN!$Y$5:$Y$546,$P326)=1,G326&lt;&gt;"Minicafé"),"X",""))</f>
        <v/>
      </c>
      <c r="I326" s="21" t="str">
        <f>IF($P326="","",IF(INDEX(BEMANNINGSPLAN!$Y$5:$Y$546,$P326)=1,"X",""))</f>
        <v/>
      </c>
      <c r="J326" s="22" t="str">
        <f>IF($P326="","",IF(SUMIF(BEMANNINGSPLAN!$W$5:$W$546,INDEX(BEMANNINGSPLAN!$W$5:$W$546,$P326),BEMANNINGSPLAN!$Z$5:$Z$546)=1,"X",""))</f>
        <v/>
      </c>
      <c r="K326" s="23" t="str">
        <f>IF($P326="","",IFERROR(LOOKUP(2,1/((BEMANNINGSPLAN!$W$5:$W$546=INDEX(BEMANNINGSPLAN!$W$5:$W$546,$P326))*(BEMANNINGSPLAN!$L$5:$L$546&lt;&gt;"")),BEMANNINGSPLAN!$L$5:$L$546),""))</f>
        <v/>
      </c>
      <c r="L326" s="18" t="str">
        <f>IF($P326="","",INDEX(BEMANNINGSPLAN!$AE$5:$AE$546,$P326))</f>
        <v/>
      </c>
      <c r="M326" s="137"/>
      <c r="N326" s="16"/>
      <c r="O326" s="16" t="str">
        <f>IF(AND(BEMANNINGSPLAN!U324=1,OR($B$4="Alla lag",BEMANNINGSPLAN!J324=$B$4),OR($E$4="Alla datum",BEMANNINGSPLAN!A324=$E$4)),COUNT($O$6:O325)+1,"")</f>
        <v/>
      </c>
      <c r="P326" s="137" t="str">
        <f t="shared" si="4"/>
        <v/>
      </c>
    </row>
    <row r="327" spans="1:16" ht="27.75" customHeight="1">
      <c r="A327" s="17" t="str">
        <f>IF($P327="","",INDEX(BEMANNINGSPLAN!$A$5:$A$546,$P327))</f>
        <v/>
      </c>
      <c r="B327" s="18" t="str">
        <f>IF($P327="","",INDEX(BEMANNINGSPLAN!$B$5:$B$546,$P327))</f>
        <v/>
      </c>
      <c r="C327" s="19" t="str">
        <f>IF($P327="","",INDEX(BEMANNINGSPLAN!$C$5:$C$546,$P327))</f>
        <v/>
      </c>
      <c r="D327" s="20" t="str">
        <f>IF($P327="","",INDEX(BEMANNINGSPLAN!$D$5:$D$546,$P327))</f>
        <v/>
      </c>
      <c r="E327" s="20" t="str">
        <f>IF($P327="","",SUMIF(BEMANNINGSPLAN!$W$5:$W$546,INDEX(BEMANNINGSPLAN!$W$5:$W$546,$P327),BEMANNINGSPLAN!$X$5:$X$546))</f>
        <v/>
      </c>
      <c r="F327" s="18" t="str">
        <f>IF($P327="","",INDEX(BEMANNINGSPLAN!$J$5:$J$546,$P327))</f>
        <v/>
      </c>
      <c r="G327" s="19" t="str">
        <f>IF($P327="","",INDEX(BEMANNINGSPLAN!$AD$5:$AD$546,$P327))</f>
        <v/>
      </c>
      <c r="H327" s="18" t="str">
        <f>IF($P327="","",IF(AND(INDEX(BEMANNINGSPLAN!$Y$5:$Y$546,$P327)=1,G327&lt;&gt;"Minicafé"),"X",""))</f>
        <v/>
      </c>
      <c r="I327" s="21" t="str">
        <f>IF($P327="","",IF(INDEX(BEMANNINGSPLAN!$Y$5:$Y$546,$P327)=1,"X",""))</f>
        <v/>
      </c>
      <c r="J327" s="22" t="str">
        <f>IF($P327="","",IF(SUMIF(BEMANNINGSPLAN!$W$5:$W$546,INDEX(BEMANNINGSPLAN!$W$5:$W$546,$P327),BEMANNINGSPLAN!$Z$5:$Z$546)=1,"X",""))</f>
        <v/>
      </c>
      <c r="K327" s="23" t="str">
        <f>IF($P327="","",IFERROR(LOOKUP(2,1/((BEMANNINGSPLAN!$W$5:$W$546=INDEX(BEMANNINGSPLAN!$W$5:$W$546,$P327))*(BEMANNINGSPLAN!$L$5:$L$546&lt;&gt;"")),BEMANNINGSPLAN!$L$5:$L$546),""))</f>
        <v/>
      </c>
      <c r="L327" s="18" t="str">
        <f>IF($P327="","",INDEX(BEMANNINGSPLAN!$AE$5:$AE$546,$P327))</f>
        <v/>
      </c>
      <c r="M327" s="137"/>
      <c r="N327" s="16"/>
      <c r="O327" s="16">
        <f>IF(AND(BEMANNINGSPLAN!U325=1,OR($B$4="Alla lag",BEMANNINGSPLAN!J325=$B$4),OR($E$4="Alla datum",BEMANNINGSPLAN!A325=$E$4)),COUNT($O$6:O326)+1,"")</f>
        <v>37</v>
      </c>
      <c r="P327" s="137" t="str">
        <f t="shared" ref="P327:P390" si="5">IFERROR(MATCH(ROW()-ROW($P$7)+1,$O$7:$O$548,0),"")</f>
        <v/>
      </c>
    </row>
    <row r="328" spans="1:16" ht="27.75" customHeight="1">
      <c r="A328" s="17" t="str">
        <f>IF($P328="","",INDEX(BEMANNINGSPLAN!$A$5:$A$546,$P328))</f>
        <v/>
      </c>
      <c r="B328" s="18" t="str">
        <f>IF($P328="","",INDEX(BEMANNINGSPLAN!$B$5:$B$546,$P328))</f>
        <v/>
      </c>
      <c r="C328" s="19" t="str">
        <f>IF($P328="","",INDEX(BEMANNINGSPLAN!$C$5:$C$546,$P328))</f>
        <v/>
      </c>
      <c r="D328" s="20" t="str">
        <f>IF($P328="","",INDEX(BEMANNINGSPLAN!$D$5:$D$546,$P328))</f>
        <v/>
      </c>
      <c r="E328" s="20" t="str">
        <f>IF($P328="","",SUMIF(BEMANNINGSPLAN!$W$5:$W$546,INDEX(BEMANNINGSPLAN!$W$5:$W$546,$P328),BEMANNINGSPLAN!$X$5:$X$546))</f>
        <v/>
      </c>
      <c r="F328" s="18" t="str">
        <f>IF($P328="","",INDEX(BEMANNINGSPLAN!$J$5:$J$546,$P328))</f>
        <v/>
      </c>
      <c r="G328" s="19" t="str">
        <f>IF($P328="","",INDEX(BEMANNINGSPLAN!$AD$5:$AD$546,$P328))</f>
        <v/>
      </c>
      <c r="H328" s="18" t="str">
        <f>IF($P328="","",IF(AND(INDEX(BEMANNINGSPLAN!$Y$5:$Y$546,$P328)=1,G328&lt;&gt;"Minicafé"),"X",""))</f>
        <v/>
      </c>
      <c r="I328" s="21" t="str">
        <f>IF($P328="","",IF(INDEX(BEMANNINGSPLAN!$Y$5:$Y$546,$P328)=1,"X",""))</f>
        <v/>
      </c>
      <c r="J328" s="22" t="str">
        <f>IF($P328="","",IF(SUMIF(BEMANNINGSPLAN!$W$5:$W$546,INDEX(BEMANNINGSPLAN!$W$5:$W$546,$P328),BEMANNINGSPLAN!$Z$5:$Z$546)=1,"X",""))</f>
        <v/>
      </c>
      <c r="K328" s="23" t="str">
        <f>IF($P328="","",IFERROR(LOOKUP(2,1/((BEMANNINGSPLAN!$W$5:$W$546=INDEX(BEMANNINGSPLAN!$W$5:$W$546,$P328))*(BEMANNINGSPLAN!$L$5:$L$546&lt;&gt;"")),BEMANNINGSPLAN!$L$5:$L$546),""))</f>
        <v/>
      </c>
      <c r="L328" s="18" t="str">
        <f>IF($P328="","",INDEX(BEMANNINGSPLAN!$AE$5:$AE$546,$P328))</f>
        <v/>
      </c>
      <c r="M328" s="137"/>
      <c r="N328" s="16"/>
      <c r="O328" s="16" t="str">
        <f>IF(AND(BEMANNINGSPLAN!U326=1,OR($B$4="Alla lag",BEMANNINGSPLAN!J326=$B$4),OR($E$4="Alla datum",BEMANNINGSPLAN!A326=$E$4)),COUNT($O$6:O327)+1,"")</f>
        <v/>
      </c>
      <c r="P328" s="137" t="str">
        <f t="shared" si="5"/>
        <v/>
      </c>
    </row>
    <row r="329" spans="1:16" ht="27.75" customHeight="1">
      <c r="A329" s="17" t="str">
        <f>IF($P329="","",INDEX(BEMANNINGSPLAN!$A$5:$A$546,$P329))</f>
        <v/>
      </c>
      <c r="B329" s="18" t="str">
        <f>IF($P329="","",INDEX(BEMANNINGSPLAN!$B$5:$B$546,$P329))</f>
        <v/>
      </c>
      <c r="C329" s="19" t="str">
        <f>IF($P329="","",INDEX(BEMANNINGSPLAN!$C$5:$C$546,$P329))</f>
        <v/>
      </c>
      <c r="D329" s="20" t="str">
        <f>IF($P329="","",INDEX(BEMANNINGSPLAN!$D$5:$D$546,$P329))</f>
        <v/>
      </c>
      <c r="E329" s="20" t="str">
        <f>IF($P329="","",SUMIF(BEMANNINGSPLAN!$W$5:$W$546,INDEX(BEMANNINGSPLAN!$W$5:$W$546,$P329),BEMANNINGSPLAN!$X$5:$X$546))</f>
        <v/>
      </c>
      <c r="F329" s="18" t="str">
        <f>IF($P329="","",INDEX(BEMANNINGSPLAN!$J$5:$J$546,$P329))</f>
        <v/>
      </c>
      <c r="G329" s="19" t="str">
        <f>IF($P329="","",INDEX(BEMANNINGSPLAN!$AD$5:$AD$546,$P329))</f>
        <v/>
      </c>
      <c r="H329" s="18" t="str">
        <f>IF($P329="","",IF(AND(INDEX(BEMANNINGSPLAN!$Y$5:$Y$546,$P329)=1,G329&lt;&gt;"Minicafé"),"X",""))</f>
        <v/>
      </c>
      <c r="I329" s="21" t="str">
        <f>IF($P329="","",IF(INDEX(BEMANNINGSPLAN!$Y$5:$Y$546,$P329)=1,"X",""))</f>
        <v/>
      </c>
      <c r="J329" s="22" t="str">
        <f>IF($P329="","",IF(SUMIF(BEMANNINGSPLAN!$W$5:$W$546,INDEX(BEMANNINGSPLAN!$W$5:$W$546,$P329),BEMANNINGSPLAN!$Z$5:$Z$546)=1,"X",""))</f>
        <v/>
      </c>
      <c r="K329" s="23" t="str">
        <f>IF($P329="","",IFERROR(LOOKUP(2,1/((BEMANNINGSPLAN!$W$5:$W$546=INDEX(BEMANNINGSPLAN!$W$5:$W$546,$P329))*(BEMANNINGSPLAN!$L$5:$L$546&lt;&gt;"")),BEMANNINGSPLAN!$L$5:$L$546),""))</f>
        <v/>
      </c>
      <c r="L329" s="18" t="str">
        <f>IF($P329="","",INDEX(BEMANNINGSPLAN!$AE$5:$AE$546,$P329))</f>
        <v/>
      </c>
      <c r="M329" s="137"/>
      <c r="N329" s="16"/>
      <c r="O329" s="16" t="str">
        <f>IF(AND(BEMANNINGSPLAN!U327=1,OR($B$4="Alla lag",BEMANNINGSPLAN!J327=$B$4),OR($E$4="Alla datum",BEMANNINGSPLAN!A327=$E$4)),COUNT($O$6:O328)+1,"")</f>
        <v/>
      </c>
      <c r="P329" s="137" t="str">
        <f t="shared" si="5"/>
        <v/>
      </c>
    </row>
    <row r="330" spans="1:16" ht="27.75" customHeight="1">
      <c r="A330" s="17" t="str">
        <f>IF($P330="","",INDEX(BEMANNINGSPLAN!$A$5:$A$546,$P330))</f>
        <v/>
      </c>
      <c r="B330" s="18" t="str">
        <f>IF($P330="","",INDEX(BEMANNINGSPLAN!$B$5:$B$546,$P330))</f>
        <v/>
      </c>
      <c r="C330" s="19" t="str">
        <f>IF($P330="","",INDEX(BEMANNINGSPLAN!$C$5:$C$546,$P330))</f>
        <v/>
      </c>
      <c r="D330" s="20" t="str">
        <f>IF($P330="","",INDEX(BEMANNINGSPLAN!$D$5:$D$546,$P330))</f>
        <v/>
      </c>
      <c r="E330" s="20" t="str">
        <f>IF($P330="","",SUMIF(BEMANNINGSPLAN!$W$5:$W$546,INDEX(BEMANNINGSPLAN!$W$5:$W$546,$P330),BEMANNINGSPLAN!$X$5:$X$546))</f>
        <v/>
      </c>
      <c r="F330" s="18" t="str">
        <f>IF($P330="","",INDEX(BEMANNINGSPLAN!$J$5:$J$546,$P330))</f>
        <v/>
      </c>
      <c r="G330" s="19" t="str">
        <f>IF($P330="","",INDEX(BEMANNINGSPLAN!$AD$5:$AD$546,$P330))</f>
        <v/>
      </c>
      <c r="H330" s="18" t="str">
        <f>IF($P330="","",IF(AND(INDEX(BEMANNINGSPLAN!$Y$5:$Y$546,$P330)=1,G330&lt;&gt;"Minicafé"),"X",""))</f>
        <v/>
      </c>
      <c r="I330" s="21" t="str">
        <f>IF($P330="","",IF(INDEX(BEMANNINGSPLAN!$Y$5:$Y$546,$P330)=1,"X",""))</f>
        <v/>
      </c>
      <c r="J330" s="22" t="str">
        <f>IF($P330="","",IF(SUMIF(BEMANNINGSPLAN!$W$5:$W$546,INDEX(BEMANNINGSPLAN!$W$5:$W$546,$P330),BEMANNINGSPLAN!$Z$5:$Z$546)=1,"X",""))</f>
        <v/>
      </c>
      <c r="K330" s="23" t="str">
        <f>IF($P330="","",IFERROR(LOOKUP(2,1/((BEMANNINGSPLAN!$W$5:$W$546=INDEX(BEMANNINGSPLAN!$W$5:$W$546,$P330))*(BEMANNINGSPLAN!$L$5:$L$546&lt;&gt;"")),BEMANNINGSPLAN!$L$5:$L$546),""))</f>
        <v/>
      </c>
      <c r="L330" s="18" t="str">
        <f>IF($P330="","",INDEX(BEMANNINGSPLAN!$AE$5:$AE$546,$P330))</f>
        <v/>
      </c>
      <c r="M330" s="137"/>
      <c r="N330" s="16"/>
      <c r="O330" s="16" t="str">
        <f>IF(AND(BEMANNINGSPLAN!U328=1,OR($B$4="Alla lag",BEMANNINGSPLAN!J328=$B$4),OR($E$4="Alla datum",BEMANNINGSPLAN!A328=$E$4)),COUNT($O$6:O329)+1,"")</f>
        <v/>
      </c>
      <c r="P330" s="137" t="str">
        <f t="shared" si="5"/>
        <v/>
      </c>
    </row>
    <row r="331" spans="1:16" ht="27.75" customHeight="1">
      <c r="A331" s="17" t="str">
        <f>IF($P331="","",INDEX(BEMANNINGSPLAN!$A$5:$A$546,$P331))</f>
        <v/>
      </c>
      <c r="B331" s="18" t="str">
        <f>IF($P331="","",INDEX(BEMANNINGSPLAN!$B$5:$B$546,$P331))</f>
        <v/>
      </c>
      <c r="C331" s="19" t="str">
        <f>IF($P331="","",INDEX(BEMANNINGSPLAN!$C$5:$C$546,$P331))</f>
        <v/>
      </c>
      <c r="D331" s="20" t="str">
        <f>IF($P331="","",INDEX(BEMANNINGSPLAN!$D$5:$D$546,$P331))</f>
        <v/>
      </c>
      <c r="E331" s="20" t="str">
        <f>IF($P331="","",SUMIF(BEMANNINGSPLAN!$W$5:$W$546,INDEX(BEMANNINGSPLAN!$W$5:$W$546,$P331),BEMANNINGSPLAN!$X$5:$X$546))</f>
        <v/>
      </c>
      <c r="F331" s="18" t="str">
        <f>IF($P331="","",INDEX(BEMANNINGSPLAN!$J$5:$J$546,$P331))</f>
        <v/>
      </c>
      <c r="G331" s="19" t="str">
        <f>IF($P331="","",INDEX(BEMANNINGSPLAN!$AD$5:$AD$546,$P331))</f>
        <v/>
      </c>
      <c r="H331" s="18" t="str">
        <f>IF($P331="","",IF(AND(INDEX(BEMANNINGSPLAN!$Y$5:$Y$546,$P331)=1,G331&lt;&gt;"Minicafé"),"X",""))</f>
        <v/>
      </c>
      <c r="I331" s="21" t="str">
        <f>IF($P331="","",IF(INDEX(BEMANNINGSPLAN!$Y$5:$Y$546,$P331)=1,"X",""))</f>
        <v/>
      </c>
      <c r="J331" s="22" t="str">
        <f>IF($P331="","",IF(SUMIF(BEMANNINGSPLAN!$W$5:$W$546,INDEX(BEMANNINGSPLAN!$W$5:$W$546,$P331),BEMANNINGSPLAN!$Z$5:$Z$546)=1,"X",""))</f>
        <v/>
      </c>
      <c r="K331" s="23" t="str">
        <f>IF($P331="","",IFERROR(LOOKUP(2,1/((BEMANNINGSPLAN!$W$5:$W$546=INDEX(BEMANNINGSPLAN!$W$5:$W$546,$P331))*(BEMANNINGSPLAN!$L$5:$L$546&lt;&gt;"")),BEMANNINGSPLAN!$L$5:$L$546),""))</f>
        <v/>
      </c>
      <c r="L331" s="18" t="str">
        <f>IF($P331="","",INDEX(BEMANNINGSPLAN!$AE$5:$AE$546,$P331))</f>
        <v/>
      </c>
      <c r="M331" s="137"/>
      <c r="N331" s="16"/>
      <c r="O331" s="16" t="str">
        <f>IF(AND(BEMANNINGSPLAN!U329=1,OR($B$4="Alla lag",BEMANNINGSPLAN!J329=$B$4),OR($E$4="Alla datum",BEMANNINGSPLAN!A329=$E$4)),COUNT($O$6:O330)+1,"")</f>
        <v/>
      </c>
      <c r="P331" s="137" t="str">
        <f t="shared" si="5"/>
        <v/>
      </c>
    </row>
    <row r="332" spans="1:16" ht="27.75" customHeight="1">
      <c r="A332" s="17" t="str">
        <f>IF($P332="","",INDEX(BEMANNINGSPLAN!$A$5:$A$546,$P332))</f>
        <v/>
      </c>
      <c r="B332" s="18" t="str">
        <f>IF($P332="","",INDEX(BEMANNINGSPLAN!$B$5:$B$546,$P332))</f>
        <v/>
      </c>
      <c r="C332" s="19" t="str">
        <f>IF($P332="","",INDEX(BEMANNINGSPLAN!$C$5:$C$546,$P332))</f>
        <v/>
      </c>
      <c r="D332" s="20" t="str">
        <f>IF($P332="","",INDEX(BEMANNINGSPLAN!$D$5:$D$546,$P332))</f>
        <v/>
      </c>
      <c r="E332" s="20" t="str">
        <f>IF($P332="","",SUMIF(BEMANNINGSPLAN!$W$5:$W$546,INDEX(BEMANNINGSPLAN!$W$5:$W$546,$P332),BEMANNINGSPLAN!$X$5:$X$546))</f>
        <v/>
      </c>
      <c r="F332" s="18" t="str">
        <f>IF($P332="","",INDEX(BEMANNINGSPLAN!$J$5:$J$546,$P332))</f>
        <v/>
      </c>
      <c r="G332" s="19" t="str">
        <f>IF($P332="","",INDEX(BEMANNINGSPLAN!$AD$5:$AD$546,$P332))</f>
        <v/>
      </c>
      <c r="H332" s="18" t="str">
        <f>IF($P332="","",IF(AND(INDEX(BEMANNINGSPLAN!$Y$5:$Y$546,$P332)=1,G332&lt;&gt;"Minicafé"),"X",""))</f>
        <v/>
      </c>
      <c r="I332" s="21" t="str">
        <f>IF($P332="","",IF(INDEX(BEMANNINGSPLAN!$Y$5:$Y$546,$P332)=1,"X",""))</f>
        <v/>
      </c>
      <c r="J332" s="22" t="str">
        <f>IF($P332="","",IF(SUMIF(BEMANNINGSPLAN!$W$5:$W$546,INDEX(BEMANNINGSPLAN!$W$5:$W$546,$P332),BEMANNINGSPLAN!$Z$5:$Z$546)=1,"X",""))</f>
        <v/>
      </c>
      <c r="K332" s="23" t="str">
        <f>IF($P332="","",IFERROR(LOOKUP(2,1/((BEMANNINGSPLAN!$W$5:$W$546=INDEX(BEMANNINGSPLAN!$W$5:$W$546,$P332))*(BEMANNINGSPLAN!$L$5:$L$546&lt;&gt;"")),BEMANNINGSPLAN!$L$5:$L$546),""))</f>
        <v/>
      </c>
      <c r="L332" s="18" t="str">
        <f>IF($P332="","",INDEX(BEMANNINGSPLAN!$AE$5:$AE$546,$P332))</f>
        <v/>
      </c>
      <c r="M332" s="137"/>
      <c r="N332" s="16"/>
      <c r="O332" s="16" t="str">
        <f>IF(AND(BEMANNINGSPLAN!U330=1,OR($B$4="Alla lag",BEMANNINGSPLAN!J330=$B$4),OR($E$4="Alla datum",BEMANNINGSPLAN!A330=$E$4)),COUNT($O$6:O331)+1,"")</f>
        <v/>
      </c>
      <c r="P332" s="137" t="str">
        <f t="shared" si="5"/>
        <v/>
      </c>
    </row>
    <row r="333" spans="1:16" ht="27.75" customHeight="1">
      <c r="A333" s="17" t="str">
        <f>IF($P333="","",INDEX(BEMANNINGSPLAN!$A$5:$A$546,$P333))</f>
        <v/>
      </c>
      <c r="B333" s="18" t="str">
        <f>IF($P333="","",INDEX(BEMANNINGSPLAN!$B$5:$B$546,$P333))</f>
        <v/>
      </c>
      <c r="C333" s="19" t="str">
        <f>IF($P333="","",INDEX(BEMANNINGSPLAN!$C$5:$C$546,$P333))</f>
        <v/>
      </c>
      <c r="D333" s="20" t="str">
        <f>IF($P333="","",INDEX(BEMANNINGSPLAN!$D$5:$D$546,$P333))</f>
        <v/>
      </c>
      <c r="E333" s="20" t="str">
        <f>IF($P333="","",SUMIF(BEMANNINGSPLAN!$W$5:$W$546,INDEX(BEMANNINGSPLAN!$W$5:$W$546,$P333),BEMANNINGSPLAN!$X$5:$X$546))</f>
        <v/>
      </c>
      <c r="F333" s="18" t="str">
        <f>IF($P333="","",INDEX(BEMANNINGSPLAN!$J$5:$J$546,$P333))</f>
        <v/>
      </c>
      <c r="G333" s="19" t="str">
        <f>IF($P333="","",INDEX(BEMANNINGSPLAN!$AD$5:$AD$546,$P333))</f>
        <v/>
      </c>
      <c r="H333" s="18" t="str">
        <f>IF($P333="","",IF(AND(INDEX(BEMANNINGSPLAN!$Y$5:$Y$546,$P333)=1,G333&lt;&gt;"Minicafé"),"X",""))</f>
        <v/>
      </c>
      <c r="I333" s="21" t="str">
        <f>IF($P333="","",IF(INDEX(BEMANNINGSPLAN!$Y$5:$Y$546,$P333)=1,"X",""))</f>
        <v/>
      </c>
      <c r="J333" s="22" t="str">
        <f>IF($P333="","",IF(SUMIF(BEMANNINGSPLAN!$W$5:$W$546,INDEX(BEMANNINGSPLAN!$W$5:$W$546,$P333),BEMANNINGSPLAN!$Z$5:$Z$546)=1,"X",""))</f>
        <v/>
      </c>
      <c r="K333" s="23" t="str">
        <f>IF($P333="","",IFERROR(LOOKUP(2,1/((BEMANNINGSPLAN!$W$5:$W$546=INDEX(BEMANNINGSPLAN!$W$5:$W$546,$P333))*(BEMANNINGSPLAN!$L$5:$L$546&lt;&gt;"")),BEMANNINGSPLAN!$L$5:$L$546),""))</f>
        <v/>
      </c>
      <c r="L333" s="18" t="str">
        <f>IF($P333="","",INDEX(BEMANNINGSPLAN!$AE$5:$AE$546,$P333))</f>
        <v/>
      </c>
      <c r="M333" s="137"/>
      <c r="N333" s="16"/>
      <c r="O333" s="16" t="str">
        <f>IF(AND(BEMANNINGSPLAN!U331=1,OR($B$4="Alla lag",BEMANNINGSPLAN!J331=$B$4),OR($E$4="Alla datum",BEMANNINGSPLAN!A331=$E$4)),COUNT($O$6:O332)+1,"")</f>
        <v/>
      </c>
      <c r="P333" s="137" t="str">
        <f t="shared" si="5"/>
        <v/>
      </c>
    </row>
    <row r="334" spans="1:16" ht="27.75" customHeight="1">
      <c r="A334" s="17" t="str">
        <f>IF($P334="","",INDEX(BEMANNINGSPLAN!$A$5:$A$546,$P334))</f>
        <v/>
      </c>
      <c r="B334" s="18" t="str">
        <f>IF($P334="","",INDEX(BEMANNINGSPLAN!$B$5:$B$546,$P334))</f>
        <v/>
      </c>
      <c r="C334" s="19" t="str">
        <f>IF($P334="","",INDEX(BEMANNINGSPLAN!$C$5:$C$546,$P334))</f>
        <v/>
      </c>
      <c r="D334" s="20" t="str">
        <f>IF($P334="","",INDEX(BEMANNINGSPLAN!$D$5:$D$546,$P334))</f>
        <v/>
      </c>
      <c r="E334" s="20" t="str">
        <f>IF($P334="","",SUMIF(BEMANNINGSPLAN!$W$5:$W$546,INDEX(BEMANNINGSPLAN!$W$5:$W$546,$P334),BEMANNINGSPLAN!$X$5:$X$546))</f>
        <v/>
      </c>
      <c r="F334" s="18" t="str">
        <f>IF($P334="","",INDEX(BEMANNINGSPLAN!$J$5:$J$546,$P334))</f>
        <v/>
      </c>
      <c r="G334" s="19" t="str">
        <f>IF($P334="","",INDEX(BEMANNINGSPLAN!$AD$5:$AD$546,$P334))</f>
        <v/>
      </c>
      <c r="H334" s="18" t="str">
        <f>IF($P334="","",IF(AND(INDEX(BEMANNINGSPLAN!$Y$5:$Y$546,$P334)=1,G334&lt;&gt;"Minicafé"),"X",""))</f>
        <v/>
      </c>
      <c r="I334" s="21" t="str">
        <f>IF($P334="","",IF(INDEX(BEMANNINGSPLAN!$Y$5:$Y$546,$P334)=1,"X",""))</f>
        <v/>
      </c>
      <c r="J334" s="22" t="str">
        <f>IF($P334="","",IF(SUMIF(BEMANNINGSPLAN!$W$5:$W$546,INDEX(BEMANNINGSPLAN!$W$5:$W$546,$P334),BEMANNINGSPLAN!$Z$5:$Z$546)=1,"X",""))</f>
        <v/>
      </c>
      <c r="K334" s="23" t="str">
        <f>IF($P334="","",IFERROR(LOOKUP(2,1/((BEMANNINGSPLAN!$W$5:$W$546=INDEX(BEMANNINGSPLAN!$W$5:$W$546,$P334))*(BEMANNINGSPLAN!$L$5:$L$546&lt;&gt;"")),BEMANNINGSPLAN!$L$5:$L$546),""))</f>
        <v/>
      </c>
      <c r="L334" s="18" t="str">
        <f>IF($P334="","",INDEX(BEMANNINGSPLAN!$AE$5:$AE$546,$P334))</f>
        <v/>
      </c>
      <c r="M334" s="137"/>
      <c r="N334" s="16"/>
      <c r="O334" s="16" t="str">
        <f>IF(AND(BEMANNINGSPLAN!U332=1,OR($B$4="Alla lag",BEMANNINGSPLAN!J332=$B$4),OR($E$4="Alla datum",BEMANNINGSPLAN!A332=$E$4)),COUNT($O$6:O333)+1,"")</f>
        <v/>
      </c>
      <c r="P334" s="137" t="str">
        <f t="shared" si="5"/>
        <v/>
      </c>
    </row>
    <row r="335" spans="1:16" ht="27.75" customHeight="1">
      <c r="A335" s="17" t="str">
        <f>IF($P335="","",INDEX(BEMANNINGSPLAN!$A$5:$A$546,$P335))</f>
        <v/>
      </c>
      <c r="B335" s="18" t="str">
        <f>IF($P335="","",INDEX(BEMANNINGSPLAN!$B$5:$B$546,$P335))</f>
        <v/>
      </c>
      <c r="C335" s="19" t="str">
        <f>IF($P335="","",INDEX(BEMANNINGSPLAN!$C$5:$C$546,$P335))</f>
        <v/>
      </c>
      <c r="D335" s="20" t="str">
        <f>IF($P335="","",INDEX(BEMANNINGSPLAN!$D$5:$D$546,$P335))</f>
        <v/>
      </c>
      <c r="E335" s="20" t="str">
        <f>IF($P335="","",SUMIF(BEMANNINGSPLAN!$W$5:$W$546,INDEX(BEMANNINGSPLAN!$W$5:$W$546,$P335),BEMANNINGSPLAN!$X$5:$X$546))</f>
        <v/>
      </c>
      <c r="F335" s="18" t="str">
        <f>IF($P335="","",INDEX(BEMANNINGSPLAN!$J$5:$J$546,$P335))</f>
        <v/>
      </c>
      <c r="G335" s="19" t="str">
        <f>IF($P335="","",INDEX(BEMANNINGSPLAN!$AD$5:$AD$546,$P335))</f>
        <v/>
      </c>
      <c r="H335" s="18" t="str">
        <f>IF($P335="","",IF(AND(INDEX(BEMANNINGSPLAN!$Y$5:$Y$546,$P335)=1,G335&lt;&gt;"Minicafé"),"X",""))</f>
        <v/>
      </c>
      <c r="I335" s="21" t="str">
        <f>IF($P335="","",IF(INDEX(BEMANNINGSPLAN!$Y$5:$Y$546,$P335)=1,"X",""))</f>
        <v/>
      </c>
      <c r="J335" s="22" t="str">
        <f>IF($P335="","",IF(SUMIF(BEMANNINGSPLAN!$W$5:$W$546,INDEX(BEMANNINGSPLAN!$W$5:$W$546,$P335),BEMANNINGSPLAN!$Z$5:$Z$546)=1,"X",""))</f>
        <v/>
      </c>
      <c r="K335" s="23" t="str">
        <f>IF($P335="","",IFERROR(LOOKUP(2,1/((BEMANNINGSPLAN!$W$5:$W$546=INDEX(BEMANNINGSPLAN!$W$5:$W$546,$P335))*(BEMANNINGSPLAN!$L$5:$L$546&lt;&gt;"")),BEMANNINGSPLAN!$L$5:$L$546),""))</f>
        <v/>
      </c>
      <c r="L335" s="18" t="str">
        <f>IF($P335="","",INDEX(BEMANNINGSPLAN!$AE$5:$AE$546,$P335))</f>
        <v/>
      </c>
      <c r="M335" s="137"/>
      <c r="N335" s="16"/>
      <c r="O335" s="16">
        <f>IF(AND(BEMANNINGSPLAN!U333=1,OR($B$4="Alla lag",BEMANNINGSPLAN!J333=$B$4),OR($E$4="Alla datum",BEMANNINGSPLAN!A333=$E$4)),COUNT($O$6:O334)+1,"")</f>
        <v>38</v>
      </c>
      <c r="P335" s="137" t="str">
        <f t="shared" si="5"/>
        <v/>
      </c>
    </row>
    <row r="336" spans="1:16" ht="27.75" customHeight="1">
      <c r="A336" s="17" t="str">
        <f>IF($P336="","",INDEX(BEMANNINGSPLAN!$A$5:$A$546,$P336))</f>
        <v/>
      </c>
      <c r="B336" s="18" t="str">
        <f>IF($P336="","",INDEX(BEMANNINGSPLAN!$B$5:$B$546,$P336))</f>
        <v/>
      </c>
      <c r="C336" s="19" t="str">
        <f>IF($P336="","",INDEX(BEMANNINGSPLAN!$C$5:$C$546,$P336))</f>
        <v/>
      </c>
      <c r="D336" s="20" t="str">
        <f>IF($P336="","",INDEX(BEMANNINGSPLAN!$D$5:$D$546,$P336))</f>
        <v/>
      </c>
      <c r="E336" s="20" t="str">
        <f>IF($P336="","",SUMIF(BEMANNINGSPLAN!$W$5:$W$546,INDEX(BEMANNINGSPLAN!$W$5:$W$546,$P336),BEMANNINGSPLAN!$X$5:$X$546))</f>
        <v/>
      </c>
      <c r="F336" s="18" t="str">
        <f>IF($P336="","",INDEX(BEMANNINGSPLAN!$J$5:$J$546,$P336))</f>
        <v/>
      </c>
      <c r="G336" s="19" t="str">
        <f>IF($P336="","",INDEX(BEMANNINGSPLAN!$AD$5:$AD$546,$P336))</f>
        <v/>
      </c>
      <c r="H336" s="18" t="str">
        <f>IF($P336="","",IF(AND(INDEX(BEMANNINGSPLAN!$Y$5:$Y$546,$P336)=1,G336&lt;&gt;"Minicafé"),"X",""))</f>
        <v/>
      </c>
      <c r="I336" s="21" t="str">
        <f>IF($P336="","",IF(INDEX(BEMANNINGSPLAN!$Y$5:$Y$546,$P336)=1,"X",""))</f>
        <v/>
      </c>
      <c r="J336" s="22" t="str">
        <f>IF($P336="","",IF(SUMIF(BEMANNINGSPLAN!$W$5:$W$546,INDEX(BEMANNINGSPLAN!$W$5:$W$546,$P336),BEMANNINGSPLAN!$Z$5:$Z$546)=1,"X",""))</f>
        <v/>
      </c>
      <c r="K336" s="23" t="str">
        <f>IF($P336="","",IFERROR(LOOKUP(2,1/((BEMANNINGSPLAN!$W$5:$W$546=INDEX(BEMANNINGSPLAN!$W$5:$W$546,$P336))*(BEMANNINGSPLAN!$L$5:$L$546&lt;&gt;"")),BEMANNINGSPLAN!$L$5:$L$546),""))</f>
        <v/>
      </c>
      <c r="L336" s="18" t="str">
        <f>IF($P336="","",INDEX(BEMANNINGSPLAN!$AE$5:$AE$546,$P336))</f>
        <v/>
      </c>
      <c r="M336" s="137"/>
      <c r="N336" s="16"/>
      <c r="O336" s="16" t="str">
        <f>IF(AND(BEMANNINGSPLAN!U334=1,OR($B$4="Alla lag",BEMANNINGSPLAN!J334=$B$4),OR($E$4="Alla datum",BEMANNINGSPLAN!A334=$E$4)),COUNT($O$6:O335)+1,"")</f>
        <v/>
      </c>
      <c r="P336" s="137" t="str">
        <f t="shared" si="5"/>
        <v/>
      </c>
    </row>
    <row r="337" spans="1:16" ht="27.75" customHeight="1">
      <c r="A337" s="17" t="str">
        <f>IF($P337="","",INDEX(BEMANNINGSPLAN!$A$5:$A$546,$P337))</f>
        <v/>
      </c>
      <c r="B337" s="18" t="str">
        <f>IF($P337="","",INDEX(BEMANNINGSPLAN!$B$5:$B$546,$P337))</f>
        <v/>
      </c>
      <c r="C337" s="19" t="str">
        <f>IF($P337="","",INDEX(BEMANNINGSPLAN!$C$5:$C$546,$P337))</f>
        <v/>
      </c>
      <c r="D337" s="20" t="str">
        <f>IF($P337="","",INDEX(BEMANNINGSPLAN!$D$5:$D$546,$P337))</f>
        <v/>
      </c>
      <c r="E337" s="20" t="str">
        <f>IF($P337="","",SUMIF(BEMANNINGSPLAN!$W$5:$W$546,INDEX(BEMANNINGSPLAN!$W$5:$W$546,$P337),BEMANNINGSPLAN!$X$5:$X$546))</f>
        <v/>
      </c>
      <c r="F337" s="18" t="str">
        <f>IF($P337="","",INDEX(BEMANNINGSPLAN!$J$5:$J$546,$P337))</f>
        <v/>
      </c>
      <c r="G337" s="19" t="str">
        <f>IF($P337="","",INDEX(BEMANNINGSPLAN!$AD$5:$AD$546,$P337))</f>
        <v/>
      </c>
      <c r="H337" s="18" t="str">
        <f>IF($P337="","",IF(AND(INDEX(BEMANNINGSPLAN!$Y$5:$Y$546,$P337)=1,G337&lt;&gt;"Minicafé"),"X",""))</f>
        <v/>
      </c>
      <c r="I337" s="21" t="str">
        <f>IF($P337="","",IF(INDEX(BEMANNINGSPLAN!$Y$5:$Y$546,$P337)=1,"X",""))</f>
        <v/>
      </c>
      <c r="J337" s="22" t="str">
        <f>IF($P337="","",IF(SUMIF(BEMANNINGSPLAN!$W$5:$W$546,INDEX(BEMANNINGSPLAN!$W$5:$W$546,$P337),BEMANNINGSPLAN!$Z$5:$Z$546)=1,"X",""))</f>
        <v/>
      </c>
      <c r="K337" s="23" t="str">
        <f>IF($P337="","",IFERROR(LOOKUP(2,1/((BEMANNINGSPLAN!$W$5:$W$546=INDEX(BEMANNINGSPLAN!$W$5:$W$546,$P337))*(BEMANNINGSPLAN!$L$5:$L$546&lt;&gt;"")),BEMANNINGSPLAN!$L$5:$L$546),""))</f>
        <v/>
      </c>
      <c r="L337" s="18" t="str">
        <f>IF($P337="","",INDEX(BEMANNINGSPLAN!$AE$5:$AE$546,$P337))</f>
        <v/>
      </c>
      <c r="M337" s="137"/>
      <c r="N337" s="16"/>
      <c r="O337" s="16" t="str">
        <f>IF(AND(BEMANNINGSPLAN!U335=1,OR($B$4="Alla lag",BEMANNINGSPLAN!J335=$B$4),OR($E$4="Alla datum",BEMANNINGSPLAN!A335=$E$4)),COUNT($O$6:O336)+1,"")</f>
        <v/>
      </c>
      <c r="P337" s="137" t="str">
        <f t="shared" si="5"/>
        <v/>
      </c>
    </row>
    <row r="338" spans="1:16" ht="27.75" customHeight="1">
      <c r="A338" s="17" t="str">
        <f>IF($P338="","",INDEX(BEMANNINGSPLAN!$A$5:$A$546,$P338))</f>
        <v/>
      </c>
      <c r="B338" s="18" t="str">
        <f>IF($P338="","",INDEX(BEMANNINGSPLAN!$B$5:$B$546,$P338))</f>
        <v/>
      </c>
      <c r="C338" s="19" t="str">
        <f>IF($P338="","",INDEX(BEMANNINGSPLAN!$C$5:$C$546,$P338))</f>
        <v/>
      </c>
      <c r="D338" s="20" t="str">
        <f>IF($P338="","",INDEX(BEMANNINGSPLAN!$D$5:$D$546,$P338))</f>
        <v/>
      </c>
      <c r="E338" s="20" t="str">
        <f>IF($P338="","",SUMIF(BEMANNINGSPLAN!$W$5:$W$546,INDEX(BEMANNINGSPLAN!$W$5:$W$546,$P338),BEMANNINGSPLAN!$X$5:$X$546))</f>
        <v/>
      </c>
      <c r="F338" s="18" t="str">
        <f>IF($P338="","",INDEX(BEMANNINGSPLAN!$J$5:$J$546,$P338))</f>
        <v/>
      </c>
      <c r="G338" s="19" t="str">
        <f>IF($P338="","",INDEX(BEMANNINGSPLAN!$AD$5:$AD$546,$P338))</f>
        <v/>
      </c>
      <c r="H338" s="18" t="str">
        <f>IF($P338="","",IF(AND(INDEX(BEMANNINGSPLAN!$Y$5:$Y$546,$P338)=1,G338&lt;&gt;"Minicafé"),"X",""))</f>
        <v/>
      </c>
      <c r="I338" s="21" t="str">
        <f>IF($P338="","",IF(INDEX(BEMANNINGSPLAN!$Y$5:$Y$546,$P338)=1,"X",""))</f>
        <v/>
      </c>
      <c r="J338" s="22" t="str">
        <f>IF($P338="","",IF(SUMIF(BEMANNINGSPLAN!$W$5:$W$546,INDEX(BEMANNINGSPLAN!$W$5:$W$546,$P338),BEMANNINGSPLAN!$Z$5:$Z$546)=1,"X",""))</f>
        <v/>
      </c>
      <c r="K338" s="23" t="str">
        <f>IF($P338="","",IFERROR(LOOKUP(2,1/((BEMANNINGSPLAN!$W$5:$W$546=INDEX(BEMANNINGSPLAN!$W$5:$W$546,$P338))*(BEMANNINGSPLAN!$L$5:$L$546&lt;&gt;"")),BEMANNINGSPLAN!$L$5:$L$546),""))</f>
        <v/>
      </c>
      <c r="L338" s="18" t="str">
        <f>IF($P338="","",INDEX(BEMANNINGSPLAN!$AE$5:$AE$546,$P338))</f>
        <v/>
      </c>
      <c r="M338" s="137"/>
      <c r="N338" s="16"/>
      <c r="O338" s="16" t="str">
        <f>IF(AND(BEMANNINGSPLAN!U336=1,OR($B$4="Alla lag",BEMANNINGSPLAN!J336=$B$4),OR($E$4="Alla datum",BEMANNINGSPLAN!A336=$E$4)),COUNT($O$6:O337)+1,"")</f>
        <v/>
      </c>
      <c r="P338" s="137" t="str">
        <f t="shared" si="5"/>
        <v/>
      </c>
    </row>
    <row r="339" spans="1:16" ht="27.75" customHeight="1">
      <c r="A339" s="17" t="str">
        <f>IF($P339="","",INDEX(BEMANNINGSPLAN!$A$5:$A$546,$P339))</f>
        <v/>
      </c>
      <c r="B339" s="18" t="str">
        <f>IF($P339="","",INDEX(BEMANNINGSPLAN!$B$5:$B$546,$P339))</f>
        <v/>
      </c>
      <c r="C339" s="19" t="str">
        <f>IF($P339="","",INDEX(BEMANNINGSPLAN!$C$5:$C$546,$P339))</f>
        <v/>
      </c>
      <c r="D339" s="20" t="str">
        <f>IF($P339="","",INDEX(BEMANNINGSPLAN!$D$5:$D$546,$P339))</f>
        <v/>
      </c>
      <c r="E339" s="20" t="str">
        <f>IF($P339="","",SUMIF(BEMANNINGSPLAN!$W$5:$W$546,INDEX(BEMANNINGSPLAN!$W$5:$W$546,$P339),BEMANNINGSPLAN!$X$5:$X$546))</f>
        <v/>
      </c>
      <c r="F339" s="18" t="str">
        <f>IF($P339="","",INDEX(BEMANNINGSPLAN!$J$5:$J$546,$P339))</f>
        <v/>
      </c>
      <c r="G339" s="19" t="str">
        <f>IF($P339="","",INDEX(BEMANNINGSPLAN!$AD$5:$AD$546,$P339))</f>
        <v/>
      </c>
      <c r="H339" s="18" t="str">
        <f>IF($P339="","",IF(AND(INDEX(BEMANNINGSPLAN!$Y$5:$Y$546,$P339)=1,G339&lt;&gt;"Minicafé"),"X",""))</f>
        <v/>
      </c>
      <c r="I339" s="21" t="str">
        <f>IF($P339="","",IF(INDEX(BEMANNINGSPLAN!$Y$5:$Y$546,$P339)=1,"X",""))</f>
        <v/>
      </c>
      <c r="J339" s="22" t="str">
        <f>IF($P339="","",IF(SUMIF(BEMANNINGSPLAN!$W$5:$W$546,INDEX(BEMANNINGSPLAN!$W$5:$W$546,$P339),BEMANNINGSPLAN!$Z$5:$Z$546)=1,"X",""))</f>
        <v/>
      </c>
      <c r="K339" s="23" t="str">
        <f>IF($P339="","",IFERROR(LOOKUP(2,1/((BEMANNINGSPLAN!$W$5:$W$546=INDEX(BEMANNINGSPLAN!$W$5:$W$546,$P339))*(BEMANNINGSPLAN!$L$5:$L$546&lt;&gt;"")),BEMANNINGSPLAN!$L$5:$L$546),""))</f>
        <v/>
      </c>
      <c r="L339" s="18" t="str">
        <f>IF($P339="","",INDEX(BEMANNINGSPLAN!$AE$5:$AE$546,$P339))</f>
        <v/>
      </c>
      <c r="M339" s="137"/>
      <c r="N339" s="16"/>
      <c r="O339" s="16">
        <f>IF(AND(BEMANNINGSPLAN!U337=1,OR($B$4="Alla lag",BEMANNINGSPLAN!J337=$B$4),OR($E$4="Alla datum",BEMANNINGSPLAN!A337=$E$4)),COUNT($O$6:O338)+1,"")</f>
        <v>39</v>
      </c>
      <c r="P339" s="137" t="str">
        <f t="shared" si="5"/>
        <v/>
      </c>
    </row>
    <row r="340" spans="1:16" ht="27.75" customHeight="1">
      <c r="A340" s="17" t="str">
        <f>IF($P340="","",INDEX(BEMANNINGSPLAN!$A$5:$A$546,$P340))</f>
        <v/>
      </c>
      <c r="B340" s="18" t="str">
        <f>IF($P340="","",INDEX(BEMANNINGSPLAN!$B$5:$B$546,$P340))</f>
        <v/>
      </c>
      <c r="C340" s="19" t="str">
        <f>IF($P340="","",INDEX(BEMANNINGSPLAN!$C$5:$C$546,$P340))</f>
        <v/>
      </c>
      <c r="D340" s="20" t="str">
        <f>IF($P340="","",INDEX(BEMANNINGSPLAN!$D$5:$D$546,$P340))</f>
        <v/>
      </c>
      <c r="E340" s="20" t="str">
        <f>IF($P340="","",SUMIF(BEMANNINGSPLAN!$W$5:$W$546,INDEX(BEMANNINGSPLAN!$W$5:$W$546,$P340),BEMANNINGSPLAN!$X$5:$X$546))</f>
        <v/>
      </c>
      <c r="F340" s="18" t="str">
        <f>IF($P340="","",INDEX(BEMANNINGSPLAN!$J$5:$J$546,$P340))</f>
        <v/>
      </c>
      <c r="G340" s="19" t="str">
        <f>IF($P340="","",INDEX(BEMANNINGSPLAN!$AD$5:$AD$546,$P340))</f>
        <v/>
      </c>
      <c r="H340" s="18" t="str">
        <f>IF($P340="","",IF(AND(INDEX(BEMANNINGSPLAN!$Y$5:$Y$546,$P340)=1,G340&lt;&gt;"Minicafé"),"X",""))</f>
        <v/>
      </c>
      <c r="I340" s="21" t="str">
        <f>IF($P340="","",IF(INDEX(BEMANNINGSPLAN!$Y$5:$Y$546,$P340)=1,"X",""))</f>
        <v/>
      </c>
      <c r="J340" s="22" t="str">
        <f>IF($P340="","",IF(SUMIF(BEMANNINGSPLAN!$W$5:$W$546,INDEX(BEMANNINGSPLAN!$W$5:$W$546,$P340),BEMANNINGSPLAN!$Z$5:$Z$546)=1,"X",""))</f>
        <v/>
      </c>
      <c r="K340" s="23" t="str">
        <f>IF($P340="","",IFERROR(LOOKUP(2,1/((BEMANNINGSPLAN!$W$5:$W$546=INDEX(BEMANNINGSPLAN!$W$5:$W$546,$P340))*(BEMANNINGSPLAN!$L$5:$L$546&lt;&gt;"")),BEMANNINGSPLAN!$L$5:$L$546),""))</f>
        <v/>
      </c>
      <c r="L340" s="18" t="str">
        <f>IF($P340="","",INDEX(BEMANNINGSPLAN!$AE$5:$AE$546,$P340))</f>
        <v/>
      </c>
      <c r="M340" s="137"/>
      <c r="N340" s="16"/>
      <c r="O340" s="16" t="str">
        <f>IF(AND(BEMANNINGSPLAN!U338=1,OR($B$4="Alla lag",BEMANNINGSPLAN!J338=$B$4),OR($E$4="Alla datum",BEMANNINGSPLAN!A338=$E$4)),COUNT($O$6:O339)+1,"")</f>
        <v/>
      </c>
      <c r="P340" s="137" t="str">
        <f t="shared" si="5"/>
        <v/>
      </c>
    </row>
    <row r="341" spans="1:16" ht="27.75" customHeight="1">
      <c r="A341" s="17" t="str">
        <f>IF($P341="","",INDEX(BEMANNINGSPLAN!$A$5:$A$546,$P341))</f>
        <v/>
      </c>
      <c r="B341" s="18" t="str">
        <f>IF($P341="","",INDEX(BEMANNINGSPLAN!$B$5:$B$546,$P341))</f>
        <v/>
      </c>
      <c r="C341" s="19" t="str">
        <f>IF($P341="","",INDEX(BEMANNINGSPLAN!$C$5:$C$546,$P341))</f>
        <v/>
      </c>
      <c r="D341" s="20" t="str">
        <f>IF($P341="","",INDEX(BEMANNINGSPLAN!$D$5:$D$546,$P341))</f>
        <v/>
      </c>
      <c r="E341" s="20" t="str">
        <f>IF($P341="","",SUMIF(BEMANNINGSPLAN!$W$5:$W$546,INDEX(BEMANNINGSPLAN!$W$5:$W$546,$P341),BEMANNINGSPLAN!$X$5:$X$546))</f>
        <v/>
      </c>
      <c r="F341" s="18" t="str">
        <f>IF($P341="","",INDEX(BEMANNINGSPLAN!$J$5:$J$546,$P341))</f>
        <v/>
      </c>
      <c r="G341" s="19" t="str">
        <f>IF($P341="","",INDEX(BEMANNINGSPLAN!$AD$5:$AD$546,$P341))</f>
        <v/>
      </c>
      <c r="H341" s="18" t="str">
        <f>IF($P341="","",IF(AND(INDEX(BEMANNINGSPLAN!$Y$5:$Y$546,$P341)=1,G341&lt;&gt;"Minicafé"),"X",""))</f>
        <v/>
      </c>
      <c r="I341" s="21" t="str">
        <f>IF($P341="","",IF(INDEX(BEMANNINGSPLAN!$Y$5:$Y$546,$P341)=1,"X",""))</f>
        <v/>
      </c>
      <c r="J341" s="22" t="str">
        <f>IF($P341="","",IF(SUMIF(BEMANNINGSPLAN!$W$5:$W$546,INDEX(BEMANNINGSPLAN!$W$5:$W$546,$P341),BEMANNINGSPLAN!$Z$5:$Z$546)=1,"X",""))</f>
        <v/>
      </c>
      <c r="K341" s="23" t="str">
        <f>IF($P341="","",IFERROR(LOOKUP(2,1/((BEMANNINGSPLAN!$W$5:$W$546=INDEX(BEMANNINGSPLAN!$W$5:$W$546,$P341))*(BEMANNINGSPLAN!$L$5:$L$546&lt;&gt;"")),BEMANNINGSPLAN!$L$5:$L$546),""))</f>
        <v/>
      </c>
      <c r="L341" s="18" t="str">
        <f>IF($P341="","",INDEX(BEMANNINGSPLAN!$AE$5:$AE$546,$P341))</f>
        <v/>
      </c>
      <c r="M341" s="137"/>
      <c r="N341" s="16"/>
      <c r="O341" s="16" t="str">
        <f>IF(AND(BEMANNINGSPLAN!U339=1,OR($B$4="Alla lag",BEMANNINGSPLAN!J339=$B$4),OR($E$4="Alla datum",BEMANNINGSPLAN!A339=$E$4)),COUNT($O$6:O340)+1,"")</f>
        <v/>
      </c>
      <c r="P341" s="137" t="str">
        <f t="shared" si="5"/>
        <v/>
      </c>
    </row>
    <row r="342" spans="1:16" ht="27.75" customHeight="1">
      <c r="A342" s="17" t="str">
        <f>IF($P342="","",INDEX(BEMANNINGSPLAN!$A$5:$A$546,$P342))</f>
        <v/>
      </c>
      <c r="B342" s="18" t="str">
        <f>IF($P342="","",INDEX(BEMANNINGSPLAN!$B$5:$B$546,$P342))</f>
        <v/>
      </c>
      <c r="C342" s="19" t="str">
        <f>IF($P342="","",INDEX(BEMANNINGSPLAN!$C$5:$C$546,$P342))</f>
        <v/>
      </c>
      <c r="D342" s="20" t="str">
        <f>IF($P342="","",INDEX(BEMANNINGSPLAN!$D$5:$D$546,$P342))</f>
        <v/>
      </c>
      <c r="E342" s="20" t="str">
        <f>IF($P342="","",SUMIF(BEMANNINGSPLAN!$W$5:$W$546,INDEX(BEMANNINGSPLAN!$W$5:$W$546,$P342),BEMANNINGSPLAN!$X$5:$X$546))</f>
        <v/>
      </c>
      <c r="F342" s="18" t="str">
        <f>IF($P342="","",INDEX(BEMANNINGSPLAN!$J$5:$J$546,$P342))</f>
        <v/>
      </c>
      <c r="G342" s="19" t="str">
        <f>IF($P342="","",INDEX(BEMANNINGSPLAN!$AD$5:$AD$546,$P342))</f>
        <v/>
      </c>
      <c r="H342" s="18" t="str">
        <f>IF($P342="","",IF(AND(INDEX(BEMANNINGSPLAN!$Y$5:$Y$546,$P342)=1,G342&lt;&gt;"Minicafé"),"X",""))</f>
        <v/>
      </c>
      <c r="I342" s="21" t="str">
        <f>IF($P342="","",IF(INDEX(BEMANNINGSPLAN!$Y$5:$Y$546,$P342)=1,"X",""))</f>
        <v/>
      </c>
      <c r="J342" s="22" t="str">
        <f>IF($P342="","",IF(SUMIF(BEMANNINGSPLAN!$W$5:$W$546,INDEX(BEMANNINGSPLAN!$W$5:$W$546,$P342),BEMANNINGSPLAN!$Z$5:$Z$546)=1,"X",""))</f>
        <v/>
      </c>
      <c r="K342" s="23" t="str">
        <f>IF($P342="","",IFERROR(LOOKUP(2,1/((BEMANNINGSPLAN!$W$5:$W$546=INDEX(BEMANNINGSPLAN!$W$5:$W$546,$P342))*(BEMANNINGSPLAN!$L$5:$L$546&lt;&gt;"")),BEMANNINGSPLAN!$L$5:$L$546),""))</f>
        <v/>
      </c>
      <c r="L342" s="18" t="str">
        <f>IF($P342="","",INDEX(BEMANNINGSPLAN!$AE$5:$AE$546,$P342))</f>
        <v/>
      </c>
      <c r="M342" s="137"/>
      <c r="N342" s="16"/>
      <c r="O342" s="16" t="str">
        <f>IF(AND(BEMANNINGSPLAN!U340=1,OR($B$4="Alla lag",BEMANNINGSPLAN!J340=$B$4),OR($E$4="Alla datum",BEMANNINGSPLAN!A340=$E$4)),COUNT($O$6:O341)+1,"")</f>
        <v/>
      </c>
      <c r="P342" s="137" t="str">
        <f t="shared" si="5"/>
        <v/>
      </c>
    </row>
    <row r="343" spans="1:16" ht="27.75" customHeight="1">
      <c r="A343" s="17" t="str">
        <f>IF($P343="","",INDEX(BEMANNINGSPLAN!$A$5:$A$546,$P343))</f>
        <v/>
      </c>
      <c r="B343" s="18" t="str">
        <f>IF($P343="","",INDEX(BEMANNINGSPLAN!$B$5:$B$546,$P343))</f>
        <v/>
      </c>
      <c r="C343" s="19" t="str">
        <f>IF($P343="","",INDEX(BEMANNINGSPLAN!$C$5:$C$546,$P343))</f>
        <v/>
      </c>
      <c r="D343" s="20" t="str">
        <f>IF($P343="","",INDEX(BEMANNINGSPLAN!$D$5:$D$546,$P343))</f>
        <v/>
      </c>
      <c r="E343" s="20" t="str">
        <f>IF($P343="","",SUMIF(BEMANNINGSPLAN!$W$5:$W$546,INDEX(BEMANNINGSPLAN!$W$5:$W$546,$P343),BEMANNINGSPLAN!$X$5:$X$546))</f>
        <v/>
      </c>
      <c r="F343" s="18" t="str">
        <f>IF($P343="","",INDEX(BEMANNINGSPLAN!$J$5:$J$546,$P343))</f>
        <v/>
      </c>
      <c r="G343" s="19" t="str">
        <f>IF($P343="","",INDEX(BEMANNINGSPLAN!$AD$5:$AD$546,$P343))</f>
        <v/>
      </c>
      <c r="H343" s="18" t="str">
        <f>IF($P343="","",IF(AND(INDEX(BEMANNINGSPLAN!$Y$5:$Y$546,$P343)=1,G343&lt;&gt;"Minicafé"),"X",""))</f>
        <v/>
      </c>
      <c r="I343" s="21" t="str">
        <f>IF($P343="","",IF(INDEX(BEMANNINGSPLAN!$Y$5:$Y$546,$P343)=1,"X",""))</f>
        <v/>
      </c>
      <c r="J343" s="22" t="str">
        <f>IF($P343="","",IF(SUMIF(BEMANNINGSPLAN!$W$5:$W$546,INDEX(BEMANNINGSPLAN!$W$5:$W$546,$P343),BEMANNINGSPLAN!$Z$5:$Z$546)=1,"X",""))</f>
        <v/>
      </c>
      <c r="K343" s="23" t="str">
        <f>IF($P343="","",IFERROR(LOOKUP(2,1/((BEMANNINGSPLAN!$W$5:$W$546=INDEX(BEMANNINGSPLAN!$W$5:$W$546,$P343))*(BEMANNINGSPLAN!$L$5:$L$546&lt;&gt;"")),BEMANNINGSPLAN!$L$5:$L$546),""))</f>
        <v/>
      </c>
      <c r="L343" s="18" t="str">
        <f>IF($P343="","",INDEX(BEMANNINGSPLAN!$AE$5:$AE$546,$P343))</f>
        <v/>
      </c>
      <c r="M343" s="137"/>
      <c r="N343" s="16"/>
      <c r="O343" s="16">
        <f>IF(AND(BEMANNINGSPLAN!U341=1,OR($B$4="Alla lag",BEMANNINGSPLAN!J341=$B$4),OR($E$4="Alla datum",BEMANNINGSPLAN!A341=$E$4)),COUNT($O$6:O342)+1,"")</f>
        <v>40</v>
      </c>
      <c r="P343" s="137" t="str">
        <f t="shared" si="5"/>
        <v/>
      </c>
    </row>
    <row r="344" spans="1:16" ht="27.75" customHeight="1">
      <c r="A344" s="17" t="str">
        <f>IF($P344="","",INDEX(BEMANNINGSPLAN!$A$5:$A$546,$P344))</f>
        <v/>
      </c>
      <c r="B344" s="18" t="str">
        <f>IF($P344="","",INDEX(BEMANNINGSPLAN!$B$5:$B$546,$P344))</f>
        <v/>
      </c>
      <c r="C344" s="19" t="str">
        <f>IF($P344="","",INDEX(BEMANNINGSPLAN!$C$5:$C$546,$P344))</f>
        <v/>
      </c>
      <c r="D344" s="20" t="str">
        <f>IF($P344="","",INDEX(BEMANNINGSPLAN!$D$5:$D$546,$P344))</f>
        <v/>
      </c>
      <c r="E344" s="20" t="str">
        <f>IF($P344="","",SUMIF(BEMANNINGSPLAN!$W$5:$W$546,INDEX(BEMANNINGSPLAN!$W$5:$W$546,$P344),BEMANNINGSPLAN!$X$5:$X$546))</f>
        <v/>
      </c>
      <c r="F344" s="18" t="str">
        <f>IF($P344="","",INDEX(BEMANNINGSPLAN!$J$5:$J$546,$P344))</f>
        <v/>
      </c>
      <c r="G344" s="19" t="str">
        <f>IF($P344="","",INDEX(BEMANNINGSPLAN!$AD$5:$AD$546,$P344))</f>
        <v/>
      </c>
      <c r="H344" s="18" t="str">
        <f>IF($P344="","",IF(AND(INDEX(BEMANNINGSPLAN!$Y$5:$Y$546,$P344)=1,G344&lt;&gt;"Minicafé"),"X",""))</f>
        <v/>
      </c>
      <c r="I344" s="21" t="str">
        <f>IF($P344="","",IF(INDEX(BEMANNINGSPLAN!$Y$5:$Y$546,$P344)=1,"X",""))</f>
        <v/>
      </c>
      <c r="J344" s="22" t="str">
        <f>IF($P344="","",IF(SUMIF(BEMANNINGSPLAN!$W$5:$W$546,INDEX(BEMANNINGSPLAN!$W$5:$W$546,$P344),BEMANNINGSPLAN!$Z$5:$Z$546)=1,"X",""))</f>
        <v/>
      </c>
      <c r="K344" s="23" t="str">
        <f>IF($P344="","",IFERROR(LOOKUP(2,1/((BEMANNINGSPLAN!$W$5:$W$546=INDEX(BEMANNINGSPLAN!$W$5:$W$546,$P344))*(BEMANNINGSPLAN!$L$5:$L$546&lt;&gt;"")),BEMANNINGSPLAN!$L$5:$L$546),""))</f>
        <v/>
      </c>
      <c r="L344" s="18" t="str">
        <f>IF($P344="","",INDEX(BEMANNINGSPLAN!$AE$5:$AE$546,$P344))</f>
        <v/>
      </c>
      <c r="M344" s="137"/>
      <c r="N344" s="16"/>
      <c r="O344" s="16" t="str">
        <f>IF(AND(BEMANNINGSPLAN!U342=1,OR($B$4="Alla lag",BEMANNINGSPLAN!J342=$B$4),OR($E$4="Alla datum",BEMANNINGSPLAN!A342=$E$4)),COUNT($O$6:O343)+1,"")</f>
        <v/>
      </c>
      <c r="P344" s="137" t="str">
        <f t="shared" si="5"/>
        <v/>
      </c>
    </row>
    <row r="345" spans="1:16" ht="27.75" customHeight="1">
      <c r="A345" s="17" t="str">
        <f>IF($P345="","",INDEX(BEMANNINGSPLAN!$A$5:$A$546,$P345))</f>
        <v/>
      </c>
      <c r="B345" s="18" t="str">
        <f>IF($P345="","",INDEX(BEMANNINGSPLAN!$B$5:$B$546,$P345))</f>
        <v/>
      </c>
      <c r="C345" s="19" t="str">
        <f>IF($P345="","",INDEX(BEMANNINGSPLAN!$C$5:$C$546,$P345))</f>
        <v/>
      </c>
      <c r="D345" s="20" t="str">
        <f>IF($P345="","",INDEX(BEMANNINGSPLAN!$D$5:$D$546,$P345))</f>
        <v/>
      </c>
      <c r="E345" s="20" t="str">
        <f>IF($P345="","",SUMIF(BEMANNINGSPLAN!$W$5:$W$546,INDEX(BEMANNINGSPLAN!$W$5:$W$546,$P345),BEMANNINGSPLAN!$X$5:$X$546))</f>
        <v/>
      </c>
      <c r="F345" s="18" t="str">
        <f>IF($P345="","",INDEX(BEMANNINGSPLAN!$J$5:$J$546,$P345))</f>
        <v/>
      </c>
      <c r="G345" s="19" t="str">
        <f>IF($P345="","",INDEX(BEMANNINGSPLAN!$AD$5:$AD$546,$P345))</f>
        <v/>
      </c>
      <c r="H345" s="18" t="str">
        <f>IF($P345="","",IF(AND(INDEX(BEMANNINGSPLAN!$Y$5:$Y$546,$P345)=1,G345&lt;&gt;"Minicafé"),"X",""))</f>
        <v/>
      </c>
      <c r="I345" s="21" t="str">
        <f>IF($P345="","",IF(INDEX(BEMANNINGSPLAN!$Y$5:$Y$546,$P345)=1,"X",""))</f>
        <v/>
      </c>
      <c r="J345" s="22" t="str">
        <f>IF($P345="","",IF(SUMIF(BEMANNINGSPLAN!$W$5:$W$546,INDEX(BEMANNINGSPLAN!$W$5:$W$546,$P345),BEMANNINGSPLAN!$Z$5:$Z$546)=1,"X",""))</f>
        <v/>
      </c>
      <c r="K345" s="23" t="str">
        <f>IF($P345="","",IFERROR(LOOKUP(2,1/((BEMANNINGSPLAN!$W$5:$W$546=INDEX(BEMANNINGSPLAN!$W$5:$W$546,$P345))*(BEMANNINGSPLAN!$L$5:$L$546&lt;&gt;"")),BEMANNINGSPLAN!$L$5:$L$546),""))</f>
        <v/>
      </c>
      <c r="L345" s="18" t="str">
        <f>IF($P345="","",INDEX(BEMANNINGSPLAN!$AE$5:$AE$546,$P345))</f>
        <v/>
      </c>
      <c r="M345" s="137"/>
      <c r="N345" s="16"/>
      <c r="O345" s="16" t="str">
        <f>IF(AND(BEMANNINGSPLAN!U343=1,OR($B$4="Alla lag",BEMANNINGSPLAN!J343=$B$4),OR($E$4="Alla datum",BEMANNINGSPLAN!A343=$E$4)),COUNT($O$6:O344)+1,"")</f>
        <v/>
      </c>
      <c r="P345" s="137" t="str">
        <f t="shared" si="5"/>
        <v/>
      </c>
    </row>
    <row r="346" spans="1:16" ht="27.75" customHeight="1">
      <c r="A346" s="17" t="str">
        <f>IF($P346="","",INDEX(BEMANNINGSPLAN!$A$5:$A$546,$P346))</f>
        <v/>
      </c>
      <c r="B346" s="18" t="str">
        <f>IF($P346="","",INDEX(BEMANNINGSPLAN!$B$5:$B$546,$P346))</f>
        <v/>
      </c>
      <c r="C346" s="19" t="str">
        <f>IF($P346="","",INDEX(BEMANNINGSPLAN!$C$5:$C$546,$P346))</f>
        <v/>
      </c>
      <c r="D346" s="20" t="str">
        <f>IF($P346="","",INDEX(BEMANNINGSPLAN!$D$5:$D$546,$P346))</f>
        <v/>
      </c>
      <c r="E346" s="20" t="str">
        <f>IF($P346="","",SUMIF(BEMANNINGSPLAN!$W$5:$W$546,INDEX(BEMANNINGSPLAN!$W$5:$W$546,$P346),BEMANNINGSPLAN!$X$5:$X$546))</f>
        <v/>
      </c>
      <c r="F346" s="18" t="str">
        <f>IF($P346="","",INDEX(BEMANNINGSPLAN!$J$5:$J$546,$P346))</f>
        <v/>
      </c>
      <c r="G346" s="19" t="str">
        <f>IF($P346="","",INDEX(BEMANNINGSPLAN!$AD$5:$AD$546,$P346))</f>
        <v/>
      </c>
      <c r="H346" s="18" t="str">
        <f>IF($P346="","",IF(AND(INDEX(BEMANNINGSPLAN!$Y$5:$Y$546,$P346)=1,G346&lt;&gt;"Minicafé"),"X",""))</f>
        <v/>
      </c>
      <c r="I346" s="21" t="str">
        <f>IF($P346="","",IF(INDEX(BEMANNINGSPLAN!$Y$5:$Y$546,$P346)=1,"X",""))</f>
        <v/>
      </c>
      <c r="J346" s="22" t="str">
        <f>IF($P346="","",IF(SUMIF(BEMANNINGSPLAN!$W$5:$W$546,INDEX(BEMANNINGSPLAN!$W$5:$W$546,$P346),BEMANNINGSPLAN!$Z$5:$Z$546)=1,"X",""))</f>
        <v/>
      </c>
      <c r="K346" s="23" t="str">
        <f>IF($P346="","",IFERROR(LOOKUP(2,1/((BEMANNINGSPLAN!$W$5:$W$546=INDEX(BEMANNINGSPLAN!$W$5:$W$546,$P346))*(BEMANNINGSPLAN!$L$5:$L$546&lt;&gt;"")),BEMANNINGSPLAN!$L$5:$L$546),""))</f>
        <v/>
      </c>
      <c r="L346" s="18" t="str">
        <f>IF($P346="","",INDEX(BEMANNINGSPLAN!$AE$5:$AE$546,$P346))</f>
        <v/>
      </c>
      <c r="M346" s="137"/>
      <c r="N346" s="16"/>
      <c r="O346" s="16" t="str">
        <f>IF(AND(BEMANNINGSPLAN!U344=1,OR($B$4="Alla lag",BEMANNINGSPLAN!J344=$B$4),OR($E$4="Alla datum",BEMANNINGSPLAN!A344=$E$4)),COUNT($O$6:O345)+1,"")</f>
        <v/>
      </c>
      <c r="P346" s="137" t="str">
        <f t="shared" si="5"/>
        <v/>
      </c>
    </row>
    <row r="347" spans="1:16" ht="27.75" customHeight="1">
      <c r="A347" s="17" t="str">
        <f>IF($P347="","",INDEX(BEMANNINGSPLAN!$A$5:$A$546,$P347))</f>
        <v/>
      </c>
      <c r="B347" s="18" t="str">
        <f>IF($P347="","",INDEX(BEMANNINGSPLAN!$B$5:$B$546,$P347))</f>
        <v/>
      </c>
      <c r="C347" s="19" t="str">
        <f>IF($P347="","",INDEX(BEMANNINGSPLAN!$C$5:$C$546,$P347))</f>
        <v/>
      </c>
      <c r="D347" s="20" t="str">
        <f>IF($P347="","",INDEX(BEMANNINGSPLAN!$D$5:$D$546,$P347))</f>
        <v/>
      </c>
      <c r="E347" s="20" t="str">
        <f>IF($P347="","",SUMIF(BEMANNINGSPLAN!$W$5:$W$546,INDEX(BEMANNINGSPLAN!$W$5:$W$546,$P347),BEMANNINGSPLAN!$X$5:$X$546))</f>
        <v/>
      </c>
      <c r="F347" s="18" t="str">
        <f>IF($P347="","",INDEX(BEMANNINGSPLAN!$J$5:$J$546,$P347))</f>
        <v/>
      </c>
      <c r="G347" s="19" t="str">
        <f>IF($P347="","",INDEX(BEMANNINGSPLAN!$AD$5:$AD$546,$P347))</f>
        <v/>
      </c>
      <c r="H347" s="18" t="str">
        <f>IF($P347="","",IF(AND(INDEX(BEMANNINGSPLAN!$Y$5:$Y$546,$P347)=1,G347&lt;&gt;"Minicafé"),"X",""))</f>
        <v/>
      </c>
      <c r="I347" s="21" t="str">
        <f>IF($P347="","",IF(INDEX(BEMANNINGSPLAN!$Y$5:$Y$546,$P347)=1,"X",""))</f>
        <v/>
      </c>
      <c r="J347" s="22" t="str">
        <f>IF($P347="","",IF(SUMIF(BEMANNINGSPLAN!$W$5:$W$546,INDEX(BEMANNINGSPLAN!$W$5:$W$546,$P347),BEMANNINGSPLAN!$Z$5:$Z$546)=1,"X",""))</f>
        <v/>
      </c>
      <c r="K347" s="23" t="str">
        <f>IF($P347="","",IFERROR(LOOKUP(2,1/((BEMANNINGSPLAN!$W$5:$W$546=INDEX(BEMANNINGSPLAN!$W$5:$W$546,$P347))*(BEMANNINGSPLAN!$L$5:$L$546&lt;&gt;"")),BEMANNINGSPLAN!$L$5:$L$546),""))</f>
        <v/>
      </c>
      <c r="L347" s="18" t="str">
        <f>IF($P347="","",INDEX(BEMANNINGSPLAN!$AE$5:$AE$546,$P347))</f>
        <v/>
      </c>
      <c r="M347" s="137"/>
      <c r="N347" s="16"/>
      <c r="O347" s="16" t="str">
        <f>IF(AND(BEMANNINGSPLAN!U345=1,OR($B$4="Alla lag",BEMANNINGSPLAN!J345=$B$4),OR($E$4="Alla datum",BEMANNINGSPLAN!A345=$E$4)),COUNT($O$6:O346)+1,"")</f>
        <v/>
      </c>
      <c r="P347" s="137" t="str">
        <f t="shared" si="5"/>
        <v/>
      </c>
    </row>
    <row r="348" spans="1:16" ht="27.75" customHeight="1">
      <c r="A348" s="17" t="str">
        <f>IF($P348="","",INDEX(BEMANNINGSPLAN!$A$5:$A$546,$P348))</f>
        <v/>
      </c>
      <c r="B348" s="18" t="str">
        <f>IF($P348="","",INDEX(BEMANNINGSPLAN!$B$5:$B$546,$P348))</f>
        <v/>
      </c>
      <c r="C348" s="19" t="str">
        <f>IF($P348="","",INDEX(BEMANNINGSPLAN!$C$5:$C$546,$P348))</f>
        <v/>
      </c>
      <c r="D348" s="20" t="str">
        <f>IF($P348="","",INDEX(BEMANNINGSPLAN!$D$5:$D$546,$P348))</f>
        <v/>
      </c>
      <c r="E348" s="20" t="str">
        <f>IF($P348="","",SUMIF(BEMANNINGSPLAN!$W$5:$W$546,INDEX(BEMANNINGSPLAN!$W$5:$W$546,$P348),BEMANNINGSPLAN!$X$5:$X$546))</f>
        <v/>
      </c>
      <c r="F348" s="18" t="str">
        <f>IF($P348="","",INDEX(BEMANNINGSPLAN!$J$5:$J$546,$P348))</f>
        <v/>
      </c>
      <c r="G348" s="19" t="str">
        <f>IF($P348="","",INDEX(BEMANNINGSPLAN!$AD$5:$AD$546,$P348))</f>
        <v/>
      </c>
      <c r="H348" s="18" t="str">
        <f>IF($P348="","",IF(AND(INDEX(BEMANNINGSPLAN!$Y$5:$Y$546,$P348)=1,G348&lt;&gt;"Minicafé"),"X",""))</f>
        <v/>
      </c>
      <c r="I348" s="21" t="str">
        <f>IF($P348="","",IF(INDEX(BEMANNINGSPLAN!$Y$5:$Y$546,$P348)=1,"X",""))</f>
        <v/>
      </c>
      <c r="J348" s="22" t="str">
        <f>IF($P348="","",IF(SUMIF(BEMANNINGSPLAN!$W$5:$W$546,INDEX(BEMANNINGSPLAN!$W$5:$W$546,$P348),BEMANNINGSPLAN!$Z$5:$Z$546)=1,"X",""))</f>
        <v/>
      </c>
      <c r="K348" s="23" t="str">
        <f>IF($P348="","",IFERROR(LOOKUP(2,1/((BEMANNINGSPLAN!$W$5:$W$546=INDEX(BEMANNINGSPLAN!$W$5:$W$546,$P348))*(BEMANNINGSPLAN!$L$5:$L$546&lt;&gt;"")),BEMANNINGSPLAN!$L$5:$L$546),""))</f>
        <v/>
      </c>
      <c r="L348" s="18" t="str">
        <f>IF($P348="","",INDEX(BEMANNINGSPLAN!$AE$5:$AE$546,$P348))</f>
        <v/>
      </c>
      <c r="M348" s="137"/>
      <c r="N348" s="16"/>
      <c r="O348" s="16" t="str">
        <f>IF(AND(BEMANNINGSPLAN!U346=1,OR($B$4="Alla lag",BEMANNINGSPLAN!J346=$B$4),OR($E$4="Alla datum",BEMANNINGSPLAN!A346=$E$4)),COUNT($O$6:O347)+1,"")</f>
        <v/>
      </c>
      <c r="P348" s="137" t="str">
        <f t="shared" si="5"/>
        <v/>
      </c>
    </row>
    <row r="349" spans="1:16" ht="27.75" customHeight="1">
      <c r="A349" s="17" t="str">
        <f>IF($P349="","",INDEX(BEMANNINGSPLAN!$A$5:$A$546,$P349))</f>
        <v/>
      </c>
      <c r="B349" s="18" t="str">
        <f>IF($P349="","",INDEX(BEMANNINGSPLAN!$B$5:$B$546,$P349))</f>
        <v/>
      </c>
      <c r="C349" s="19" t="str">
        <f>IF($P349="","",INDEX(BEMANNINGSPLAN!$C$5:$C$546,$P349))</f>
        <v/>
      </c>
      <c r="D349" s="20" t="str">
        <f>IF($P349="","",INDEX(BEMANNINGSPLAN!$D$5:$D$546,$P349))</f>
        <v/>
      </c>
      <c r="E349" s="20" t="str">
        <f>IF($P349="","",SUMIF(BEMANNINGSPLAN!$W$5:$W$546,INDEX(BEMANNINGSPLAN!$W$5:$W$546,$P349),BEMANNINGSPLAN!$X$5:$X$546))</f>
        <v/>
      </c>
      <c r="F349" s="18" t="str">
        <f>IF($P349="","",INDEX(BEMANNINGSPLAN!$J$5:$J$546,$P349))</f>
        <v/>
      </c>
      <c r="G349" s="19" t="str">
        <f>IF($P349="","",INDEX(BEMANNINGSPLAN!$AD$5:$AD$546,$P349))</f>
        <v/>
      </c>
      <c r="H349" s="18" t="str">
        <f>IF($P349="","",IF(AND(INDEX(BEMANNINGSPLAN!$Y$5:$Y$546,$P349)=1,G349&lt;&gt;"Minicafé"),"X",""))</f>
        <v/>
      </c>
      <c r="I349" s="21" t="str">
        <f>IF($P349="","",IF(INDEX(BEMANNINGSPLAN!$Y$5:$Y$546,$P349)=1,"X",""))</f>
        <v/>
      </c>
      <c r="J349" s="22" t="str">
        <f>IF($P349="","",IF(SUMIF(BEMANNINGSPLAN!$W$5:$W$546,INDEX(BEMANNINGSPLAN!$W$5:$W$546,$P349),BEMANNINGSPLAN!$Z$5:$Z$546)=1,"X",""))</f>
        <v/>
      </c>
      <c r="K349" s="23" t="str">
        <f>IF($P349="","",IFERROR(LOOKUP(2,1/((BEMANNINGSPLAN!$W$5:$W$546=INDEX(BEMANNINGSPLAN!$W$5:$W$546,$P349))*(BEMANNINGSPLAN!$L$5:$L$546&lt;&gt;"")),BEMANNINGSPLAN!$L$5:$L$546),""))</f>
        <v/>
      </c>
      <c r="L349" s="18" t="str">
        <f>IF($P349="","",INDEX(BEMANNINGSPLAN!$AE$5:$AE$546,$P349))</f>
        <v/>
      </c>
      <c r="M349" s="137"/>
      <c r="N349" s="16"/>
      <c r="O349" s="16">
        <f>IF(AND(BEMANNINGSPLAN!U347=1,OR($B$4="Alla lag",BEMANNINGSPLAN!J347=$B$4),OR($E$4="Alla datum",BEMANNINGSPLAN!A347=$E$4)),COUNT($O$6:O348)+1,"")</f>
        <v>41</v>
      </c>
      <c r="P349" s="137" t="str">
        <f t="shared" si="5"/>
        <v/>
      </c>
    </row>
    <row r="350" spans="1:16" ht="27.75" customHeight="1">
      <c r="A350" s="17" t="str">
        <f>IF($P350="","",INDEX(BEMANNINGSPLAN!$A$5:$A$546,$P350))</f>
        <v/>
      </c>
      <c r="B350" s="18" t="str">
        <f>IF($P350="","",INDEX(BEMANNINGSPLAN!$B$5:$B$546,$P350))</f>
        <v/>
      </c>
      <c r="C350" s="19" t="str">
        <f>IF($P350="","",INDEX(BEMANNINGSPLAN!$C$5:$C$546,$P350))</f>
        <v/>
      </c>
      <c r="D350" s="20" t="str">
        <f>IF($P350="","",INDEX(BEMANNINGSPLAN!$D$5:$D$546,$P350))</f>
        <v/>
      </c>
      <c r="E350" s="20" t="str">
        <f>IF($P350="","",SUMIF(BEMANNINGSPLAN!$W$5:$W$546,INDEX(BEMANNINGSPLAN!$W$5:$W$546,$P350),BEMANNINGSPLAN!$X$5:$X$546))</f>
        <v/>
      </c>
      <c r="F350" s="18" t="str">
        <f>IF($P350="","",INDEX(BEMANNINGSPLAN!$J$5:$J$546,$P350))</f>
        <v/>
      </c>
      <c r="G350" s="19" t="str">
        <f>IF($P350="","",INDEX(BEMANNINGSPLAN!$AD$5:$AD$546,$P350))</f>
        <v/>
      </c>
      <c r="H350" s="18" t="str">
        <f>IF($P350="","",IF(AND(INDEX(BEMANNINGSPLAN!$Y$5:$Y$546,$P350)=1,G350&lt;&gt;"Minicafé"),"X",""))</f>
        <v/>
      </c>
      <c r="I350" s="21" t="str">
        <f>IF($P350="","",IF(INDEX(BEMANNINGSPLAN!$Y$5:$Y$546,$P350)=1,"X",""))</f>
        <v/>
      </c>
      <c r="J350" s="22" t="str">
        <f>IF($P350="","",IF(SUMIF(BEMANNINGSPLAN!$W$5:$W$546,INDEX(BEMANNINGSPLAN!$W$5:$W$546,$P350),BEMANNINGSPLAN!$Z$5:$Z$546)=1,"X",""))</f>
        <v/>
      </c>
      <c r="K350" s="23" t="str">
        <f>IF($P350="","",IFERROR(LOOKUP(2,1/((BEMANNINGSPLAN!$W$5:$W$546=INDEX(BEMANNINGSPLAN!$W$5:$W$546,$P350))*(BEMANNINGSPLAN!$L$5:$L$546&lt;&gt;"")),BEMANNINGSPLAN!$L$5:$L$546),""))</f>
        <v/>
      </c>
      <c r="L350" s="18" t="str">
        <f>IF($P350="","",INDEX(BEMANNINGSPLAN!$AE$5:$AE$546,$P350))</f>
        <v/>
      </c>
      <c r="M350" s="137"/>
      <c r="N350" s="16"/>
      <c r="O350" s="16" t="str">
        <f>IF(AND(BEMANNINGSPLAN!U348=1,OR($B$4="Alla lag",BEMANNINGSPLAN!J348=$B$4),OR($E$4="Alla datum",BEMANNINGSPLAN!A348=$E$4)),COUNT($O$6:O349)+1,"")</f>
        <v/>
      </c>
      <c r="P350" s="137" t="str">
        <f t="shared" si="5"/>
        <v/>
      </c>
    </row>
    <row r="351" spans="1:16" ht="27.75" customHeight="1">
      <c r="A351" s="17" t="str">
        <f>IF($P351="","",INDEX(BEMANNINGSPLAN!$A$5:$A$546,$P351))</f>
        <v/>
      </c>
      <c r="B351" s="18" t="str">
        <f>IF($P351="","",INDEX(BEMANNINGSPLAN!$B$5:$B$546,$P351))</f>
        <v/>
      </c>
      <c r="C351" s="19" t="str">
        <f>IF($P351="","",INDEX(BEMANNINGSPLAN!$C$5:$C$546,$P351))</f>
        <v/>
      </c>
      <c r="D351" s="20" t="str">
        <f>IF($P351="","",INDEX(BEMANNINGSPLAN!$D$5:$D$546,$P351))</f>
        <v/>
      </c>
      <c r="E351" s="20" t="str">
        <f>IF($P351="","",SUMIF(BEMANNINGSPLAN!$W$5:$W$546,INDEX(BEMANNINGSPLAN!$W$5:$W$546,$P351),BEMANNINGSPLAN!$X$5:$X$546))</f>
        <v/>
      </c>
      <c r="F351" s="18" t="str">
        <f>IF($P351="","",INDEX(BEMANNINGSPLAN!$J$5:$J$546,$P351))</f>
        <v/>
      </c>
      <c r="G351" s="19" t="str">
        <f>IF($P351="","",INDEX(BEMANNINGSPLAN!$AD$5:$AD$546,$P351))</f>
        <v/>
      </c>
      <c r="H351" s="18" t="str">
        <f>IF($P351="","",IF(AND(INDEX(BEMANNINGSPLAN!$Y$5:$Y$546,$P351)=1,G351&lt;&gt;"Minicafé"),"X",""))</f>
        <v/>
      </c>
      <c r="I351" s="21" t="str">
        <f>IF($P351="","",IF(INDEX(BEMANNINGSPLAN!$Y$5:$Y$546,$P351)=1,"X",""))</f>
        <v/>
      </c>
      <c r="J351" s="22" t="str">
        <f>IF($P351="","",IF(SUMIF(BEMANNINGSPLAN!$W$5:$W$546,INDEX(BEMANNINGSPLAN!$W$5:$W$546,$P351),BEMANNINGSPLAN!$Z$5:$Z$546)=1,"X",""))</f>
        <v/>
      </c>
      <c r="K351" s="23" t="str">
        <f>IF($P351="","",IFERROR(LOOKUP(2,1/((BEMANNINGSPLAN!$W$5:$W$546=INDEX(BEMANNINGSPLAN!$W$5:$W$546,$P351))*(BEMANNINGSPLAN!$L$5:$L$546&lt;&gt;"")),BEMANNINGSPLAN!$L$5:$L$546),""))</f>
        <v/>
      </c>
      <c r="L351" s="18" t="str">
        <f>IF($P351="","",INDEX(BEMANNINGSPLAN!$AE$5:$AE$546,$P351))</f>
        <v/>
      </c>
      <c r="M351" s="137"/>
      <c r="N351" s="16"/>
      <c r="O351" s="16" t="str">
        <f>IF(AND(BEMANNINGSPLAN!U349=1,OR($B$4="Alla lag",BEMANNINGSPLAN!J349=$B$4),OR($E$4="Alla datum",BEMANNINGSPLAN!A349=$E$4)),COUNT($O$6:O350)+1,"")</f>
        <v/>
      </c>
      <c r="P351" s="137" t="str">
        <f t="shared" si="5"/>
        <v/>
      </c>
    </row>
    <row r="352" spans="1:16" ht="27.75" customHeight="1">
      <c r="A352" s="17" t="str">
        <f>IF($P352="","",INDEX(BEMANNINGSPLAN!$A$5:$A$546,$P352))</f>
        <v/>
      </c>
      <c r="B352" s="18" t="str">
        <f>IF($P352="","",INDEX(BEMANNINGSPLAN!$B$5:$B$546,$P352))</f>
        <v/>
      </c>
      <c r="C352" s="19" t="str">
        <f>IF($P352="","",INDEX(BEMANNINGSPLAN!$C$5:$C$546,$P352))</f>
        <v/>
      </c>
      <c r="D352" s="20" t="str">
        <f>IF($P352="","",INDEX(BEMANNINGSPLAN!$D$5:$D$546,$P352))</f>
        <v/>
      </c>
      <c r="E352" s="20" t="str">
        <f>IF($P352="","",SUMIF(BEMANNINGSPLAN!$W$5:$W$546,INDEX(BEMANNINGSPLAN!$W$5:$W$546,$P352),BEMANNINGSPLAN!$X$5:$X$546))</f>
        <v/>
      </c>
      <c r="F352" s="18" t="str">
        <f>IF($P352="","",INDEX(BEMANNINGSPLAN!$J$5:$J$546,$P352))</f>
        <v/>
      </c>
      <c r="G352" s="19" t="str">
        <f>IF($P352="","",INDEX(BEMANNINGSPLAN!$AD$5:$AD$546,$P352))</f>
        <v/>
      </c>
      <c r="H352" s="18" t="str">
        <f>IF($P352="","",IF(AND(INDEX(BEMANNINGSPLAN!$Y$5:$Y$546,$P352)=1,G352&lt;&gt;"Minicafé"),"X",""))</f>
        <v/>
      </c>
      <c r="I352" s="21" t="str">
        <f>IF($P352="","",IF(INDEX(BEMANNINGSPLAN!$Y$5:$Y$546,$P352)=1,"X",""))</f>
        <v/>
      </c>
      <c r="J352" s="22" t="str">
        <f>IF($P352="","",IF(SUMIF(BEMANNINGSPLAN!$W$5:$W$546,INDEX(BEMANNINGSPLAN!$W$5:$W$546,$P352),BEMANNINGSPLAN!$Z$5:$Z$546)=1,"X",""))</f>
        <v/>
      </c>
      <c r="K352" s="23" t="str">
        <f>IF($P352="","",IFERROR(LOOKUP(2,1/((BEMANNINGSPLAN!$W$5:$W$546=INDEX(BEMANNINGSPLAN!$W$5:$W$546,$P352))*(BEMANNINGSPLAN!$L$5:$L$546&lt;&gt;"")),BEMANNINGSPLAN!$L$5:$L$546),""))</f>
        <v/>
      </c>
      <c r="L352" s="18" t="str">
        <f>IF($P352="","",INDEX(BEMANNINGSPLAN!$AE$5:$AE$546,$P352))</f>
        <v/>
      </c>
      <c r="M352" s="137"/>
      <c r="N352" s="16"/>
      <c r="O352" s="16">
        <f>IF(AND(BEMANNINGSPLAN!U350=1,OR($B$4="Alla lag",BEMANNINGSPLAN!J350=$B$4),OR($E$4="Alla datum",BEMANNINGSPLAN!A350=$E$4)),COUNT($O$6:O351)+1,"")</f>
        <v>42</v>
      </c>
      <c r="P352" s="137" t="str">
        <f t="shared" si="5"/>
        <v/>
      </c>
    </row>
    <row r="353" spans="1:16" ht="27.75" customHeight="1">
      <c r="A353" s="17" t="str">
        <f>IF($P353="","",INDEX(BEMANNINGSPLAN!$A$5:$A$546,$P353))</f>
        <v/>
      </c>
      <c r="B353" s="18" t="str">
        <f>IF($P353="","",INDEX(BEMANNINGSPLAN!$B$5:$B$546,$P353))</f>
        <v/>
      </c>
      <c r="C353" s="19" t="str">
        <f>IF($P353="","",INDEX(BEMANNINGSPLAN!$C$5:$C$546,$P353))</f>
        <v/>
      </c>
      <c r="D353" s="20" t="str">
        <f>IF($P353="","",INDEX(BEMANNINGSPLAN!$D$5:$D$546,$P353))</f>
        <v/>
      </c>
      <c r="E353" s="20" t="str">
        <f>IF($P353="","",SUMIF(BEMANNINGSPLAN!$W$5:$W$546,INDEX(BEMANNINGSPLAN!$W$5:$W$546,$P353),BEMANNINGSPLAN!$X$5:$X$546))</f>
        <v/>
      </c>
      <c r="F353" s="18" t="str">
        <f>IF($P353="","",INDEX(BEMANNINGSPLAN!$J$5:$J$546,$P353))</f>
        <v/>
      </c>
      <c r="G353" s="19" t="str">
        <f>IF($P353="","",INDEX(BEMANNINGSPLAN!$AD$5:$AD$546,$P353))</f>
        <v/>
      </c>
      <c r="H353" s="18" t="str">
        <f>IF($P353="","",IF(AND(INDEX(BEMANNINGSPLAN!$Y$5:$Y$546,$P353)=1,G353&lt;&gt;"Minicafé"),"X",""))</f>
        <v/>
      </c>
      <c r="I353" s="21" t="str">
        <f>IF($P353="","",IF(INDEX(BEMANNINGSPLAN!$Y$5:$Y$546,$P353)=1,"X",""))</f>
        <v/>
      </c>
      <c r="J353" s="22" t="str">
        <f>IF($P353="","",IF(SUMIF(BEMANNINGSPLAN!$W$5:$W$546,INDEX(BEMANNINGSPLAN!$W$5:$W$546,$P353),BEMANNINGSPLAN!$Z$5:$Z$546)=1,"X",""))</f>
        <v/>
      </c>
      <c r="K353" s="23" t="str">
        <f>IF($P353="","",IFERROR(LOOKUP(2,1/((BEMANNINGSPLAN!$W$5:$W$546=INDEX(BEMANNINGSPLAN!$W$5:$W$546,$P353))*(BEMANNINGSPLAN!$L$5:$L$546&lt;&gt;"")),BEMANNINGSPLAN!$L$5:$L$546),""))</f>
        <v/>
      </c>
      <c r="L353" s="18" t="str">
        <f>IF($P353="","",INDEX(BEMANNINGSPLAN!$AE$5:$AE$546,$P353))</f>
        <v/>
      </c>
      <c r="M353" s="137"/>
      <c r="N353" s="16"/>
      <c r="O353" s="16">
        <f>IF(AND(BEMANNINGSPLAN!U351=1,OR($B$4="Alla lag",BEMANNINGSPLAN!J351=$B$4),OR($E$4="Alla datum",BEMANNINGSPLAN!A351=$E$4)),COUNT($O$6:O352)+1,"")</f>
        <v>43</v>
      </c>
      <c r="P353" s="137" t="str">
        <f t="shared" si="5"/>
        <v/>
      </c>
    </row>
    <row r="354" spans="1:16" ht="27.75" customHeight="1">
      <c r="A354" s="17" t="str">
        <f>IF($P354="","",INDEX(BEMANNINGSPLAN!$A$5:$A$546,$P354))</f>
        <v/>
      </c>
      <c r="B354" s="18" t="str">
        <f>IF($P354="","",INDEX(BEMANNINGSPLAN!$B$5:$B$546,$P354))</f>
        <v/>
      </c>
      <c r="C354" s="19" t="str">
        <f>IF($P354="","",INDEX(BEMANNINGSPLAN!$C$5:$C$546,$P354))</f>
        <v/>
      </c>
      <c r="D354" s="20" t="str">
        <f>IF($P354="","",INDEX(BEMANNINGSPLAN!$D$5:$D$546,$P354))</f>
        <v/>
      </c>
      <c r="E354" s="20" t="str">
        <f>IF($P354="","",SUMIF(BEMANNINGSPLAN!$W$5:$W$546,INDEX(BEMANNINGSPLAN!$W$5:$W$546,$P354),BEMANNINGSPLAN!$X$5:$X$546))</f>
        <v/>
      </c>
      <c r="F354" s="18" t="str">
        <f>IF($P354="","",INDEX(BEMANNINGSPLAN!$J$5:$J$546,$P354))</f>
        <v/>
      </c>
      <c r="G354" s="19" t="str">
        <f>IF($P354="","",INDEX(BEMANNINGSPLAN!$AD$5:$AD$546,$P354))</f>
        <v/>
      </c>
      <c r="H354" s="18" t="str">
        <f>IF($P354="","",IF(AND(INDEX(BEMANNINGSPLAN!$Y$5:$Y$546,$P354)=1,G354&lt;&gt;"Minicafé"),"X",""))</f>
        <v/>
      </c>
      <c r="I354" s="21" t="str">
        <f>IF($P354="","",IF(INDEX(BEMANNINGSPLAN!$Y$5:$Y$546,$P354)=1,"X",""))</f>
        <v/>
      </c>
      <c r="J354" s="22" t="str">
        <f>IF($P354="","",IF(SUMIF(BEMANNINGSPLAN!$W$5:$W$546,INDEX(BEMANNINGSPLAN!$W$5:$W$546,$P354),BEMANNINGSPLAN!$Z$5:$Z$546)=1,"X",""))</f>
        <v/>
      </c>
      <c r="K354" s="23" t="str">
        <f>IF($P354="","",IFERROR(LOOKUP(2,1/((BEMANNINGSPLAN!$W$5:$W$546=INDEX(BEMANNINGSPLAN!$W$5:$W$546,$P354))*(BEMANNINGSPLAN!$L$5:$L$546&lt;&gt;"")),BEMANNINGSPLAN!$L$5:$L$546),""))</f>
        <v/>
      </c>
      <c r="L354" s="18" t="str">
        <f>IF($P354="","",INDEX(BEMANNINGSPLAN!$AE$5:$AE$546,$P354))</f>
        <v/>
      </c>
      <c r="M354" s="137"/>
      <c r="N354" s="16"/>
      <c r="O354" s="16">
        <f>IF(AND(BEMANNINGSPLAN!U352=1,OR($B$4="Alla lag",BEMANNINGSPLAN!J352=$B$4),OR($E$4="Alla datum",BEMANNINGSPLAN!A352=$E$4)),COUNT($O$6:O353)+1,"")</f>
        <v>44</v>
      </c>
      <c r="P354" s="137" t="str">
        <f t="shared" si="5"/>
        <v/>
      </c>
    </row>
    <row r="355" spans="1:16" ht="27.75" customHeight="1">
      <c r="A355" s="17" t="str">
        <f>IF($P355="","",INDEX(BEMANNINGSPLAN!$A$5:$A$546,$P355))</f>
        <v/>
      </c>
      <c r="B355" s="18" t="str">
        <f>IF($P355="","",INDEX(BEMANNINGSPLAN!$B$5:$B$546,$P355))</f>
        <v/>
      </c>
      <c r="C355" s="19" t="str">
        <f>IF($P355="","",INDEX(BEMANNINGSPLAN!$C$5:$C$546,$P355))</f>
        <v/>
      </c>
      <c r="D355" s="20" t="str">
        <f>IF($P355="","",INDEX(BEMANNINGSPLAN!$D$5:$D$546,$P355))</f>
        <v/>
      </c>
      <c r="E355" s="20" t="str">
        <f>IF($P355="","",SUMIF(BEMANNINGSPLAN!$W$5:$W$546,INDEX(BEMANNINGSPLAN!$W$5:$W$546,$P355),BEMANNINGSPLAN!$X$5:$X$546))</f>
        <v/>
      </c>
      <c r="F355" s="18" t="str">
        <f>IF($P355="","",INDEX(BEMANNINGSPLAN!$J$5:$J$546,$P355))</f>
        <v/>
      </c>
      <c r="G355" s="19" t="str">
        <f>IF($P355="","",INDEX(BEMANNINGSPLAN!$AD$5:$AD$546,$P355))</f>
        <v/>
      </c>
      <c r="H355" s="18" t="str">
        <f>IF($P355="","",IF(AND(INDEX(BEMANNINGSPLAN!$Y$5:$Y$546,$P355)=1,G355&lt;&gt;"Minicafé"),"X",""))</f>
        <v/>
      </c>
      <c r="I355" s="21" t="str">
        <f>IF($P355="","",IF(INDEX(BEMANNINGSPLAN!$Y$5:$Y$546,$P355)=1,"X",""))</f>
        <v/>
      </c>
      <c r="J355" s="22" t="str">
        <f>IF($P355="","",IF(SUMIF(BEMANNINGSPLAN!$W$5:$W$546,INDEX(BEMANNINGSPLAN!$W$5:$W$546,$P355),BEMANNINGSPLAN!$Z$5:$Z$546)=1,"X",""))</f>
        <v/>
      </c>
      <c r="K355" s="23" t="str">
        <f>IF($P355="","",IFERROR(LOOKUP(2,1/((BEMANNINGSPLAN!$W$5:$W$546=INDEX(BEMANNINGSPLAN!$W$5:$W$546,$P355))*(BEMANNINGSPLAN!$L$5:$L$546&lt;&gt;"")),BEMANNINGSPLAN!$L$5:$L$546),""))</f>
        <v/>
      </c>
      <c r="L355" s="18" t="str">
        <f>IF($P355="","",INDEX(BEMANNINGSPLAN!$AE$5:$AE$546,$P355))</f>
        <v/>
      </c>
      <c r="M355" s="137"/>
      <c r="N355" s="16"/>
      <c r="O355" s="16">
        <f>IF(AND(BEMANNINGSPLAN!U353=1,OR($B$4="Alla lag",BEMANNINGSPLAN!J353=$B$4),OR($E$4="Alla datum",BEMANNINGSPLAN!A353=$E$4)),COUNT($O$6:O354)+1,"")</f>
        <v>45</v>
      </c>
      <c r="P355" s="137" t="str">
        <f t="shared" si="5"/>
        <v/>
      </c>
    </row>
    <row r="356" spans="1:16" ht="27.75" customHeight="1">
      <c r="A356" s="17" t="str">
        <f>IF($P356="","",INDEX(BEMANNINGSPLAN!$A$5:$A$546,$P356))</f>
        <v/>
      </c>
      <c r="B356" s="18" t="str">
        <f>IF($P356="","",INDEX(BEMANNINGSPLAN!$B$5:$B$546,$P356))</f>
        <v/>
      </c>
      <c r="C356" s="19" t="str">
        <f>IF($P356="","",INDEX(BEMANNINGSPLAN!$C$5:$C$546,$P356))</f>
        <v/>
      </c>
      <c r="D356" s="20" t="str">
        <f>IF($P356="","",INDEX(BEMANNINGSPLAN!$D$5:$D$546,$P356))</f>
        <v/>
      </c>
      <c r="E356" s="20" t="str">
        <f>IF($P356="","",SUMIF(BEMANNINGSPLAN!$W$5:$W$546,INDEX(BEMANNINGSPLAN!$W$5:$W$546,$P356),BEMANNINGSPLAN!$X$5:$X$546))</f>
        <v/>
      </c>
      <c r="F356" s="18" t="str">
        <f>IF($P356="","",INDEX(BEMANNINGSPLAN!$J$5:$J$546,$P356))</f>
        <v/>
      </c>
      <c r="G356" s="19" t="str">
        <f>IF($P356="","",INDEX(BEMANNINGSPLAN!$AD$5:$AD$546,$P356))</f>
        <v/>
      </c>
      <c r="H356" s="18" t="str">
        <f>IF($P356="","",IF(AND(INDEX(BEMANNINGSPLAN!$Y$5:$Y$546,$P356)=1,G356&lt;&gt;"Minicafé"),"X",""))</f>
        <v/>
      </c>
      <c r="I356" s="21" t="str">
        <f>IF($P356="","",IF(INDEX(BEMANNINGSPLAN!$Y$5:$Y$546,$P356)=1,"X",""))</f>
        <v/>
      </c>
      <c r="J356" s="22" t="str">
        <f>IF($P356="","",IF(SUMIF(BEMANNINGSPLAN!$W$5:$W$546,INDEX(BEMANNINGSPLAN!$W$5:$W$546,$P356),BEMANNINGSPLAN!$Z$5:$Z$546)=1,"X",""))</f>
        <v/>
      </c>
      <c r="K356" s="23" t="str">
        <f>IF($P356="","",IFERROR(LOOKUP(2,1/((BEMANNINGSPLAN!$W$5:$W$546=INDEX(BEMANNINGSPLAN!$W$5:$W$546,$P356))*(BEMANNINGSPLAN!$L$5:$L$546&lt;&gt;"")),BEMANNINGSPLAN!$L$5:$L$546),""))</f>
        <v/>
      </c>
      <c r="L356" s="18" t="str">
        <f>IF($P356="","",INDEX(BEMANNINGSPLAN!$AE$5:$AE$546,$P356))</f>
        <v/>
      </c>
      <c r="M356" s="137"/>
      <c r="N356" s="16"/>
      <c r="O356" s="16">
        <f>IF(AND(BEMANNINGSPLAN!U354=1,OR($B$4="Alla lag",BEMANNINGSPLAN!J354=$B$4),OR($E$4="Alla datum",BEMANNINGSPLAN!A354=$E$4)),COUNT($O$6:O355)+1,"")</f>
        <v>46</v>
      </c>
      <c r="P356" s="137" t="str">
        <f t="shared" si="5"/>
        <v/>
      </c>
    </row>
    <row r="357" spans="1:16" ht="27.75" customHeight="1">
      <c r="A357" s="17" t="str">
        <f>IF($P357="","",INDEX(BEMANNINGSPLAN!$A$5:$A$546,$P357))</f>
        <v/>
      </c>
      <c r="B357" s="18" t="str">
        <f>IF($P357="","",INDEX(BEMANNINGSPLAN!$B$5:$B$546,$P357))</f>
        <v/>
      </c>
      <c r="C357" s="19" t="str">
        <f>IF($P357="","",INDEX(BEMANNINGSPLAN!$C$5:$C$546,$P357))</f>
        <v/>
      </c>
      <c r="D357" s="20" t="str">
        <f>IF($P357="","",INDEX(BEMANNINGSPLAN!$D$5:$D$546,$P357))</f>
        <v/>
      </c>
      <c r="E357" s="20" t="str">
        <f>IF($P357="","",SUMIF(BEMANNINGSPLAN!$W$5:$W$546,INDEX(BEMANNINGSPLAN!$W$5:$W$546,$P357),BEMANNINGSPLAN!$X$5:$X$546))</f>
        <v/>
      </c>
      <c r="F357" s="18" t="str">
        <f>IF($P357="","",INDEX(BEMANNINGSPLAN!$J$5:$J$546,$P357))</f>
        <v/>
      </c>
      <c r="G357" s="19" t="str">
        <f>IF($P357="","",INDEX(BEMANNINGSPLAN!$AD$5:$AD$546,$P357))</f>
        <v/>
      </c>
      <c r="H357" s="18" t="str">
        <f>IF($P357="","",IF(AND(INDEX(BEMANNINGSPLAN!$Y$5:$Y$546,$P357)=1,G357&lt;&gt;"Minicafé"),"X",""))</f>
        <v/>
      </c>
      <c r="I357" s="21" t="str">
        <f>IF($P357="","",IF(INDEX(BEMANNINGSPLAN!$Y$5:$Y$546,$P357)=1,"X",""))</f>
        <v/>
      </c>
      <c r="J357" s="22" t="str">
        <f>IF($P357="","",IF(SUMIF(BEMANNINGSPLAN!$W$5:$W$546,INDEX(BEMANNINGSPLAN!$W$5:$W$546,$P357),BEMANNINGSPLAN!$Z$5:$Z$546)=1,"X",""))</f>
        <v/>
      </c>
      <c r="K357" s="23" t="str">
        <f>IF($P357="","",IFERROR(LOOKUP(2,1/((BEMANNINGSPLAN!$W$5:$W$546=INDEX(BEMANNINGSPLAN!$W$5:$W$546,$P357))*(BEMANNINGSPLAN!$L$5:$L$546&lt;&gt;"")),BEMANNINGSPLAN!$L$5:$L$546),""))</f>
        <v/>
      </c>
      <c r="L357" s="18" t="str">
        <f>IF($P357="","",INDEX(BEMANNINGSPLAN!$AE$5:$AE$546,$P357))</f>
        <v/>
      </c>
      <c r="M357" s="137"/>
      <c r="N357" s="16"/>
      <c r="O357" s="16">
        <f>IF(AND(BEMANNINGSPLAN!U355=1,OR($B$4="Alla lag",BEMANNINGSPLAN!J355=$B$4),OR($E$4="Alla datum",BEMANNINGSPLAN!A355=$E$4)),COUNT($O$6:O356)+1,"")</f>
        <v>47</v>
      </c>
      <c r="P357" s="137" t="str">
        <f t="shared" si="5"/>
        <v/>
      </c>
    </row>
    <row r="358" spans="1:16" ht="27.75" customHeight="1">
      <c r="A358" s="17" t="str">
        <f>IF($P358="","",INDEX(BEMANNINGSPLAN!$A$5:$A$546,$P358))</f>
        <v/>
      </c>
      <c r="B358" s="18" t="str">
        <f>IF($P358="","",INDEX(BEMANNINGSPLAN!$B$5:$B$546,$P358))</f>
        <v/>
      </c>
      <c r="C358" s="19" t="str">
        <f>IF($P358="","",INDEX(BEMANNINGSPLAN!$C$5:$C$546,$P358))</f>
        <v/>
      </c>
      <c r="D358" s="20" t="str">
        <f>IF($P358="","",INDEX(BEMANNINGSPLAN!$D$5:$D$546,$P358))</f>
        <v/>
      </c>
      <c r="E358" s="20" t="str">
        <f>IF($P358="","",SUMIF(BEMANNINGSPLAN!$W$5:$W$546,INDEX(BEMANNINGSPLAN!$W$5:$W$546,$P358),BEMANNINGSPLAN!$X$5:$X$546))</f>
        <v/>
      </c>
      <c r="F358" s="18" t="str">
        <f>IF($P358="","",INDEX(BEMANNINGSPLAN!$J$5:$J$546,$P358))</f>
        <v/>
      </c>
      <c r="G358" s="19" t="str">
        <f>IF($P358="","",INDEX(BEMANNINGSPLAN!$AD$5:$AD$546,$P358))</f>
        <v/>
      </c>
      <c r="H358" s="18" t="str">
        <f>IF($P358="","",IF(AND(INDEX(BEMANNINGSPLAN!$Y$5:$Y$546,$P358)=1,G358&lt;&gt;"Minicafé"),"X",""))</f>
        <v/>
      </c>
      <c r="I358" s="21" t="str">
        <f>IF($P358="","",IF(INDEX(BEMANNINGSPLAN!$Y$5:$Y$546,$P358)=1,"X",""))</f>
        <v/>
      </c>
      <c r="J358" s="22" t="str">
        <f>IF($P358="","",IF(SUMIF(BEMANNINGSPLAN!$W$5:$W$546,INDEX(BEMANNINGSPLAN!$W$5:$W$546,$P358),BEMANNINGSPLAN!$Z$5:$Z$546)=1,"X",""))</f>
        <v/>
      </c>
      <c r="K358" s="23" t="str">
        <f>IF($P358="","",IFERROR(LOOKUP(2,1/((BEMANNINGSPLAN!$W$5:$W$546=INDEX(BEMANNINGSPLAN!$W$5:$W$546,$P358))*(BEMANNINGSPLAN!$L$5:$L$546&lt;&gt;"")),BEMANNINGSPLAN!$L$5:$L$546),""))</f>
        <v/>
      </c>
      <c r="L358" s="18" t="str">
        <f>IF($P358="","",INDEX(BEMANNINGSPLAN!$AE$5:$AE$546,$P358))</f>
        <v/>
      </c>
      <c r="M358" s="137"/>
      <c r="N358" s="16"/>
      <c r="O358" s="16">
        <f>IF(AND(BEMANNINGSPLAN!U356=1,OR($B$4="Alla lag",BEMANNINGSPLAN!J356=$B$4),OR($E$4="Alla datum",BEMANNINGSPLAN!A356=$E$4)),COUNT($O$6:O357)+1,"")</f>
        <v>48</v>
      </c>
      <c r="P358" s="137" t="str">
        <f t="shared" si="5"/>
        <v/>
      </c>
    </row>
    <row r="359" spans="1:16" ht="27.75" customHeight="1">
      <c r="A359" s="17" t="str">
        <f>IF($P359="","",INDEX(BEMANNINGSPLAN!$A$5:$A$546,$P359))</f>
        <v/>
      </c>
      <c r="B359" s="18" t="str">
        <f>IF($P359="","",INDEX(BEMANNINGSPLAN!$B$5:$B$546,$P359))</f>
        <v/>
      </c>
      <c r="C359" s="19" t="str">
        <f>IF($P359="","",INDEX(BEMANNINGSPLAN!$C$5:$C$546,$P359))</f>
        <v/>
      </c>
      <c r="D359" s="20" t="str">
        <f>IF($P359="","",INDEX(BEMANNINGSPLAN!$D$5:$D$546,$P359))</f>
        <v/>
      </c>
      <c r="E359" s="20" t="str">
        <f>IF($P359="","",SUMIF(BEMANNINGSPLAN!$W$5:$W$546,INDEX(BEMANNINGSPLAN!$W$5:$W$546,$P359),BEMANNINGSPLAN!$X$5:$X$546))</f>
        <v/>
      </c>
      <c r="F359" s="18" t="str">
        <f>IF($P359="","",INDEX(BEMANNINGSPLAN!$J$5:$J$546,$P359))</f>
        <v/>
      </c>
      <c r="G359" s="19" t="str">
        <f>IF($P359="","",INDEX(BEMANNINGSPLAN!$AD$5:$AD$546,$P359))</f>
        <v/>
      </c>
      <c r="H359" s="18" t="str">
        <f>IF($P359="","",IF(AND(INDEX(BEMANNINGSPLAN!$Y$5:$Y$546,$P359)=1,G359&lt;&gt;"Minicafé"),"X",""))</f>
        <v/>
      </c>
      <c r="I359" s="21" t="str">
        <f>IF($P359="","",IF(INDEX(BEMANNINGSPLAN!$Y$5:$Y$546,$P359)=1,"X",""))</f>
        <v/>
      </c>
      <c r="J359" s="22" t="str">
        <f>IF($P359="","",IF(SUMIF(BEMANNINGSPLAN!$W$5:$W$546,INDEX(BEMANNINGSPLAN!$W$5:$W$546,$P359),BEMANNINGSPLAN!$Z$5:$Z$546)=1,"X",""))</f>
        <v/>
      </c>
      <c r="K359" s="23" t="str">
        <f>IF($P359="","",IFERROR(LOOKUP(2,1/((BEMANNINGSPLAN!$W$5:$W$546=INDEX(BEMANNINGSPLAN!$W$5:$W$546,$P359))*(BEMANNINGSPLAN!$L$5:$L$546&lt;&gt;"")),BEMANNINGSPLAN!$L$5:$L$546),""))</f>
        <v/>
      </c>
      <c r="L359" s="18" t="str">
        <f>IF($P359="","",INDEX(BEMANNINGSPLAN!$AE$5:$AE$546,$P359))</f>
        <v/>
      </c>
      <c r="M359" s="137"/>
      <c r="N359" s="16"/>
      <c r="O359" s="16">
        <f>IF(AND(BEMANNINGSPLAN!U357=1,OR($B$4="Alla lag",BEMANNINGSPLAN!J357=$B$4),OR($E$4="Alla datum",BEMANNINGSPLAN!A357=$E$4)),COUNT($O$6:O358)+1,"")</f>
        <v>49</v>
      </c>
      <c r="P359" s="137" t="str">
        <f t="shared" si="5"/>
        <v/>
      </c>
    </row>
    <row r="360" spans="1:16" ht="27.75" customHeight="1">
      <c r="A360" s="17" t="str">
        <f>IF($P360="","",INDEX(BEMANNINGSPLAN!$A$5:$A$546,$P360))</f>
        <v/>
      </c>
      <c r="B360" s="18" t="str">
        <f>IF($P360="","",INDEX(BEMANNINGSPLAN!$B$5:$B$546,$P360))</f>
        <v/>
      </c>
      <c r="C360" s="19" t="str">
        <f>IF($P360="","",INDEX(BEMANNINGSPLAN!$C$5:$C$546,$P360))</f>
        <v/>
      </c>
      <c r="D360" s="20" t="str">
        <f>IF($P360="","",INDEX(BEMANNINGSPLAN!$D$5:$D$546,$P360))</f>
        <v/>
      </c>
      <c r="E360" s="20" t="str">
        <f>IF($P360="","",SUMIF(BEMANNINGSPLAN!$W$5:$W$546,INDEX(BEMANNINGSPLAN!$W$5:$W$546,$P360),BEMANNINGSPLAN!$X$5:$X$546))</f>
        <v/>
      </c>
      <c r="F360" s="18" t="str">
        <f>IF($P360="","",INDEX(BEMANNINGSPLAN!$J$5:$J$546,$P360))</f>
        <v/>
      </c>
      <c r="G360" s="19" t="str">
        <f>IF($P360="","",INDEX(BEMANNINGSPLAN!$AD$5:$AD$546,$P360))</f>
        <v/>
      </c>
      <c r="H360" s="18" t="str">
        <f>IF($P360="","",IF(AND(INDEX(BEMANNINGSPLAN!$Y$5:$Y$546,$P360)=1,G360&lt;&gt;"Minicafé"),"X",""))</f>
        <v/>
      </c>
      <c r="I360" s="21" t="str">
        <f>IF($P360="","",IF(INDEX(BEMANNINGSPLAN!$Y$5:$Y$546,$P360)=1,"X",""))</f>
        <v/>
      </c>
      <c r="J360" s="22" t="str">
        <f>IF($P360="","",IF(SUMIF(BEMANNINGSPLAN!$W$5:$W$546,INDEX(BEMANNINGSPLAN!$W$5:$W$546,$P360),BEMANNINGSPLAN!$Z$5:$Z$546)=1,"X",""))</f>
        <v/>
      </c>
      <c r="K360" s="23" t="str">
        <f>IF($P360="","",IFERROR(LOOKUP(2,1/((BEMANNINGSPLAN!$W$5:$W$546=INDEX(BEMANNINGSPLAN!$W$5:$W$546,$P360))*(BEMANNINGSPLAN!$L$5:$L$546&lt;&gt;"")),BEMANNINGSPLAN!$L$5:$L$546),""))</f>
        <v/>
      </c>
      <c r="L360" s="18" t="str">
        <f>IF($P360="","",INDEX(BEMANNINGSPLAN!$AE$5:$AE$546,$P360))</f>
        <v/>
      </c>
      <c r="M360" s="137"/>
      <c r="N360" s="16"/>
      <c r="O360" s="16">
        <f>IF(AND(BEMANNINGSPLAN!U358=1,OR($B$4="Alla lag",BEMANNINGSPLAN!J358=$B$4),OR($E$4="Alla datum",BEMANNINGSPLAN!A358=$E$4)),COUNT($O$6:O359)+1,"")</f>
        <v>50</v>
      </c>
      <c r="P360" s="137" t="str">
        <f t="shared" si="5"/>
        <v/>
      </c>
    </row>
    <row r="361" spans="1:16" ht="27.75" customHeight="1">
      <c r="A361" s="17" t="str">
        <f>IF($P361="","",INDEX(BEMANNINGSPLAN!$A$5:$A$546,$P361))</f>
        <v/>
      </c>
      <c r="B361" s="18" t="str">
        <f>IF($P361="","",INDEX(BEMANNINGSPLAN!$B$5:$B$546,$P361))</f>
        <v/>
      </c>
      <c r="C361" s="19" t="str">
        <f>IF($P361="","",INDEX(BEMANNINGSPLAN!$C$5:$C$546,$P361))</f>
        <v/>
      </c>
      <c r="D361" s="20" t="str">
        <f>IF($P361="","",INDEX(BEMANNINGSPLAN!$D$5:$D$546,$P361))</f>
        <v/>
      </c>
      <c r="E361" s="20" t="str">
        <f>IF($P361="","",SUMIF(BEMANNINGSPLAN!$W$5:$W$546,INDEX(BEMANNINGSPLAN!$W$5:$W$546,$P361),BEMANNINGSPLAN!$X$5:$X$546))</f>
        <v/>
      </c>
      <c r="F361" s="18" t="str">
        <f>IF($P361="","",INDEX(BEMANNINGSPLAN!$J$5:$J$546,$P361))</f>
        <v/>
      </c>
      <c r="G361" s="19" t="str">
        <f>IF($P361="","",INDEX(BEMANNINGSPLAN!$AD$5:$AD$546,$P361))</f>
        <v/>
      </c>
      <c r="H361" s="18" t="str">
        <f>IF($P361="","",IF(AND(INDEX(BEMANNINGSPLAN!$Y$5:$Y$546,$P361)=1,G361&lt;&gt;"Minicafé"),"X",""))</f>
        <v/>
      </c>
      <c r="I361" s="21" t="str">
        <f>IF($P361="","",IF(INDEX(BEMANNINGSPLAN!$Y$5:$Y$546,$P361)=1,"X",""))</f>
        <v/>
      </c>
      <c r="J361" s="22" t="str">
        <f>IF($P361="","",IF(SUMIF(BEMANNINGSPLAN!$W$5:$W$546,INDEX(BEMANNINGSPLAN!$W$5:$W$546,$P361),BEMANNINGSPLAN!$Z$5:$Z$546)=1,"X",""))</f>
        <v/>
      </c>
      <c r="K361" s="23" t="str">
        <f>IF($P361="","",IFERROR(LOOKUP(2,1/((BEMANNINGSPLAN!$W$5:$W$546=INDEX(BEMANNINGSPLAN!$W$5:$W$546,$P361))*(BEMANNINGSPLAN!$L$5:$L$546&lt;&gt;"")),BEMANNINGSPLAN!$L$5:$L$546),""))</f>
        <v/>
      </c>
      <c r="L361" s="18" t="str">
        <f>IF($P361="","",INDEX(BEMANNINGSPLAN!$AE$5:$AE$546,$P361))</f>
        <v/>
      </c>
      <c r="M361" s="137"/>
      <c r="N361" s="16"/>
      <c r="O361" s="16">
        <f>IF(AND(BEMANNINGSPLAN!U359=1,OR($B$4="Alla lag",BEMANNINGSPLAN!J359=$B$4),OR($E$4="Alla datum",BEMANNINGSPLAN!A359=$E$4)),COUNT($O$6:O360)+1,"")</f>
        <v>51</v>
      </c>
      <c r="P361" s="137" t="str">
        <f t="shared" si="5"/>
        <v/>
      </c>
    </row>
    <row r="362" spans="1:16" ht="27.75" customHeight="1">
      <c r="A362" s="17" t="str">
        <f>IF($P362="","",INDEX(BEMANNINGSPLAN!$A$5:$A$546,$P362))</f>
        <v/>
      </c>
      <c r="B362" s="18" t="str">
        <f>IF($P362="","",INDEX(BEMANNINGSPLAN!$B$5:$B$546,$P362))</f>
        <v/>
      </c>
      <c r="C362" s="19" t="str">
        <f>IF($P362="","",INDEX(BEMANNINGSPLAN!$C$5:$C$546,$P362))</f>
        <v/>
      </c>
      <c r="D362" s="20" t="str">
        <f>IF($P362="","",INDEX(BEMANNINGSPLAN!$D$5:$D$546,$P362))</f>
        <v/>
      </c>
      <c r="E362" s="20" t="str">
        <f>IF($P362="","",SUMIF(BEMANNINGSPLAN!$W$5:$W$546,INDEX(BEMANNINGSPLAN!$W$5:$W$546,$P362),BEMANNINGSPLAN!$X$5:$X$546))</f>
        <v/>
      </c>
      <c r="F362" s="18" t="str">
        <f>IF($P362="","",INDEX(BEMANNINGSPLAN!$J$5:$J$546,$P362))</f>
        <v/>
      </c>
      <c r="G362" s="19" t="str">
        <f>IF($P362="","",INDEX(BEMANNINGSPLAN!$AD$5:$AD$546,$P362))</f>
        <v/>
      </c>
      <c r="H362" s="18" t="str">
        <f>IF($P362="","",IF(AND(INDEX(BEMANNINGSPLAN!$Y$5:$Y$546,$P362)=1,G362&lt;&gt;"Minicafé"),"X",""))</f>
        <v/>
      </c>
      <c r="I362" s="21" t="str">
        <f>IF($P362="","",IF(INDEX(BEMANNINGSPLAN!$Y$5:$Y$546,$P362)=1,"X",""))</f>
        <v/>
      </c>
      <c r="J362" s="22" t="str">
        <f>IF($P362="","",IF(SUMIF(BEMANNINGSPLAN!$W$5:$W$546,INDEX(BEMANNINGSPLAN!$W$5:$W$546,$P362),BEMANNINGSPLAN!$Z$5:$Z$546)=1,"X",""))</f>
        <v/>
      </c>
      <c r="K362" s="23" t="str">
        <f>IF($P362="","",IFERROR(LOOKUP(2,1/((BEMANNINGSPLAN!$W$5:$W$546=INDEX(BEMANNINGSPLAN!$W$5:$W$546,$P362))*(BEMANNINGSPLAN!$L$5:$L$546&lt;&gt;"")),BEMANNINGSPLAN!$L$5:$L$546),""))</f>
        <v/>
      </c>
      <c r="L362" s="18" t="str">
        <f>IF($P362="","",INDEX(BEMANNINGSPLAN!$AE$5:$AE$546,$P362))</f>
        <v/>
      </c>
      <c r="M362" s="137"/>
      <c r="N362" s="16"/>
      <c r="O362" s="16" t="str">
        <f>IF(AND(BEMANNINGSPLAN!U360=1,OR($B$4="Alla lag",BEMANNINGSPLAN!J360=$B$4),OR($E$4="Alla datum",BEMANNINGSPLAN!A360=$E$4)),COUNT($O$6:O361)+1,"")</f>
        <v/>
      </c>
      <c r="P362" s="137" t="str">
        <f t="shared" si="5"/>
        <v/>
      </c>
    </row>
    <row r="363" spans="1:16" ht="27.75" customHeight="1">
      <c r="A363" s="17" t="str">
        <f>IF($P363="","",INDEX(BEMANNINGSPLAN!$A$5:$A$546,$P363))</f>
        <v/>
      </c>
      <c r="B363" s="18" t="str">
        <f>IF($P363="","",INDEX(BEMANNINGSPLAN!$B$5:$B$546,$P363))</f>
        <v/>
      </c>
      <c r="C363" s="19" t="str">
        <f>IF($P363="","",INDEX(BEMANNINGSPLAN!$C$5:$C$546,$P363))</f>
        <v/>
      </c>
      <c r="D363" s="20" t="str">
        <f>IF($P363="","",INDEX(BEMANNINGSPLAN!$D$5:$D$546,$P363))</f>
        <v/>
      </c>
      <c r="E363" s="20" t="str">
        <f>IF($P363="","",SUMIF(BEMANNINGSPLAN!$W$5:$W$546,INDEX(BEMANNINGSPLAN!$W$5:$W$546,$P363),BEMANNINGSPLAN!$X$5:$X$546))</f>
        <v/>
      </c>
      <c r="F363" s="18" t="str">
        <f>IF($P363="","",INDEX(BEMANNINGSPLAN!$J$5:$J$546,$P363))</f>
        <v/>
      </c>
      <c r="G363" s="19" t="str">
        <f>IF($P363="","",INDEX(BEMANNINGSPLAN!$AD$5:$AD$546,$P363))</f>
        <v/>
      </c>
      <c r="H363" s="18" t="str">
        <f>IF($P363="","",IF(AND(INDEX(BEMANNINGSPLAN!$Y$5:$Y$546,$P363)=1,G363&lt;&gt;"Minicafé"),"X",""))</f>
        <v/>
      </c>
      <c r="I363" s="21" t="str">
        <f>IF($P363="","",IF(INDEX(BEMANNINGSPLAN!$Y$5:$Y$546,$P363)=1,"X",""))</f>
        <v/>
      </c>
      <c r="J363" s="22" t="str">
        <f>IF($P363="","",IF(SUMIF(BEMANNINGSPLAN!$W$5:$W$546,INDEX(BEMANNINGSPLAN!$W$5:$W$546,$P363),BEMANNINGSPLAN!$Z$5:$Z$546)=1,"X",""))</f>
        <v/>
      </c>
      <c r="K363" s="23" t="str">
        <f>IF($P363="","",IFERROR(LOOKUP(2,1/((BEMANNINGSPLAN!$W$5:$W$546=INDEX(BEMANNINGSPLAN!$W$5:$W$546,$P363))*(BEMANNINGSPLAN!$L$5:$L$546&lt;&gt;"")),BEMANNINGSPLAN!$L$5:$L$546),""))</f>
        <v/>
      </c>
      <c r="L363" s="18" t="str">
        <f>IF($P363="","",INDEX(BEMANNINGSPLAN!$AE$5:$AE$546,$P363))</f>
        <v/>
      </c>
      <c r="M363" s="137"/>
      <c r="N363" s="16"/>
      <c r="O363" s="16" t="str">
        <f>IF(AND(BEMANNINGSPLAN!U361=1,OR($B$4="Alla lag",BEMANNINGSPLAN!J361=$B$4),OR($E$4="Alla datum",BEMANNINGSPLAN!A361=$E$4)),COUNT($O$6:O362)+1,"")</f>
        <v/>
      </c>
      <c r="P363" s="137" t="str">
        <f t="shared" si="5"/>
        <v/>
      </c>
    </row>
    <row r="364" spans="1:16" ht="27.75" customHeight="1">
      <c r="A364" s="17" t="str">
        <f>IF($P364="","",INDEX(BEMANNINGSPLAN!$A$5:$A$546,$P364))</f>
        <v/>
      </c>
      <c r="B364" s="18" t="str">
        <f>IF($P364="","",INDEX(BEMANNINGSPLAN!$B$5:$B$546,$P364))</f>
        <v/>
      </c>
      <c r="C364" s="19" t="str">
        <f>IF($P364="","",INDEX(BEMANNINGSPLAN!$C$5:$C$546,$P364))</f>
        <v/>
      </c>
      <c r="D364" s="20" t="str">
        <f>IF($P364="","",INDEX(BEMANNINGSPLAN!$D$5:$D$546,$P364))</f>
        <v/>
      </c>
      <c r="E364" s="20" t="str">
        <f>IF($P364="","",SUMIF(BEMANNINGSPLAN!$W$5:$W$546,INDEX(BEMANNINGSPLAN!$W$5:$W$546,$P364),BEMANNINGSPLAN!$X$5:$X$546))</f>
        <v/>
      </c>
      <c r="F364" s="18" t="str">
        <f>IF($P364="","",INDEX(BEMANNINGSPLAN!$J$5:$J$546,$P364))</f>
        <v/>
      </c>
      <c r="G364" s="19" t="str">
        <f>IF($P364="","",INDEX(BEMANNINGSPLAN!$AD$5:$AD$546,$P364))</f>
        <v/>
      </c>
      <c r="H364" s="18" t="str">
        <f>IF($P364="","",IF(AND(INDEX(BEMANNINGSPLAN!$Y$5:$Y$546,$P364)=1,G364&lt;&gt;"Minicafé"),"X",""))</f>
        <v/>
      </c>
      <c r="I364" s="21" t="str">
        <f>IF($P364="","",IF(INDEX(BEMANNINGSPLAN!$Y$5:$Y$546,$P364)=1,"X",""))</f>
        <v/>
      </c>
      <c r="J364" s="22" t="str">
        <f>IF($P364="","",IF(SUMIF(BEMANNINGSPLAN!$W$5:$W$546,INDEX(BEMANNINGSPLAN!$W$5:$W$546,$P364),BEMANNINGSPLAN!$Z$5:$Z$546)=1,"X",""))</f>
        <v/>
      </c>
      <c r="K364" s="23" t="str">
        <f>IF($P364="","",IFERROR(LOOKUP(2,1/((BEMANNINGSPLAN!$W$5:$W$546=INDEX(BEMANNINGSPLAN!$W$5:$W$546,$P364))*(BEMANNINGSPLAN!$L$5:$L$546&lt;&gt;"")),BEMANNINGSPLAN!$L$5:$L$546),""))</f>
        <v/>
      </c>
      <c r="L364" s="18" t="str">
        <f>IF($P364="","",INDEX(BEMANNINGSPLAN!$AE$5:$AE$546,$P364))</f>
        <v/>
      </c>
      <c r="M364" s="137"/>
      <c r="N364" s="16"/>
      <c r="O364" s="16" t="str">
        <f>IF(AND(BEMANNINGSPLAN!U362=1,OR($B$4="Alla lag",BEMANNINGSPLAN!J362=$B$4),OR($E$4="Alla datum",BEMANNINGSPLAN!A362=$E$4)),COUNT($O$6:O363)+1,"")</f>
        <v/>
      </c>
      <c r="P364" s="137" t="str">
        <f t="shared" si="5"/>
        <v/>
      </c>
    </row>
    <row r="365" spans="1:16" ht="27.75" customHeight="1">
      <c r="A365" s="17" t="str">
        <f>IF($P365="","",INDEX(BEMANNINGSPLAN!$A$5:$A$546,$P365))</f>
        <v/>
      </c>
      <c r="B365" s="18" t="str">
        <f>IF($P365="","",INDEX(BEMANNINGSPLAN!$B$5:$B$546,$P365))</f>
        <v/>
      </c>
      <c r="C365" s="19" t="str">
        <f>IF($P365="","",INDEX(BEMANNINGSPLAN!$C$5:$C$546,$P365))</f>
        <v/>
      </c>
      <c r="D365" s="20" t="str">
        <f>IF($P365="","",INDEX(BEMANNINGSPLAN!$D$5:$D$546,$P365))</f>
        <v/>
      </c>
      <c r="E365" s="20" t="str">
        <f>IF($P365="","",SUMIF(BEMANNINGSPLAN!$W$5:$W$546,INDEX(BEMANNINGSPLAN!$W$5:$W$546,$P365),BEMANNINGSPLAN!$X$5:$X$546))</f>
        <v/>
      </c>
      <c r="F365" s="18" t="str">
        <f>IF($P365="","",INDEX(BEMANNINGSPLAN!$J$5:$J$546,$P365))</f>
        <v/>
      </c>
      <c r="G365" s="19" t="str">
        <f>IF($P365="","",INDEX(BEMANNINGSPLAN!$AD$5:$AD$546,$P365))</f>
        <v/>
      </c>
      <c r="H365" s="18" t="str">
        <f>IF($P365="","",IF(AND(INDEX(BEMANNINGSPLAN!$Y$5:$Y$546,$P365)=1,G365&lt;&gt;"Minicafé"),"X",""))</f>
        <v/>
      </c>
      <c r="I365" s="21" t="str">
        <f>IF($P365="","",IF(INDEX(BEMANNINGSPLAN!$Y$5:$Y$546,$P365)=1,"X",""))</f>
        <v/>
      </c>
      <c r="J365" s="22" t="str">
        <f>IF($P365="","",IF(SUMIF(BEMANNINGSPLAN!$W$5:$W$546,INDEX(BEMANNINGSPLAN!$W$5:$W$546,$P365),BEMANNINGSPLAN!$Z$5:$Z$546)=1,"X",""))</f>
        <v/>
      </c>
      <c r="K365" s="23" t="str">
        <f>IF($P365="","",IFERROR(LOOKUP(2,1/((BEMANNINGSPLAN!$W$5:$W$546=INDEX(BEMANNINGSPLAN!$W$5:$W$546,$P365))*(BEMANNINGSPLAN!$L$5:$L$546&lt;&gt;"")),BEMANNINGSPLAN!$L$5:$L$546),""))</f>
        <v/>
      </c>
      <c r="L365" s="18" t="str">
        <f>IF($P365="","",INDEX(BEMANNINGSPLAN!$AE$5:$AE$546,$P365))</f>
        <v/>
      </c>
      <c r="M365" s="137"/>
      <c r="N365" s="16"/>
      <c r="O365" s="16" t="str">
        <f>IF(AND(BEMANNINGSPLAN!U363=1,OR($B$4="Alla lag",BEMANNINGSPLAN!J363=$B$4),OR($E$4="Alla datum",BEMANNINGSPLAN!A363=$E$4)),COUNT($O$6:O364)+1,"")</f>
        <v/>
      </c>
      <c r="P365" s="137" t="str">
        <f t="shared" si="5"/>
        <v/>
      </c>
    </row>
    <row r="366" spans="1:16" ht="27.75" customHeight="1">
      <c r="A366" s="17" t="str">
        <f>IF($P366="","",INDEX(BEMANNINGSPLAN!$A$5:$A$546,$P366))</f>
        <v/>
      </c>
      <c r="B366" s="18" t="str">
        <f>IF($P366="","",INDEX(BEMANNINGSPLAN!$B$5:$B$546,$P366))</f>
        <v/>
      </c>
      <c r="C366" s="19" t="str">
        <f>IF($P366="","",INDEX(BEMANNINGSPLAN!$C$5:$C$546,$P366))</f>
        <v/>
      </c>
      <c r="D366" s="20" t="str">
        <f>IF($P366="","",INDEX(BEMANNINGSPLAN!$D$5:$D$546,$P366))</f>
        <v/>
      </c>
      <c r="E366" s="20" t="str">
        <f>IF($P366="","",SUMIF(BEMANNINGSPLAN!$W$5:$W$546,INDEX(BEMANNINGSPLAN!$W$5:$W$546,$P366),BEMANNINGSPLAN!$X$5:$X$546))</f>
        <v/>
      </c>
      <c r="F366" s="18" t="str">
        <f>IF($P366="","",INDEX(BEMANNINGSPLAN!$J$5:$J$546,$P366))</f>
        <v/>
      </c>
      <c r="G366" s="19" t="str">
        <f>IF($P366="","",INDEX(BEMANNINGSPLAN!$AD$5:$AD$546,$P366))</f>
        <v/>
      </c>
      <c r="H366" s="18" t="str">
        <f>IF($P366="","",IF(AND(INDEX(BEMANNINGSPLAN!$Y$5:$Y$546,$P366)=1,G366&lt;&gt;"Minicafé"),"X",""))</f>
        <v/>
      </c>
      <c r="I366" s="21" t="str">
        <f>IF($P366="","",IF(INDEX(BEMANNINGSPLAN!$Y$5:$Y$546,$P366)=1,"X",""))</f>
        <v/>
      </c>
      <c r="J366" s="22" t="str">
        <f>IF($P366="","",IF(SUMIF(BEMANNINGSPLAN!$W$5:$W$546,INDEX(BEMANNINGSPLAN!$W$5:$W$546,$P366),BEMANNINGSPLAN!$Z$5:$Z$546)=1,"X",""))</f>
        <v/>
      </c>
      <c r="K366" s="23" t="str">
        <f>IF($P366="","",IFERROR(LOOKUP(2,1/((BEMANNINGSPLAN!$W$5:$W$546=INDEX(BEMANNINGSPLAN!$W$5:$W$546,$P366))*(BEMANNINGSPLAN!$L$5:$L$546&lt;&gt;"")),BEMANNINGSPLAN!$L$5:$L$546),""))</f>
        <v/>
      </c>
      <c r="L366" s="18" t="str">
        <f>IF($P366="","",INDEX(BEMANNINGSPLAN!$AE$5:$AE$546,$P366))</f>
        <v/>
      </c>
      <c r="M366" s="137"/>
      <c r="N366" s="16"/>
      <c r="O366" s="16" t="str">
        <f>IF(AND(BEMANNINGSPLAN!U364=1,OR($B$4="Alla lag",BEMANNINGSPLAN!J364=$B$4),OR($E$4="Alla datum",BEMANNINGSPLAN!A364=$E$4)),COUNT($O$6:O365)+1,"")</f>
        <v/>
      </c>
      <c r="P366" s="137" t="str">
        <f t="shared" si="5"/>
        <v/>
      </c>
    </row>
    <row r="367" spans="1:16" ht="27.75" customHeight="1">
      <c r="A367" s="17" t="str">
        <f>IF($P367="","",INDEX(BEMANNINGSPLAN!$A$5:$A$546,$P367))</f>
        <v/>
      </c>
      <c r="B367" s="18" t="str">
        <f>IF($P367="","",INDEX(BEMANNINGSPLAN!$B$5:$B$546,$P367))</f>
        <v/>
      </c>
      <c r="C367" s="19" t="str">
        <f>IF($P367="","",INDEX(BEMANNINGSPLAN!$C$5:$C$546,$P367))</f>
        <v/>
      </c>
      <c r="D367" s="20" t="str">
        <f>IF($P367="","",INDEX(BEMANNINGSPLAN!$D$5:$D$546,$P367))</f>
        <v/>
      </c>
      <c r="E367" s="20" t="str">
        <f>IF($P367="","",SUMIF(BEMANNINGSPLAN!$W$5:$W$546,INDEX(BEMANNINGSPLAN!$W$5:$W$546,$P367),BEMANNINGSPLAN!$X$5:$X$546))</f>
        <v/>
      </c>
      <c r="F367" s="18" t="str">
        <f>IF($P367="","",INDEX(BEMANNINGSPLAN!$J$5:$J$546,$P367))</f>
        <v/>
      </c>
      <c r="G367" s="19" t="str">
        <f>IF($P367="","",INDEX(BEMANNINGSPLAN!$AD$5:$AD$546,$P367))</f>
        <v/>
      </c>
      <c r="H367" s="18" t="str">
        <f>IF($P367="","",IF(AND(INDEX(BEMANNINGSPLAN!$Y$5:$Y$546,$P367)=1,G367&lt;&gt;"Minicafé"),"X",""))</f>
        <v/>
      </c>
      <c r="I367" s="21" t="str">
        <f>IF($P367="","",IF(INDEX(BEMANNINGSPLAN!$Y$5:$Y$546,$P367)=1,"X",""))</f>
        <v/>
      </c>
      <c r="J367" s="22" t="str">
        <f>IF($P367="","",IF(SUMIF(BEMANNINGSPLAN!$W$5:$W$546,INDEX(BEMANNINGSPLAN!$W$5:$W$546,$P367),BEMANNINGSPLAN!$Z$5:$Z$546)=1,"X",""))</f>
        <v/>
      </c>
      <c r="K367" s="23" t="str">
        <f>IF($P367="","",IFERROR(LOOKUP(2,1/((BEMANNINGSPLAN!$W$5:$W$546=INDEX(BEMANNINGSPLAN!$W$5:$W$546,$P367))*(BEMANNINGSPLAN!$L$5:$L$546&lt;&gt;"")),BEMANNINGSPLAN!$L$5:$L$546),""))</f>
        <v/>
      </c>
      <c r="L367" s="18" t="str">
        <f>IF($P367="","",INDEX(BEMANNINGSPLAN!$AE$5:$AE$546,$P367))</f>
        <v/>
      </c>
      <c r="M367" s="137"/>
      <c r="N367" s="16"/>
      <c r="O367" s="16" t="str">
        <f>IF(AND(BEMANNINGSPLAN!U365=1,OR($B$4="Alla lag",BEMANNINGSPLAN!J365=$B$4),OR($E$4="Alla datum",BEMANNINGSPLAN!A365=$E$4)),COUNT($O$6:O366)+1,"")</f>
        <v/>
      </c>
      <c r="P367" s="137" t="str">
        <f t="shared" si="5"/>
        <v/>
      </c>
    </row>
    <row r="368" spans="1:16" ht="27.75" customHeight="1">
      <c r="A368" s="17" t="str">
        <f>IF($P368="","",INDEX(BEMANNINGSPLAN!$A$5:$A$546,$P368))</f>
        <v/>
      </c>
      <c r="B368" s="18" t="str">
        <f>IF($P368="","",INDEX(BEMANNINGSPLAN!$B$5:$B$546,$P368))</f>
        <v/>
      </c>
      <c r="C368" s="19" t="str">
        <f>IF($P368="","",INDEX(BEMANNINGSPLAN!$C$5:$C$546,$P368))</f>
        <v/>
      </c>
      <c r="D368" s="20" t="str">
        <f>IF($P368="","",INDEX(BEMANNINGSPLAN!$D$5:$D$546,$P368))</f>
        <v/>
      </c>
      <c r="E368" s="20" t="str">
        <f>IF($P368="","",SUMIF(BEMANNINGSPLAN!$W$5:$W$546,INDEX(BEMANNINGSPLAN!$W$5:$W$546,$P368),BEMANNINGSPLAN!$X$5:$X$546))</f>
        <v/>
      </c>
      <c r="F368" s="18" t="str">
        <f>IF($P368="","",INDEX(BEMANNINGSPLAN!$J$5:$J$546,$P368))</f>
        <v/>
      </c>
      <c r="G368" s="19" t="str">
        <f>IF($P368="","",INDEX(BEMANNINGSPLAN!$AD$5:$AD$546,$P368))</f>
        <v/>
      </c>
      <c r="H368" s="18" t="str">
        <f>IF($P368="","",IF(AND(INDEX(BEMANNINGSPLAN!$Y$5:$Y$546,$P368)=1,G368&lt;&gt;"Minicafé"),"X",""))</f>
        <v/>
      </c>
      <c r="I368" s="21" t="str">
        <f>IF($P368="","",IF(INDEX(BEMANNINGSPLAN!$Y$5:$Y$546,$P368)=1,"X",""))</f>
        <v/>
      </c>
      <c r="J368" s="22" t="str">
        <f>IF($P368="","",IF(SUMIF(BEMANNINGSPLAN!$W$5:$W$546,INDEX(BEMANNINGSPLAN!$W$5:$W$546,$P368),BEMANNINGSPLAN!$Z$5:$Z$546)=1,"X",""))</f>
        <v/>
      </c>
      <c r="K368" s="23" t="str">
        <f>IF($P368="","",IFERROR(LOOKUP(2,1/((BEMANNINGSPLAN!$W$5:$W$546=INDEX(BEMANNINGSPLAN!$W$5:$W$546,$P368))*(BEMANNINGSPLAN!$L$5:$L$546&lt;&gt;"")),BEMANNINGSPLAN!$L$5:$L$546),""))</f>
        <v/>
      </c>
      <c r="L368" s="18" t="str">
        <f>IF($P368="","",INDEX(BEMANNINGSPLAN!$AE$5:$AE$546,$P368))</f>
        <v/>
      </c>
      <c r="M368" s="137"/>
      <c r="N368" s="16"/>
      <c r="O368" s="16">
        <f>IF(AND(BEMANNINGSPLAN!U366=1,OR($B$4="Alla lag",BEMANNINGSPLAN!J366=$B$4),OR($E$4="Alla datum",BEMANNINGSPLAN!A366=$E$4)),COUNT($O$6:O367)+1,"")</f>
        <v>52</v>
      </c>
      <c r="P368" s="137" t="str">
        <f t="shared" si="5"/>
        <v/>
      </c>
    </row>
    <row r="369" spans="1:16" ht="27.75" customHeight="1">
      <c r="A369" s="17" t="str">
        <f>IF($P369="","",INDEX(BEMANNINGSPLAN!$A$5:$A$546,$P369))</f>
        <v/>
      </c>
      <c r="B369" s="18" t="str">
        <f>IF($P369="","",INDEX(BEMANNINGSPLAN!$B$5:$B$546,$P369))</f>
        <v/>
      </c>
      <c r="C369" s="19" t="str">
        <f>IF($P369="","",INDEX(BEMANNINGSPLAN!$C$5:$C$546,$P369))</f>
        <v/>
      </c>
      <c r="D369" s="20" t="str">
        <f>IF($P369="","",INDEX(BEMANNINGSPLAN!$D$5:$D$546,$P369))</f>
        <v/>
      </c>
      <c r="E369" s="20" t="str">
        <f>IF($P369="","",SUMIF(BEMANNINGSPLAN!$W$5:$W$546,INDEX(BEMANNINGSPLAN!$W$5:$W$546,$P369),BEMANNINGSPLAN!$X$5:$X$546))</f>
        <v/>
      </c>
      <c r="F369" s="18" t="str">
        <f>IF($P369="","",INDEX(BEMANNINGSPLAN!$J$5:$J$546,$P369))</f>
        <v/>
      </c>
      <c r="G369" s="19" t="str">
        <f>IF($P369="","",INDEX(BEMANNINGSPLAN!$AD$5:$AD$546,$P369))</f>
        <v/>
      </c>
      <c r="H369" s="18" t="str">
        <f>IF($P369="","",IF(AND(INDEX(BEMANNINGSPLAN!$Y$5:$Y$546,$P369)=1,G369&lt;&gt;"Minicafé"),"X",""))</f>
        <v/>
      </c>
      <c r="I369" s="21" t="str">
        <f>IF($P369="","",IF(INDEX(BEMANNINGSPLAN!$Y$5:$Y$546,$P369)=1,"X",""))</f>
        <v/>
      </c>
      <c r="J369" s="22" t="str">
        <f>IF($P369="","",IF(SUMIF(BEMANNINGSPLAN!$W$5:$W$546,INDEX(BEMANNINGSPLAN!$W$5:$W$546,$P369),BEMANNINGSPLAN!$Z$5:$Z$546)=1,"X",""))</f>
        <v/>
      </c>
      <c r="K369" s="23" t="str">
        <f>IF($P369="","",IFERROR(LOOKUP(2,1/((BEMANNINGSPLAN!$W$5:$W$546=INDEX(BEMANNINGSPLAN!$W$5:$W$546,$P369))*(BEMANNINGSPLAN!$L$5:$L$546&lt;&gt;"")),BEMANNINGSPLAN!$L$5:$L$546),""))</f>
        <v/>
      </c>
      <c r="L369" s="18" t="str">
        <f>IF($P369="","",INDEX(BEMANNINGSPLAN!$AE$5:$AE$546,$P369))</f>
        <v/>
      </c>
      <c r="M369" s="137"/>
      <c r="N369" s="16"/>
      <c r="O369" s="16" t="str">
        <f>IF(AND(BEMANNINGSPLAN!U367=1,OR($B$4="Alla lag",BEMANNINGSPLAN!J367=$B$4),OR($E$4="Alla datum",BEMANNINGSPLAN!A367=$E$4)),COUNT($O$6:O368)+1,"")</f>
        <v/>
      </c>
      <c r="P369" s="137" t="str">
        <f t="shared" si="5"/>
        <v/>
      </c>
    </row>
    <row r="370" spans="1:16" ht="27.75" customHeight="1">
      <c r="A370" s="17" t="str">
        <f>IF($P370="","",INDEX(BEMANNINGSPLAN!$A$5:$A$546,$P370))</f>
        <v/>
      </c>
      <c r="B370" s="18" t="str">
        <f>IF($P370="","",INDEX(BEMANNINGSPLAN!$B$5:$B$546,$P370))</f>
        <v/>
      </c>
      <c r="C370" s="19" t="str">
        <f>IF($P370="","",INDEX(BEMANNINGSPLAN!$C$5:$C$546,$P370))</f>
        <v/>
      </c>
      <c r="D370" s="20" t="str">
        <f>IF($P370="","",INDEX(BEMANNINGSPLAN!$D$5:$D$546,$P370))</f>
        <v/>
      </c>
      <c r="E370" s="20" t="str">
        <f>IF($P370="","",SUMIF(BEMANNINGSPLAN!$W$5:$W$546,INDEX(BEMANNINGSPLAN!$W$5:$W$546,$P370),BEMANNINGSPLAN!$X$5:$X$546))</f>
        <v/>
      </c>
      <c r="F370" s="18" t="str">
        <f>IF($P370="","",INDEX(BEMANNINGSPLAN!$J$5:$J$546,$P370))</f>
        <v/>
      </c>
      <c r="G370" s="19" t="str">
        <f>IF($P370="","",INDEX(BEMANNINGSPLAN!$AD$5:$AD$546,$P370))</f>
        <v/>
      </c>
      <c r="H370" s="18" t="str">
        <f>IF($P370="","",IF(AND(INDEX(BEMANNINGSPLAN!$Y$5:$Y$546,$P370)=1,G370&lt;&gt;"Minicafé"),"X",""))</f>
        <v/>
      </c>
      <c r="I370" s="21" t="str">
        <f>IF($P370="","",IF(INDEX(BEMANNINGSPLAN!$Y$5:$Y$546,$P370)=1,"X",""))</f>
        <v/>
      </c>
      <c r="J370" s="22" t="str">
        <f>IF($P370="","",IF(SUMIF(BEMANNINGSPLAN!$W$5:$W$546,INDEX(BEMANNINGSPLAN!$W$5:$W$546,$P370),BEMANNINGSPLAN!$Z$5:$Z$546)=1,"X",""))</f>
        <v/>
      </c>
      <c r="K370" s="23" t="str">
        <f>IF($P370="","",IFERROR(LOOKUP(2,1/((BEMANNINGSPLAN!$W$5:$W$546=INDEX(BEMANNINGSPLAN!$W$5:$W$546,$P370))*(BEMANNINGSPLAN!$L$5:$L$546&lt;&gt;"")),BEMANNINGSPLAN!$L$5:$L$546),""))</f>
        <v/>
      </c>
      <c r="L370" s="18" t="str">
        <f>IF($P370="","",INDEX(BEMANNINGSPLAN!$AE$5:$AE$546,$P370))</f>
        <v/>
      </c>
      <c r="M370" s="137"/>
      <c r="N370" s="16"/>
      <c r="O370" s="16" t="str">
        <f>IF(AND(BEMANNINGSPLAN!U368=1,OR($B$4="Alla lag",BEMANNINGSPLAN!J368=$B$4),OR($E$4="Alla datum",BEMANNINGSPLAN!A368=$E$4)),COUNT($O$6:O369)+1,"")</f>
        <v/>
      </c>
      <c r="P370" s="137" t="str">
        <f t="shared" si="5"/>
        <v/>
      </c>
    </row>
    <row r="371" spans="1:16" ht="27.75" customHeight="1">
      <c r="A371" s="17" t="str">
        <f>IF($P371="","",INDEX(BEMANNINGSPLAN!$A$5:$A$546,$P371))</f>
        <v/>
      </c>
      <c r="B371" s="18" t="str">
        <f>IF($P371="","",INDEX(BEMANNINGSPLAN!$B$5:$B$546,$P371))</f>
        <v/>
      </c>
      <c r="C371" s="19" t="str">
        <f>IF($P371="","",INDEX(BEMANNINGSPLAN!$C$5:$C$546,$P371))</f>
        <v/>
      </c>
      <c r="D371" s="20" t="str">
        <f>IF($P371="","",INDEX(BEMANNINGSPLAN!$D$5:$D$546,$P371))</f>
        <v/>
      </c>
      <c r="E371" s="20" t="str">
        <f>IF($P371="","",SUMIF(BEMANNINGSPLAN!$W$5:$W$546,INDEX(BEMANNINGSPLAN!$W$5:$W$546,$P371),BEMANNINGSPLAN!$X$5:$X$546))</f>
        <v/>
      </c>
      <c r="F371" s="18" t="str">
        <f>IF($P371="","",INDEX(BEMANNINGSPLAN!$J$5:$J$546,$P371))</f>
        <v/>
      </c>
      <c r="G371" s="19" t="str">
        <f>IF($P371="","",INDEX(BEMANNINGSPLAN!$AD$5:$AD$546,$P371))</f>
        <v/>
      </c>
      <c r="H371" s="18" t="str">
        <f>IF($P371="","",IF(AND(INDEX(BEMANNINGSPLAN!$Y$5:$Y$546,$P371)=1,G371&lt;&gt;"Minicafé"),"X",""))</f>
        <v/>
      </c>
      <c r="I371" s="21" t="str">
        <f>IF($P371="","",IF(INDEX(BEMANNINGSPLAN!$Y$5:$Y$546,$P371)=1,"X",""))</f>
        <v/>
      </c>
      <c r="J371" s="22" t="str">
        <f>IF($P371="","",IF(SUMIF(BEMANNINGSPLAN!$W$5:$W$546,INDEX(BEMANNINGSPLAN!$W$5:$W$546,$P371),BEMANNINGSPLAN!$Z$5:$Z$546)=1,"X",""))</f>
        <v/>
      </c>
      <c r="K371" s="23" t="str">
        <f>IF($P371="","",IFERROR(LOOKUP(2,1/((BEMANNINGSPLAN!$W$5:$W$546=INDEX(BEMANNINGSPLAN!$W$5:$W$546,$P371))*(BEMANNINGSPLAN!$L$5:$L$546&lt;&gt;"")),BEMANNINGSPLAN!$L$5:$L$546),""))</f>
        <v/>
      </c>
      <c r="L371" s="18" t="str">
        <f>IF($P371="","",INDEX(BEMANNINGSPLAN!$AE$5:$AE$546,$P371))</f>
        <v/>
      </c>
      <c r="M371" s="137"/>
      <c r="N371" s="16"/>
      <c r="O371" s="16" t="str">
        <f>IF(AND(BEMANNINGSPLAN!U369=1,OR($B$4="Alla lag",BEMANNINGSPLAN!J369=$B$4),OR($E$4="Alla datum",BEMANNINGSPLAN!A369=$E$4)),COUNT($O$6:O370)+1,"")</f>
        <v/>
      </c>
      <c r="P371" s="137" t="str">
        <f t="shared" si="5"/>
        <v/>
      </c>
    </row>
    <row r="372" spans="1:16" ht="27.75" customHeight="1">
      <c r="A372" s="17" t="str">
        <f>IF($P372="","",INDEX(BEMANNINGSPLAN!$A$5:$A$546,$P372))</f>
        <v/>
      </c>
      <c r="B372" s="18" t="str">
        <f>IF($P372="","",INDEX(BEMANNINGSPLAN!$B$5:$B$546,$P372))</f>
        <v/>
      </c>
      <c r="C372" s="19" t="str">
        <f>IF($P372="","",INDEX(BEMANNINGSPLAN!$C$5:$C$546,$P372))</f>
        <v/>
      </c>
      <c r="D372" s="20" t="str">
        <f>IF($P372="","",INDEX(BEMANNINGSPLAN!$D$5:$D$546,$P372))</f>
        <v/>
      </c>
      <c r="E372" s="20" t="str">
        <f>IF($P372="","",SUMIF(BEMANNINGSPLAN!$W$5:$W$546,INDEX(BEMANNINGSPLAN!$W$5:$W$546,$P372),BEMANNINGSPLAN!$X$5:$X$546))</f>
        <v/>
      </c>
      <c r="F372" s="18" t="str">
        <f>IF($P372="","",INDEX(BEMANNINGSPLAN!$J$5:$J$546,$P372))</f>
        <v/>
      </c>
      <c r="G372" s="19" t="str">
        <f>IF($P372="","",INDEX(BEMANNINGSPLAN!$AD$5:$AD$546,$P372))</f>
        <v/>
      </c>
      <c r="H372" s="18" t="str">
        <f>IF($P372="","",IF(AND(INDEX(BEMANNINGSPLAN!$Y$5:$Y$546,$P372)=1,G372&lt;&gt;"Minicafé"),"X",""))</f>
        <v/>
      </c>
      <c r="I372" s="21" t="str">
        <f>IF($P372="","",IF(INDEX(BEMANNINGSPLAN!$Y$5:$Y$546,$P372)=1,"X",""))</f>
        <v/>
      </c>
      <c r="J372" s="22" t="str">
        <f>IF($P372="","",IF(SUMIF(BEMANNINGSPLAN!$W$5:$W$546,INDEX(BEMANNINGSPLAN!$W$5:$W$546,$P372),BEMANNINGSPLAN!$Z$5:$Z$546)=1,"X",""))</f>
        <v/>
      </c>
      <c r="K372" s="23" t="str">
        <f>IF($P372="","",IFERROR(LOOKUP(2,1/((BEMANNINGSPLAN!$W$5:$W$546=INDEX(BEMANNINGSPLAN!$W$5:$W$546,$P372))*(BEMANNINGSPLAN!$L$5:$L$546&lt;&gt;"")),BEMANNINGSPLAN!$L$5:$L$546),""))</f>
        <v/>
      </c>
      <c r="L372" s="18" t="str">
        <f>IF($P372="","",INDEX(BEMANNINGSPLAN!$AE$5:$AE$546,$P372))</f>
        <v/>
      </c>
      <c r="M372" s="137"/>
      <c r="N372" s="16"/>
      <c r="O372" s="16" t="str">
        <f>IF(AND(BEMANNINGSPLAN!U370=1,OR($B$4="Alla lag",BEMANNINGSPLAN!J370=$B$4),OR($E$4="Alla datum",BEMANNINGSPLAN!A370=$E$4)),COUNT($O$6:O371)+1,"")</f>
        <v/>
      </c>
      <c r="P372" s="137" t="str">
        <f t="shared" si="5"/>
        <v/>
      </c>
    </row>
    <row r="373" spans="1:16" ht="27.75" customHeight="1">
      <c r="A373" s="17" t="str">
        <f>IF($P373="","",INDEX(BEMANNINGSPLAN!$A$5:$A$546,$P373))</f>
        <v/>
      </c>
      <c r="B373" s="18" t="str">
        <f>IF($P373="","",INDEX(BEMANNINGSPLAN!$B$5:$B$546,$P373))</f>
        <v/>
      </c>
      <c r="C373" s="19" t="str">
        <f>IF($P373="","",INDEX(BEMANNINGSPLAN!$C$5:$C$546,$P373))</f>
        <v/>
      </c>
      <c r="D373" s="20" t="str">
        <f>IF($P373="","",INDEX(BEMANNINGSPLAN!$D$5:$D$546,$P373))</f>
        <v/>
      </c>
      <c r="E373" s="20" t="str">
        <f>IF($P373="","",SUMIF(BEMANNINGSPLAN!$W$5:$W$546,INDEX(BEMANNINGSPLAN!$W$5:$W$546,$P373),BEMANNINGSPLAN!$X$5:$X$546))</f>
        <v/>
      </c>
      <c r="F373" s="18" t="str">
        <f>IF($P373="","",INDEX(BEMANNINGSPLAN!$J$5:$J$546,$P373))</f>
        <v/>
      </c>
      <c r="G373" s="19" t="str">
        <f>IF($P373="","",INDEX(BEMANNINGSPLAN!$AD$5:$AD$546,$P373))</f>
        <v/>
      </c>
      <c r="H373" s="18" t="str">
        <f>IF($P373="","",IF(AND(INDEX(BEMANNINGSPLAN!$Y$5:$Y$546,$P373)=1,G373&lt;&gt;"Minicafé"),"X",""))</f>
        <v/>
      </c>
      <c r="I373" s="21" t="str">
        <f>IF($P373="","",IF(INDEX(BEMANNINGSPLAN!$Y$5:$Y$546,$P373)=1,"X",""))</f>
        <v/>
      </c>
      <c r="J373" s="22" t="str">
        <f>IF($P373="","",IF(SUMIF(BEMANNINGSPLAN!$W$5:$W$546,INDEX(BEMANNINGSPLAN!$W$5:$W$546,$P373),BEMANNINGSPLAN!$Z$5:$Z$546)=1,"X",""))</f>
        <v/>
      </c>
      <c r="K373" s="23" t="str">
        <f>IF($P373="","",IFERROR(LOOKUP(2,1/((BEMANNINGSPLAN!$W$5:$W$546=INDEX(BEMANNINGSPLAN!$W$5:$W$546,$P373))*(BEMANNINGSPLAN!$L$5:$L$546&lt;&gt;"")),BEMANNINGSPLAN!$L$5:$L$546),""))</f>
        <v/>
      </c>
      <c r="L373" s="18" t="str">
        <f>IF($P373="","",INDEX(BEMANNINGSPLAN!$AE$5:$AE$546,$P373))</f>
        <v/>
      </c>
      <c r="M373" s="137"/>
      <c r="N373" s="16"/>
      <c r="O373" s="16" t="str">
        <f>IF(AND(BEMANNINGSPLAN!U371=1,OR($B$4="Alla lag",BEMANNINGSPLAN!J371=$B$4),OR($E$4="Alla datum",BEMANNINGSPLAN!A371=$E$4)),COUNT($O$6:O372)+1,"")</f>
        <v/>
      </c>
      <c r="P373" s="137" t="str">
        <f t="shared" si="5"/>
        <v/>
      </c>
    </row>
    <row r="374" spans="1:16" ht="27.75" customHeight="1">
      <c r="A374" s="17" t="str">
        <f>IF($P374="","",INDEX(BEMANNINGSPLAN!$A$5:$A$546,$P374))</f>
        <v/>
      </c>
      <c r="B374" s="18" t="str">
        <f>IF($P374="","",INDEX(BEMANNINGSPLAN!$B$5:$B$546,$P374))</f>
        <v/>
      </c>
      <c r="C374" s="19" t="str">
        <f>IF($P374="","",INDEX(BEMANNINGSPLAN!$C$5:$C$546,$P374))</f>
        <v/>
      </c>
      <c r="D374" s="20" t="str">
        <f>IF($P374="","",INDEX(BEMANNINGSPLAN!$D$5:$D$546,$P374))</f>
        <v/>
      </c>
      <c r="E374" s="20" t="str">
        <f>IF($P374="","",SUMIF(BEMANNINGSPLAN!$W$5:$W$546,INDEX(BEMANNINGSPLAN!$W$5:$W$546,$P374),BEMANNINGSPLAN!$X$5:$X$546))</f>
        <v/>
      </c>
      <c r="F374" s="18" t="str">
        <f>IF($P374="","",INDEX(BEMANNINGSPLAN!$J$5:$J$546,$P374))</f>
        <v/>
      </c>
      <c r="G374" s="19" t="str">
        <f>IF($P374="","",INDEX(BEMANNINGSPLAN!$AD$5:$AD$546,$P374))</f>
        <v/>
      </c>
      <c r="H374" s="18" t="str">
        <f>IF($P374="","",IF(AND(INDEX(BEMANNINGSPLAN!$Y$5:$Y$546,$P374)=1,G374&lt;&gt;"Minicafé"),"X",""))</f>
        <v/>
      </c>
      <c r="I374" s="21" t="str">
        <f>IF($P374="","",IF(INDEX(BEMANNINGSPLAN!$Y$5:$Y$546,$P374)=1,"X",""))</f>
        <v/>
      </c>
      <c r="J374" s="22" t="str">
        <f>IF($P374="","",IF(SUMIF(BEMANNINGSPLAN!$W$5:$W$546,INDEX(BEMANNINGSPLAN!$W$5:$W$546,$P374),BEMANNINGSPLAN!$Z$5:$Z$546)=1,"X",""))</f>
        <v/>
      </c>
      <c r="K374" s="23" t="str">
        <f>IF($P374="","",IFERROR(LOOKUP(2,1/((BEMANNINGSPLAN!$W$5:$W$546=INDEX(BEMANNINGSPLAN!$W$5:$W$546,$P374))*(BEMANNINGSPLAN!$L$5:$L$546&lt;&gt;"")),BEMANNINGSPLAN!$L$5:$L$546),""))</f>
        <v/>
      </c>
      <c r="L374" s="18" t="str">
        <f>IF($P374="","",INDEX(BEMANNINGSPLAN!$AE$5:$AE$546,$P374))</f>
        <v/>
      </c>
      <c r="M374" s="137"/>
      <c r="N374" s="16"/>
      <c r="O374" s="16" t="str">
        <f>IF(AND(BEMANNINGSPLAN!U372=1,OR($B$4="Alla lag",BEMANNINGSPLAN!J372=$B$4),OR($E$4="Alla datum",BEMANNINGSPLAN!A372=$E$4)),COUNT($O$6:O373)+1,"")</f>
        <v/>
      </c>
      <c r="P374" s="137" t="str">
        <f t="shared" si="5"/>
        <v/>
      </c>
    </row>
    <row r="375" spans="1:16" ht="27.75" customHeight="1">
      <c r="A375" s="17" t="str">
        <f>IF($P375="","",INDEX(BEMANNINGSPLAN!$A$5:$A$546,$P375))</f>
        <v/>
      </c>
      <c r="B375" s="18" t="str">
        <f>IF($P375="","",INDEX(BEMANNINGSPLAN!$B$5:$B$546,$P375))</f>
        <v/>
      </c>
      <c r="C375" s="19" t="str">
        <f>IF($P375="","",INDEX(BEMANNINGSPLAN!$C$5:$C$546,$P375))</f>
        <v/>
      </c>
      <c r="D375" s="20" t="str">
        <f>IF($P375="","",INDEX(BEMANNINGSPLAN!$D$5:$D$546,$P375))</f>
        <v/>
      </c>
      <c r="E375" s="20" t="str">
        <f>IF($P375="","",SUMIF(BEMANNINGSPLAN!$W$5:$W$546,INDEX(BEMANNINGSPLAN!$W$5:$W$546,$P375),BEMANNINGSPLAN!$X$5:$X$546))</f>
        <v/>
      </c>
      <c r="F375" s="18" t="str">
        <f>IF($P375="","",INDEX(BEMANNINGSPLAN!$J$5:$J$546,$P375))</f>
        <v/>
      </c>
      <c r="G375" s="19" t="str">
        <f>IF($P375="","",INDEX(BEMANNINGSPLAN!$AD$5:$AD$546,$P375))</f>
        <v/>
      </c>
      <c r="H375" s="18" t="str">
        <f>IF($P375="","",IF(AND(INDEX(BEMANNINGSPLAN!$Y$5:$Y$546,$P375)=1,G375&lt;&gt;"Minicafé"),"X",""))</f>
        <v/>
      </c>
      <c r="I375" s="21" t="str">
        <f>IF($P375="","",IF(INDEX(BEMANNINGSPLAN!$Y$5:$Y$546,$P375)=1,"X",""))</f>
        <v/>
      </c>
      <c r="J375" s="22" t="str">
        <f>IF($P375="","",IF(SUMIF(BEMANNINGSPLAN!$W$5:$W$546,INDEX(BEMANNINGSPLAN!$W$5:$W$546,$P375),BEMANNINGSPLAN!$Z$5:$Z$546)=1,"X",""))</f>
        <v/>
      </c>
      <c r="K375" s="23" t="str">
        <f>IF($P375="","",IFERROR(LOOKUP(2,1/((BEMANNINGSPLAN!$W$5:$W$546=INDEX(BEMANNINGSPLAN!$W$5:$W$546,$P375))*(BEMANNINGSPLAN!$L$5:$L$546&lt;&gt;"")),BEMANNINGSPLAN!$L$5:$L$546),""))</f>
        <v/>
      </c>
      <c r="L375" s="18" t="str">
        <f>IF($P375="","",INDEX(BEMANNINGSPLAN!$AE$5:$AE$546,$P375))</f>
        <v/>
      </c>
      <c r="M375" s="137"/>
      <c r="N375" s="16"/>
      <c r="O375" s="16" t="str">
        <f>IF(AND(BEMANNINGSPLAN!U373=1,OR($B$4="Alla lag",BEMANNINGSPLAN!J373=$B$4),OR($E$4="Alla datum",BEMANNINGSPLAN!A373=$E$4)),COUNT($O$6:O374)+1,"")</f>
        <v/>
      </c>
      <c r="P375" s="137" t="str">
        <f t="shared" si="5"/>
        <v/>
      </c>
    </row>
    <row r="376" spans="1:16" ht="27.75" customHeight="1">
      <c r="A376" s="17" t="str">
        <f>IF($P376="","",INDEX(BEMANNINGSPLAN!$A$5:$A$546,$P376))</f>
        <v/>
      </c>
      <c r="B376" s="18" t="str">
        <f>IF($P376="","",INDEX(BEMANNINGSPLAN!$B$5:$B$546,$P376))</f>
        <v/>
      </c>
      <c r="C376" s="19" t="str">
        <f>IF($P376="","",INDEX(BEMANNINGSPLAN!$C$5:$C$546,$P376))</f>
        <v/>
      </c>
      <c r="D376" s="20" t="str">
        <f>IF($P376="","",INDEX(BEMANNINGSPLAN!$D$5:$D$546,$P376))</f>
        <v/>
      </c>
      <c r="E376" s="20" t="str">
        <f>IF($P376="","",SUMIF(BEMANNINGSPLAN!$W$5:$W$546,INDEX(BEMANNINGSPLAN!$W$5:$W$546,$P376),BEMANNINGSPLAN!$X$5:$X$546))</f>
        <v/>
      </c>
      <c r="F376" s="18" t="str">
        <f>IF($P376="","",INDEX(BEMANNINGSPLAN!$J$5:$J$546,$P376))</f>
        <v/>
      </c>
      <c r="G376" s="19" t="str">
        <f>IF($P376="","",INDEX(BEMANNINGSPLAN!$AD$5:$AD$546,$P376))</f>
        <v/>
      </c>
      <c r="H376" s="18" t="str">
        <f>IF($P376="","",IF(AND(INDEX(BEMANNINGSPLAN!$Y$5:$Y$546,$P376)=1,G376&lt;&gt;"Minicafé"),"X",""))</f>
        <v/>
      </c>
      <c r="I376" s="21" t="str">
        <f>IF($P376="","",IF(INDEX(BEMANNINGSPLAN!$Y$5:$Y$546,$P376)=1,"X",""))</f>
        <v/>
      </c>
      <c r="J376" s="22" t="str">
        <f>IF($P376="","",IF(SUMIF(BEMANNINGSPLAN!$W$5:$W$546,INDEX(BEMANNINGSPLAN!$W$5:$W$546,$P376),BEMANNINGSPLAN!$Z$5:$Z$546)=1,"X",""))</f>
        <v/>
      </c>
      <c r="K376" s="23" t="str">
        <f>IF($P376="","",IFERROR(LOOKUP(2,1/((BEMANNINGSPLAN!$W$5:$W$546=INDEX(BEMANNINGSPLAN!$W$5:$W$546,$P376))*(BEMANNINGSPLAN!$L$5:$L$546&lt;&gt;"")),BEMANNINGSPLAN!$L$5:$L$546),""))</f>
        <v/>
      </c>
      <c r="L376" s="18" t="str">
        <f>IF($P376="","",INDEX(BEMANNINGSPLAN!$AE$5:$AE$546,$P376))</f>
        <v/>
      </c>
      <c r="M376" s="137"/>
      <c r="N376" s="16"/>
      <c r="O376" s="16" t="str">
        <f>IF(AND(BEMANNINGSPLAN!U374=1,OR($B$4="Alla lag",BEMANNINGSPLAN!J374=$B$4),OR($E$4="Alla datum",BEMANNINGSPLAN!A374=$E$4)),COUNT($O$6:O375)+1,"")</f>
        <v/>
      </c>
      <c r="P376" s="137" t="str">
        <f t="shared" si="5"/>
        <v/>
      </c>
    </row>
    <row r="377" spans="1:16" ht="27.75" customHeight="1">
      <c r="A377" s="17" t="str">
        <f>IF($P377="","",INDEX(BEMANNINGSPLAN!$A$5:$A$546,$P377))</f>
        <v/>
      </c>
      <c r="B377" s="18" t="str">
        <f>IF($P377="","",INDEX(BEMANNINGSPLAN!$B$5:$B$546,$P377))</f>
        <v/>
      </c>
      <c r="C377" s="19" t="str">
        <f>IF($P377="","",INDEX(BEMANNINGSPLAN!$C$5:$C$546,$P377))</f>
        <v/>
      </c>
      <c r="D377" s="20" t="str">
        <f>IF($P377="","",INDEX(BEMANNINGSPLAN!$D$5:$D$546,$P377))</f>
        <v/>
      </c>
      <c r="E377" s="20" t="str">
        <f>IF($P377="","",SUMIF(BEMANNINGSPLAN!$W$5:$W$546,INDEX(BEMANNINGSPLAN!$W$5:$W$546,$P377),BEMANNINGSPLAN!$X$5:$X$546))</f>
        <v/>
      </c>
      <c r="F377" s="18" t="str">
        <f>IF($P377="","",INDEX(BEMANNINGSPLAN!$J$5:$J$546,$P377))</f>
        <v/>
      </c>
      <c r="G377" s="19" t="str">
        <f>IF($P377="","",INDEX(BEMANNINGSPLAN!$AD$5:$AD$546,$P377))</f>
        <v/>
      </c>
      <c r="H377" s="18" t="str">
        <f>IF($P377="","",IF(AND(INDEX(BEMANNINGSPLAN!$Y$5:$Y$546,$P377)=1,G377&lt;&gt;"Minicafé"),"X",""))</f>
        <v/>
      </c>
      <c r="I377" s="21" t="str">
        <f>IF($P377="","",IF(INDEX(BEMANNINGSPLAN!$Y$5:$Y$546,$P377)=1,"X",""))</f>
        <v/>
      </c>
      <c r="J377" s="22" t="str">
        <f>IF($P377="","",IF(SUMIF(BEMANNINGSPLAN!$W$5:$W$546,INDEX(BEMANNINGSPLAN!$W$5:$W$546,$P377),BEMANNINGSPLAN!$Z$5:$Z$546)=1,"X",""))</f>
        <v/>
      </c>
      <c r="K377" s="23" t="str">
        <f>IF($P377="","",IFERROR(LOOKUP(2,1/((BEMANNINGSPLAN!$W$5:$W$546=INDEX(BEMANNINGSPLAN!$W$5:$W$546,$P377))*(BEMANNINGSPLAN!$L$5:$L$546&lt;&gt;"")),BEMANNINGSPLAN!$L$5:$L$546),""))</f>
        <v/>
      </c>
      <c r="L377" s="18" t="str">
        <f>IF($P377="","",INDEX(BEMANNINGSPLAN!$AE$5:$AE$546,$P377))</f>
        <v/>
      </c>
      <c r="M377" s="137"/>
      <c r="N377" s="16"/>
      <c r="O377" s="16" t="str">
        <f>IF(AND(BEMANNINGSPLAN!U375=1,OR($B$4="Alla lag",BEMANNINGSPLAN!J375=$B$4),OR($E$4="Alla datum",BEMANNINGSPLAN!A375=$E$4)),COUNT($O$6:O376)+1,"")</f>
        <v/>
      </c>
      <c r="P377" s="137" t="str">
        <f t="shared" si="5"/>
        <v/>
      </c>
    </row>
    <row r="378" spans="1:16" ht="27.75" customHeight="1">
      <c r="A378" s="17" t="str">
        <f>IF($P378="","",INDEX(BEMANNINGSPLAN!$A$5:$A$546,$P378))</f>
        <v/>
      </c>
      <c r="B378" s="18" t="str">
        <f>IF($P378="","",INDEX(BEMANNINGSPLAN!$B$5:$B$546,$P378))</f>
        <v/>
      </c>
      <c r="C378" s="19" t="str">
        <f>IF($P378="","",INDEX(BEMANNINGSPLAN!$C$5:$C$546,$P378))</f>
        <v/>
      </c>
      <c r="D378" s="20" t="str">
        <f>IF($P378="","",INDEX(BEMANNINGSPLAN!$D$5:$D$546,$P378))</f>
        <v/>
      </c>
      <c r="E378" s="20" t="str">
        <f>IF($P378="","",SUMIF(BEMANNINGSPLAN!$W$5:$W$546,INDEX(BEMANNINGSPLAN!$W$5:$W$546,$P378),BEMANNINGSPLAN!$X$5:$X$546))</f>
        <v/>
      </c>
      <c r="F378" s="18" t="str">
        <f>IF($P378="","",INDEX(BEMANNINGSPLAN!$J$5:$J$546,$P378))</f>
        <v/>
      </c>
      <c r="G378" s="19" t="str">
        <f>IF($P378="","",INDEX(BEMANNINGSPLAN!$AD$5:$AD$546,$P378))</f>
        <v/>
      </c>
      <c r="H378" s="18" t="str">
        <f>IF($P378="","",IF(AND(INDEX(BEMANNINGSPLAN!$Y$5:$Y$546,$P378)=1,G378&lt;&gt;"Minicafé"),"X",""))</f>
        <v/>
      </c>
      <c r="I378" s="21" t="str">
        <f>IF($P378="","",IF(INDEX(BEMANNINGSPLAN!$Y$5:$Y$546,$P378)=1,"X",""))</f>
        <v/>
      </c>
      <c r="J378" s="22" t="str">
        <f>IF($P378="","",IF(SUMIF(BEMANNINGSPLAN!$W$5:$W$546,INDEX(BEMANNINGSPLAN!$W$5:$W$546,$P378),BEMANNINGSPLAN!$Z$5:$Z$546)=1,"X",""))</f>
        <v/>
      </c>
      <c r="K378" s="23" t="str">
        <f>IF($P378="","",IFERROR(LOOKUP(2,1/((BEMANNINGSPLAN!$W$5:$W$546=INDEX(BEMANNINGSPLAN!$W$5:$W$546,$P378))*(BEMANNINGSPLAN!$L$5:$L$546&lt;&gt;"")),BEMANNINGSPLAN!$L$5:$L$546),""))</f>
        <v/>
      </c>
      <c r="L378" s="18" t="str">
        <f>IF($P378="","",INDEX(BEMANNINGSPLAN!$AE$5:$AE$546,$P378))</f>
        <v/>
      </c>
      <c r="M378" s="137"/>
      <c r="N378" s="16"/>
      <c r="O378" s="16">
        <f>IF(AND(BEMANNINGSPLAN!U376=1,OR($B$4="Alla lag",BEMANNINGSPLAN!J376=$B$4),OR($E$4="Alla datum",BEMANNINGSPLAN!A376=$E$4)),COUNT($O$6:O377)+1,"")</f>
        <v>53</v>
      </c>
      <c r="P378" s="137" t="str">
        <f t="shared" si="5"/>
        <v/>
      </c>
    </row>
    <row r="379" spans="1:16" ht="27.75" customHeight="1">
      <c r="A379" s="17" t="str">
        <f>IF($P379="","",INDEX(BEMANNINGSPLAN!$A$5:$A$546,$P379))</f>
        <v/>
      </c>
      <c r="B379" s="18" t="str">
        <f>IF($P379="","",INDEX(BEMANNINGSPLAN!$B$5:$B$546,$P379))</f>
        <v/>
      </c>
      <c r="C379" s="19" t="str">
        <f>IF($P379="","",INDEX(BEMANNINGSPLAN!$C$5:$C$546,$P379))</f>
        <v/>
      </c>
      <c r="D379" s="20" t="str">
        <f>IF($P379="","",INDEX(BEMANNINGSPLAN!$D$5:$D$546,$P379))</f>
        <v/>
      </c>
      <c r="E379" s="20" t="str">
        <f>IF($P379="","",SUMIF(BEMANNINGSPLAN!$W$5:$W$546,INDEX(BEMANNINGSPLAN!$W$5:$W$546,$P379),BEMANNINGSPLAN!$X$5:$X$546))</f>
        <v/>
      </c>
      <c r="F379" s="18" t="str">
        <f>IF($P379="","",INDEX(BEMANNINGSPLAN!$J$5:$J$546,$P379))</f>
        <v/>
      </c>
      <c r="G379" s="19" t="str">
        <f>IF($P379="","",INDEX(BEMANNINGSPLAN!$AD$5:$AD$546,$P379))</f>
        <v/>
      </c>
      <c r="H379" s="18" t="str">
        <f>IF($P379="","",IF(AND(INDEX(BEMANNINGSPLAN!$Y$5:$Y$546,$P379)=1,G379&lt;&gt;"Minicafé"),"X",""))</f>
        <v/>
      </c>
      <c r="I379" s="21" t="str">
        <f>IF($P379="","",IF(INDEX(BEMANNINGSPLAN!$Y$5:$Y$546,$P379)=1,"X",""))</f>
        <v/>
      </c>
      <c r="J379" s="22" t="str">
        <f>IF($P379="","",IF(SUMIF(BEMANNINGSPLAN!$W$5:$W$546,INDEX(BEMANNINGSPLAN!$W$5:$W$546,$P379),BEMANNINGSPLAN!$Z$5:$Z$546)=1,"X",""))</f>
        <v/>
      </c>
      <c r="K379" s="23" t="str">
        <f>IF($P379="","",IFERROR(LOOKUP(2,1/((BEMANNINGSPLAN!$W$5:$W$546=INDEX(BEMANNINGSPLAN!$W$5:$W$546,$P379))*(BEMANNINGSPLAN!$L$5:$L$546&lt;&gt;"")),BEMANNINGSPLAN!$L$5:$L$546),""))</f>
        <v/>
      </c>
      <c r="L379" s="18" t="str">
        <f>IF($P379="","",INDEX(BEMANNINGSPLAN!$AE$5:$AE$546,$P379))</f>
        <v/>
      </c>
      <c r="M379" s="137"/>
      <c r="N379" s="16"/>
      <c r="O379" s="16" t="str">
        <f>IF(AND(BEMANNINGSPLAN!U377=1,OR($B$4="Alla lag",BEMANNINGSPLAN!J377=$B$4),OR($E$4="Alla datum",BEMANNINGSPLAN!A377=$E$4)),COUNT($O$6:O378)+1,"")</f>
        <v/>
      </c>
      <c r="P379" s="137" t="str">
        <f t="shared" si="5"/>
        <v/>
      </c>
    </row>
    <row r="380" spans="1:16" ht="27.75" customHeight="1">
      <c r="A380" s="17" t="str">
        <f>IF($P380="","",INDEX(BEMANNINGSPLAN!$A$5:$A$546,$P380))</f>
        <v/>
      </c>
      <c r="B380" s="18" t="str">
        <f>IF($P380="","",INDEX(BEMANNINGSPLAN!$B$5:$B$546,$P380))</f>
        <v/>
      </c>
      <c r="C380" s="19" t="str">
        <f>IF($P380="","",INDEX(BEMANNINGSPLAN!$C$5:$C$546,$P380))</f>
        <v/>
      </c>
      <c r="D380" s="20" t="str">
        <f>IF($P380="","",INDEX(BEMANNINGSPLAN!$D$5:$D$546,$P380))</f>
        <v/>
      </c>
      <c r="E380" s="20" t="str">
        <f>IF($P380="","",SUMIF(BEMANNINGSPLAN!$W$5:$W$546,INDEX(BEMANNINGSPLAN!$W$5:$W$546,$P380),BEMANNINGSPLAN!$X$5:$X$546))</f>
        <v/>
      </c>
      <c r="F380" s="18" t="str">
        <f>IF($P380="","",INDEX(BEMANNINGSPLAN!$J$5:$J$546,$P380))</f>
        <v/>
      </c>
      <c r="G380" s="19" t="str">
        <f>IF($P380="","",INDEX(BEMANNINGSPLAN!$AD$5:$AD$546,$P380))</f>
        <v/>
      </c>
      <c r="H380" s="18" t="str">
        <f>IF($P380="","",IF(AND(INDEX(BEMANNINGSPLAN!$Y$5:$Y$546,$P380)=1,G380&lt;&gt;"Minicafé"),"X",""))</f>
        <v/>
      </c>
      <c r="I380" s="21" t="str">
        <f>IF($P380="","",IF(INDEX(BEMANNINGSPLAN!$Y$5:$Y$546,$P380)=1,"X",""))</f>
        <v/>
      </c>
      <c r="J380" s="22" t="str">
        <f>IF($P380="","",IF(SUMIF(BEMANNINGSPLAN!$W$5:$W$546,INDEX(BEMANNINGSPLAN!$W$5:$W$546,$P380),BEMANNINGSPLAN!$Z$5:$Z$546)=1,"X",""))</f>
        <v/>
      </c>
      <c r="K380" s="23" t="str">
        <f>IF($P380="","",IFERROR(LOOKUP(2,1/((BEMANNINGSPLAN!$W$5:$W$546=INDEX(BEMANNINGSPLAN!$W$5:$W$546,$P380))*(BEMANNINGSPLAN!$L$5:$L$546&lt;&gt;"")),BEMANNINGSPLAN!$L$5:$L$546),""))</f>
        <v/>
      </c>
      <c r="L380" s="18" t="str">
        <f>IF($P380="","",INDEX(BEMANNINGSPLAN!$AE$5:$AE$546,$P380))</f>
        <v/>
      </c>
      <c r="M380" s="137"/>
      <c r="N380" s="16"/>
      <c r="O380" s="16" t="str">
        <f>IF(AND(BEMANNINGSPLAN!U378=1,OR($B$4="Alla lag",BEMANNINGSPLAN!J378=$B$4),OR($E$4="Alla datum",BEMANNINGSPLAN!A378=$E$4)),COUNT($O$6:O379)+1,"")</f>
        <v/>
      </c>
      <c r="P380" s="137" t="str">
        <f t="shared" si="5"/>
        <v/>
      </c>
    </row>
    <row r="381" spans="1:16" ht="27.75" customHeight="1">
      <c r="A381" s="17" t="str">
        <f>IF($P381="","",INDEX(BEMANNINGSPLAN!$A$5:$A$546,$P381))</f>
        <v/>
      </c>
      <c r="B381" s="18" t="str">
        <f>IF($P381="","",INDEX(BEMANNINGSPLAN!$B$5:$B$546,$P381))</f>
        <v/>
      </c>
      <c r="C381" s="19" t="str">
        <f>IF($P381="","",INDEX(BEMANNINGSPLAN!$C$5:$C$546,$P381))</f>
        <v/>
      </c>
      <c r="D381" s="20" t="str">
        <f>IF($P381="","",INDEX(BEMANNINGSPLAN!$D$5:$D$546,$P381))</f>
        <v/>
      </c>
      <c r="E381" s="20" t="str">
        <f>IF($P381="","",SUMIF(BEMANNINGSPLAN!$W$5:$W$546,INDEX(BEMANNINGSPLAN!$W$5:$W$546,$P381),BEMANNINGSPLAN!$X$5:$X$546))</f>
        <v/>
      </c>
      <c r="F381" s="18" t="str">
        <f>IF($P381="","",INDEX(BEMANNINGSPLAN!$J$5:$J$546,$P381))</f>
        <v/>
      </c>
      <c r="G381" s="19" t="str">
        <f>IF($P381="","",INDEX(BEMANNINGSPLAN!$AD$5:$AD$546,$P381))</f>
        <v/>
      </c>
      <c r="H381" s="18" t="str">
        <f>IF($P381="","",IF(AND(INDEX(BEMANNINGSPLAN!$Y$5:$Y$546,$P381)=1,G381&lt;&gt;"Minicafé"),"X",""))</f>
        <v/>
      </c>
      <c r="I381" s="21" t="str">
        <f>IF($P381="","",IF(INDEX(BEMANNINGSPLAN!$Y$5:$Y$546,$P381)=1,"X",""))</f>
        <v/>
      </c>
      <c r="J381" s="22" t="str">
        <f>IF($P381="","",IF(SUMIF(BEMANNINGSPLAN!$W$5:$W$546,INDEX(BEMANNINGSPLAN!$W$5:$W$546,$P381),BEMANNINGSPLAN!$Z$5:$Z$546)=1,"X",""))</f>
        <v/>
      </c>
      <c r="K381" s="23" t="str">
        <f>IF($P381="","",IFERROR(LOOKUP(2,1/((BEMANNINGSPLAN!$W$5:$W$546=INDEX(BEMANNINGSPLAN!$W$5:$W$546,$P381))*(BEMANNINGSPLAN!$L$5:$L$546&lt;&gt;"")),BEMANNINGSPLAN!$L$5:$L$546),""))</f>
        <v/>
      </c>
      <c r="L381" s="18" t="str">
        <f>IF($P381="","",INDEX(BEMANNINGSPLAN!$AE$5:$AE$546,$P381))</f>
        <v/>
      </c>
      <c r="M381" s="137"/>
      <c r="N381" s="16"/>
      <c r="O381" s="16">
        <f>IF(AND(BEMANNINGSPLAN!U379=1,OR($B$4="Alla lag",BEMANNINGSPLAN!J379=$B$4),OR($E$4="Alla datum",BEMANNINGSPLAN!A379=$E$4)),COUNT($O$6:O380)+1,"")</f>
        <v>54</v>
      </c>
      <c r="P381" s="137" t="str">
        <f t="shared" si="5"/>
        <v/>
      </c>
    </row>
    <row r="382" spans="1:16" ht="27.75" customHeight="1">
      <c r="A382" s="17" t="str">
        <f>IF($P382="","",INDEX(BEMANNINGSPLAN!$A$5:$A$546,$P382))</f>
        <v/>
      </c>
      <c r="B382" s="18" t="str">
        <f>IF($P382="","",INDEX(BEMANNINGSPLAN!$B$5:$B$546,$P382))</f>
        <v/>
      </c>
      <c r="C382" s="19" t="str">
        <f>IF($P382="","",INDEX(BEMANNINGSPLAN!$C$5:$C$546,$P382))</f>
        <v/>
      </c>
      <c r="D382" s="20" t="str">
        <f>IF($P382="","",INDEX(BEMANNINGSPLAN!$D$5:$D$546,$P382))</f>
        <v/>
      </c>
      <c r="E382" s="20" t="str">
        <f>IF($P382="","",SUMIF(BEMANNINGSPLAN!$W$5:$W$546,INDEX(BEMANNINGSPLAN!$W$5:$W$546,$P382),BEMANNINGSPLAN!$X$5:$X$546))</f>
        <v/>
      </c>
      <c r="F382" s="18" t="str">
        <f>IF($P382="","",INDEX(BEMANNINGSPLAN!$J$5:$J$546,$P382))</f>
        <v/>
      </c>
      <c r="G382" s="19" t="str">
        <f>IF($P382="","",INDEX(BEMANNINGSPLAN!$AD$5:$AD$546,$P382))</f>
        <v/>
      </c>
      <c r="H382" s="18" t="str">
        <f>IF($P382="","",IF(AND(INDEX(BEMANNINGSPLAN!$Y$5:$Y$546,$P382)=1,G382&lt;&gt;"Minicafé"),"X",""))</f>
        <v/>
      </c>
      <c r="I382" s="21" t="str">
        <f>IF($P382="","",IF(INDEX(BEMANNINGSPLAN!$Y$5:$Y$546,$P382)=1,"X",""))</f>
        <v/>
      </c>
      <c r="J382" s="22" t="str">
        <f>IF($P382="","",IF(SUMIF(BEMANNINGSPLAN!$W$5:$W$546,INDEX(BEMANNINGSPLAN!$W$5:$W$546,$P382),BEMANNINGSPLAN!$Z$5:$Z$546)=1,"X",""))</f>
        <v/>
      </c>
      <c r="K382" s="23" t="str">
        <f>IF($P382="","",IFERROR(LOOKUP(2,1/((BEMANNINGSPLAN!$W$5:$W$546=INDEX(BEMANNINGSPLAN!$W$5:$W$546,$P382))*(BEMANNINGSPLAN!$L$5:$L$546&lt;&gt;"")),BEMANNINGSPLAN!$L$5:$L$546),""))</f>
        <v/>
      </c>
      <c r="L382" s="18" t="str">
        <f>IF($P382="","",INDEX(BEMANNINGSPLAN!$AE$5:$AE$546,$P382))</f>
        <v/>
      </c>
      <c r="M382" s="137"/>
      <c r="N382" s="16"/>
      <c r="O382" s="16" t="str">
        <f>IF(AND(BEMANNINGSPLAN!U380=1,OR($B$4="Alla lag",BEMANNINGSPLAN!J380=$B$4),OR($E$4="Alla datum",BEMANNINGSPLAN!A380=$E$4)),COUNT($O$6:O381)+1,"")</f>
        <v/>
      </c>
      <c r="P382" s="137" t="str">
        <f t="shared" si="5"/>
        <v/>
      </c>
    </row>
    <row r="383" spans="1:16" ht="27.75" customHeight="1">
      <c r="A383" s="17" t="str">
        <f>IF($P383="","",INDEX(BEMANNINGSPLAN!$A$5:$A$546,$P383))</f>
        <v/>
      </c>
      <c r="B383" s="18" t="str">
        <f>IF($P383="","",INDEX(BEMANNINGSPLAN!$B$5:$B$546,$P383))</f>
        <v/>
      </c>
      <c r="C383" s="19" t="str">
        <f>IF($P383="","",INDEX(BEMANNINGSPLAN!$C$5:$C$546,$P383))</f>
        <v/>
      </c>
      <c r="D383" s="20" t="str">
        <f>IF($P383="","",INDEX(BEMANNINGSPLAN!$D$5:$D$546,$P383))</f>
        <v/>
      </c>
      <c r="E383" s="20" t="str">
        <f>IF($P383="","",SUMIF(BEMANNINGSPLAN!$W$5:$W$546,INDEX(BEMANNINGSPLAN!$W$5:$W$546,$P383),BEMANNINGSPLAN!$X$5:$X$546))</f>
        <v/>
      </c>
      <c r="F383" s="18" t="str">
        <f>IF($P383="","",INDEX(BEMANNINGSPLAN!$J$5:$J$546,$P383))</f>
        <v/>
      </c>
      <c r="G383" s="19" t="str">
        <f>IF($P383="","",INDEX(BEMANNINGSPLAN!$AD$5:$AD$546,$P383))</f>
        <v/>
      </c>
      <c r="H383" s="18" t="str">
        <f>IF($P383="","",IF(AND(INDEX(BEMANNINGSPLAN!$Y$5:$Y$546,$P383)=1,G383&lt;&gt;"Minicafé"),"X",""))</f>
        <v/>
      </c>
      <c r="I383" s="21" t="str">
        <f>IF($P383="","",IF(INDEX(BEMANNINGSPLAN!$Y$5:$Y$546,$P383)=1,"X",""))</f>
        <v/>
      </c>
      <c r="J383" s="22" t="str">
        <f>IF($P383="","",IF(SUMIF(BEMANNINGSPLAN!$W$5:$W$546,INDEX(BEMANNINGSPLAN!$W$5:$W$546,$P383),BEMANNINGSPLAN!$Z$5:$Z$546)=1,"X",""))</f>
        <v/>
      </c>
      <c r="K383" s="23" t="str">
        <f>IF($P383="","",IFERROR(LOOKUP(2,1/((BEMANNINGSPLAN!$W$5:$W$546=INDEX(BEMANNINGSPLAN!$W$5:$W$546,$P383))*(BEMANNINGSPLAN!$L$5:$L$546&lt;&gt;"")),BEMANNINGSPLAN!$L$5:$L$546),""))</f>
        <v/>
      </c>
      <c r="L383" s="18" t="str">
        <f>IF($P383="","",INDEX(BEMANNINGSPLAN!$AE$5:$AE$546,$P383))</f>
        <v/>
      </c>
      <c r="M383" s="137"/>
      <c r="N383" s="16"/>
      <c r="O383" s="16" t="str">
        <f>IF(AND(BEMANNINGSPLAN!U381=1,OR($B$4="Alla lag",BEMANNINGSPLAN!J381=$B$4),OR($E$4="Alla datum",BEMANNINGSPLAN!A381=$E$4)),COUNT($O$6:O382)+1,"")</f>
        <v/>
      </c>
      <c r="P383" s="137" t="str">
        <f t="shared" si="5"/>
        <v/>
      </c>
    </row>
    <row r="384" spans="1:16" ht="27.75" customHeight="1">
      <c r="A384" s="17" t="str">
        <f>IF($P384="","",INDEX(BEMANNINGSPLAN!$A$5:$A$546,$P384))</f>
        <v/>
      </c>
      <c r="B384" s="18" t="str">
        <f>IF($P384="","",INDEX(BEMANNINGSPLAN!$B$5:$B$546,$P384))</f>
        <v/>
      </c>
      <c r="C384" s="19" t="str">
        <f>IF($P384="","",INDEX(BEMANNINGSPLAN!$C$5:$C$546,$P384))</f>
        <v/>
      </c>
      <c r="D384" s="20" t="str">
        <f>IF($P384="","",INDEX(BEMANNINGSPLAN!$D$5:$D$546,$P384))</f>
        <v/>
      </c>
      <c r="E384" s="20" t="str">
        <f>IF($P384="","",SUMIF(BEMANNINGSPLAN!$W$5:$W$546,INDEX(BEMANNINGSPLAN!$W$5:$W$546,$P384),BEMANNINGSPLAN!$X$5:$X$546))</f>
        <v/>
      </c>
      <c r="F384" s="18" t="str">
        <f>IF($P384="","",INDEX(BEMANNINGSPLAN!$J$5:$J$546,$P384))</f>
        <v/>
      </c>
      <c r="G384" s="19" t="str">
        <f>IF($P384="","",INDEX(BEMANNINGSPLAN!$AD$5:$AD$546,$P384))</f>
        <v/>
      </c>
      <c r="H384" s="18" t="str">
        <f>IF($P384="","",IF(AND(INDEX(BEMANNINGSPLAN!$Y$5:$Y$546,$P384)=1,G384&lt;&gt;"Minicafé"),"X",""))</f>
        <v/>
      </c>
      <c r="I384" s="21" t="str">
        <f>IF($P384="","",IF(INDEX(BEMANNINGSPLAN!$Y$5:$Y$546,$P384)=1,"X",""))</f>
        <v/>
      </c>
      <c r="J384" s="22" t="str">
        <f>IF($P384="","",IF(SUMIF(BEMANNINGSPLAN!$W$5:$W$546,INDEX(BEMANNINGSPLAN!$W$5:$W$546,$P384),BEMANNINGSPLAN!$Z$5:$Z$546)=1,"X",""))</f>
        <v/>
      </c>
      <c r="K384" s="23" t="str">
        <f>IF($P384="","",IFERROR(LOOKUP(2,1/((BEMANNINGSPLAN!$W$5:$W$546=INDEX(BEMANNINGSPLAN!$W$5:$W$546,$P384))*(BEMANNINGSPLAN!$L$5:$L$546&lt;&gt;"")),BEMANNINGSPLAN!$L$5:$L$546),""))</f>
        <v/>
      </c>
      <c r="L384" s="18" t="str">
        <f>IF($P384="","",INDEX(BEMANNINGSPLAN!$AE$5:$AE$546,$P384))</f>
        <v/>
      </c>
      <c r="M384" s="137"/>
      <c r="N384" s="16"/>
      <c r="O384" s="16" t="str">
        <f>IF(AND(BEMANNINGSPLAN!U382=1,OR($B$4="Alla lag",BEMANNINGSPLAN!J382=$B$4),OR($E$4="Alla datum",BEMANNINGSPLAN!A382=$E$4)),COUNT($O$6:O383)+1,"")</f>
        <v/>
      </c>
      <c r="P384" s="137" t="str">
        <f t="shared" si="5"/>
        <v/>
      </c>
    </row>
    <row r="385" spans="1:16" ht="27.75" customHeight="1">
      <c r="A385" s="17" t="str">
        <f>IF($P385="","",INDEX(BEMANNINGSPLAN!$A$5:$A$546,$P385))</f>
        <v/>
      </c>
      <c r="B385" s="18" t="str">
        <f>IF($P385="","",INDEX(BEMANNINGSPLAN!$B$5:$B$546,$P385))</f>
        <v/>
      </c>
      <c r="C385" s="19" t="str">
        <f>IF($P385="","",INDEX(BEMANNINGSPLAN!$C$5:$C$546,$P385))</f>
        <v/>
      </c>
      <c r="D385" s="20" t="str">
        <f>IF($P385="","",INDEX(BEMANNINGSPLAN!$D$5:$D$546,$P385))</f>
        <v/>
      </c>
      <c r="E385" s="20" t="str">
        <f>IF($P385="","",SUMIF(BEMANNINGSPLAN!$W$5:$W$546,INDEX(BEMANNINGSPLAN!$W$5:$W$546,$P385),BEMANNINGSPLAN!$X$5:$X$546))</f>
        <v/>
      </c>
      <c r="F385" s="18" t="str">
        <f>IF($P385="","",INDEX(BEMANNINGSPLAN!$J$5:$J$546,$P385))</f>
        <v/>
      </c>
      <c r="G385" s="19" t="str">
        <f>IF($P385="","",INDEX(BEMANNINGSPLAN!$AD$5:$AD$546,$P385))</f>
        <v/>
      </c>
      <c r="H385" s="18" t="str">
        <f>IF($P385="","",IF(AND(INDEX(BEMANNINGSPLAN!$Y$5:$Y$546,$P385)=1,G385&lt;&gt;"Minicafé"),"X",""))</f>
        <v/>
      </c>
      <c r="I385" s="21" t="str">
        <f>IF($P385="","",IF(INDEX(BEMANNINGSPLAN!$Y$5:$Y$546,$P385)=1,"X",""))</f>
        <v/>
      </c>
      <c r="J385" s="22" t="str">
        <f>IF($P385="","",IF(SUMIF(BEMANNINGSPLAN!$W$5:$W$546,INDEX(BEMANNINGSPLAN!$W$5:$W$546,$P385),BEMANNINGSPLAN!$Z$5:$Z$546)=1,"X",""))</f>
        <v/>
      </c>
      <c r="K385" s="23" t="str">
        <f>IF($P385="","",IFERROR(LOOKUP(2,1/((BEMANNINGSPLAN!$W$5:$W$546=INDEX(BEMANNINGSPLAN!$W$5:$W$546,$P385))*(BEMANNINGSPLAN!$L$5:$L$546&lt;&gt;"")),BEMANNINGSPLAN!$L$5:$L$546),""))</f>
        <v/>
      </c>
      <c r="L385" s="18" t="str">
        <f>IF($P385="","",INDEX(BEMANNINGSPLAN!$AE$5:$AE$546,$P385))</f>
        <v/>
      </c>
      <c r="M385" s="137"/>
      <c r="N385" s="16"/>
      <c r="O385" s="16" t="str">
        <f>IF(AND(BEMANNINGSPLAN!U383=1,OR($B$4="Alla lag",BEMANNINGSPLAN!J383=$B$4),OR($E$4="Alla datum",BEMANNINGSPLAN!A383=$E$4)),COUNT($O$6:O384)+1,"")</f>
        <v/>
      </c>
      <c r="P385" s="137" t="str">
        <f t="shared" si="5"/>
        <v/>
      </c>
    </row>
    <row r="386" spans="1:16" ht="27.75" customHeight="1">
      <c r="A386" s="17" t="str">
        <f>IF($P386="","",INDEX(BEMANNINGSPLAN!$A$5:$A$546,$P386))</f>
        <v/>
      </c>
      <c r="B386" s="18" t="str">
        <f>IF($P386="","",INDEX(BEMANNINGSPLAN!$B$5:$B$546,$P386))</f>
        <v/>
      </c>
      <c r="C386" s="19" t="str">
        <f>IF($P386="","",INDEX(BEMANNINGSPLAN!$C$5:$C$546,$P386))</f>
        <v/>
      </c>
      <c r="D386" s="20" t="str">
        <f>IF($P386="","",INDEX(BEMANNINGSPLAN!$D$5:$D$546,$P386))</f>
        <v/>
      </c>
      <c r="E386" s="20" t="str">
        <f>IF($P386="","",SUMIF(BEMANNINGSPLAN!$W$5:$W$546,INDEX(BEMANNINGSPLAN!$W$5:$W$546,$P386),BEMANNINGSPLAN!$X$5:$X$546))</f>
        <v/>
      </c>
      <c r="F386" s="18" t="str">
        <f>IF($P386="","",INDEX(BEMANNINGSPLAN!$J$5:$J$546,$P386))</f>
        <v/>
      </c>
      <c r="G386" s="19" t="str">
        <f>IF($P386="","",INDEX(BEMANNINGSPLAN!$AD$5:$AD$546,$P386))</f>
        <v/>
      </c>
      <c r="H386" s="18" t="str">
        <f>IF($P386="","",IF(AND(INDEX(BEMANNINGSPLAN!$Y$5:$Y$546,$P386)=1,G386&lt;&gt;"Minicafé"),"X",""))</f>
        <v/>
      </c>
      <c r="I386" s="21" t="str">
        <f>IF($P386="","",IF(INDEX(BEMANNINGSPLAN!$Y$5:$Y$546,$P386)=1,"X",""))</f>
        <v/>
      </c>
      <c r="J386" s="22" t="str">
        <f>IF($P386="","",IF(SUMIF(BEMANNINGSPLAN!$W$5:$W$546,INDEX(BEMANNINGSPLAN!$W$5:$W$546,$P386),BEMANNINGSPLAN!$Z$5:$Z$546)=1,"X",""))</f>
        <v/>
      </c>
      <c r="K386" s="23" t="str">
        <f>IF($P386="","",IFERROR(LOOKUP(2,1/((BEMANNINGSPLAN!$W$5:$W$546=INDEX(BEMANNINGSPLAN!$W$5:$W$546,$P386))*(BEMANNINGSPLAN!$L$5:$L$546&lt;&gt;"")),BEMANNINGSPLAN!$L$5:$L$546),""))</f>
        <v/>
      </c>
      <c r="L386" s="18" t="str">
        <f>IF($P386="","",INDEX(BEMANNINGSPLAN!$AE$5:$AE$546,$P386))</f>
        <v/>
      </c>
      <c r="M386" s="137"/>
      <c r="N386" s="16"/>
      <c r="O386" s="16" t="str">
        <f>IF(AND(BEMANNINGSPLAN!U384=1,OR($B$4="Alla lag",BEMANNINGSPLAN!J384=$B$4),OR($E$4="Alla datum",BEMANNINGSPLAN!A384=$E$4)),COUNT($O$6:O385)+1,"")</f>
        <v/>
      </c>
      <c r="P386" s="137" t="str">
        <f t="shared" si="5"/>
        <v/>
      </c>
    </row>
    <row r="387" spans="1:16" ht="27.75" customHeight="1">
      <c r="A387" s="17" t="str">
        <f>IF($P387="","",INDEX(BEMANNINGSPLAN!$A$5:$A$546,$P387))</f>
        <v/>
      </c>
      <c r="B387" s="18" t="str">
        <f>IF($P387="","",INDEX(BEMANNINGSPLAN!$B$5:$B$546,$P387))</f>
        <v/>
      </c>
      <c r="C387" s="19" t="str">
        <f>IF($P387="","",INDEX(BEMANNINGSPLAN!$C$5:$C$546,$P387))</f>
        <v/>
      </c>
      <c r="D387" s="20" t="str">
        <f>IF($P387="","",INDEX(BEMANNINGSPLAN!$D$5:$D$546,$P387))</f>
        <v/>
      </c>
      <c r="E387" s="20" t="str">
        <f>IF($P387="","",SUMIF(BEMANNINGSPLAN!$W$5:$W$546,INDEX(BEMANNINGSPLAN!$W$5:$W$546,$P387),BEMANNINGSPLAN!$X$5:$X$546))</f>
        <v/>
      </c>
      <c r="F387" s="18" t="str">
        <f>IF($P387="","",INDEX(BEMANNINGSPLAN!$J$5:$J$546,$P387))</f>
        <v/>
      </c>
      <c r="G387" s="19" t="str">
        <f>IF($P387="","",INDEX(BEMANNINGSPLAN!$AD$5:$AD$546,$P387))</f>
        <v/>
      </c>
      <c r="H387" s="18" t="str">
        <f>IF($P387="","",IF(AND(INDEX(BEMANNINGSPLAN!$Y$5:$Y$546,$P387)=1,G387&lt;&gt;"Minicafé"),"X",""))</f>
        <v/>
      </c>
      <c r="I387" s="21" t="str">
        <f>IF($P387="","",IF(INDEX(BEMANNINGSPLAN!$Y$5:$Y$546,$P387)=1,"X",""))</f>
        <v/>
      </c>
      <c r="J387" s="22" t="str">
        <f>IF($P387="","",IF(SUMIF(BEMANNINGSPLAN!$W$5:$W$546,INDEX(BEMANNINGSPLAN!$W$5:$W$546,$P387),BEMANNINGSPLAN!$Z$5:$Z$546)=1,"X",""))</f>
        <v/>
      </c>
      <c r="K387" s="23" t="str">
        <f>IF($P387="","",IFERROR(LOOKUP(2,1/((BEMANNINGSPLAN!$W$5:$W$546=INDEX(BEMANNINGSPLAN!$W$5:$W$546,$P387))*(BEMANNINGSPLAN!$L$5:$L$546&lt;&gt;"")),BEMANNINGSPLAN!$L$5:$L$546),""))</f>
        <v/>
      </c>
      <c r="L387" s="18" t="str">
        <f>IF($P387="","",INDEX(BEMANNINGSPLAN!$AE$5:$AE$546,$P387))</f>
        <v/>
      </c>
      <c r="M387" s="137"/>
      <c r="N387" s="16"/>
      <c r="O387" s="16" t="str">
        <f>IF(AND(BEMANNINGSPLAN!U385=1,OR($B$4="Alla lag",BEMANNINGSPLAN!J385=$B$4),OR($E$4="Alla datum",BEMANNINGSPLAN!A385=$E$4)),COUNT($O$6:O386)+1,"")</f>
        <v/>
      </c>
      <c r="P387" s="137" t="str">
        <f t="shared" si="5"/>
        <v/>
      </c>
    </row>
    <row r="388" spans="1:16" ht="27.75" customHeight="1">
      <c r="A388" s="17" t="str">
        <f>IF($P388="","",INDEX(BEMANNINGSPLAN!$A$5:$A$546,$P388))</f>
        <v/>
      </c>
      <c r="B388" s="18" t="str">
        <f>IF($P388="","",INDEX(BEMANNINGSPLAN!$B$5:$B$546,$P388))</f>
        <v/>
      </c>
      <c r="C388" s="19" t="str">
        <f>IF($P388="","",INDEX(BEMANNINGSPLAN!$C$5:$C$546,$P388))</f>
        <v/>
      </c>
      <c r="D388" s="20" t="str">
        <f>IF($P388="","",INDEX(BEMANNINGSPLAN!$D$5:$D$546,$P388))</f>
        <v/>
      </c>
      <c r="E388" s="20" t="str">
        <f>IF($P388="","",SUMIF(BEMANNINGSPLAN!$W$5:$W$546,INDEX(BEMANNINGSPLAN!$W$5:$W$546,$P388),BEMANNINGSPLAN!$X$5:$X$546))</f>
        <v/>
      </c>
      <c r="F388" s="18" t="str">
        <f>IF($P388="","",INDEX(BEMANNINGSPLAN!$J$5:$J$546,$P388))</f>
        <v/>
      </c>
      <c r="G388" s="19" t="str">
        <f>IF($P388="","",INDEX(BEMANNINGSPLAN!$AD$5:$AD$546,$P388))</f>
        <v/>
      </c>
      <c r="H388" s="18" t="str">
        <f>IF($P388="","",IF(AND(INDEX(BEMANNINGSPLAN!$Y$5:$Y$546,$P388)=1,G388&lt;&gt;"Minicafé"),"X",""))</f>
        <v/>
      </c>
      <c r="I388" s="21" t="str">
        <f>IF($P388="","",IF(INDEX(BEMANNINGSPLAN!$Y$5:$Y$546,$P388)=1,"X",""))</f>
        <v/>
      </c>
      <c r="J388" s="22" t="str">
        <f>IF($P388="","",IF(SUMIF(BEMANNINGSPLAN!$W$5:$W$546,INDEX(BEMANNINGSPLAN!$W$5:$W$546,$P388),BEMANNINGSPLAN!$Z$5:$Z$546)=1,"X",""))</f>
        <v/>
      </c>
      <c r="K388" s="23" t="str">
        <f>IF($P388="","",IFERROR(LOOKUP(2,1/((BEMANNINGSPLAN!$W$5:$W$546=INDEX(BEMANNINGSPLAN!$W$5:$W$546,$P388))*(BEMANNINGSPLAN!$L$5:$L$546&lt;&gt;"")),BEMANNINGSPLAN!$L$5:$L$546),""))</f>
        <v/>
      </c>
      <c r="L388" s="18" t="str">
        <f>IF($P388="","",INDEX(BEMANNINGSPLAN!$AE$5:$AE$546,$P388))</f>
        <v/>
      </c>
      <c r="M388" s="137"/>
      <c r="N388" s="16"/>
      <c r="O388" s="16" t="str">
        <f>IF(AND(BEMANNINGSPLAN!U386=1,OR($B$4="Alla lag",BEMANNINGSPLAN!J386=$B$4),OR($E$4="Alla datum",BEMANNINGSPLAN!A386=$E$4)),COUNT($O$6:O387)+1,"")</f>
        <v/>
      </c>
      <c r="P388" s="137" t="str">
        <f t="shared" si="5"/>
        <v/>
      </c>
    </row>
    <row r="389" spans="1:16" ht="27.75" customHeight="1">
      <c r="A389" s="17" t="str">
        <f>IF($P389="","",INDEX(BEMANNINGSPLAN!$A$5:$A$546,$P389))</f>
        <v/>
      </c>
      <c r="B389" s="18" t="str">
        <f>IF($P389="","",INDEX(BEMANNINGSPLAN!$B$5:$B$546,$P389))</f>
        <v/>
      </c>
      <c r="C389" s="19" t="str">
        <f>IF($P389="","",INDEX(BEMANNINGSPLAN!$C$5:$C$546,$P389))</f>
        <v/>
      </c>
      <c r="D389" s="20" t="str">
        <f>IF($P389="","",INDEX(BEMANNINGSPLAN!$D$5:$D$546,$P389))</f>
        <v/>
      </c>
      <c r="E389" s="20" t="str">
        <f>IF($P389="","",SUMIF(BEMANNINGSPLAN!$W$5:$W$546,INDEX(BEMANNINGSPLAN!$W$5:$W$546,$P389),BEMANNINGSPLAN!$X$5:$X$546))</f>
        <v/>
      </c>
      <c r="F389" s="18" t="str">
        <f>IF($P389="","",INDEX(BEMANNINGSPLAN!$J$5:$J$546,$P389))</f>
        <v/>
      </c>
      <c r="G389" s="19" t="str">
        <f>IF($P389="","",INDEX(BEMANNINGSPLAN!$AD$5:$AD$546,$P389))</f>
        <v/>
      </c>
      <c r="H389" s="18" t="str">
        <f>IF($P389="","",IF(AND(INDEX(BEMANNINGSPLAN!$Y$5:$Y$546,$P389)=1,G389&lt;&gt;"Minicafé"),"X",""))</f>
        <v/>
      </c>
      <c r="I389" s="21" t="str">
        <f>IF($P389="","",IF(INDEX(BEMANNINGSPLAN!$Y$5:$Y$546,$P389)=1,"X",""))</f>
        <v/>
      </c>
      <c r="J389" s="22" t="str">
        <f>IF($P389="","",IF(SUMIF(BEMANNINGSPLAN!$W$5:$W$546,INDEX(BEMANNINGSPLAN!$W$5:$W$546,$P389),BEMANNINGSPLAN!$Z$5:$Z$546)=1,"X",""))</f>
        <v/>
      </c>
      <c r="K389" s="23" t="str">
        <f>IF($P389="","",IFERROR(LOOKUP(2,1/((BEMANNINGSPLAN!$W$5:$W$546=INDEX(BEMANNINGSPLAN!$W$5:$W$546,$P389))*(BEMANNINGSPLAN!$L$5:$L$546&lt;&gt;"")),BEMANNINGSPLAN!$L$5:$L$546),""))</f>
        <v/>
      </c>
      <c r="L389" s="18" t="str">
        <f>IF($P389="","",INDEX(BEMANNINGSPLAN!$AE$5:$AE$546,$P389))</f>
        <v/>
      </c>
      <c r="M389" s="137"/>
      <c r="N389" s="16"/>
      <c r="O389" s="16">
        <f>IF(AND(BEMANNINGSPLAN!U387=1,OR($B$4="Alla lag",BEMANNINGSPLAN!J387=$B$4),OR($E$4="Alla datum",BEMANNINGSPLAN!A387=$E$4)),COUNT($O$6:O388)+1,"")</f>
        <v>55</v>
      </c>
      <c r="P389" s="137" t="str">
        <f t="shared" si="5"/>
        <v/>
      </c>
    </row>
    <row r="390" spans="1:16" ht="27.75" customHeight="1">
      <c r="A390" s="17" t="str">
        <f>IF($P390="","",INDEX(BEMANNINGSPLAN!$A$5:$A$546,$P390))</f>
        <v/>
      </c>
      <c r="B390" s="18" t="str">
        <f>IF($P390="","",INDEX(BEMANNINGSPLAN!$B$5:$B$546,$P390))</f>
        <v/>
      </c>
      <c r="C390" s="19" t="str">
        <f>IF($P390="","",INDEX(BEMANNINGSPLAN!$C$5:$C$546,$P390))</f>
        <v/>
      </c>
      <c r="D390" s="20" t="str">
        <f>IF($P390="","",INDEX(BEMANNINGSPLAN!$D$5:$D$546,$P390))</f>
        <v/>
      </c>
      <c r="E390" s="20" t="str">
        <f>IF($P390="","",SUMIF(BEMANNINGSPLAN!$W$5:$W$546,INDEX(BEMANNINGSPLAN!$W$5:$W$546,$P390),BEMANNINGSPLAN!$X$5:$X$546))</f>
        <v/>
      </c>
      <c r="F390" s="18" t="str">
        <f>IF($P390="","",INDEX(BEMANNINGSPLAN!$J$5:$J$546,$P390))</f>
        <v/>
      </c>
      <c r="G390" s="19" t="str">
        <f>IF($P390="","",INDEX(BEMANNINGSPLAN!$AD$5:$AD$546,$P390))</f>
        <v/>
      </c>
      <c r="H390" s="18" t="str">
        <f>IF($P390="","",IF(AND(INDEX(BEMANNINGSPLAN!$Y$5:$Y$546,$P390)=1,G390&lt;&gt;"Minicafé"),"X",""))</f>
        <v/>
      </c>
      <c r="I390" s="21" t="str">
        <f>IF($P390="","",IF(INDEX(BEMANNINGSPLAN!$Y$5:$Y$546,$P390)=1,"X",""))</f>
        <v/>
      </c>
      <c r="J390" s="22" t="str">
        <f>IF($P390="","",IF(SUMIF(BEMANNINGSPLAN!$W$5:$W$546,INDEX(BEMANNINGSPLAN!$W$5:$W$546,$P390),BEMANNINGSPLAN!$Z$5:$Z$546)=1,"X",""))</f>
        <v/>
      </c>
      <c r="K390" s="23" t="str">
        <f>IF($P390="","",IFERROR(LOOKUP(2,1/((BEMANNINGSPLAN!$W$5:$W$546=INDEX(BEMANNINGSPLAN!$W$5:$W$546,$P390))*(BEMANNINGSPLAN!$L$5:$L$546&lt;&gt;"")),BEMANNINGSPLAN!$L$5:$L$546),""))</f>
        <v/>
      </c>
      <c r="L390" s="18" t="str">
        <f>IF($P390="","",INDEX(BEMANNINGSPLAN!$AE$5:$AE$546,$P390))</f>
        <v/>
      </c>
      <c r="M390" s="137"/>
      <c r="N390" s="16"/>
      <c r="O390" s="16">
        <f>IF(AND(BEMANNINGSPLAN!U388=1,OR($B$4="Alla lag",BEMANNINGSPLAN!J388=$B$4),OR($E$4="Alla datum",BEMANNINGSPLAN!A388=$E$4)),COUNT($O$6:O389)+1,"")</f>
        <v>56</v>
      </c>
      <c r="P390" s="137" t="str">
        <f t="shared" si="5"/>
        <v/>
      </c>
    </row>
    <row r="391" spans="1:16" ht="27.75" customHeight="1">
      <c r="A391" s="17" t="str">
        <f>IF($P391="","",INDEX(BEMANNINGSPLAN!$A$5:$A$546,$P391))</f>
        <v/>
      </c>
      <c r="B391" s="18" t="str">
        <f>IF($P391="","",INDEX(BEMANNINGSPLAN!$B$5:$B$546,$P391))</f>
        <v/>
      </c>
      <c r="C391" s="19" t="str">
        <f>IF($P391="","",INDEX(BEMANNINGSPLAN!$C$5:$C$546,$P391))</f>
        <v/>
      </c>
      <c r="D391" s="20" t="str">
        <f>IF($P391="","",INDEX(BEMANNINGSPLAN!$D$5:$D$546,$P391))</f>
        <v/>
      </c>
      <c r="E391" s="20" t="str">
        <f>IF($P391="","",SUMIF(BEMANNINGSPLAN!$W$5:$W$546,INDEX(BEMANNINGSPLAN!$W$5:$W$546,$P391),BEMANNINGSPLAN!$X$5:$X$546))</f>
        <v/>
      </c>
      <c r="F391" s="18" t="str">
        <f>IF($P391="","",INDEX(BEMANNINGSPLAN!$J$5:$J$546,$P391))</f>
        <v/>
      </c>
      <c r="G391" s="19" t="str">
        <f>IF($P391="","",INDEX(BEMANNINGSPLAN!$AD$5:$AD$546,$P391))</f>
        <v/>
      </c>
      <c r="H391" s="18" t="str">
        <f>IF($P391="","",IF(AND(INDEX(BEMANNINGSPLAN!$Y$5:$Y$546,$P391)=1,G391&lt;&gt;"Minicafé"),"X",""))</f>
        <v/>
      </c>
      <c r="I391" s="21" t="str">
        <f>IF($P391="","",IF(INDEX(BEMANNINGSPLAN!$Y$5:$Y$546,$P391)=1,"X",""))</f>
        <v/>
      </c>
      <c r="J391" s="22" t="str">
        <f>IF($P391="","",IF(SUMIF(BEMANNINGSPLAN!$W$5:$W$546,INDEX(BEMANNINGSPLAN!$W$5:$W$546,$P391),BEMANNINGSPLAN!$Z$5:$Z$546)=1,"X",""))</f>
        <v/>
      </c>
      <c r="K391" s="23" t="str">
        <f>IF($P391="","",IFERROR(LOOKUP(2,1/((BEMANNINGSPLAN!$W$5:$W$546=INDEX(BEMANNINGSPLAN!$W$5:$W$546,$P391))*(BEMANNINGSPLAN!$L$5:$L$546&lt;&gt;"")),BEMANNINGSPLAN!$L$5:$L$546),""))</f>
        <v/>
      </c>
      <c r="L391" s="18" t="str">
        <f>IF($P391="","",INDEX(BEMANNINGSPLAN!$AE$5:$AE$546,$P391))</f>
        <v/>
      </c>
      <c r="M391" s="137"/>
      <c r="N391" s="16"/>
      <c r="O391" s="16">
        <f>IF(AND(BEMANNINGSPLAN!U389=1,OR($B$4="Alla lag",BEMANNINGSPLAN!J389=$B$4),OR($E$4="Alla datum",BEMANNINGSPLAN!A389=$E$4)),COUNT($O$6:O390)+1,"")</f>
        <v>57</v>
      </c>
      <c r="P391" s="137" t="str">
        <f t="shared" ref="P391:P454" si="6">IFERROR(MATCH(ROW()-ROW($P$7)+1,$O$7:$O$548,0),"")</f>
        <v/>
      </c>
    </row>
    <row r="392" spans="1:16" ht="27.75" customHeight="1">
      <c r="A392" s="17" t="str">
        <f>IF($P392="","",INDEX(BEMANNINGSPLAN!$A$5:$A$546,$P392))</f>
        <v/>
      </c>
      <c r="B392" s="18" t="str">
        <f>IF($P392="","",INDEX(BEMANNINGSPLAN!$B$5:$B$546,$P392))</f>
        <v/>
      </c>
      <c r="C392" s="19" t="str">
        <f>IF($P392="","",INDEX(BEMANNINGSPLAN!$C$5:$C$546,$P392))</f>
        <v/>
      </c>
      <c r="D392" s="20" t="str">
        <f>IF($P392="","",INDEX(BEMANNINGSPLAN!$D$5:$D$546,$P392))</f>
        <v/>
      </c>
      <c r="E392" s="20" t="str">
        <f>IF($P392="","",SUMIF(BEMANNINGSPLAN!$W$5:$W$546,INDEX(BEMANNINGSPLAN!$W$5:$W$546,$P392),BEMANNINGSPLAN!$X$5:$X$546))</f>
        <v/>
      </c>
      <c r="F392" s="18" t="str">
        <f>IF($P392="","",INDEX(BEMANNINGSPLAN!$J$5:$J$546,$P392))</f>
        <v/>
      </c>
      <c r="G392" s="19" t="str">
        <f>IF($P392="","",INDEX(BEMANNINGSPLAN!$AD$5:$AD$546,$P392))</f>
        <v/>
      </c>
      <c r="H392" s="18" t="str">
        <f>IF($P392="","",IF(AND(INDEX(BEMANNINGSPLAN!$Y$5:$Y$546,$P392)=1,G392&lt;&gt;"Minicafé"),"X",""))</f>
        <v/>
      </c>
      <c r="I392" s="21" t="str">
        <f>IF($P392="","",IF(INDEX(BEMANNINGSPLAN!$Y$5:$Y$546,$P392)=1,"X",""))</f>
        <v/>
      </c>
      <c r="J392" s="22" t="str">
        <f>IF($P392="","",IF(SUMIF(BEMANNINGSPLAN!$W$5:$W$546,INDEX(BEMANNINGSPLAN!$W$5:$W$546,$P392),BEMANNINGSPLAN!$Z$5:$Z$546)=1,"X",""))</f>
        <v/>
      </c>
      <c r="K392" s="23" t="str">
        <f>IF($P392="","",IFERROR(LOOKUP(2,1/((BEMANNINGSPLAN!$W$5:$W$546=INDEX(BEMANNINGSPLAN!$W$5:$W$546,$P392))*(BEMANNINGSPLAN!$L$5:$L$546&lt;&gt;"")),BEMANNINGSPLAN!$L$5:$L$546),""))</f>
        <v/>
      </c>
      <c r="L392" s="18" t="str">
        <f>IF($P392="","",INDEX(BEMANNINGSPLAN!$AE$5:$AE$546,$P392))</f>
        <v/>
      </c>
      <c r="M392" s="137"/>
      <c r="N392" s="16"/>
      <c r="O392" s="16">
        <f>IF(AND(BEMANNINGSPLAN!U390=1,OR($B$4="Alla lag",BEMANNINGSPLAN!J390=$B$4),OR($E$4="Alla datum",BEMANNINGSPLAN!A390=$E$4)),COUNT($O$6:O391)+1,"")</f>
        <v>58</v>
      </c>
      <c r="P392" s="137" t="str">
        <f t="shared" si="6"/>
        <v/>
      </c>
    </row>
    <row r="393" spans="1:16" ht="27.75" customHeight="1">
      <c r="A393" s="17" t="str">
        <f>IF($P393="","",INDEX(BEMANNINGSPLAN!$A$5:$A$546,$P393))</f>
        <v/>
      </c>
      <c r="B393" s="18" t="str">
        <f>IF($P393="","",INDEX(BEMANNINGSPLAN!$B$5:$B$546,$P393))</f>
        <v/>
      </c>
      <c r="C393" s="19" t="str">
        <f>IF($P393="","",INDEX(BEMANNINGSPLAN!$C$5:$C$546,$P393))</f>
        <v/>
      </c>
      <c r="D393" s="20" t="str">
        <f>IF($P393="","",INDEX(BEMANNINGSPLAN!$D$5:$D$546,$P393))</f>
        <v/>
      </c>
      <c r="E393" s="20" t="str">
        <f>IF($P393="","",SUMIF(BEMANNINGSPLAN!$W$5:$W$546,INDEX(BEMANNINGSPLAN!$W$5:$W$546,$P393),BEMANNINGSPLAN!$X$5:$X$546))</f>
        <v/>
      </c>
      <c r="F393" s="18" t="str">
        <f>IF($P393="","",INDEX(BEMANNINGSPLAN!$J$5:$J$546,$P393))</f>
        <v/>
      </c>
      <c r="G393" s="19" t="str">
        <f>IF($P393="","",INDEX(BEMANNINGSPLAN!$AD$5:$AD$546,$P393))</f>
        <v/>
      </c>
      <c r="H393" s="18" t="str">
        <f>IF($P393="","",IF(AND(INDEX(BEMANNINGSPLAN!$Y$5:$Y$546,$P393)=1,G393&lt;&gt;"Minicafé"),"X",""))</f>
        <v/>
      </c>
      <c r="I393" s="21" t="str">
        <f>IF($P393="","",IF(INDEX(BEMANNINGSPLAN!$Y$5:$Y$546,$P393)=1,"X",""))</f>
        <v/>
      </c>
      <c r="J393" s="22" t="str">
        <f>IF($P393="","",IF(SUMIF(BEMANNINGSPLAN!$W$5:$W$546,INDEX(BEMANNINGSPLAN!$W$5:$W$546,$P393),BEMANNINGSPLAN!$Z$5:$Z$546)=1,"X",""))</f>
        <v/>
      </c>
      <c r="K393" s="23" t="str">
        <f>IF($P393="","",IFERROR(LOOKUP(2,1/((BEMANNINGSPLAN!$W$5:$W$546=INDEX(BEMANNINGSPLAN!$W$5:$W$546,$P393))*(BEMANNINGSPLAN!$L$5:$L$546&lt;&gt;"")),BEMANNINGSPLAN!$L$5:$L$546),""))</f>
        <v/>
      </c>
      <c r="L393" s="18" t="str">
        <f>IF($P393="","",INDEX(BEMANNINGSPLAN!$AE$5:$AE$546,$P393))</f>
        <v/>
      </c>
      <c r="M393" s="137"/>
      <c r="N393" s="16"/>
      <c r="O393" s="16">
        <f>IF(AND(BEMANNINGSPLAN!U391=1,OR($B$4="Alla lag",BEMANNINGSPLAN!J391=$B$4),OR($E$4="Alla datum",BEMANNINGSPLAN!A391=$E$4)),COUNT($O$6:O392)+1,"")</f>
        <v>59</v>
      </c>
      <c r="P393" s="137" t="str">
        <f t="shared" si="6"/>
        <v/>
      </c>
    </row>
    <row r="394" spans="1:16" ht="27.75" customHeight="1">
      <c r="A394" s="17" t="str">
        <f>IF($P394="","",INDEX(BEMANNINGSPLAN!$A$5:$A$546,$P394))</f>
        <v/>
      </c>
      <c r="B394" s="18" t="str">
        <f>IF($P394="","",INDEX(BEMANNINGSPLAN!$B$5:$B$546,$P394))</f>
        <v/>
      </c>
      <c r="C394" s="19" t="str">
        <f>IF($P394="","",INDEX(BEMANNINGSPLAN!$C$5:$C$546,$P394))</f>
        <v/>
      </c>
      <c r="D394" s="20" t="str">
        <f>IF($P394="","",INDEX(BEMANNINGSPLAN!$D$5:$D$546,$P394))</f>
        <v/>
      </c>
      <c r="E394" s="20" t="str">
        <f>IF($P394="","",SUMIF(BEMANNINGSPLAN!$W$5:$W$546,INDEX(BEMANNINGSPLAN!$W$5:$W$546,$P394),BEMANNINGSPLAN!$X$5:$X$546))</f>
        <v/>
      </c>
      <c r="F394" s="18" t="str">
        <f>IF($P394="","",INDEX(BEMANNINGSPLAN!$J$5:$J$546,$P394))</f>
        <v/>
      </c>
      <c r="G394" s="19" t="str">
        <f>IF($P394="","",INDEX(BEMANNINGSPLAN!$AD$5:$AD$546,$P394))</f>
        <v/>
      </c>
      <c r="H394" s="18" t="str">
        <f>IF($P394="","",IF(AND(INDEX(BEMANNINGSPLAN!$Y$5:$Y$546,$P394)=1,G394&lt;&gt;"Minicafé"),"X",""))</f>
        <v/>
      </c>
      <c r="I394" s="21" t="str">
        <f>IF($P394="","",IF(INDEX(BEMANNINGSPLAN!$Y$5:$Y$546,$P394)=1,"X",""))</f>
        <v/>
      </c>
      <c r="J394" s="22" t="str">
        <f>IF($P394="","",IF(SUMIF(BEMANNINGSPLAN!$W$5:$W$546,INDEX(BEMANNINGSPLAN!$W$5:$W$546,$P394),BEMANNINGSPLAN!$Z$5:$Z$546)=1,"X",""))</f>
        <v/>
      </c>
      <c r="K394" s="23" t="str">
        <f>IF($P394="","",IFERROR(LOOKUP(2,1/((BEMANNINGSPLAN!$W$5:$W$546=INDEX(BEMANNINGSPLAN!$W$5:$W$546,$P394))*(BEMANNINGSPLAN!$L$5:$L$546&lt;&gt;"")),BEMANNINGSPLAN!$L$5:$L$546),""))</f>
        <v/>
      </c>
      <c r="L394" s="18" t="str">
        <f>IF($P394="","",INDEX(BEMANNINGSPLAN!$AE$5:$AE$546,$P394))</f>
        <v/>
      </c>
      <c r="M394" s="137"/>
      <c r="N394" s="16"/>
      <c r="O394" s="16">
        <f>IF(AND(BEMANNINGSPLAN!U392=1,OR($B$4="Alla lag",BEMANNINGSPLAN!J392=$B$4),OR($E$4="Alla datum",BEMANNINGSPLAN!A392=$E$4)),COUNT($O$6:O393)+1,"")</f>
        <v>60</v>
      </c>
      <c r="P394" s="137" t="str">
        <f t="shared" si="6"/>
        <v/>
      </c>
    </row>
    <row r="395" spans="1:16" ht="27.75" customHeight="1">
      <c r="A395" s="17" t="str">
        <f>IF($P395="","",INDEX(BEMANNINGSPLAN!$A$5:$A$546,$P395))</f>
        <v/>
      </c>
      <c r="B395" s="18" t="str">
        <f>IF($P395="","",INDEX(BEMANNINGSPLAN!$B$5:$B$546,$P395))</f>
        <v/>
      </c>
      <c r="C395" s="19" t="str">
        <f>IF($P395="","",INDEX(BEMANNINGSPLAN!$C$5:$C$546,$P395))</f>
        <v/>
      </c>
      <c r="D395" s="20" t="str">
        <f>IF($P395="","",INDEX(BEMANNINGSPLAN!$D$5:$D$546,$P395))</f>
        <v/>
      </c>
      <c r="E395" s="20" t="str">
        <f>IF($P395="","",SUMIF(BEMANNINGSPLAN!$W$5:$W$546,INDEX(BEMANNINGSPLAN!$W$5:$W$546,$P395),BEMANNINGSPLAN!$X$5:$X$546))</f>
        <v/>
      </c>
      <c r="F395" s="18" t="str">
        <f>IF($P395="","",INDEX(BEMANNINGSPLAN!$J$5:$J$546,$P395))</f>
        <v/>
      </c>
      <c r="G395" s="19" t="str">
        <f>IF($P395="","",INDEX(BEMANNINGSPLAN!$AD$5:$AD$546,$P395))</f>
        <v/>
      </c>
      <c r="H395" s="18" t="str">
        <f>IF($P395="","",IF(AND(INDEX(BEMANNINGSPLAN!$Y$5:$Y$546,$P395)=1,G395&lt;&gt;"Minicafé"),"X",""))</f>
        <v/>
      </c>
      <c r="I395" s="21" t="str">
        <f>IF($P395="","",IF(INDEX(BEMANNINGSPLAN!$Y$5:$Y$546,$P395)=1,"X",""))</f>
        <v/>
      </c>
      <c r="J395" s="22" t="str">
        <f>IF($P395="","",IF(SUMIF(BEMANNINGSPLAN!$W$5:$W$546,INDEX(BEMANNINGSPLAN!$W$5:$W$546,$P395),BEMANNINGSPLAN!$Z$5:$Z$546)=1,"X",""))</f>
        <v/>
      </c>
      <c r="K395" s="23" t="str">
        <f>IF($P395="","",IFERROR(LOOKUP(2,1/((BEMANNINGSPLAN!$W$5:$W$546=INDEX(BEMANNINGSPLAN!$W$5:$W$546,$P395))*(BEMANNINGSPLAN!$L$5:$L$546&lt;&gt;"")),BEMANNINGSPLAN!$L$5:$L$546),""))</f>
        <v/>
      </c>
      <c r="L395" s="18" t="str">
        <f>IF($P395="","",INDEX(BEMANNINGSPLAN!$AE$5:$AE$546,$P395))</f>
        <v/>
      </c>
      <c r="M395" s="137"/>
      <c r="N395" s="16"/>
      <c r="O395" s="16">
        <f>IF(AND(BEMANNINGSPLAN!U393=1,OR($B$4="Alla lag",BEMANNINGSPLAN!J393=$B$4),OR($E$4="Alla datum",BEMANNINGSPLAN!A393=$E$4)),COUNT($O$6:O394)+1,"")</f>
        <v>61</v>
      </c>
      <c r="P395" s="137" t="str">
        <f t="shared" si="6"/>
        <v/>
      </c>
    </row>
    <row r="396" spans="1:16" ht="27.75" customHeight="1">
      <c r="A396" s="17" t="str">
        <f>IF($P396="","",INDEX(BEMANNINGSPLAN!$A$5:$A$546,$P396))</f>
        <v/>
      </c>
      <c r="B396" s="18" t="str">
        <f>IF($P396="","",INDEX(BEMANNINGSPLAN!$B$5:$B$546,$P396))</f>
        <v/>
      </c>
      <c r="C396" s="19" t="str">
        <f>IF($P396="","",INDEX(BEMANNINGSPLAN!$C$5:$C$546,$P396))</f>
        <v/>
      </c>
      <c r="D396" s="20" t="str">
        <f>IF($P396="","",INDEX(BEMANNINGSPLAN!$D$5:$D$546,$P396))</f>
        <v/>
      </c>
      <c r="E396" s="20" t="str">
        <f>IF($P396="","",SUMIF(BEMANNINGSPLAN!$W$5:$W$546,INDEX(BEMANNINGSPLAN!$W$5:$W$546,$P396),BEMANNINGSPLAN!$X$5:$X$546))</f>
        <v/>
      </c>
      <c r="F396" s="18" t="str">
        <f>IF($P396="","",INDEX(BEMANNINGSPLAN!$J$5:$J$546,$P396))</f>
        <v/>
      </c>
      <c r="G396" s="19" t="str">
        <f>IF($P396="","",INDEX(BEMANNINGSPLAN!$AD$5:$AD$546,$P396))</f>
        <v/>
      </c>
      <c r="H396" s="18" t="str">
        <f>IF($P396="","",IF(AND(INDEX(BEMANNINGSPLAN!$Y$5:$Y$546,$P396)=1,G396&lt;&gt;"Minicafé"),"X",""))</f>
        <v/>
      </c>
      <c r="I396" s="21" t="str">
        <f>IF($P396="","",IF(INDEX(BEMANNINGSPLAN!$Y$5:$Y$546,$P396)=1,"X",""))</f>
        <v/>
      </c>
      <c r="J396" s="22" t="str">
        <f>IF($P396="","",IF(SUMIF(BEMANNINGSPLAN!$W$5:$W$546,INDEX(BEMANNINGSPLAN!$W$5:$W$546,$P396),BEMANNINGSPLAN!$Z$5:$Z$546)=1,"X",""))</f>
        <v/>
      </c>
      <c r="K396" s="23" t="str">
        <f>IF($P396="","",IFERROR(LOOKUP(2,1/((BEMANNINGSPLAN!$W$5:$W$546=INDEX(BEMANNINGSPLAN!$W$5:$W$546,$P396))*(BEMANNINGSPLAN!$L$5:$L$546&lt;&gt;"")),BEMANNINGSPLAN!$L$5:$L$546),""))</f>
        <v/>
      </c>
      <c r="L396" s="18" t="str">
        <f>IF($P396="","",INDEX(BEMANNINGSPLAN!$AE$5:$AE$546,$P396))</f>
        <v/>
      </c>
      <c r="M396" s="137"/>
      <c r="N396" s="16"/>
      <c r="O396" s="16">
        <f>IF(AND(BEMANNINGSPLAN!U394=1,OR($B$4="Alla lag",BEMANNINGSPLAN!J394=$B$4),OR($E$4="Alla datum",BEMANNINGSPLAN!A394=$E$4)),COUNT($O$6:O395)+1,"")</f>
        <v>62</v>
      </c>
      <c r="P396" s="137" t="str">
        <f t="shared" si="6"/>
        <v/>
      </c>
    </row>
    <row r="397" spans="1:16" ht="27.75" customHeight="1">
      <c r="A397" s="17" t="str">
        <f>IF($P397="","",INDEX(BEMANNINGSPLAN!$A$5:$A$546,$P397))</f>
        <v/>
      </c>
      <c r="B397" s="18" t="str">
        <f>IF($P397="","",INDEX(BEMANNINGSPLAN!$B$5:$B$546,$P397))</f>
        <v/>
      </c>
      <c r="C397" s="19" t="str">
        <f>IF($P397="","",INDEX(BEMANNINGSPLAN!$C$5:$C$546,$P397))</f>
        <v/>
      </c>
      <c r="D397" s="20" t="str">
        <f>IF($P397="","",INDEX(BEMANNINGSPLAN!$D$5:$D$546,$P397))</f>
        <v/>
      </c>
      <c r="E397" s="20" t="str">
        <f>IF($P397="","",SUMIF(BEMANNINGSPLAN!$W$5:$W$546,INDEX(BEMANNINGSPLAN!$W$5:$W$546,$P397),BEMANNINGSPLAN!$X$5:$X$546))</f>
        <v/>
      </c>
      <c r="F397" s="18" t="str">
        <f>IF($P397="","",INDEX(BEMANNINGSPLAN!$J$5:$J$546,$P397))</f>
        <v/>
      </c>
      <c r="G397" s="19" t="str">
        <f>IF($P397="","",INDEX(BEMANNINGSPLAN!$AD$5:$AD$546,$P397))</f>
        <v/>
      </c>
      <c r="H397" s="18" t="str">
        <f>IF($P397="","",IF(AND(INDEX(BEMANNINGSPLAN!$Y$5:$Y$546,$P397)=1,G397&lt;&gt;"Minicafé"),"X",""))</f>
        <v/>
      </c>
      <c r="I397" s="21" t="str">
        <f>IF($P397="","",IF(INDEX(BEMANNINGSPLAN!$Y$5:$Y$546,$P397)=1,"X",""))</f>
        <v/>
      </c>
      <c r="J397" s="22" t="str">
        <f>IF($P397="","",IF(SUMIF(BEMANNINGSPLAN!$W$5:$W$546,INDEX(BEMANNINGSPLAN!$W$5:$W$546,$P397),BEMANNINGSPLAN!$Z$5:$Z$546)=1,"X",""))</f>
        <v/>
      </c>
      <c r="K397" s="23" t="str">
        <f>IF($P397="","",IFERROR(LOOKUP(2,1/((BEMANNINGSPLAN!$W$5:$W$546=INDEX(BEMANNINGSPLAN!$W$5:$W$546,$P397))*(BEMANNINGSPLAN!$L$5:$L$546&lt;&gt;"")),BEMANNINGSPLAN!$L$5:$L$546),""))</f>
        <v/>
      </c>
      <c r="L397" s="18" t="str">
        <f>IF($P397="","",INDEX(BEMANNINGSPLAN!$AE$5:$AE$546,$P397))</f>
        <v/>
      </c>
      <c r="M397" s="137"/>
      <c r="N397" s="16"/>
      <c r="O397" s="16">
        <f>IF(AND(BEMANNINGSPLAN!U395=1,OR($B$4="Alla lag",BEMANNINGSPLAN!J395=$B$4),OR($E$4="Alla datum",BEMANNINGSPLAN!A395=$E$4)),COUNT($O$6:O396)+1,"")</f>
        <v>63</v>
      </c>
      <c r="P397" s="137" t="str">
        <f t="shared" si="6"/>
        <v/>
      </c>
    </row>
    <row r="398" spans="1:16" ht="27.75" customHeight="1">
      <c r="A398" s="17" t="str">
        <f>IF($P398="","",INDEX(BEMANNINGSPLAN!$A$5:$A$546,$P398))</f>
        <v/>
      </c>
      <c r="B398" s="18" t="str">
        <f>IF($P398="","",INDEX(BEMANNINGSPLAN!$B$5:$B$546,$P398))</f>
        <v/>
      </c>
      <c r="C398" s="19" t="str">
        <f>IF($P398="","",INDEX(BEMANNINGSPLAN!$C$5:$C$546,$P398))</f>
        <v/>
      </c>
      <c r="D398" s="20" t="str">
        <f>IF($P398="","",INDEX(BEMANNINGSPLAN!$D$5:$D$546,$P398))</f>
        <v/>
      </c>
      <c r="E398" s="20" t="str">
        <f>IF($P398="","",SUMIF(BEMANNINGSPLAN!$W$5:$W$546,INDEX(BEMANNINGSPLAN!$W$5:$W$546,$P398),BEMANNINGSPLAN!$X$5:$X$546))</f>
        <v/>
      </c>
      <c r="F398" s="18" t="str">
        <f>IF($P398="","",INDEX(BEMANNINGSPLAN!$J$5:$J$546,$P398))</f>
        <v/>
      </c>
      <c r="G398" s="19" t="str">
        <f>IF($P398="","",INDEX(BEMANNINGSPLAN!$AD$5:$AD$546,$P398))</f>
        <v/>
      </c>
      <c r="H398" s="18" t="str">
        <f>IF($P398="","",IF(AND(INDEX(BEMANNINGSPLAN!$Y$5:$Y$546,$P398)=1,G398&lt;&gt;"Minicafé"),"X",""))</f>
        <v/>
      </c>
      <c r="I398" s="21" t="str">
        <f>IF($P398="","",IF(INDEX(BEMANNINGSPLAN!$Y$5:$Y$546,$P398)=1,"X",""))</f>
        <v/>
      </c>
      <c r="J398" s="22" t="str">
        <f>IF($P398="","",IF(SUMIF(BEMANNINGSPLAN!$W$5:$W$546,INDEX(BEMANNINGSPLAN!$W$5:$W$546,$P398),BEMANNINGSPLAN!$Z$5:$Z$546)=1,"X",""))</f>
        <v/>
      </c>
      <c r="K398" s="23" t="str">
        <f>IF($P398="","",IFERROR(LOOKUP(2,1/((BEMANNINGSPLAN!$W$5:$W$546=INDEX(BEMANNINGSPLAN!$W$5:$W$546,$P398))*(BEMANNINGSPLAN!$L$5:$L$546&lt;&gt;"")),BEMANNINGSPLAN!$L$5:$L$546),""))</f>
        <v/>
      </c>
      <c r="L398" s="18" t="str">
        <f>IF($P398="","",INDEX(BEMANNINGSPLAN!$AE$5:$AE$546,$P398))</f>
        <v/>
      </c>
      <c r="M398" s="137"/>
      <c r="N398" s="16"/>
      <c r="O398" s="16">
        <f>IF(AND(BEMANNINGSPLAN!U396=1,OR($B$4="Alla lag",BEMANNINGSPLAN!J396=$B$4),OR($E$4="Alla datum",BEMANNINGSPLAN!A396=$E$4)),COUNT($O$6:O397)+1,"")</f>
        <v>64</v>
      </c>
      <c r="P398" s="137" t="str">
        <f t="shared" si="6"/>
        <v/>
      </c>
    </row>
    <row r="399" spans="1:16" ht="27.75" customHeight="1">
      <c r="A399" s="17" t="str">
        <f>IF($P399="","",INDEX(BEMANNINGSPLAN!$A$5:$A$546,$P399))</f>
        <v/>
      </c>
      <c r="B399" s="18" t="str">
        <f>IF($P399="","",INDEX(BEMANNINGSPLAN!$B$5:$B$546,$P399))</f>
        <v/>
      </c>
      <c r="C399" s="19" t="str">
        <f>IF($P399="","",INDEX(BEMANNINGSPLAN!$C$5:$C$546,$P399))</f>
        <v/>
      </c>
      <c r="D399" s="20" t="str">
        <f>IF($P399="","",INDEX(BEMANNINGSPLAN!$D$5:$D$546,$P399))</f>
        <v/>
      </c>
      <c r="E399" s="20" t="str">
        <f>IF($P399="","",SUMIF(BEMANNINGSPLAN!$W$5:$W$546,INDEX(BEMANNINGSPLAN!$W$5:$W$546,$P399),BEMANNINGSPLAN!$X$5:$X$546))</f>
        <v/>
      </c>
      <c r="F399" s="18" t="str">
        <f>IF($P399="","",INDEX(BEMANNINGSPLAN!$J$5:$J$546,$P399))</f>
        <v/>
      </c>
      <c r="G399" s="19" t="str">
        <f>IF($P399="","",INDEX(BEMANNINGSPLAN!$AD$5:$AD$546,$P399))</f>
        <v/>
      </c>
      <c r="H399" s="18" t="str">
        <f>IF($P399="","",IF(AND(INDEX(BEMANNINGSPLAN!$Y$5:$Y$546,$P399)=1,G399&lt;&gt;"Minicafé"),"X",""))</f>
        <v/>
      </c>
      <c r="I399" s="21" t="str">
        <f>IF($P399="","",IF(INDEX(BEMANNINGSPLAN!$Y$5:$Y$546,$P399)=1,"X",""))</f>
        <v/>
      </c>
      <c r="J399" s="22" t="str">
        <f>IF($P399="","",IF(SUMIF(BEMANNINGSPLAN!$W$5:$W$546,INDEX(BEMANNINGSPLAN!$W$5:$W$546,$P399),BEMANNINGSPLAN!$Z$5:$Z$546)=1,"X",""))</f>
        <v/>
      </c>
      <c r="K399" s="23" t="str">
        <f>IF($P399="","",IFERROR(LOOKUP(2,1/((BEMANNINGSPLAN!$W$5:$W$546=INDEX(BEMANNINGSPLAN!$W$5:$W$546,$P399))*(BEMANNINGSPLAN!$L$5:$L$546&lt;&gt;"")),BEMANNINGSPLAN!$L$5:$L$546),""))</f>
        <v/>
      </c>
      <c r="L399" s="18" t="str">
        <f>IF($P399="","",INDEX(BEMANNINGSPLAN!$AE$5:$AE$546,$P399))</f>
        <v/>
      </c>
      <c r="M399" s="137"/>
      <c r="N399" s="16"/>
      <c r="O399" s="16" t="str">
        <f>IF(AND(BEMANNINGSPLAN!U397=1,OR($B$4="Alla lag",BEMANNINGSPLAN!J397=$B$4),OR($E$4="Alla datum",BEMANNINGSPLAN!A397=$E$4)),COUNT($O$6:O398)+1,"")</f>
        <v/>
      </c>
      <c r="P399" s="137" t="str">
        <f t="shared" si="6"/>
        <v/>
      </c>
    </row>
    <row r="400" spans="1:16" ht="27.75" customHeight="1">
      <c r="A400" s="17" t="str">
        <f>IF($P400="","",INDEX(BEMANNINGSPLAN!$A$5:$A$546,$P400))</f>
        <v/>
      </c>
      <c r="B400" s="18" t="str">
        <f>IF($P400="","",INDEX(BEMANNINGSPLAN!$B$5:$B$546,$P400))</f>
        <v/>
      </c>
      <c r="C400" s="19" t="str">
        <f>IF($P400="","",INDEX(BEMANNINGSPLAN!$C$5:$C$546,$P400))</f>
        <v/>
      </c>
      <c r="D400" s="20" t="str">
        <f>IF($P400="","",INDEX(BEMANNINGSPLAN!$D$5:$D$546,$P400))</f>
        <v/>
      </c>
      <c r="E400" s="20" t="str">
        <f>IF($P400="","",SUMIF(BEMANNINGSPLAN!$W$5:$W$546,INDEX(BEMANNINGSPLAN!$W$5:$W$546,$P400),BEMANNINGSPLAN!$X$5:$X$546))</f>
        <v/>
      </c>
      <c r="F400" s="18" t="str">
        <f>IF($P400="","",INDEX(BEMANNINGSPLAN!$J$5:$J$546,$P400))</f>
        <v/>
      </c>
      <c r="G400" s="19" t="str">
        <f>IF($P400="","",INDEX(BEMANNINGSPLAN!$AD$5:$AD$546,$P400))</f>
        <v/>
      </c>
      <c r="H400" s="18" t="str">
        <f>IF($P400="","",IF(AND(INDEX(BEMANNINGSPLAN!$Y$5:$Y$546,$P400)=1,G400&lt;&gt;"Minicafé"),"X",""))</f>
        <v/>
      </c>
      <c r="I400" s="21" t="str">
        <f>IF($P400="","",IF(INDEX(BEMANNINGSPLAN!$Y$5:$Y$546,$P400)=1,"X",""))</f>
        <v/>
      </c>
      <c r="J400" s="22" t="str">
        <f>IF($P400="","",IF(SUMIF(BEMANNINGSPLAN!$W$5:$W$546,INDEX(BEMANNINGSPLAN!$W$5:$W$546,$P400),BEMANNINGSPLAN!$Z$5:$Z$546)=1,"X",""))</f>
        <v/>
      </c>
      <c r="K400" s="23" t="str">
        <f>IF($P400="","",IFERROR(LOOKUP(2,1/((BEMANNINGSPLAN!$W$5:$W$546=INDEX(BEMANNINGSPLAN!$W$5:$W$546,$P400))*(BEMANNINGSPLAN!$L$5:$L$546&lt;&gt;"")),BEMANNINGSPLAN!$L$5:$L$546),""))</f>
        <v/>
      </c>
      <c r="L400" s="18" t="str">
        <f>IF($P400="","",INDEX(BEMANNINGSPLAN!$AE$5:$AE$546,$P400))</f>
        <v/>
      </c>
      <c r="M400" s="137"/>
      <c r="N400" s="16"/>
      <c r="O400" s="16" t="str">
        <f>IF(AND(BEMANNINGSPLAN!U398=1,OR($B$4="Alla lag",BEMANNINGSPLAN!J398=$B$4),OR($E$4="Alla datum",BEMANNINGSPLAN!A398=$E$4)),COUNT($O$6:O399)+1,"")</f>
        <v/>
      </c>
      <c r="P400" s="137" t="str">
        <f t="shared" si="6"/>
        <v/>
      </c>
    </row>
    <row r="401" spans="1:16" ht="27.75" customHeight="1">
      <c r="A401" s="17" t="str">
        <f>IF($P401="","",INDEX(BEMANNINGSPLAN!$A$5:$A$546,$P401))</f>
        <v/>
      </c>
      <c r="B401" s="18" t="str">
        <f>IF($P401="","",INDEX(BEMANNINGSPLAN!$B$5:$B$546,$P401))</f>
        <v/>
      </c>
      <c r="C401" s="19" t="str">
        <f>IF($P401="","",INDEX(BEMANNINGSPLAN!$C$5:$C$546,$P401))</f>
        <v/>
      </c>
      <c r="D401" s="20" t="str">
        <f>IF($P401="","",INDEX(BEMANNINGSPLAN!$D$5:$D$546,$P401))</f>
        <v/>
      </c>
      <c r="E401" s="20" t="str">
        <f>IF($P401="","",SUMIF(BEMANNINGSPLAN!$W$5:$W$546,INDEX(BEMANNINGSPLAN!$W$5:$W$546,$P401),BEMANNINGSPLAN!$X$5:$X$546))</f>
        <v/>
      </c>
      <c r="F401" s="18" t="str">
        <f>IF($P401="","",INDEX(BEMANNINGSPLAN!$J$5:$J$546,$P401))</f>
        <v/>
      </c>
      <c r="G401" s="19" t="str">
        <f>IF($P401="","",INDEX(BEMANNINGSPLAN!$AD$5:$AD$546,$P401))</f>
        <v/>
      </c>
      <c r="H401" s="18" t="str">
        <f>IF($P401="","",IF(AND(INDEX(BEMANNINGSPLAN!$Y$5:$Y$546,$P401)=1,G401&lt;&gt;"Minicafé"),"X",""))</f>
        <v/>
      </c>
      <c r="I401" s="21" t="str">
        <f>IF($P401="","",IF(INDEX(BEMANNINGSPLAN!$Y$5:$Y$546,$P401)=1,"X",""))</f>
        <v/>
      </c>
      <c r="J401" s="22" t="str">
        <f>IF($P401="","",IF(SUMIF(BEMANNINGSPLAN!$W$5:$W$546,INDEX(BEMANNINGSPLAN!$W$5:$W$546,$P401),BEMANNINGSPLAN!$Z$5:$Z$546)=1,"X",""))</f>
        <v/>
      </c>
      <c r="K401" s="23" t="str">
        <f>IF($P401="","",IFERROR(LOOKUP(2,1/((BEMANNINGSPLAN!$W$5:$W$546=INDEX(BEMANNINGSPLAN!$W$5:$W$546,$P401))*(BEMANNINGSPLAN!$L$5:$L$546&lt;&gt;"")),BEMANNINGSPLAN!$L$5:$L$546),""))</f>
        <v/>
      </c>
      <c r="L401" s="18" t="str">
        <f>IF($P401="","",INDEX(BEMANNINGSPLAN!$AE$5:$AE$546,$P401))</f>
        <v/>
      </c>
      <c r="M401" s="137"/>
      <c r="N401" s="16"/>
      <c r="O401" s="16" t="str">
        <f>IF(AND(BEMANNINGSPLAN!U399=1,OR($B$4="Alla lag",BEMANNINGSPLAN!J399=$B$4),OR($E$4="Alla datum",BEMANNINGSPLAN!A399=$E$4)),COUNT($O$6:O400)+1,"")</f>
        <v/>
      </c>
      <c r="P401" s="137" t="str">
        <f t="shared" si="6"/>
        <v/>
      </c>
    </row>
    <row r="402" spans="1:16" ht="27.75" customHeight="1">
      <c r="A402" s="17" t="str">
        <f>IF($P402="","",INDEX(BEMANNINGSPLAN!$A$5:$A$546,$P402))</f>
        <v/>
      </c>
      <c r="B402" s="18" t="str">
        <f>IF($P402="","",INDEX(BEMANNINGSPLAN!$B$5:$B$546,$P402))</f>
        <v/>
      </c>
      <c r="C402" s="19" t="str">
        <f>IF($P402="","",INDEX(BEMANNINGSPLAN!$C$5:$C$546,$P402))</f>
        <v/>
      </c>
      <c r="D402" s="20" t="str">
        <f>IF($P402="","",INDEX(BEMANNINGSPLAN!$D$5:$D$546,$P402))</f>
        <v/>
      </c>
      <c r="E402" s="20" t="str">
        <f>IF($P402="","",SUMIF(BEMANNINGSPLAN!$W$5:$W$546,INDEX(BEMANNINGSPLAN!$W$5:$W$546,$P402),BEMANNINGSPLAN!$X$5:$X$546))</f>
        <v/>
      </c>
      <c r="F402" s="18" t="str">
        <f>IF($P402="","",INDEX(BEMANNINGSPLAN!$J$5:$J$546,$P402))</f>
        <v/>
      </c>
      <c r="G402" s="19" t="str">
        <f>IF($P402="","",INDEX(BEMANNINGSPLAN!$AD$5:$AD$546,$P402))</f>
        <v/>
      </c>
      <c r="H402" s="18" t="str">
        <f>IF($P402="","",IF(AND(INDEX(BEMANNINGSPLAN!$Y$5:$Y$546,$P402)=1,G402&lt;&gt;"Minicafé"),"X",""))</f>
        <v/>
      </c>
      <c r="I402" s="21" t="str">
        <f>IF($P402="","",IF(INDEX(BEMANNINGSPLAN!$Y$5:$Y$546,$P402)=1,"X",""))</f>
        <v/>
      </c>
      <c r="J402" s="22" t="str">
        <f>IF($P402="","",IF(SUMIF(BEMANNINGSPLAN!$W$5:$W$546,INDEX(BEMANNINGSPLAN!$W$5:$W$546,$P402),BEMANNINGSPLAN!$Z$5:$Z$546)=1,"X",""))</f>
        <v/>
      </c>
      <c r="K402" s="23" t="str">
        <f>IF($P402="","",IFERROR(LOOKUP(2,1/((BEMANNINGSPLAN!$W$5:$W$546=INDEX(BEMANNINGSPLAN!$W$5:$W$546,$P402))*(BEMANNINGSPLAN!$L$5:$L$546&lt;&gt;"")),BEMANNINGSPLAN!$L$5:$L$546),""))</f>
        <v/>
      </c>
      <c r="L402" s="18" t="str">
        <f>IF($P402="","",INDEX(BEMANNINGSPLAN!$AE$5:$AE$546,$P402))</f>
        <v/>
      </c>
      <c r="M402" s="137"/>
      <c r="N402" s="16"/>
      <c r="O402" s="16" t="str">
        <f>IF(AND(BEMANNINGSPLAN!U400=1,OR($B$4="Alla lag",BEMANNINGSPLAN!J400=$B$4),OR($E$4="Alla datum",BEMANNINGSPLAN!A400=$E$4)),COUNT($O$6:O401)+1,"")</f>
        <v/>
      </c>
      <c r="P402" s="137" t="str">
        <f t="shared" si="6"/>
        <v/>
      </c>
    </row>
    <row r="403" spans="1:16" ht="27.75" customHeight="1">
      <c r="A403" s="17" t="str">
        <f>IF($P403="","",INDEX(BEMANNINGSPLAN!$A$5:$A$546,$P403))</f>
        <v/>
      </c>
      <c r="B403" s="18" t="str">
        <f>IF($P403="","",INDEX(BEMANNINGSPLAN!$B$5:$B$546,$P403))</f>
        <v/>
      </c>
      <c r="C403" s="19" t="str">
        <f>IF($P403="","",INDEX(BEMANNINGSPLAN!$C$5:$C$546,$P403))</f>
        <v/>
      </c>
      <c r="D403" s="20" t="str">
        <f>IF($P403="","",INDEX(BEMANNINGSPLAN!$D$5:$D$546,$P403))</f>
        <v/>
      </c>
      <c r="E403" s="20" t="str">
        <f>IF($P403="","",SUMIF(BEMANNINGSPLAN!$W$5:$W$546,INDEX(BEMANNINGSPLAN!$W$5:$W$546,$P403),BEMANNINGSPLAN!$X$5:$X$546))</f>
        <v/>
      </c>
      <c r="F403" s="18" t="str">
        <f>IF($P403="","",INDEX(BEMANNINGSPLAN!$J$5:$J$546,$P403))</f>
        <v/>
      </c>
      <c r="G403" s="19" t="str">
        <f>IF($P403="","",INDEX(BEMANNINGSPLAN!$AD$5:$AD$546,$P403))</f>
        <v/>
      </c>
      <c r="H403" s="18" t="str">
        <f>IF($P403="","",IF(AND(INDEX(BEMANNINGSPLAN!$Y$5:$Y$546,$P403)=1,G403&lt;&gt;"Minicafé"),"X",""))</f>
        <v/>
      </c>
      <c r="I403" s="21" t="str">
        <f>IF($P403="","",IF(INDEX(BEMANNINGSPLAN!$Y$5:$Y$546,$P403)=1,"X",""))</f>
        <v/>
      </c>
      <c r="J403" s="22" t="str">
        <f>IF($P403="","",IF(SUMIF(BEMANNINGSPLAN!$W$5:$W$546,INDEX(BEMANNINGSPLAN!$W$5:$W$546,$P403),BEMANNINGSPLAN!$Z$5:$Z$546)=1,"X",""))</f>
        <v/>
      </c>
      <c r="K403" s="23" t="str">
        <f>IF($P403="","",IFERROR(LOOKUP(2,1/((BEMANNINGSPLAN!$W$5:$W$546=INDEX(BEMANNINGSPLAN!$W$5:$W$546,$P403))*(BEMANNINGSPLAN!$L$5:$L$546&lt;&gt;"")),BEMANNINGSPLAN!$L$5:$L$546),""))</f>
        <v/>
      </c>
      <c r="L403" s="18" t="str">
        <f>IF($P403="","",INDEX(BEMANNINGSPLAN!$AE$5:$AE$546,$P403))</f>
        <v/>
      </c>
      <c r="M403" s="137"/>
      <c r="N403" s="16"/>
      <c r="O403" s="16" t="str">
        <f>IF(AND(BEMANNINGSPLAN!U401=1,OR($B$4="Alla lag",BEMANNINGSPLAN!J401=$B$4),OR($E$4="Alla datum",BEMANNINGSPLAN!A401=$E$4)),COUNT($O$6:O402)+1,"")</f>
        <v/>
      </c>
      <c r="P403" s="137" t="str">
        <f t="shared" si="6"/>
        <v/>
      </c>
    </row>
    <row r="404" spans="1:16" ht="27.75" customHeight="1">
      <c r="A404" s="17" t="str">
        <f>IF($P404="","",INDEX(BEMANNINGSPLAN!$A$5:$A$546,$P404))</f>
        <v/>
      </c>
      <c r="B404" s="18" t="str">
        <f>IF($P404="","",INDEX(BEMANNINGSPLAN!$B$5:$B$546,$P404))</f>
        <v/>
      </c>
      <c r="C404" s="19" t="str">
        <f>IF($P404="","",INDEX(BEMANNINGSPLAN!$C$5:$C$546,$P404))</f>
        <v/>
      </c>
      <c r="D404" s="20" t="str">
        <f>IF($P404="","",INDEX(BEMANNINGSPLAN!$D$5:$D$546,$P404))</f>
        <v/>
      </c>
      <c r="E404" s="20" t="str">
        <f>IF($P404="","",SUMIF(BEMANNINGSPLAN!$W$5:$W$546,INDEX(BEMANNINGSPLAN!$W$5:$W$546,$P404),BEMANNINGSPLAN!$X$5:$X$546))</f>
        <v/>
      </c>
      <c r="F404" s="18" t="str">
        <f>IF($P404="","",INDEX(BEMANNINGSPLAN!$J$5:$J$546,$P404))</f>
        <v/>
      </c>
      <c r="G404" s="19" t="str">
        <f>IF($P404="","",INDEX(BEMANNINGSPLAN!$AD$5:$AD$546,$P404))</f>
        <v/>
      </c>
      <c r="H404" s="18" t="str">
        <f>IF($P404="","",IF(AND(INDEX(BEMANNINGSPLAN!$Y$5:$Y$546,$P404)=1,G404&lt;&gt;"Minicafé"),"X",""))</f>
        <v/>
      </c>
      <c r="I404" s="21" t="str">
        <f>IF($P404="","",IF(INDEX(BEMANNINGSPLAN!$Y$5:$Y$546,$P404)=1,"X",""))</f>
        <v/>
      </c>
      <c r="J404" s="22" t="str">
        <f>IF($P404="","",IF(SUMIF(BEMANNINGSPLAN!$W$5:$W$546,INDEX(BEMANNINGSPLAN!$W$5:$W$546,$P404),BEMANNINGSPLAN!$Z$5:$Z$546)=1,"X",""))</f>
        <v/>
      </c>
      <c r="K404" s="23" t="str">
        <f>IF($P404="","",IFERROR(LOOKUP(2,1/((BEMANNINGSPLAN!$W$5:$W$546=INDEX(BEMANNINGSPLAN!$W$5:$W$546,$P404))*(BEMANNINGSPLAN!$L$5:$L$546&lt;&gt;"")),BEMANNINGSPLAN!$L$5:$L$546),""))</f>
        <v/>
      </c>
      <c r="L404" s="18" t="str">
        <f>IF($P404="","",INDEX(BEMANNINGSPLAN!$AE$5:$AE$546,$P404))</f>
        <v/>
      </c>
      <c r="M404" s="137"/>
      <c r="N404" s="16"/>
      <c r="O404" s="16" t="str">
        <f>IF(AND(BEMANNINGSPLAN!U402=1,OR($B$4="Alla lag",BEMANNINGSPLAN!J402=$B$4),OR($E$4="Alla datum",BEMANNINGSPLAN!A402=$E$4)),COUNT($O$6:O403)+1,"")</f>
        <v/>
      </c>
      <c r="P404" s="137" t="str">
        <f t="shared" si="6"/>
        <v/>
      </c>
    </row>
    <row r="405" spans="1:16" ht="27.75" customHeight="1">
      <c r="A405" s="17" t="str">
        <f>IF($P405="","",INDEX(BEMANNINGSPLAN!$A$5:$A$546,$P405))</f>
        <v/>
      </c>
      <c r="B405" s="18" t="str">
        <f>IF($P405="","",INDEX(BEMANNINGSPLAN!$B$5:$B$546,$P405))</f>
        <v/>
      </c>
      <c r="C405" s="19" t="str">
        <f>IF($P405="","",INDEX(BEMANNINGSPLAN!$C$5:$C$546,$P405))</f>
        <v/>
      </c>
      <c r="D405" s="20" t="str">
        <f>IF($P405="","",INDEX(BEMANNINGSPLAN!$D$5:$D$546,$P405))</f>
        <v/>
      </c>
      <c r="E405" s="20" t="str">
        <f>IF($P405="","",SUMIF(BEMANNINGSPLAN!$W$5:$W$546,INDEX(BEMANNINGSPLAN!$W$5:$W$546,$P405),BEMANNINGSPLAN!$X$5:$X$546))</f>
        <v/>
      </c>
      <c r="F405" s="18" t="str">
        <f>IF($P405="","",INDEX(BEMANNINGSPLAN!$J$5:$J$546,$P405))</f>
        <v/>
      </c>
      <c r="G405" s="19" t="str">
        <f>IF($P405="","",INDEX(BEMANNINGSPLAN!$AD$5:$AD$546,$P405))</f>
        <v/>
      </c>
      <c r="H405" s="18" t="str">
        <f>IF($P405="","",IF(AND(INDEX(BEMANNINGSPLAN!$Y$5:$Y$546,$P405)=1,G405&lt;&gt;"Minicafé"),"X",""))</f>
        <v/>
      </c>
      <c r="I405" s="21" t="str">
        <f>IF($P405="","",IF(INDEX(BEMANNINGSPLAN!$Y$5:$Y$546,$P405)=1,"X",""))</f>
        <v/>
      </c>
      <c r="J405" s="22" t="str">
        <f>IF($P405="","",IF(SUMIF(BEMANNINGSPLAN!$W$5:$W$546,INDEX(BEMANNINGSPLAN!$W$5:$W$546,$P405),BEMANNINGSPLAN!$Z$5:$Z$546)=1,"X",""))</f>
        <v/>
      </c>
      <c r="K405" s="23" t="str">
        <f>IF($P405="","",IFERROR(LOOKUP(2,1/((BEMANNINGSPLAN!$W$5:$W$546=INDEX(BEMANNINGSPLAN!$W$5:$W$546,$P405))*(BEMANNINGSPLAN!$L$5:$L$546&lt;&gt;"")),BEMANNINGSPLAN!$L$5:$L$546),""))</f>
        <v/>
      </c>
      <c r="L405" s="18" t="str">
        <f>IF($P405="","",INDEX(BEMANNINGSPLAN!$AE$5:$AE$546,$P405))</f>
        <v/>
      </c>
      <c r="M405" s="137"/>
      <c r="N405" s="16"/>
      <c r="O405" s="16">
        <f>IF(AND(BEMANNINGSPLAN!U403=1,OR($B$4="Alla lag",BEMANNINGSPLAN!J403=$B$4),OR($E$4="Alla datum",BEMANNINGSPLAN!A403=$E$4)),COUNT($O$6:O404)+1,"")</f>
        <v>65</v>
      </c>
      <c r="P405" s="137" t="str">
        <f t="shared" si="6"/>
        <v/>
      </c>
    </row>
    <row r="406" spans="1:16" ht="27.75" customHeight="1">
      <c r="A406" s="17" t="str">
        <f>IF($P406="","",INDEX(BEMANNINGSPLAN!$A$5:$A$546,$P406))</f>
        <v/>
      </c>
      <c r="B406" s="18" t="str">
        <f>IF($P406="","",INDEX(BEMANNINGSPLAN!$B$5:$B$546,$P406))</f>
        <v/>
      </c>
      <c r="C406" s="19" t="str">
        <f>IF($P406="","",INDEX(BEMANNINGSPLAN!$C$5:$C$546,$P406))</f>
        <v/>
      </c>
      <c r="D406" s="20" t="str">
        <f>IF($P406="","",INDEX(BEMANNINGSPLAN!$D$5:$D$546,$P406))</f>
        <v/>
      </c>
      <c r="E406" s="20" t="str">
        <f>IF($P406="","",SUMIF(BEMANNINGSPLAN!$W$5:$W$546,INDEX(BEMANNINGSPLAN!$W$5:$W$546,$P406),BEMANNINGSPLAN!$X$5:$X$546))</f>
        <v/>
      </c>
      <c r="F406" s="18" t="str">
        <f>IF($P406="","",INDEX(BEMANNINGSPLAN!$J$5:$J$546,$P406))</f>
        <v/>
      </c>
      <c r="G406" s="19" t="str">
        <f>IF($P406="","",INDEX(BEMANNINGSPLAN!$AD$5:$AD$546,$P406))</f>
        <v/>
      </c>
      <c r="H406" s="18" t="str">
        <f>IF($P406="","",IF(AND(INDEX(BEMANNINGSPLAN!$Y$5:$Y$546,$P406)=1,G406&lt;&gt;"Minicafé"),"X",""))</f>
        <v/>
      </c>
      <c r="I406" s="21" t="str">
        <f>IF($P406="","",IF(INDEX(BEMANNINGSPLAN!$Y$5:$Y$546,$P406)=1,"X",""))</f>
        <v/>
      </c>
      <c r="J406" s="22" t="str">
        <f>IF($P406="","",IF(SUMIF(BEMANNINGSPLAN!$W$5:$W$546,INDEX(BEMANNINGSPLAN!$W$5:$W$546,$P406),BEMANNINGSPLAN!$Z$5:$Z$546)=1,"X",""))</f>
        <v/>
      </c>
      <c r="K406" s="23" t="str">
        <f>IF($P406="","",IFERROR(LOOKUP(2,1/((BEMANNINGSPLAN!$W$5:$W$546=INDEX(BEMANNINGSPLAN!$W$5:$W$546,$P406))*(BEMANNINGSPLAN!$L$5:$L$546&lt;&gt;"")),BEMANNINGSPLAN!$L$5:$L$546),""))</f>
        <v/>
      </c>
      <c r="L406" s="18" t="str">
        <f>IF($P406="","",INDEX(BEMANNINGSPLAN!$AE$5:$AE$546,$P406))</f>
        <v/>
      </c>
      <c r="M406" s="137"/>
      <c r="N406" s="16"/>
      <c r="O406" s="16" t="str">
        <f>IF(AND(BEMANNINGSPLAN!U404=1,OR($B$4="Alla lag",BEMANNINGSPLAN!J404=$B$4),OR($E$4="Alla datum",BEMANNINGSPLAN!A404=$E$4)),COUNT($O$6:O405)+1,"")</f>
        <v/>
      </c>
      <c r="P406" s="137" t="str">
        <f t="shared" si="6"/>
        <v/>
      </c>
    </row>
    <row r="407" spans="1:16" ht="27.75" customHeight="1">
      <c r="A407" s="17" t="str">
        <f>IF($P407="","",INDEX(BEMANNINGSPLAN!$A$5:$A$546,$P407))</f>
        <v/>
      </c>
      <c r="B407" s="18" t="str">
        <f>IF($P407="","",INDEX(BEMANNINGSPLAN!$B$5:$B$546,$P407))</f>
        <v/>
      </c>
      <c r="C407" s="19" t="str">
        <f>IF($P407="","",INDEX(BEMANNINGSPLAN!$C$5:$C$546,$P407))</f>
        <v/>
      </c>
      <c r="D407" s="20" t="str">
        <f>IF($P407="","",INDEX(BEMANNINGSPLAN!$D$5:$D$546,$P407))</f>
        <v/>
      </c>
      <c r="E407" s="20" t="str">
        <f>IF($P407="","",SUMIF(BEMANNINGSPLAN!$W$5:$W$546,INDEX(BEMANNINGSPLAN!$W$5:$W$546,$P407),BEMANNINGSPLAN!$X$5:$X$546))</f>
        <v/>
      </c>
      <c r="F407" s="18" t="str">
        <f>IF($P407="","",INDEX(BEMANNINGSPLAN!$J$5:$J$546,$P407))</f>
        <v/>
      </c>
      <c r="G407" s="19" t="str">
        <f>IF($P407="","",INDEX(BEMANNINGSPLAN!$AD$5:$AD$546,$P407))</f>
        <v/>
      </c>
      <c r="H407" s="18" t="str">
        <f>IF($P407="","",IF(AND(INDEX(BEMANNINGSPLAN!$Y$5:$Y$546,$P407)=1,G407&lt;&gt;"Minicafé"),"X",""))</f>
        <v/>
      </c>
      <c r="I407" s="21" t="str">
        <f>IF($P407="","",IF(INDEX(BEMANNINGSPLAN!$Y$5:$Y$546,$P407)=1,"X",""))</f>
        <v/>
      </c>
      <c r="J407" s="22" t="str">
        <f>IF($P407="","",IF(SUMIF(BEMANNINGSPLAN!$W$5:$W$546,INDEX(BEMANNINGSPLAN!$W$5:$W$546,$P407),BEMANNINGSPLAN!$Z$5:$Z$546)=1,"X",""))</f>
        <v/>
      </c>
      <c r="K407" s="23" t="str">
        <f>IF($P407="","",IFERROR(LOOKUP(2,1/((BEMANNINGSPLAN!$W$5:$W$546=INDEX(BEMANNINGSPLAN!$W$5:$W$546,$P407))*(BEMANNINGSPLAN!$L$5:$L$546&lt;&gt;"")),BEMANNINGSPLAN!$L$5:$L$546),""))</f>
        <v/>
      </c>
      <c r="L407" s="18" t="str">
        <f>IF($P407="","",INDEX(BEMANNINGSPLAN!$AE$5:$AE$546,$P407))</f>
        <v/>
      </c>
      <c r="M407" s="137"/>
      <c r="N407" s="16"/>
      <c r="O407" s="16" t="str">
        <f>IF(AND(BEMANNINGSPLAN!U405=1,OR($B$4="Alla lag",BEMANNINGSPLAN!J405=$B$4),OR($E$4="Alla datum",BEMANNINGSPLAN!A405=$E$4)),COUNT($O$6:O406)+1,"")</f>
        <v/>
      </c>
      <c r="P407" s="137" t="str">
        <f t="shared" si="6"/>
        <v/>
      </c>
    </row>
    <row r="408" spans="1:16" ht="27.75" customHeight="1">
      <c r="A408" s="17" t="str">
        <f>IF($P408="","",INDEX(BEMANNINGSPLAN!$A$5:$A$546,$P408))</f>
        <v/>
      </c>
      <c r="B408" s="18" t="str">
        <f>IF($P408="","",INDEX(BEMANNINGSPLAN!$B$5:$B$546,$P408))</f>
        <v/>
      </c>
      <c r="C408" s="19" t="str">
        <f>IF($P408="","",INDEX(BEMANNINGSPLAN!$C$5:$C$546,$P408))</f>
        <v/>
      </c>
      <c r="D408" s="20" t="str">
        <f>IF($P408="","",INDEX(BEMANNINGSPLAN!$D$5:$D$546,$P408))</f>
        <v/>
      </c>
      <c r="E408" s="20" t="str">
        <f>IF($P408="","",SUMIF(BEMANNINGSPLAN!$W$5:$W$546,INDEX(BEMANNINGSPLAN!$W$5:$W$546,$P408),BEMANNINGSPLAN!$X$5:$X$546))</f>
        <v/>
      </c>
      <c r="F408" s="18" t="str">
        <f>IF($P408="","",INDEX(BEMANNINGSPLAN!$J$5:$J$546,$P408))</f>
        <v/>
      </c>
      <c r="G408" s="19" t="str">
        <f>IF($P408="","",INDEX(BEMANNINGSPLAN!$AD$5:$AD$546,$P408))</f>
        <v/>
      </c>
      <c r="H408" s="18" t="str">
        <f>IF($P408="","",IF(AND(INDEX(BEMANNINGSPLAN!$Y$5:$Y$546,$P408)=1,G408&lt;&gt;"Minicafé"),"X",""))</f>
        <v/>
      </c>
      <c r="I408" s="21" t="str">
        <f>IF($P408="","",IF(INDEX(BEMANNINGSPLAN!$Y$5:$Y$546,$P408)=1,"X",""))</f>
        <v/>
      </c>
      <c r="J408" s="22" t="str">
        <f>IF($P408="","",IF(SUMIF(BEMANNINGSPLAN!$W$5:$W$546,INDEX(BEMANNINGSPLAN!$W$5:$W$546,$P408),BEMANNINGSPLAN!$Z$5:$Z$546)=1,"X",""))</f>
        <v/>
      </c>
      <c r="K408" s="23" t="str">
        <f>IF($P408="","",IFERROR(LOOKUP(2,1/((BEMANNINGSPLAN!$W$5:$W$546=INDEX(BEMANNINGSPLAN!$W$5:$W$546,$P408))*(BEMANNINGSPLAN!$L$5:$L$546&lt;&gt;"")),BEMANNINGSPLAN!$L$5:$L$546),""))</f>
        <v/>
      </c>
      <c r="L408" s="18" t="str">
        <f>IF($P408="","",INDEX(BEMANNINGSPLAN!$AE$5:$AE$546,$P408))</f>
        <v/>
      </c>
      <c r="M408" s="137"/>
      <c r="N408" s="16"/>
      <c r="O408" s="16">
        <f>IF(AND(BEMANNINGSPLAN!U406=1,OR($B$4="Alla lag",BEMANNINGSPLAN!J406=$B$4),OR($E$4="Alla datum",BEMANNINGSPLAN!A406=$E$4)),COUNT($O$6:O407)+1,"")</f>
        <v>66</v>
      </c>
      <c r="P408" s="137" t="str">
        <f t="shared" si="6"/>
        <v/>
      </c>
    </row>
    <row r="409" spans="1:16" ht="27.75" customHeight="1">
      <c r="A409" s="17" t="str">
        <f>IF($P409="","",INDEX(BEMANNINGSPLAN!$A$5:$A$546,$P409))</f>
        <v/>
      </c>
      <c r="B409" s="18" t="str">
        <f>IF($P409="","",INDEX(BEMANNINGSPLAN!$B$5:$B$546,$P409))</f>
        <v/>
      </c>
      <c r="C409" s="19" t="str">
        <f>IF($P409="","",INDEX(BEMANNINGSPLAN!$C$5:$C$546,$P409))</f>
        <v/>
      </c>
      <c r="D409" s="20" t="str">
        <f>IF($P409="","",INDEX(BEMANNINGSPLAN!$D$5:$D$546,$P409))</f>
        <v/>
      </c>
      <c r="E409" s="20" t="str">
        <f>IF($P409="","",SUMIF(BEMANNINGSPLAN!$W$5:$W$546,INDEX(BEMANNINGSPLAN!$W$5:$W$546,$P409),BEMANNINGSPLAN!$X$5:$X$546))</f>
        <v/>
      </c>
      <c r="F409" s="18" t="str">
        <f>IF($P409="","",INDEX(BEMANNINGSPLAN!$J$5:$J$546,$P409))</f>
        <v/>
      </c>
      <c r="G409" s="19" t="str">
        <f>IF($P409="","",INDEX(BEMANNINGSPLAN!$AD$5:$AD$546,$P409))</f>
        <v/>
      </c>
      <c r="H409" s="18" t="str">
        <f>IF($P409="","",IF(AND(INDEX(BEMANNINGSPLAN!$Y$5:$Y$546,$P409)=1,G409&lt;&gt;"Minicafé"),"X",""))</f>
        <v/>
      </c>
      <c r="I409" s="21" t="str">
        <f>IF($P409="","",IF(INDEX(BEMANNINGSPLAN!$Y$5:$Y$546,$P409)=1,"X",""))</f>
        <v/>
      </c>
      <c r="J409" s="22" t="str">
        <f>IF($P409="","",IF(SUMIF(BEMANNINGSPLAN!$W$5:$W$546,INDEX(BEMANNINGSPLAN!$W$5:$W$546,$P409),BEMANNINGSPLAN!$Z$5:$Z$546)=1,"X",""))</f>
        <v/>
      </c>
      <c r="K409" s="23" t="str">
        <f>IF($P409="","",IFERROR(LOOKUP(2,1/((BEMANNINGSPLAN!$W$5:$W$546=INDEX(BEMANNINGSPLAN!$W$5:$W$546,$P409))*(BEMANNINGSPLAN!$L$5:$L$546&lt;&gt;"")),BEMANNINGSPLAN!$L$5:$L$546),""))</f>
        <v/>
      </c>
      <c r="L409" s="18" t="str">
        <f>IF($P409="","",INDEX(BEMANNINGSPLAN!$AE$5:$AE$546,$P409))</f>
        <v/>
      </c>
      <c r="M409" s="137"/>
      <c r="N409" s="16"/>
      <c r="O409" s="16" t="str">
        <f>IF(AND(BEMANNINGSPLAN!U407=1,OR($B$4="Alla lag",BEMANNINGSPLAN!J407=$B$4),OR($E$4="Alla datum",BEMANNINGSPLAN!A407=$E$4)),COUNT($O$6:O408)+1,"")</f>
        <v/>
      </c>
      <c r="P409" s="137" t="str">
        <f t="shared" si="6"/>
        <v/>
      </c>
    </row>
    <row r="410" spans="1:16" ht="27.75" customHeight="1">
      <c r="A410" s="17" t="str">
        <f>IF($P410="","",INDEX(BEMANNINGSPLAN!$A$5:$A$546,$P410))</f>
        <v/>
      </c>
      <c r="B410" s="18" t="str">
        <f>IF($P410="","",INDEX(BEMANNINGSPLAN!$B$5:$B$546,$P410))</f>
        <v/>
      </c>
      <c r="C410" s="19" t="str">
        <f>IF($P410="","",INDEX(BEMANNINGSPLAN!$C$5:$C$546,$P410))</f>
        <v/>
      </c>
      <c r="D410" s="20" t="str">
        <f>IF($P410="","",INDEX(BEMANNINGSPLAN!$D$5:$D$546,$P410))</f>
        <v/>
      </c>
      <c r="E410" s="20" t="str">
        <f>IF($P410="","",SUMIF(BEMANNINGSPLAN!$W$5:$W$546,INDEX(BEMANNINGSPLAN!$W$5:$W$546,$P410),BEMANNINGSPLAN!$X$5:$X$546))</f>
        <v/>
      </c>
      <c r="F410" s="18" t="str">
        <f>IF($P410="","",INDEX(BEMANNINGSPLAN!$J$5:$J$546,$P410))</f>
        <v/>
      </c>
      <c r="G410" s="19" t="str">
        <f>IF($P410="","",INDEX(BEMANNINGSPLAN!$AD$5:$AD$546,$P410))</f>
        <v/>
      </c>
      <c r="H410" s="18" t="str">
        <f>IF($P410="","",IF(AND(INDEX(BEMANNINGSPLAN!$Y$5:$Y$546,$P410)=1,G410&lt;&gt;"Minicafé"),"X",""))</f>
        <v/>
      </c>
      <c r="I410" s="21" t="str">
        <f>IF($P410="","",IF(INDEX(BEMANNINGSPLAN!$Y$5:$Y$546,$P410)=1,"X",""))</f>
        <v/>
      </c>
      <c r="J410" s="22" t="str">
        <f>IF($P410="","",IF(SUMIF(BEMANNINGSPLAN!$W$5:$W$546,INDEX(BEMANNINGSPLAN!$W$5:$W$546,$P410),BEMANNINGSPLAN!$Z$5:$Z$546)=1,"X",""))</f>
        <v/>
      </c>
      <c r="K410" s="23" t="str">
        <f>IF($P410="","",IFERROR(LOOKUP(2,1/((BEMANNINGSPLAN!$W$5:$W$546=INDEX(BEMANNINGSPLAN!$W$5:$W$546,$P410))*(BEMANNINGSPLAN!$L$5:$L$546&lt;&gt;"")),BEMANNINGSPLAN!$L$5:$L$546),""))</f>
        <v/>
      </c>
      <c r="L410" s="18" t="str">
        <f>IF($P410="","",INDEX(BEMANNINGSPLAN!$AE$5:$AE$546,$P410))</f>
        <v/>
      </c>
      <c r="M410" s="137"/>
      <c r="N410" s="16"/>
      <c r="O410" s="16" t="str">
        <f>IF(AND(BEMANNINGSPLAN!U408=1,OR($B$4="Alla lag",BEMANNINGSPLAN!J408=$B$4),OR($E$4="Alla datum",BEMANNINGSPLAN!A408=$E$4)),COUNT($O$6:O409)+1,"")</f>
        <v/>
      </c>
      <c r="P410" s="137" t="str">
        <f t="shared" si="6"/>
        <v/>
      </c>
    </row>
    <row r="411" spans="1:16" ht="27.75" customHeight="1">
      <c r="A411" s="17" t="str">
        <f>IF($P411="","",INDEX(BEMANNINGSPLAN!$A$5:$A$546,$P411))</f>
        <v/>
      </c>
      <c r="B411" s="18" t="str">
        <f>IF($P411="","",INDEX(BEMANNINGSPLAN!$B$5:$B$546,$P411))</f>
        <v/>
      </c>
      <c r="C411" s="19" t="str">
        <f>IF($P411="","",INDEX(BEMANNINGSPLAN!$C$5:$C$546,$P411))</f>
        <v/>
      </c>
      <c r="D411" s="20" t="str">
        <f>IF($P411="","",INDEX(BEMANNINGSPLAN!$D$5:$D$546,$P411))</f>
        <v/>
      </c>
      <c r="E411" s="20" t="str">
        <f>IF($P411="","",SUMIF(BEMANNINGSPLAN!$W$5:$W$546,INDEX(BEMANNINGSPLAN!$W$5:$W$546,$P411),BEMANNINGSPLAN!$X$5:$X$546))</f>
        <v/>
      </c>
      <c r="F411" s="18" t="str">
        <f>IF($P411="","",INDEX(BEMANNINGSPLAN!$J$5:$J$546,$P411))</f>
        <v/>
      </c>
      <c r="G411" s="19" t="str">
        <f>IF($P411="","",INDEX(BEMANNINGSPLAN!$AD$5:$AD$546,$P411))</f>
        <v/>
      </c>
      <c r="H411" s="18" t="str">
        <f>IF($P411="","",IF(AND(INDEX(BEMANNINGSPLAN!$Y$5:$Y$546,$P411)=1,G411&lt;&gt;"Minicafé"),"X",""))</f>
        <v/>
      </c>
      <c r="I411" s="21" t="str">
        <f>IF($P411="","",IF(INDEX(BEMANNINGSPLAN!$Y$5:$Y$546,$P411)=1,"X",""))</f>
        <v/>
      </c>
      <c r="J411" s="22" t="str">
        <f>IF($P411="","",IF(SUMIF(BEMANNINGSPLAN!$W$5:$W$546,INDEX(BEMANNINGSPLAN!$W$5:$W$546,$P411),BEMANNINGSPLAN!$Z$5:$Z$546)=1,"X",""))</f>
        <v/>
      </c>
      <c r="K411" s="23" t="str">
        <f>IF($P411="","",IFERROR(LOOKUP(2,1/((BEMANNINGSPLAN!$W$5:$W$546=INDEX(BEMANNINGSPLAN!$W$5:$W$546,$P411))*(BEMANNINGSPLAN!$L$5:$L$546&lt;&gt;"")),BEMANNINGSPLAN!$L$5:$L$546),""))</f>
        <v/>
      </c>
      <c r="L411" s="18" t="str">
        <f>IF($P411="","",INDEX(BEMANNINGSPLAN!$AE$5:$AE$546,$P411))</f>
        <v/>
      </c>
      <c r="M411" s="137"/>
      <c r="N411" s="16"/>
      <c r="O411" s="16" t="str">
        <f>IF(AND(BEMANNINGSPLAN!U409=1,OR($B$4="Alla lag",BEMANNINGSPLAN!J409=$B$4),OR($E$4="Alla datum",BEMANNINGSPLAN!A409=$E$4)),COUNT($O$6:O410)+1,"")</f>
        <v/>
      </c>
      <c r="P411" s="137" t="str">
        <f t="shared" si="6"/>
        <v/>
      </c>
    </row>
    <row r="412" spans="1:16" ht="27.75" customHeight="1">
      <c r="A412" s="17" t="str">
        <f>IF($P412="","",INDEX(BEMANNINGSPLAN!$A$5:$A$546,$P412))</f>
        <v/>
      </c>
      <c r="B412" s="18" t="str">
        <f>IF($P412="","",INDEX(BEMANNINGSPLAN!$B$5:$B$546,$P412))</f>
        <v/>
      </c>
      <c r="C412" s="19" t="str">
        <f>IF($P412="","",INDEX(BEMANNINGSPLAN!$C$5:$C$546,$P412))</f>
        <v/>
      </c>
      <c r="D412" s="20" t="str">
        <f>IF($P412="","",INDEX(BEMANNINGSPLAN!$D$5:$D$546,$P412))</f>
        <v/>
      </c>
      <c r="E412" s="20" t="str">
        <f>IF($P412="","",SUMIF(BEMANNINGSPLAN!$W$5:$W$546,INDEX(BEMANNINGSPLAN!$W$5:$W$546,$P412),BEMANNINGSPLAN!$X$5:$X$546))</f>
        <v/>
      </c>
      <c r="F412" s="18" t="str">
        <f>IF($P412="","",INDEX(BEMANNINGSPLAN!$J$5:$J$546,$P412))</f>
        <v/>
      </c>
      <c r="G412" s="19" t="str">
        <f>IF($P412="","",INDEX(BEMANNINGSPLAN!$AD$5:$AD$546,$P412))</f>
        <v/>
      </c>
      <c r="H412" s="18" t="str">
        <f>IF($P412="","",IF(AND(INDEX(BEMANNINGSPLAN!$Y$5:$Y$546,$P412)=1,G412&lt;&gt;"Minicafé"),"X",""))</f>
        <v/>
      </c>
      <c r="I412" s="21" t="str">
        <f>IF($P412="","",IF(INDEX(BEMANNINGSPLAN!$Y$5:$Y$546,$P412)=1,"X",""))</f>
        <v/>
      </c>
      <c r="J412" s="22" t="str">
        <f>IF($P412="","",IF(SUMIF(BEMANNINGSPLAN!$W$5:$W$546,INDEX(BEMANNINGSPLAN!$W$5:$W$546,$P412),BEMANNINGSPLAN!$Z$5:$Z$546)=1,"X",""))</f>
        <v/>
      </c>
      <c r="K412" s="23" t="str">
        <f>IF($P412="","",IFERROR(LOOKUP(2,1/((BEMANNINGSPLAN!$W$5:$W$546=INDEX(BEMANNINGSPLAN!$W$5:$W$546,$P412))*(BEMANNINGSPLAN!$L$5:$L$546&lt;&gt;"")),BEMANNINGSPLAN!$L$5:$L$546),""))</f>
        <v/>
      </c>
      <c r="L412" s="18" t="str">
        <f>IF($P412="","",INDEX(BEMANNINGSPLAN!$AE$5:$AE$546,$P412))</f>
        <v/>
      </c>
      <c r="M412" s="137"/>
      <c r="N412" s="16"/>
      <c r="O412" s="16" t="str">
        <f>IF(AND(BEMANNINGSPLAN!U410=1,OR($B$4="Alla lag",BEMANNINGSPLAN!J410=$B$4),OR($E$4="Alla datum",BEMANNINGSPLAN!A410=$E$4)),COUNT($O$6:O411)+1,"")</f>
        <v/>
      </c>
      <c r="P412" s="137" t="str">
        <f t="shared" si="6"/>
        <v/>
      </c>
    </row>
    <row r="413" spans="1:16" ht="27.75" customHeight="1">
      <c r="A413" s="17" t="str">
        <f>IF($P413="","",INDEX(BEMANNINGSPLAN!$A$5:$A$546,$P413))</f>
        <v/>
      </c>
      <c r="B413" s="18" t="str">
        <f>IF($P413="","",INDEX(BEMANNINGSPLAN!$B$5:$B$546,$P413))</f>
        <v/>
      </c>
      <c r="C413" s="19" t="str">
        <f>IF($P413="","",INDEX(BEMANNINGSPLAN!$C$5:$C$546,$P413))</f>
        <v/>
      </c>
      <c r="D413" s="20" t="str">
        <f>IF($P413="","",INDEX(BEMANNINGSPLAN!$D$5:$D$546,$P413))</f>
        <v/>
      </c>
      <c r="E413" s="20" t="str">
        <f>IF($P413="","",SUMIF(BEMANNINGSPLAN!$W$5:$W$546,INDEX(BEMANNINGSPLAN!$W$5:$W$546,$P413),BEMANNINGSPLAN!$X$5:$X$546))</f>
        <v/>
      </c>
      <c r="F413" s="18" t="str">
        <f>IF($P413="","",INDEX(BEMANNINGSPLAN!$J$5:$J$546,$P413))</f>
        <v/>
      </c>
      <c r="G413" s="19" t="str">
        <f>IF($P413="","",INDEX(BEMANNINGSPLAN!$AD$5:$AD$546,$P413))</f>
        <v/>
      </c>
      <c r="H413" s="18" t="str">
        <f>IF($P413="","",IF(AND(INDEX(BEMANNINGSPLAN!$Y$5:$Y$546,$P413)=1,G413&lt;&gt;"Minicafé"),"X",""))</f>
        <v/>
      </c>
      <c r="I413" s="21" t="str">
        <f>IF($P413="","",IF(INDEX(BEMANNINGSPLAN!$Y$5:$Y$546,$P413)=1,"X",""))</f>
        <v/>
      </c>
      <c r="J413" s="22" t="str">
        <f>IF($P413="","",IF(SUMIF(BEMANNINGSPLAN!$W$5:$W$546,INDEX(BEMANNINGSPLAN!$W$5:$W$546,$P413),BEMANNINGSPLAN!$Z$5:$Z$546)=1,"X",""))</f>
        <v/>
      </c>
      <c r="K413" s="23" t="str">
        <f>IF($P413="","",IFERROR(LOOKUP(2,1/((BEMANNINGSPLAN!$W$5:$W$546=INDEX(BEMANNINGSPLAN!$W$5:$W$546,$P413))*(BEMANNINGSPLAN!$L$5:$L$546&lt;&gt;"")),BEMANNINGSPLAN!$L$5:$L$546),""))</f>
        <v/>
      </c>
      <c r="L413" s="18" t="str">
        <f>IF($P413="","",INDEX(BEMANNINGSPLAN!$AE$5:$AE$546,$P413))</f>
        <v/>
      </c>
      <c r="M413" s="137"/>
      <c r="N413" s="16"/>
      <c r="O413" s="16" t="str">
        <f>IF(AND(BEMANNINGSPLAN!U411=1,OR($B$4="Alla lag",BEMANNINGSPLAN!J411=$B$4),OR($E$4="Alla datum",BEMANNINGSPLAN!A411=$E$4)),COUNT($O$6:O412)+1,"")</f>
        <v/>
      </c>
      <c r="P413" s="137" t="str">
        <f t="shared" si="6"/>
        <v/>
      </c>
    </row>
    <row r="414" spans="1:16" ht="27.75" customHeight="1">
      <c r="A414" s="17" t="str">
        <f>IF($P414="","",INDEX(BEMANNINGSPLAN!$A$5:$A$546,$P414))</f>
        <v/>
      </c>
      <c r="B414" s="18" t="str">
        <f>IF($P414="","",INDEX(BEMANNINGSPLAN!$B$5:$B$546,$P414))</f>
        <v/>
      </c>
      <c r="C414" s="19" t="str">
        <f>IF($P414="","",INDEX(BEMANNINGSPLAN!$C$5:$C$546,$P414))</f>
        <v/>
      </c>
      <c r="D414" s="20" t="str">
        <f>IF($P414="","",INDEX(BEMANNINGSPLAN!$D$5:$D$546,$P414))</f>
        <v/>
      </c>
      <c r="E414" s="20" t="str">
        <f>IF($P414="","",SUMIF(BEMANNINGSPLAN!$W$5:$W$546,INDEX(BEMANNINGSPLAN!$W$5:$W$546,$P414),BEMANNINGSPLAN!$X$5:$X$546))</f>
        <v/>
      </c>
      <c r="F414" s="18" t="str">
        <f>IF($P414="","",INDEX(BEMANNINGSPLAN!$J$5:$J$546,$P414))</f>
        <v/>
      </c>
      <c r="G414" s="19" t="str">
        <f>IF($P414="","",INDEX(BEMANNINGSPLAN!$AD$5:$AD$546,$P414))</f>
        <v/>
      </c>
      <c r="H414" s="18" t="str">
        <f>IF($P414="","",IF(AND(INDEX(BEMANNINGSPLAN!$Y$5:$Y$546,$P414)=1,G414&lt;&gt;"Minicafé"),"X",""))</f>
        <v/>
      </c>
      <c r="I414" s="21" t="str">
        <f>IF($P414="","",IF(INDEX(BEMANNINGSPLAN!$Y$5:$Y$546,$P414)=1,"X",""))</f>
        <v/>
      </c>
      <c r="J414" s="22" t="str">
        <f>IF($P414="","",IF(SUMIF(BEMANNINGSPLAN!$W$5:$W$546,INDEX(BEMANNINGSPLAN!$W$5:$W$546,$P414),BEMANNINGSPLAN!$Z$5:$Z$546)=1,"X",""))</f>
        <v/>
      </c>
      <c r="K414" s="23" t="str">
        <f>IF($P414="","",IFERROR(LOOKUP(2,1/((BEMANNINGSPLAN!$W$5:$W$546=INDEX(BEMANNINGSPLAN!$W$5:$W$546,$P414))*(BEMANNINGSPLAN!$L$5:$L$546&lt;&gt;"")),BEMANNINGSPLAN!$L$5:$L$546),""))</f>
        <v/>
      </c>
      <c r="L414" s="18" t="str">
        <f>IF($P414="","",INDEX(BEMANNINGSPLAN!$AE$5:$AE$546,$P414))</f>
        <v/>
      </c>
      <c r="M414" s="137"/>
      <c r="N414" s="16"/>
      <c r="O414" s="16">
        <f>IF(AND(BEMANNINGSPLAN!U412=1,OR($B$4="Alla lag",BEMANNINGSPLAN!J412=$B$4),OR($E$4="Alla datum",BEMANNINGSPLAN!A412=$E$4)),COUNT($O$6:O413)+1,"")</f>
        <v>67</v>
      </c>
      <c r="P414" s="137" t="str">
        <f t="shared" si="6"/>
        <v/>
      </c>
    </row>
    <row r="415" spans="1:16" ht="27.75" customHeight="1">
      <c r="A415" s="17" t="str">
        <f>IF($P415="","",INDEX(BEMANNINGSPLAN!$A$5:$A$546,$P415))</f>
        <v/>
      </c>
      <c r="B415" s="18" t="str">
        <f>IF($P415="","",INDEX(BEMANNINGSPLAN!$B$5:$B$546,$P415))</f>
        <v/>
      </c>
      <c r="C415" s="19" t="str">
        <f>IF($P415="","",INDEX(BEMANNINGSPLAN!$C$5:$C$546,$P415))</f>
        <v/>
      </c>
      <c r="D415" s="20" t="str">
        <f>IF($P415="","",INDEX(BEMANNINGSPLAN!$D$5:$D$546,$P415))</f>
        <v/>
      </c>
      <c r="E415" s="20" t="str">
        <f>IF($P415="","",SUMIF(BEMANNINGSPLAN!$W$5:$W$546,INDEX(BEMANNINGSPLAN!$W$5:$W$546,$P415),BEMANNINGSPLAN!$X$5:$X$546))</f>
        <v/>
      </c>
      <c r="F415" s="18" t="str">
        <f>IF($P415="","",INDEX(BEMANNINGSPLAN!$J$5:$J$546,$P415))</f>
        <v/>
      </c>
      <c r="G415" s="19" t="str">
        <f>IF($P415="","",INDEX(BEMANNINGSPLAN!$AD$5:$AD$546,$P415))</f>
        <v/>
      </c>
      <c r="H415" s="18" t="str">
        <f>IF($P415="","",IF(AND(INDEX(BEMANNINGSPLAN!$Y$5:$Y$546,$P415)=1,G415&lt;&gt;"Minicafé"),"X",""))</f>
        <v/>
      </c>
      <c r="I415" s="21" t="str">
        <f>IF($P415="","",IF(INDEX(BEMANNINGSPLAN!$Y$5:$Y$546,$P415)=1,"X",""))</f>
        <v/>
      </c>
      <c r="J415" s="22" t="str">
        <f>IF($P415="","",IF(SUMIF(BEMANNINGSPLAN!$W$5:$W$546,INDEX(BEMANNINGSPLAN!$W$5:$W$546,$P415),BEMANNINGSPLAN!$Z$5:$Z$546)=1,"X",""))</f>
        <v/>
      </c>
      <c r="K415" s="23" t="str">
        <f>IF($P415="","",IFERROR(LOOKUP(2,1/((BEMANNINGSPLAN!$W$5:$W$546=INDEX(BEMANNINGSPLAN!$W$5:$W$546,$P415))*(BEMANNINGSPLAN!$L$5:$L$546&lt;&gt;"")),BEMANNINGSPLAN!$L$5:$L$546),""))</f>
        <v/>
      </c>
      <c r="L415" s="18" t="str">
        <f>IF($P415="","",INDEX(BEMANNINGSPLAN!$AE$5:$AE$546,$P415))</f>
        <v/>
      </c>
      <c r="M415" s="137"/>
      <c r="N415" s="16"/>
      <c r="O415" s="16" t="str">
        <f>IF(AND(BEMANNINGSPLAN!U413=1,OR($B$4="Alla lag",BEMANNINGSPLAN!J413=$B$4),OR($E$4="Alla datum",BEMANNINGSPLAN!A413=$E$4)),COUNT($O$6:O414)+1,"")</f>
        <v/>
      </c>
      <c r="P415" s="137" t="str">
        <f t="shared" si="6"/>
        <v/>
      </c>
    </row>
    <row r="416" spans="1:16" ht="27.75" customHeight="1">
      <c r="A416" s="17" t="str">
        <f>IF($P416="","",INDEX(BEMANNINGSPLAN!$A$5:$A$546,$P416))</f>
        <v/>
      </c>
      <c r="B416" s="18" t="str">
        <f>IF($P416="","",INDEX(BEMANNINGSPLAN!$B$5:$B$546,$P416))</f>
        <v/>
      </c>
      <c r="C416" s="19" t="str">
        <f>IF($P416="","",INDEX(BEMANNINGSPLAN!$C$5:$C$546,$P416))</f>
        <v/>
      </c>
      <c r="D416" s="20" t="str">
        <f>IF($P416="","",INDEX(BEMANNINGSPLAN!$D$5:$D$546,$P416))</f>
        <v/>
      </c>
      <c r="E416" s="20" t="str">
        <f>IF($P416="","",SUMIF(BEMANNINGSPLAN!$W$5:$W$546,INDEX(BEMANNINGSPLAN!$W$5:$W$546,$P416),BEMANNINGSPLAN!$X$5:$X$546))</f>
        <v/>
      </c>
      <c r="F416" s="18" t="str">
        <f>IF($P416="","",INDEX(BEMANNINGSPLAN!$J$5:$J$546,$P416))</f>
        <v/>
      </c>
      <c r="G416" s="19" t="str">
        <f>IF($P416="","",INDEX(BEMANNINGSPLAN!$AD$5:$AD$546,$P416))</f>
        <v/>
      </c>
      <c r="H416" s="18" t="str">
        <f>IF($P416="","",IF(AND(INDEX(BEMANNINGSPLAN!$Y$5:$Y$546,$P416)=1,G416&lt;&gt;"Minicafé"),"X",""))</f>
        <v/>
      </c>
      <c r="I416" s="21" t="str">
        <f>IF($P416="","",IF(INDEX(BEMANNINGSPLAN!$Y$5:$Y$546,$P416)=1,"X",""))</f>
        <v/>
      </c>
      <c r="J416" s="22" t="str">
        <f>IF($P416="","",IF(SUMIF(BEMANNINGSPLAN!$W$5:$W$546,INDEX(BEMANNINGSPLAN!$W$5:$W$546,$P416),BEMANNINGSPLAN!$Z$5:$Z$546)=1,"X",""))</f>
        <v/>
      </c>
      <c r="K416" s="23" t="str">
        <f>IF($P416="","",IFERROR(LOOKUP(2,1/((BEMANNINGSPLAN!$W$5:$W$546=INDEX(BEMANNINGSPLAN!$W$5:$W$546,$P416))*(BEMANNINGSPLAN!$L$5:$L$546&lt;&gt;"")),BEMANNINGSPLAN!$L$5:$L$546),""))</f>
        <v/>
      </c>
      <c r="L416" s="18" t="str">
        <f>IF($P416="","",INDEX(BEMANNINGSPLAN!$AE$5:$AE$546,$P416))</f>
        <v/>
      </c>
      <c r="M416" s="137"/>
      <c r="N416" s="16"/>
      <c r="O416" s="16" t="str">
        <f>IF(AND(BEMANNINGSPLAN!U414=1,OR($B$4="Alla lag",BEMANNINGSPLAN!J414=$B$4),OR($E$4="Alla datum",BEMANNINGSPLAN!A414=$E$4)),COUNT($O$6:O415)+1,"")</f>
        <v/>
      </c>
      <c r="P416" s="137" t="str">
        <f t="shared" si="6"/>
        <v/>
      </c>
    </row>
    <row r="417" spans="1:16" ht="27.75" customHeight="1">
      <c r="A417" s="17" t="str">
        <f>IF($P417="","",INDEX(BEMANNINGSPLAN!$A$5:$A$546,$P417))</f>
        <v/>
      </c>
      <c r="B417" s="18" t="str">
        <f>IF($P417="","",INDEX(BEMANNINGSPLAN!$B$5:$B$546,$P417))</f>
        <v/>
      </c>
      <c r="C417" s="19" t="str">
        <f>IF($P417="","",INDEX(BEMANNINGSPLAN!$C$5:$C$546,$P417))</f>
        <v/>
      </c>
      <c r="D417" s="20" t="str">
        <f>IF($P417="","",INDEX(BEMANNINGSPLAN!$D$5:$D$546,$P417))</f>
        <v/>
      </c>
      <c r="E417" s="20" t="str">
        <f>IF($P417="","",SUMIF(BEMANNINGSPLAN!$W$5:$W$546,INDEX(BEMANNINGSPLAN!$W$5:$W$546,$P417),BEMANNINGSPLAN!$X$5:$X$546))</f>
        <v/>
      </c>
      <c r="F417" s="18" t="str">
        <f>IF($P417="","",INDEX(BEMANNINGSPLAN!$J$5:$J$546,$P417))</f>
        <v/>
      </c>
      <c r="G417" s="19" t="str">
        <f>IF($P417="","",INDEX(BEMANNINGSPLAN!$AD$5:$AD$546,$P417))</f>
        <v/>
      </c>
      <c r="H417" s="18" t="str">
        <f>IF($P417="","",IF(AND(INDEX(BEMANNINGSPLAN!$Y$5:$Y$546,$P417)=1,G417&lt;&gt;"Minicafé"),"X",""))</f>
        <v/>
      </c>
      <c r="I417" s="21" t="str">
        <f>IF($P417="","",IF(INDEX(BEMANNINGSPLAN!$Y$5:$Y$546,$P417)=1,"X",""))</f>
        <v/>
      </c>
      <c r="J417" s="22" t="str">
        <f>IF($P417="","",IF(SUMIF(BEMANNINGSPLAN!$W$5:$W$546,INDEX(BEMANNINGSPLAN!$W$5:$W$546,$P417),BEMANNINGSPLAN!$Z$5:$Z$546)=1,"X",""))</f>
        <v/>
      </c>
      <c r="K417" s="23" t="str">
        <f>IF($P417="","",IFERROR(LOOKUP(2,1/((BEMANNINGSPLAN!$W$5:$W$546=INDEX(BEMANNINGSPLAN!$W$5:$W$546,$P417))*(BEMANNINGSPLAN!$L$5:$L$546&lt;&gt;"")),BEMANNINGSPLAN!$L$5:$L$546),""))</f>
        <v/>
      </c>
      <c r="L417" s="18" t="str">
        <f>IF($P417="","",INDEX(BEMANNINGSPLAN!$AE$5:$AE$546,$P417))</f>
        <v/>
      </c>
      <c r="M417" s="137"/>
      <c r="N417" s="16"/>
      <c r="O417" s="16">
        <f>IF(AND(BEMANNINGSPLAN!U415=1,OR($B$4="Alla lag",BEMANNINGSPLAN!J415=$B$4),OR($E$4="Alla datum",BEMANNINGSPLAN!A415=$E$4)),COUNT($O$6:O416)+1,"")</f>
        <v>68</v>
      </c>
      <c r="P417" s="137" t="str">
        <f t="shared" si="6"/>
        <v/>
      </c>
    </row>
    <row r="418" spans="1:16" ht="27.75" customHeight="1">
      <c r="A418" s="17" t="str">
        <f>IF($P418="","",INDEX(BEMANNINGSPLAN!$A$5:$A$546,$P418))</f>
        <v/>
      </c>
      <c r="B418" s="18" t="str">
        <f>IF($P418="","",INDEX(BEMANNINGSPLAN!$B$5:$B$546,$P418))</f>
        <v/>
      </c>
      <c r="C418" s="19" t="str">
        <f>IF($P418="","",INDEX(BEMANNINGSPLAN!$C$5:$C$546,$P418))</f>
        <v/>
      </c>
      <c r="D418" s="20" t="str">
        <f>IF($P418="","",INDEX(BEMANNINGSPLAN!$D$5:$D$546,$P418))</f>
        <v/>
      </c>
      <c r="E418" s="20" t="str">
        <f>IF($P418="","",SUMIF(BEMANNINGSPLAN!$W$5:$W$546,INDEX(BEMANNINGSPLAN!$W$5:$W$546,$P418),BEMANNINGSPLAN!$X$5:$X$546))</f>
        <v/>
      </c>
      <c r="F418" s="18" t="str">
        <f>IF($P418="","",INDEX(BEMANNINGSPLAN!$J$5:$J$546,$P418))</f>
        <v/>
      </c>
      <c r="G418" s="19" t="str">
        <f>IF($P418="","",INDEX(BEMANNINGSPLAN!$AD$5:$AD$546,$P418))</f>
        <v/>
      </c>
      <c r="H418" s="18" t="str">
        <f>IF($P418="","",IF(AND(INDEX(BEMANNINGSPLAN!$Y$5:$Y$546,$P418)=1,G418&lt;&gt;"Minicafé"),"X",""))</f>
        <v/>
      </c>
      <c r="I418" s="21" t="str">
        <f>IF($P418="","",IF(INDEX(BEMANNINGSPLAN!$Y$5:$Y$546,$P418)=1,"X",""))</f>
        <v/>
      </c>
      <c r="J418" s="22" t="str">
        <f>IF($P418="","",IF(SUMIF(BEMANNINGSPLAN!$W$5:$W$546,INDEX(BEMANNINGSPLAN!$W$5:$W$546,$P418),BEMANNINGSPLAN!$Z$5:$Z$546)=1,"X",""))</f>
        <v/>
      </c>
      <c r="K418" s="23" t="str">
        <f>IF($P418="","",IFERROR(LOOKUP(2,1/((BEMANNINGSPLAN!$W$5:$W$546=INDEX(BEMANNINGSPLAN!$W$5:$W$546,$P418))*(BEMANNINGSPLAN!$L$5:$L$546&lt;&gt;"")),BEMANNINGSPLAN!$L$5:$L$546),""))</f>
        <v/>
      </c>
      <c r="L418" s="18" t="str">
        <f>IF($P418="","",INDEX(BEMANNINGSPLAN!$AE$5:$AE$546,$P418))</f>
        <v/>
      </c>
      <c r="M418" s="137"/>
      <c r="N418" s="16"/>
      <c r="O418" s="16" t="str">
        <f>IF(AND(BEMANNINGSPLAN!U416=1,OR($B$4="Alla lag",BEMANNINGSPLAN!J416=$B$4),OR($E$4="Alla datum",BEMANNINGSPLAN!A416=$E$4)),COUNT($O$6:O417)+1,"")</f>
        <v/>
      </c>
      <c r="P418" s="137" t="str">
        <f t="shared" si="6"/>
        <v/>
      </c>
    </row>
    <row r="419" spans="1:16" ht="27.75" customHeight="1">
      <c r="A419" s="17" t="str">
        <f>IF($P419="","",INDEX(BEMANNINGSPLAN!$A$5:$A$546,$P419))</f>
        <v/>
      </c>
      <c r="B419" s="18" t="str">
        <f>IF($P419="","",INDEX(BEMANNINGSPLAN!$B$5:$B$546,$P419))</f>
        <v/>
      </c>
      <c r="C419" s="19" t="str">
        <f>IF($P419="","",INDEX(BEMANNINGSPLAN!$C$5:$C$546,$P419))</f>
        <v/>
      </c>
      <c r="D419" s="20" t="str">
        <f>IF($P419="","",INDEX(BEMANNINGSPLAN!$D$5:$D$546,$P419))</f>
        <v/>
      </c>
      <c r="E419" s="20" t="str">
        <f>IF($P419="","",SUMIF(BEMANNINGSPLAN!$W$5:$W$546,INDEX(BEMANNINGSPLAN!$W$5:$W$546,$P419),BEMANNINGSPLAN!$X$5:$X$546))</f>
        <v/>
      </c>
      <c r="F419" s="18" t="str">
        <f>IF($P419="","",INDEX(BEMANNINGSPLAN!$J$5:$J$546,$P419))</f>
        <v/>
      </c>
      <c r="G419" s="19" t="str">
        <f>IF($P419="","",INDEX(BEMANNINGSPLAN!$AD$5:$AD$546,$P419))</f>
        <v/>
      </c>
      <c r="H419" s="18" t="str">
        <f>IF($P419="","",IF(AND(INDEX(BEMANNINGSPLAN!$Y$5:$Y$546,$P419)=1,G419&lt;&gt;"Minicafé"),"X",""))</f>
        <v/>
      </c>
      <c r="I419" s="21" t="str">
        <f>IF($P419="","",IF(INDEX(BEMANNINGSPLAN!$Y$5:$Y$546,$P419)=1,"X",""))</f>
        <v/>
      </c>
      <c r="J419" s="22" t="str">
        <f>IF($P419="","",IF(SUMIF(BEMANNINGSPLAN!$W$5:$W$546,INDEX(BEMANNINGSPLAN!$W$5:$W$546,$P419),BEMANNINGSPLAN!$Z$5:$Z$546)=1,"X",""))</f>
        <v/>
      </c>
      <c r="K419" s="23" t="str">
        <f>IF($P419="","",IFERROR(LOOKUP(2,1/((BEMANNINGSPLAN!$W$5:$W$546=INDEX(BEMANNINGSPLAN!$W$5:$W$546,$P419))*(BEMANNINGSPLAN!$L$5:$L$546&lt;&gt;"")),BEMANNINGSPLAN!$L$5:$L$546),""))</f>
        <v/>
      </c>
      <c r="L419" s="18" t="str">
        <f>IF($P419="","",INDEX(BEMANNINGSPLAN!$AE$5:$AE$546,$P419))</f>
        <v/>
      </c>
      <c r="M419" s="137"/>
      <c r="N419" s="16"/>
      <c r="O419" s="16" t="str">
        <f>IF(AND(BEMANNINGSPLAN!U417=1,OR($B$4="Alla lag",BEMANNINGSPLAN!J417=$B$4),OR($E$4="Alla datum",BEMANNINGSPLAN!A417=$E$4)),COUNT($O$6:O418)+1,"")</f>
        <v/>
      </c>
      <c r="P419" s="137" t="str">
        <f t="shared" si="6"/>
        <v/>
      </c>
    </row>
    <row r="420" spans="1:16" ht="27.75" customHeight="1">
      <c r="A420" s="17" t="str">
        <f>IF($P420="","",INDEX(BEMANNINGSPLAN!$A$5:$A$546,$P420))</f>
        <v/>
      </c>
      <c r="B420" s="18" t="str">
        <f>IF($P420="","",INDEX(BEMANNINGSPLAN!$B$5:$B$546,$P420))</f>
        <v/>
      </c>
      <c r="C420" s="19" t="str">
        <f>IF($P420="","",INDEX(BEMANNINGSPLAN!$C$5:$C$546,$P420))</f>
        <v/>
      </c>
      <c r="D420" s="20" t="str">
        <f>IF($P420="","",INDEX(BEMANNINGSPLAN!$D$5:$D$546,$P420))</f>
        <v/>
      </c>
      <c r="E420" s="20" t="str">
        <f>IF($P420="","",SUMIF(BEMANNINGSPLAN!$W$5:$W$546,INDEX(BEMANNINGSPLAN!$W$5:$W$546,$P420),BEMANNINGSPLAN!$X$5:$X$546))</f>
        <v/>
      </c>
      <c r="F420" s="18" t="str">
        <f>IF($P420="","",INDEX(BEMANNINGSPLAN!$J$5:$J$546,$P420))</f>
        <v/>
      </c>
      <c r="G420" s="19" t="str">
        <f>IF($P420="","",INDEX(BEMANNINGSPLAN!$AD$5:$AD$546,$P420))</f>
        <v/>
      </c>
      <c r="H420" s="18" t="str">
        <f>IF($P420="","",IF(AND(INDEX(BEMANNINGSPLAN!$Y$5:$Y$546,$P420)=1,G420&lt;&gt;"Minicafé"),"X",""))</f>
        <v/>
      </c>
      <c r="I420" s="21" t="str">
        <f>IF($P420="","",IF(INDEX(BEMANNINGSPLAN!$Y$5:$Y$546,$P420)=1,"X",""))</f>
        <v/>
      </c>
      <c r="J420" s="22" t="str">
        <f>IF($P420="","",IF(SUMIF(BEMANNINGSPLAN!$W$5:$W$546,INDEX(BEMANNINGSPLAN!$W$5:$W$546,$P420),BEMANNINGSPLAN!$Z$5:$Z$546)=1,"X",""))</f>
        <v/>
      </c>
      <c r="K420" s="23" t="str">
        <f>IF($P420="","",IFERROR(LOOKUP(2,1/((BEMANNINGSPLAN!$W$5:$W$546=INDEX(BEMANNINGSPLAN!$W$5:$W$546,$P420))*(BEMANNINGSPLAN!$L$5:$L$546&lt;&gt;"")),BEMANNINGSPLAN!$L$5:$L$546),""))</f>
        <v/>
      </c>
      <c r="L420" s="18" t="str">
        <f>IF($P420="","",INDEX(BEMANNINGSPLAN!$AE$5:$AE$546,$P420))</f>
        <v/>
      </c>
      <c r="M420" s="137"/>
      <c r="N420" s="16"/>
      <c r="O420" s="16" t="str">
        <f>IF(AND(BEMANNINGSPLAN!U418=1,OR($B$4="Alla lag",BEMANNINGSPLAN!J418=$B$4),OR($E$4="Alla datum",BEMANNINGSPLAN!A418=$E$4)),COUNT($O$6:O419)+1,"")</f>
        <v/>
      </c>
      <c r="P420" s="137" t="str">
        <f t="shared" si="6"/>
        <v/>
      </c>
    </row>
    <row r="421" spans="1:16" ht="27.75" customHeight="1">
      <c r="A421" s="17" t="str">
        <f>IF($P421="","",INDEX(BEMANNINGSPLAN!$A$5:$A$546,$P421))</f>
        <v/>
      </c>
      <c r="B421" s="18" t="str">
        <f>IF($P421="","",INDEX(BEMANNINGSPLAN!$B$5:$B$546,$P421))</f>
        <v/>
      </c>
      <c r="C421" s="19" t="str">
        <f>IF($P421="","",INDEX(BEMANNINGSPLAN!$C$5:$C$546,$P421))</f>
        <v/>
      </c>
      <c r="D421" s="20" t="str">
        <f>IF($P421="","",INDEX(BEMANNINGSPLAN!$D$5:$D$546,$P421))</f>
        <v/>
      </c>
      <c r="E421" s="20" t="str">
        <f>IF($P421="","",SUMIF(BEMANNINGSPLAN!$W$5:$W$546,INDEX(BEMANNINGSPLAN!$W$5:$W$546,$P421),BEMANNINGSPLAN!$X$5:$X$546))</f>
        <v/>
      </c>
      <c r="F421" s="18" t="str">
        <f>IF($P421="","",INDEX(BEMANNINGSPLAN!$J$5:$J$546,$P421))</f>
        <v/>
      </c>
      <c r="G421" s="19" t="str">
        <f>IF($P421="","",INDEX(BEMANNINGSPLAN!$AD$5:$AD$546,$P421))</f>
        <v/>
      </c>
      <c r="H421" s="18" t="str">
        <f>IF($P421="","",IF(AND(INDEX(BEMANNINGSPLAN!$Y$5:$Y$546,$P421)=1,G421&lt;&gt;"Minicafé"),"X",""))</f>
        <v/>
      </c>
      <c r="I421" s="21" t="str">
        <f>IF($P421="","",IF(INDEX(BEMANNINGSPLAN!$Y$5:$Y$546,$P421)=1,"X",""))</f>
        <v/>
      </c>
      <c r="J421" s="22" t="str">
        <f>IF($P421="","",IF(SUMIF(BEMANNINGSPLAN!$W$5:$W$546,INDEX(BEMANNINGSPLAN!$W$5:$W$546,$P421),BEMANNINGSPLAN!$Z$5:$Z$546)=1,"X",""))</f>
        <v/>
      </c>
      <c r="K421" s="23" t="str">
        <f>IF($P421="","",IFERROR(LOOKUP(2,1/((BEMANNINGSPLAN!$W$5:$W$546=INDEX(BEMANNINGSPLAN!$W$5:$W$546,$P421))*(BEMANNINGSPLAN!$L$5:$L$546&lt;&gt;"")),BEMANNINGSPLAN!$L$5:$L$546),""))</f>
        <v/>
      </c>
      <c r="L421" s="18" t="str">
        <f>IF($P421="","",INDEX(BEMANNINGSPLAN!$AE$5:$AE$546,$P421))</f>
        <v/>
      </c>
      <c r="M421" s="137"/>
      <c r="N421" s="16"/>
      <c r="O421" s="16" t="str">
        <f>IF(AND(BEMANNINGSPLAN!U419=1,OR($B$4="Alla lag",BEMANNINGSPLAN!J419=$B$4),OR($E$4="Alla datum",BEMANNINGSPLAN!A419=$E$4)),COUNT($O$6:O420)+1,"")</f>
        <v/>
      </c>
      <c r="P421" s="137" t="str">
        <f t="shared" si="6"/>
        <v/>
      </c>
    </row>
    <row r="422" spans="1:16" ht="27.75" customHeight="1">
      <c r="A422" s="17" t="str">
        <f>IF($P422="","",INDEX(BEMANNINGSPLAN!$A$5:$A$546,$P422))</f>
        <v/>
      </c>
      <c r="B422" s="18" t="str">
        <f>IF($P422="","",INDEX(BEMANNINGSPLAN!$B$5:$B$546,$P422))</f>
        <v/>
      </c>
      <c r="C422" s="19" t="str">
        <f>IF($P422="","",INDEX(BEMANNINGSPLAN!$C$5:$C$546,$P422))</f>
        <v/>
      </c>
      <c r="D422" s="20" t="str">
        <f>IF($P422="","",INDEX(BEMANNINGSPLAN!$D$5:$D$546,$P422))</f>
        <v/>
      </c>
      <c r="E422" s="20" t="str">
        <f>IF($P422="","",SUMIF(BEMANNINGSPLAN!$W$5:$W$546,INDEX(BEMANNINGSPLAN!$W$5:$W$546,$P422),BEMANNINGSPLAN!$X$5:$X$546))</f>
        <v/>
      </c>
      <c r="F422" s="18" t="str">
        <f>IF($P422="","",INDEX(BEMANNINGSPLAN!$J$5:$J$546,$P422))</f>
        <v/>
      </c>
      <c r="G422" s="19" t="str">
        <f>IF($P422="","",INDEX(BEMANNINGSPLAN!$AD$5:$AD$546,$P422))</f>
        <v/>
      </c>
      <c r="H422" s="18" t="str">
        <f>IF($P422="","",IF(AND(INDEX(BEMANNINGSPLAN!$Y$5:$Y$546,$P422)=1,G422&lt;&gt;"Minicafé"),"X",""))</f>
        <v/>
      </c>
      <c r="I422" s="21" t="str">
        <f>IF($P422="","",IF(INDEX(BEMANNINGSPLAN!$Y$5:$Y$546,$P422)=1,"X",""))</f>
        <v/>
      </c>
      <c r="J422" s="22" t="str">
        <f>IF($P422="","",IF(SUMIF(BEMANNINGSPLAN!$W$5:$W$546,INDEX(BEMANNINGSPLAN!$W$5:$W$546,$P422),BEMANNINGSPLAN!$Z$5:$Z$546)=1,"X",""))</f>
        <v/>
      </c>
      <c r="K422" s="23" t="str">
        <f>IF($P422="","",IFERROR(LOOKUP(2,1/((BEMANNINGSPLAN!$W$5:$W$546=INDEX(BEMANNINGSPLAN!$W$5:$W$546,$P422))*(BEMANNINGSPLAN!$L$5:$L$546&lt;&gt;"")),BEMANNINGSPLAN!$L$5:$L$546),""))</f>
        <v/>
      </c>
      <c r="L422" s="18" t="str">
        <f>IF($P422="","",INDEX(BEMANNINGSPLAN!$AE$5:$AE$546,$P422))</f>
        <v/>
      </c>
      <c r="M422" s="137"/>
      <c r="N422" s="16"/>
      <c r="O422" s="16" t="str">
        <f>IF(AND(BEMANNINGSPLAN!U420=1,OR($B$4="Alla lag",BEMANNINGSPLAN!J420=$B$4),OR($E$4="Alla datum",BEMANNINGSPLAN!A420=$E$4)),COUNT($O$6:O421)+1,"")</f>
        <v/>
      </c>
      <c r="P422" s="137" t="str">
        <f t="shared" si="6"/>
        <v/>
      </c>
    </row>
    <row r="423" spans="1:16" ht="27.75" customHeight="1">
      <c r="A423" s="17" t="str">
        <f>IF($P423="","",INDEX(BEMANNINGSPLAN!$A$5:$A$546,$P423))</f>
        <v/>
      </c>
      <c r="B423" s="18" t="str">
        <f>IF($P423="","",INDEX(BEMANNINGSPLAN!$B$5:$B$546,$P423))</f>
        <v/>
      </c>
      <c r="C423" s="19" t="str">
        <f>IF($P423="","",INDEX(BEMANNINGSPLAN!$C$5:$C$546,$P423))</f>
        <v/>
      </c>
      <c r="D423" s="20" t="str">
        <f>IF($P423="","",INDEX(BEMANNINGSPLAN!$D$5:$D$546,$P423))</f>
        <v/>
      </c>
      <c r="E423" s="20" t="str">
        <f>IF($P423="","",SUMIF(BEMANNINGSPLAN!$W$5:$W$546,INDEX(BEMANNINGSPLAN!$W$5:$W$546,$P423),BEMANNINGSPLAN!$X$5:$X$546))</f>
        <v/>
      </c>
      <c r="F423" s="18" t="str">
        <f>IF($P423="","",INDEX(BEMANNINGSPLAN!$J$5:$J$546,$P423))</f>
        <v/>
      </c>
      <c r="G423" s="19" t="str">
        <f>IF($P423="","",INDEX(BEMANNINGSPLAN!$AD$5:$AD$546,$P423))</f>
        <v/>
      </c>
      <c r="H423" s="18" t="str">
        <f>IF($P423="","",IF(AND(INDEX(BEMANNINGSPLAN!$Y$5:$Y$546,$P423)=1,G423&lt;&gt;"Minicafé"),"X",""))</f>
        <v/>
      </c>
      <c r="I423" s="21" t="str">
        <f>IF($P423="","",IF(INDEX(BEMANNINGSPLAN!$Y$5:$Y$546,$P423)=1,"X",""))</f>
        <v/>
      </c>
      <c r="J423" s="22" t="str">
        <f>IF($P423="","",IF(SUMIF(BEMANNINGSPLAN!$W$5:$W$546,INDEX(BEMANNINGSPLAN!$W$5:$W$546,$P423),BEMANNINGSPLAN!$Z$5:$Z$546)=1,"X",""))</f>
        <v/>
      </c>
      <c r="K423" s="23" t="str">
        <f>IF($P423="","",IFERROR(LOOKUP(2,1/((BEMANNINGSPLAN!$W$5:$W$546=INDEX(BEMANNINGSPLAN!$W$5:$W$546,$P423))*(BEMANNINGSPLAN!$L$5:$L$546&lt;&gt;"")),BEMANNINGSPLAN!$L$5:$L$546),""))</f>
        <v/>
      </c>
      <c r="L423" s="18" t="str">
        <f>IF($P423="","",INDEX(BEMANNINGSPLAN!$AE$5:$AE$546,$P423))</f>
        <v/>
      </c>
      <c r="M423" s="137"/>
      <c r="N423" s="16"/>
      <c r="O423" s="16" t="str">
        <f>IF(AND(BEMANNINGSPLAN!U421=1,OR($B$4="Alla lag",BEMANNINGSPLAN!J421=$B$4),OR($E$4="Alla datum",BEMANNINGSPLAN!A421=$E$4)),COUNT($O$6:O422)+1,"")</f>
        <v/>
      </c>
      <c r="P423" s="137" t="str">
        <f t="shared" si="6"/>
        <v/>
      </c>
    </row>
    <row r="424" spans="1:16" ht="27.75" customHeight="1">
      <c r="A424" s="17" t="str">
        <f>IF($P424="","",INDEX(BEMANNINGSPLAN!$A$5:$A$546,$P424))</f>
        <v/>
      </c>
      <c r="B424" s="18" t="str">
        <f>IF($P424="","",INDEX(BEMANNINGSPLAN!$B$5:$B$546,$P424))</f>
        <v/>
      </c>
      <c r="C424" s="19" t="str">
        <f>IF($P424="","",INDEX(BEMANNINGSPLAN!$C$5:$C$546,$P424))</f>
        <v/>
      </c>
      <c r="D424" s="20" t="str">
        <f>IF($P424="","",INDEX(BEMANNINGSPLAN!$D$5:$D$546,$P424))</f>
        <v/>
      </c>
      <c r="E424" s="20" t="str">
        <f>IF($P424="","",SUMIF(BEMANNINGSPLAN!$W$5:$W$546,INDEX(BEMANNINGSPLAN!$W$5:$W$546,$P424),BEMANNINGSPLAN!$X$5:$X$546))</f>
        <v/>
      </c>
      <c r="F424" s="18" t="str">
        <f>IF($P424="","",INDEX(BEMANNINGSPLAN!$J$5:$J$546,$P424))</f>
        <v/>
      </c>
      <c r="G424" s="19" t="str">
        <f>IF($P424="","",INDEX(BEMANNINGSPLAN!$AD$5:$AD$546,$P424))</f>
        <v/>
      </c>
      <c r="H424" s="18" t="str">
        <f>IF($P424="","",IF(AND(INDEX(BEMANNINGSPLAN!$Y$5:$Y$546,$P424)=1,G424&lt;&gt;"Minicafé"),"X",""))</f>
        <v/>
      </c>
      <c r="I424" s="21" t="str">
        <f>IF($P424="","",IF(INDEX(BEMANNINGSPLAN!$Y$5:$Y$546,$P424)=1,"X",""))</f>
        <v/>
      </c>
      <c r="J424" s="22" t="str">
        <f>IF($P424="","",IF(SUMIF(BEMANNINGSPLAN!$W$5:$W$546,INDEX(BEMANNINGSPLAN!$W$5:$W$546,$P424),BEMANNINGSPLAN!$Z$5:$Z$546)=1,"X",""))</f>
        <v/>
      </c>
      <c r="K424" s="23" t="str">
        <f>IF($P424="","",IFERROR(LOOKUP(2,1/((BEMANNINGSPLAN!$W$5:$W$546=INDEX(BEMANNINGSPLAN!$W$5:$W$546,$P424))*(BEMANNINGSPLAN!$L$5:$L$546&lt;&gt;"")),BEMANNINGSPLAN!$L$5:$L$546),""))</f>
        <v/>
      </c>
      <c r="L424" s="18" t="str">
        <f>IF($P424="","",INDEX(BEMANNINGSPLAN!$AE$5:$AE$546,$P424))</f>
        <v/>
      </c>
      <c r="M424" s="137"/>
      <c r="N424" s="16"/>
      <c r="O424" s="16" t="str">
        <f>IF(AND(BEMANNINGSPLAN!U422=1,OR($B$4="Alla lag",BEMANNINGSPLAN!J422=$B$4),OR($E$4="Alla datum",BEMANNINGSPLAN!A422=$E$4)),COUNT($O$6:O423)+1,"")</f>
        <v/>
      </c>
      <c r="P424" s="137" t="str">
        <f t="shared" si="6"/>
        <v/>
      </c>
    </row>
    <row r="425" spans="1:16" ht="27.75" customHeight="1">
      <c r="A425" s="17" t="str">
        <f>IF($P425="","",INDEX(BEMANNINGSPLAN!$A$5:$A$546,$P425))</f>
        <v/>
      </c>
      <c r="B425" s="18" t="str">
        <f>IF($P425="","",INDEX(BEMANNINGSPLAN!$B$5:$B$546,$P425))</f>
        <v/>
      </c>
      <c r="C425" s="19" t="str">
        <f>IF($P425="","",INDEX(BEMANNINGSPLAN!$C$5:$C$546,$P425))</f>
        <v/>
      </c>
      <c r="D425" s="20" t="str">
        <f>IF($P425="","",INDEX(BEMANNINGSPLAN!$D$5:$D$546,$P425))</f>
        <v/>
      </c>
      <c r="E425" s="20" t="str">
        <f>IF($P425="","",SUMIF(BEMANNINGSPLAN!$W$5:$W$546,INDEX(BEMANNINGSPLAN!$W$5:$W$546,$P425),BEMANNINGSPLAN!$X$5:$X$546))</f>
        <v/>
      </c>
      <c r="F425" s="18" t="str">
        <f>IF($P425="","",INDEX(BEMANNINGSPLAN!$J$5:$J$546,$P425))</f>
        <v/>
      </c>
      <c r="G425" s="19" t="str">
        <f>IF($P425="","",INDEX(BEMANNINGSPLAN!$AD$5:$AD$546,$P425))</f>
        <v/>
      </c>
      <c r="H425" s="18" t="str">
        <f>IF($P425="","",IF(AND(INDEX(BEMANNINGSPLAN!$Y$5:$Y$546,$P425)=1,G425&lt;&gt;"Minicafé"),"X",""))</f>
        <v/>
      </c>
      <c r="I425" s="21" t="str">
        <f>IF($P425="","",IF(INDEX(BEMANNINGSPLAN!$Y$5:$Y$546,$P425)=1,"X",""))</f>
        <v/>
      </c>
      <c r="J425" s="22" t="str">
        <f>IF($P425="","",IF(SUMIF(BEMANNINGSPLAN!$W$5:$W$546,INDEX(BEMANNINGSPLAN!$W$5:$W$546,$P425),BEMANNINGSPLAN!$Z$5:$Z$546)=1,"X",""))</f>
        <v/>
      </c>
      <c r="K425" s="23" t="str">
        <f>IF($P425="","",IFERROR(LOOKUP(2,1/((BEMANNINGSPLAN!$W$5:$W$546=INDEX(BEMANNINGSPLAN!$W$5:$W$546,$P425))*(BEMANNINGSPLAN!$L$5:$L$546&lt;&gt;"")),BEMANNINGSPLAN!$L$5:$L$546),""))</f>
        <v/>
      </c>
      <c r="L425" s="18" t="str">
        <f>IF($P425="","",INDEX(BEMANNINGSPLAN!$AE$5:$AE$546,$P425))</f>
        <v/>
      </c>
      <c r="M425" s="137"/>
      <c r="N425" s="16"/>
      <c r="O425" s="16">
        <f>IF(AND(BEMANNINGSPLAN!U423=1,OR($B$4="Alla lag",BEMANNINGSPLAN!J423=$B$4),OR($E$4="Alla datum",BEMANNINGSPLAN!A423=$E$4)),COUNT($O$6:O424)+1,"")</f>
        <v>69</v>
      </c>
      <c r="P425" s="137" t="str">
        <f t="shared" si="6"/>
        <v/>
      </c>
    </row>
    <row r="426" spans="1:16" ht="27.75" customHeight="1">
      <c r="A426" s="17" t="str">
        <f>IF($P426="","",INDEX(BEMANNINGSPLAN!$A$5:$A$546,$P426))</f>
        <v/>
      </c>
      <c r="B426" s="18" t="str">
        <f>IF($P426="","",INDEX(BEMANNINGSPLAN!$B$5:$B$546,$P426))</f>
        <v/>
      </c>
      <c r="C426" s="19" t="str">
        <f>IF($P426="","",INDEX(BEMANNINGSPLAN!$C$5:$C$546,$P426))</f>
        <v/>
      </c>
      <c r="D426" s="20" t="str">
        <f>IF($P426="","",INDEX(BEMANNINGSPLAN!$D$5:$D$546,$P426))</f>
        <v/>
      </c>
      <c r="E426" s="20" t="str">
        <f>IF($P426="","",SUMIF(BEMANNINGSPLAN!$W$5:$W$546,INDEX(BEMANNINGSPLAN!$W$5:$W$546,$P426),BEMANNINGSPLAN!$X$5:$X$546))</f>
        <v/>
      </c>
      <c r="F426" s="18" t="str">
        <f>IF($P426="","",INDEX(BEMANNINGSPLAN!$J$5:$J$546,$P426))</f>
        <v/>
      </c>
      <c r="G426" s="19" t="str">
        <f>IF($P426="","",INDEX(BEMANNINGSPLAN!$AD$5:$AD$546,$P426))</f>
        <v/>
      </c>
      <c r="H426" s="18" t="str">
        <f>IF($P426="","",IF(AND(INDEX(BEMANNINGSPLAN!$Y$5:$Y$546,$P426)=1,G426&lt;&gt;"Minicafé"),"X",""))</f>
        <v/>
      </c>
      <c r="I426" s="21" t="str">
        <f>IF($P426="","",IF(INDEX(BEMANNINGSPLAN!$Y$5:$Y$546,$P426)=1,"X",""))</f>
        <v/>
      </c>
      <c r="J426" s="22" t="str">
        <f>IF($P426="","",IF(SUMIF(BEMANNINGSPLAN!$W$5:$W$546,INDEX(BEMANNINGSPLAN!$W$5:$W$546,$P426),BEMANNINGSPLAN!$Z$5:$Z$546)=1,"X",""))</f>
        <v/>
      </c>
      <c r="K426" s="23" t="str">
        <f>IF($P426="","",IFERROR(LOOKUP(2,1/((BEMANNINGSPLAN!$W$5:$W$546=INDEX(BEMANNINGSPLAN!$W$5:$W$546,$P426))*(BEMANNINGSPLAN!$L$5:$L$546&lt;&gt;"")),BEMANNINGSPLAN!$L$5:$L$546),""))</f>
        <v/>
      </c>
      <c r="L426" s="18" t="str">
        <f>IF($P426="","",INDEX(BEMANNINGSPLAN!$AE$5:$AE$546,$P426))</f>
        <v/>
      </c>
      <c r="M426" s="137"/>
      <c r="N426" s="16"/>
      <c r="O426" s="16" t="str">
        <f>IF(AND(BEMANNINGSPLAN!U424=1,OR($B$4="Alla lag",BEMANNINGSPLAN!J424=$B$4),OR($E$4="Alla datum",BEMANNINGSPLAN!A424=$E$4)),COUNT($O$6:O425)+1,"")</f>
        <v/>
      </c>
      <c r="P426" s="137" t="str">
        <f t="shared" si="6"/>
        <v/>
      </c>
    </row>
    <row r="427" spans="1:16" ht="27.75" customHeight="1">
      <c r="A427" s="17" t="str">
        <f>IF($P427="","",INDEX(BEMANNINGSPLAN!$A$5:$A$546,$P427))</f>
        <v/>
      </c>
      <c r="B427" s="18" t="str">
        <f>IF($P427="","",INDEX(BEMANNINGSPLAN!$B$5:$B$546,$P427))</f>
        <v/>
      </c>
      <c r="C427" s="19" t="str">
        <f>IF($P427="","",INDEX(BEMANNINGSPLAN!$C$5:$C$546,$P427))</f>
        <v/>
      </c>
      <c r="D427" s="20" t="str">
        <f>IF($P427="","",INDEX(BEMANNINGSPLAN!$D$5:$D$546,$P427))</f>
        <v/>
      </c>
      <c r="E427" s="20" t="str">
        <f>IF($P427="","",SUMIF(BEMANNINGSPLAN!$W$5:$W$546,INDEX(BEMANNINGSPLAN!$W$5:$W$546,$P427),BEMANNINGSPLAN!$X$5:$X$546))</f>
        <v/>
      </c>
      <c r="F427" s="18" t="str">
        <f>IF($P427="","",INDEX(BEMANNINGSPLAN!$J$5:$J$546,$P427))</f>
        <v/>
      </c>
      <c r="G427" s="19" t="str">
        <f>IF($P427="","",INDEX(BEMANNINGSPLAN!$AD$5:$AD$546,$P427))</f>
        <v/>
      </c>
      <c r="H427" s="18" t="str">
        <f>IF($P427="","",IF(AND(INDEX(BEMANNINGSPLAN!$Y$5:$Y$546,$P427)=1,G427&lt;&gt;"Minicafé"),"X",""))</f>
        <v/>
      </c>
      <c r="I427" s="21" t="str">
        <f>IF($P427="","",IF(INDEX(BEMANNINGSPLAN!$Y$5:$Y$546,$P427)=1,"X",""))</f>
        <v/>
      </c>
      <c r="J427" s="22" t="str">
        <f>IF($P427="","",IF(SUMIF(BEMANNINGSPLAN!$W$5:$W$546,INDEX(BEMANNINGSPLAN!$W$5:$W$546,$P427),BEMANNINGSPLAN!$Z$5:$Z$546)=1,"X",""))</f>
        <v/>
      </c>
      <c r="K427" s="23" t="str">
        <f>IF($P427="","",IFERROR(LOOKUP(2,1/((BEMANNINGSPLAN!$W$5:$W$546=INDEX(BEMANNINGSPLAN!$W$5:$W$546,$P427))*(BEMANNINGSPLAN!$L$5:$L$546&lt;&gt;"")),BEMANNINGSPLAN!$L$5:$L$546),""))</f>
        <v/>
      </c>
      <c r="L427" s="18" t="str">
        <f>IF($P427="","",INDEX(BEMANNINGSPLAN!$AE$5:$AE$546,$P427))</f>
        <v/>
      </c>
      <c r="M427" s="137"/>
      <c r="N427" s="16"/>
      <c r="O427" s="16" t="str">
        <f>IF(AND(BEMANNINGSPLAN!U425=1,OR($B$4="Alla lag",BEMANNINGSPLAN!J425=$B$4),OR($E$4="Alla datum",BEMANNINGSPLAN!A425=$E$4)),COUNT($O$6:O426)+1,"")</f>
        <v/>
      </c>
      <c r="P427" s="137" t="str">
        <f t="shared" si="6"/>
        <v/>
      </c>
    </row>
    <row r="428" spans="1:16" ht="27.75" customHeight="1">
      <c r="A428" s="17" t="str">
        <f>IF($P428="","",INDEX(BEMANNINGSPLAN!$A$5:$A$546,$P428))</f>
        <v/>
      </c>
      <c r="B428" s="18" t="str">
        <f>IF($P428="","",INDEX(BEMANNINGSPLAN!$B$5:$B$546,$P428))</f>
        <v/>
      </c>
      <c r="C428" s="19" t="str">
        <f>IF($P428="","",INDEX(BEMANNINGSPLAN!$C$5:$C$546,$P428))</f>
        <v/>
      </c>
      <c r="D428" s="20" t="str">
        <f>IF($P428="","",INDEX(BEMANNINGSPLAN!$D$5:$D$546,$P428))</f>
        <v/>
      </c>
      <c r="E428" s="20" t="str">
        <f>IF($P428="","",SUMIF(BEMANNINGSPLAN!$W$5:$W$546,INDEX(BEMANNINGSPLAN!$W$5:$W$546,$P428),BEMANNINGSPLAN!$X$5:$X$546))</f>
        <v/>
      </c>
      <c r="F428" s="18" t="str">
        <f>IF($P428="","",INDEX(BEMANNINGSPLAN!$J$5:$J$546,$P428))</f>
        <v/>
      </c>
      <c r="G428" s="19" t="str">
        <f>IF($P428="","",INDEX(BEMANNINGSPLAN!$AD$5:$AD$546,$P428))</f>
        <v/>
      </c>
      <c r="H428" s="18" t="str">
        <f>IF($P428="","",IF(AND(INDEX(BEMANNINGSPLAN!$Y$5:$Y$546,$P428)=1,G428&lt;&gt;"Minicafé"),"X",""))</f>
        <v/>
      </c>
      <c r="I428" s="21" t="str">
        <f>IF($P428="","",IF(INDEX(BEMANNINGSPLAN!$Y$5:$Y$546,$P428)=1,"X",""))</f>
        <v/>
      </c>
      <c r="J428" s="22" t="str">
        <f>IF($P428="","",IF(SUMIF(BEMANNINGSPLAN!$W$5:$W$546,INDEX(BEMANNINGSPLAN!$W$5:$W$546,$P428),BEMANNINGSPLAN!$Z$5:$Z$546)=1,"X",""))</f>
        <v/>
      </c>
      <c r="K428" s="23" t="str">
        <f>IF($P428="","",IFERROR(LOOKUP(2,1/((BEMANNINGSPLAN!$W$5:$W$546=INDEX(BEMANNINGSPLAN!$W$5:$W$546,$P428))*(BEMANNINGSPLAN!$L$5:$L$546&lt;&gt;"")),BEMANNINGSPLAN!$L$5:$L$546),""))</f>
        <v/>
      </c>
      <c r="L428" s="18" t="str">
        <f>IF($P428="","",INDEX(BEMANNINGSPLAN!$AE$5:$AE$546,$P428))</f>
        <v/>
      </c>
      <c r="M428" s="137"/>
      <c r="N428" s="16"/>
      <c r="O428" s="16" t="str">
        <f>IF(AND(BEMANNINGSPLAN!U426=1,OR($B$4="Alla lag",BEMANNINGSPLAN!J426=$B$4),OR($E$4="Alla datum",BEMANNINGSPLAN!A426=$E$4)),COUNT($O$6:O427)+1,"")</f>
        <v/>
      </c>
      <c r="P428" s="137" t="str">
        <f t="shared" si="6"/>
        <v/>
      </c>
    </row>
    <row r="429" spans="1:16" ht="27.75" customHeight="1">
      <c r="A429" s="17" t="str">
        <f>IF($P429="","",INDEX(BEMANNINGSPLAN!$A$5:$A$546,$P429))</f>
        <v/>
      </c>
      <c r="B429" s="18" t="str">
        <f>IF($P429="","",INDEX(BEMANNINGSPLAN!$B$5:$B$546,$P429))</f>
        <v/>
      </c>
      <c r="C429" s="19" t="str">
        <f>IF($P429="","",INDEX(BEMANNINGSPLAN!$C$5:$C$546,$P429))</f>
        <v/>
      </c>
      <c r="D429" s="20" t="str">
        <f>IF($P429="","",INDEX(BEMANNINGSPLAN!$D$5:$D$546,$P429))</f>
        <v/>
      </c>
      <c r="E429" s="20" t="str">
        <f>IF($P429="","",SUMIF(BEMANNINGSPLAN!$W$5:$W$546,INDEX(BEMANNINGSPLAN!$W$5:$W$546,$P429),BEMANNINGSPLAN!$X$5:$X$546))</f>
        <v/>
      </c>
      <c r="F429" s="18" t="str">
        <f>IF($P429="","",INDEX(BEMANNINGSPLAN!$J$5:$J$546,$P429))</f>
        <v/>
      </c>
      <c r="G429" s="19" t="str">
        <f>IF($P429="","",INDEX(BEMANNINGSPLAN!$AD$5:$AD$546,$P429))</f>
        <v/>
      </c>
      <c r="H429" s="18" t="str">
        <f>IF($P429="","",IF(AND(INDEX(BEMANNINGSPLAN!$Y$5:$Y$546,$P429)=1,G429&lt;&gt;"Minicafé"),"X",""))</f>
        <v/>
      </c>
      <c r="I429" s="21" t="str">
        <f>IF($P429="","",IF(INDEX(BEMANNINGSPLAN!$Y$5:$Y$546,$P429)=1,"X",""))</f>
        <v/>
      </c>
      <c r="J429" s="22" t="str">
        <f>IF($P429="","",IF(SUMIF(BEMANNINGSPLAN!$W$5:$W$546,INDEX(BEMANNINGSPLAN!$W$5:$W$546,$P429),BEMANNINGSPLAN!$Z$5:$Z$546)=1,"X",""))</f>
        <v/>
      </c>
      <c r="K429" s="23" t="str">
        <f>IF($P429="","",IFERROR(LOOKUP(2,1/((BEMANNINGSPLAN!$W$5:$W$546=INDEX(BEMANNINGSPLAN!$W$5:$W$546,$P429))*(BEMANNINGSPLAN!$L$5:$L$546&lt;&gt;"")),BEMANNINGSPLAN!$L$5:$L$546),""))</f>
        <v/>
      </c>
      <c r="L429" s="18" t="str">
        <f>IF($P429="","",INDEX(BEMANNINGSPLAN!$AE$5:$AE$546,$P429))</f>
        <v/>
      </c>
      <c r="M429" s="137"/>
      <c r="N429" s="16"/>
      <c r="O429" s="16" t="str">
        <f>IF(AND(BEMANNINGSPLAN!U427=1,OR($B$4="Alla lag",BEMANNINGSPLAN!J427=$B$4),OR($E$4="Alla datum",BEMANNINGSPLAN!A427=$E$4)),COUNT($O$6:O428)+1,"")</f>
        <v/>
      </c>
      <c r="P429" s="137" t="str">
        <f t="shared" si="6"/>
        <v/>
      </c>
    </row>
    <row r="430" spans="1:16" ht="27.75" customHeight="1">
      <c r="A430" s="17" t="str">
        <f>IF($P430="","",INDEX(BEMANNINGSPLAN!$A$5:$A$546,$P430))</f>
        <v/>
      </c>
      <c r="B430" s="18" t="str">
        <f>IF($P430="","",INDEX(BEMANNINGSPLAN!$B$5:$B$546,$P430))</f>
        <v/>
      </c>
      <c r="C430" s="19" t="str">
        <f>IF($P430="","",INDEX(BEMANNINGSPLAN!$C$5:$C$546,$P430))</f>
        <v/>
      </c>
      <c r="D430" s="20" t="str">
        <f>IF($P430="","",INDEX(BEMANNINGSPLAN!$D$5:$D$546,$P430))</f>
        <v/>
      </c>
      <c r="E430" s="20" t="str">
        <f>IF($P430="","",SUMIF(BEMANNINGSPLAN!$W$5:$W$546,INDEX(BEMANNINGSPLAN!$W$5:$W$546,$P430),BEMANNINGSPLAN!$X$5:$X$546))</f>
        <v/>
      </c>
      <c r="F430" s="18" t="str">
        <f>IF($P430="","",INDEX(BEMANNINGSPLAN!$J$5:$J$546,$P430))</f>
        <v/>
      </c>
      <c r="G430" s="19" t="str">
        <f>IF($P430="","",INDEX(BEMANNINGSPLAN!$AD$5:$AD$546,$P430))</f>
        <v/>
      </c>
      <c r="H430" s="18" t="str">
        <f>IF($P430="","",IF(AND(INDEX(BEMANNINGSPLAN!$Y$5:$Y$546,$P430)=1,G430&lt;&gt;"Minicafé"),"X",""))</f>
        <v/>
      </c>
      <c r="I430" s="21" t="str">
        <f>IF($P430="","",IF(INDEX(BEMANNINGSPLAN!$Y$5:$Y$546,$P430)=1,"X",""))</f>
        <v/>
      </c>
      <c r="J430" s="22" t="str">
        <f>IF($P430="","",IF(SUMIF(BEMANNINGSPLAN!$W$5:$W$546,INDEX(BEMANNINGSPLAN!$W$5:$W$546,$P430),BEMANNINGSPLAN!$Z$5:$Z$546)=1,"X",""))</f>
        <v/>
      </c>
      <c r="K430" s="23" t="str">
        <f>IF($P430="","",IFERROR(LOOKUP(2,1/((BEMANNINGSPLAN!$W$5:$W$546=INDEX(BEMANNINGSPLAN!$W$5:$W$546,$P430))*(BEMANNINGSPLAN!$L$5:$L$546&lt;&gt;"")),BEMANNINGSPLAN!$L$5:$L$546),""))</f>
        <v/>
      </c>
      <c r="L430" s="18" t="str">
        <f>IF($P430="","",INDEX(BEMANNINGSPLAN!$AE$5:$AE$546,$P430))</f>
        <v/>
      </c>
      <c r="M430" s="137"/>
      <c r="N430" s="16"/>
      <c r="O430" s="16" t="str">
        <f>IF(AND(BEMANNINGSPLAN!U428=1,OR($B$4="Alla lag",BEMANNINGSPLAN!J428=$B$4),OR($E$4="Alla datum",BEMANNINGSPLAN!A428=$E$4)),COUNT($O$6:O429)+1,"")</f>
        <v/>
      </c>
      <c r="P430" s="137" t="str">
        <f t="shared" si="6"/>
        <v/>
      </c>
    </row>
    <row r="431" spans="1:16" ht="27.75" customHeight="1">
      <c r="A431" s="17" t="str">
        <f>IF($P431="","",INDEX(BEMANNINGSPLAN!$A$5:$A$546,$P431))</f>
        <v/>
      </c>
      <c r="B431" s="18" t="str">
        <f>IF($P431="","",INDEX(BEMANNINGSPLAN!$B$5:$B$546,$P431))</f>
        <v/>
      </c>
      <c r="C431" s="19" t="str">
        <f>IF($P431="","",INDEX(BEMANNINGSPLAN!$C$5:$C$546,$P431))</f>
        <v/>
      </c>
      <c r="D431" s="20" t="str">
        <f>IF($P431="","",INDEX(BEMANNINGSPLAN!$D$5:$D$546,$P431))</f>
        <v/>
      </c>
      <c r="E431" s="20" t="str">
        <f>IF($P431="","",SUMIF(BEMANNINGSPLAN!$W$5:$W$546,INDEX(BEMANNINGSPLAN!$W$5:$W$546,$P431),BEMANNINGSPLAN!$X$5:$X$546))</f>
        <v/>
      </c>
      <c r="F431" s="18" t="str">
        <f>IF($P431="","",INDEX(BEMANNINGSPLAN!$J$5:$J$546,$P431))</f>
        <v/>
      </c>
      <c r="G431" s="19" t="str">
        <f>IF($P431="","",INDEX(BEMANNINGSPLAN!$AD$5:$AD$546,$P431))</f>
        <v/>
      </c>
      <c r="H431" s="18" t="str">
        <f>IF($P431="","",IF(AND(INDEX(BEMANNINGSPLAN!$Y$5:$Y$546,$P431)=1,G431&lt;&gt;"Minicafé"),"X",""))</f>
        <v/>
      </c>
      <c r="I431" s="21" t="str">
        <f>IF($P431="","",IF(INDEX(BEMANNINGSPLAN!$Y$5:$Y$546,$P431)=1,"X",""))</f>
        <v/>
      </c>
      <c r="J431" s="22" t="str">
        <f>IF($P431="","",IF(SUMIF(BEMANNINGSPLAN!$W$5:$W$546,INDEX(BEMANNINGSPLAN!$W$5:$W$546,$P431),BEMANNINGSPLAN!$Z$5:$Z$546)=1,"X",""))</f>
        <v/>
      </c>
      <c r="K431" s="23" t="str">
        <f>IF($P431="","",IFERROR(LOOKUP(2,1/((BEMANNINGSPLAN!$W$5:$W$546=INDEX(BEMANNINGSPLAN!$W$5:$W$546,$P431))*(BEMANNINGSPLAN!$L$5:$L$546&lt;&gt;"")),BEMANNINGSPLAN!$L$5:$L$546),""))</f>
        <v/>
      </c>
      <c r="L431" s="18" t="str">
        <f>IF($P431="","",INDEX(BEMANNINGSPLAN!$AE$5:$AE$546,$P431))</f>
        <v/>
      </c>
      <c r="M431" s="137"/>
      <c r="N431" s="16"/>
      <c r="O431" s="16" t="str">
        <f>IF(AND(BEMANNINGSPLAN!U429=1,OR($B$4="Alla lag",BEMANNINGSPLAN!J429=$B$4),OR($E$4="Alla datum",BEMANNINGSPLAN!A429=$E$4)),COUNT($O$6:O430)+1,"")</f>
        <v/>
      </c>
      <c r="P431" s="137" t="str">
        <f t="shared" si="6"/>
        <v/>
      </c>
    </row>
    <row r="432" spans="1:16" ht="27.75" customHeight="1">
      <c r="A432" s="17" t="str">
        <f>IF($P432="","",INDEX(BEMANNINGSPLAN!$A$5:$A$546,$P432))</f>
        <v/>
      </c>
      <c r="B432" s="18" t="str">
        <f>IF($P432="","",INDEX(BEMANNINGSPLAN!$B$5:$B$546,$P432))</f>
        <v/>
      </c>
      <c r="C432" s="19" t="str">
        <f>IF($P432="","",INDEX(BEMANNINGSPLAN!$C$5:$C$546,$P432))</f>
        <v/>
      </c>
      <c r="D432" s="20" t="str">
        <f>IF($P432="","",INDEX(BEMANNINGSPLAN!$D$5:$D$546,$P432))</f>
        <v/>
      </c>
      <c r="E432" s="20" t="str">
        <f>IF($P432="","",SUMIF(BEMANNINGSPLAN!$W$5:$W$546,INDEX(BEMANNINGSPLAN!$W$5:$W$546,$P432),BEMANNINGSPLAN!$X$5:$X$546))</f>
        <v/>
      </c>
      <c r="F432" s="18" t="str">
        <f>IF($P432="","",INDEX(BEMANNINGSPLAN!$J$5:$J$546,$P432))</f>
        <v/>
      </c>
      <c r="G432" s="19" t="str">
        <f>IF($P432="","",INDEX(BEMANNINGSPLAN!$AD$5:$AD$546,$P432))</f>
        <v/>
      </c>
      <c r="H432" s="18" t="str">
        <f>IF($P432="","",IF(AND(INDEX(BEMANNINGSPLAN!$Y$5:$Y$546,$P432)=1,G432&lt;&gt;"Minicafé"),"X",""))</f>
        <v/>
      </c>
      <c r="I432" s="21" t="str">
        <f>IF($P432="","",IF(INDEX(BEMANNINGSPLAN!$Y$5:$Y$546,$P432)=1,"X",""))</f>
        <v/>
      </c>
      <c r="J432" s="22" t="str">
        <f>IF($P432="","",IF(SUMIF(BEMANNINGSPLAN!$W$5:$W$546,INDEX(BEMANNINGSPLAN!$W$5:$W$546,$P432),BEMANNINGSPLAN!$Z$5:$Z$546)=1,"X",""))</f>
        <v/>
      </c>
      <c r="K432" s="23" t="str">
        <f>IF($P432="","",IFERROR(LOOKUP(2,1/((BEMANNINGSPLAN!$W$5:$W$546=INDEX(BEMANNINGSPLAN!$W$5:$W$546,$P432))*(BEMANNINGSPLAN!$L$5:$L$546&lt;&gt;"")),BEMANNINGSPLAN!$L$5:$L$546),""))</f>
        <v/>
      </c>
      <c r="L432" s="18" t="str">
        <f>IF($P432="","",INDEX(BEMANNINGSPLAN!$AE$5:$AE$546,$P432))</f>
        <v/>
      </c>
      <c r="M432" s="137"/>
      <c r="N432" s="16"/>
      <c r="O432" s="16" t="str">
        <f>IF(AND(BEMANNINGSPLAN!U430=1,OR($B$4="Alla lag",BEMANNINGSPLAN!J430=$B$4),OR($E$4="Alla datum",BEMANNINGSPLAN!A430=$E$4)),COUNT($O$6:O431)+1,"")</f>
        <v/>
      </c>
      <c r="P432" s="137" t="str">
        <f t="shared" si="6"/>
        <v/>
      </c>
    </row>
    <row r="433" spans="1:16" ht="27.75" customHeight="1">
      <c r="A433" s="17" t="str">
        <f>IF($P433="","",INDEX(BEMANNINGSPLAN!$A$5:$A$546,$P433))</f>
        <v/>
      </c>
      <c r="B433" s="18" t="str">
        <f>IF($P433="","",INDEX(BEMANNINGSPLAN!$B$5:$B$546,$P433))</f>
        <v/>
      </c>
      <c r="C433" s="19" t="str">
        <f>IF($P433="","",INDEX(BEMANNINGSPLAN!$C$5:$C$546,$P433))</f>
        <v/>
      </c>
      <c r="D433" s="20" t="str">
        <f>IF($P433="","",INDEX(BEMANNINGSPLAN!$D$5:$D$546,$P433))</f>
        <v/>
      </c>
      <c r="E433" s="20" t="str">
        <f>IF($P433="","",SUMIF(BEMANNINGSPLAN!$W$5:$W$546,INDEX(BEMANNINGSPLAN!$W$5:$W$546,$P433),BEMANNINGSPLAN!$X$5:$X$546))</f>
        <v/>
      </c>
      <c r="F433" s="18" t="str">
        <f>IF($P433="","",INDEX(BEMANNINGSPLAN!$J$5:$J$546,$P433))</f>
        <v/>
      </c>
      <c r="G433" s="19" t="str">
        <f>IF($P433="","",INDEX(BEMANNINGSPLAN!$AD$5:$AD$546,$P433))</f>
        <v/>
      </c>
      <c r="H433" s="18" t="str">
        <f>IF($P433="","",IF(AND(INDEX(BEMANNINGSPLAN!$Y$5:$Y$546,$P433)=1,G433&lt;&gt;"Minicafé"),"X",""))</f>
        <v/>
      </c>
      <c r="I433" s="21" t="str">
        <f>IF($P433="","",IF(INDEX(BEMANNINGSPLAN!$Y$5:$Y$546,$P433)=1,"X",""))</f>
        <v/>
      </c>
      <c r="J433" s="22" t="str">
        <f>IF($P433="","",IF(SUMIF(BEMANNINGSPLAN!$W$5:$W$546,INDEX(BEMANNINGSPLAN!$W$5:$W$546,$P433),BEMANNINGSPLAN!$Z$5:$Z$546)=1,"X",""))</f>
        <v/>
      </c>
      <c r="K433" s="23" t="str">
        <f>IF($P433="","",IFERROR(LOOKUP(2,1/((BEMANNINGSPLAN!$W$5:$W$546=INDEX(BEMANNINGSPLAN!$W$5:$W$546,$P433))*(BEMANNINGSPLAN!$L$5:$L$546&lt;&gt;"")),BEMANNINGSPLAN!$L$5:$L$546),""))</f>
        <v/>
      </c>
      <c r="L433" s="18" t="str">
        <f>IF($P433="","",INDEX(BEMANNINGSPLAN!$AE$5:$AE$546,$P433))</f>
        <v/>
      </c>
      <c r="M433" s="137"/>
      <c r="N433" s="16"/>
      <c r="O433" s="16" t="str">
        <f>IF(AND(BEMANNINGSPLAN!U431=1,OR($B$4="Alla lag",BEMANNINGSPLAN!J431=$B$4),OR($E$4="Alla datum",BEMANNINGSPLAN!A431=$E$4)),COUNT($O$6:O432)+1,"")</f>
        <v/>
      </c>
      <c r="P433" s="137" t="str">
        <f t="shared" si="6"/>
        <v/>
      </c>
    </row>
    <row r="434" spans="1:16" ht="27.75" customHeight="1">
      <c r="A434" s="17" t="str">
        <f>IF($P434="","",INDEX(BEMANNINGSPLAN!$A$5:$A$546,$P434))</f>
        <v/>
      </c>
      <c r="B434" s="18" t="str">
        <f>IF($P434="","",INDEX(BEMANNINGSPLAN!$B$5:$B$546,$P434))</f>
        <v/>
      </c>
      <c r="C434" s="19" t="str">
        <f>IF($P434="","",INDEX(BEMANNINGSPLAN!$C$5:$C$546,$P434))</f>
        <v/>
      </c>
      <c r="D434" s="20" t="str">
        <f>IF($P434="","",INDEX(BEMANNINGSPLAN!$D$5:$D$546,$P434))</f>
        <v/>
      </c>
      <c r="E434" s="20" t="str">
        <f>IF($P434="","",SUMIF(BEMANNINGSPLAN!$W$5:$W$546,INDEX(BEMANNINGSPLAN!$W$5:$W$546,$P434),BEMANNINGSPLAN!$X$5:$X$546))</f>
        <v/>
      </c>
      <c r="F434" s="18" t="str">
        <f>IF($P434="","",INDEX(BEMANNINGSPLAN!$J$5:$J$546,$P434))</f>
        <v/>
      </c>
      <c r="G434" s="19" t="str">
        <f>IF($P434="","",INDEX(BEMANNINGSPLAN!$AD$5:$AD$546,$P434))</f>
        <v/>
      </c>
      <c r="H434" s="18" t="str">
        <f>IF($P434="","",IF(AND(INDEX(BEMANNINGSPLAN!$Y$5:$Y$546,$P434)=1,G434&lt;&gt;"Minicafé"),"X",""))</f>
        <v/>
      </c>
      <c r="I434" s="21" t="str">
        <f>IF($P434="","",IF(INDEX(BEMANNINGSPLAN!$Y$5:$Y$546,$P434)=1,"X",""))</f>
        <v/>
      </c>
      <c r="J434" s="22" t="str">
        <f>IF($P434="","",IF(SUMIF(BEMANNINGSPLAN!$W$5:$W$546,INDEX(BEMANNINGSPLAN!$W$5:$W$546,$P434),BEMANNINGSPLAN!$Z$5:$Z$546)=1,"X",""))</f>
        <v/>
      </c>
      <c r="K434" s="23" t="str">
        <f>IF($P434="","",IFERROR(LOOKUP(2,1/((BEMANNINGSPLAN!$W$5:$W$546=INDEX(BEMANNINGSPLAN!$W$5:$W$546,$P434))*(BEMANNINGSPLAN!$L$5:$L$546&lt;&gt;"")),BEMANNINGSPLAN!$L$5:$L$546),""))</f>
        <v/>
      </c>
      <c r="L434" s="18" t="str">
        <f>IF($P434="","",INDEX(BEMANNINGSPLAN!$AE$5:$AE$546,$P434))</f>
        <v/>
      </c>
      <c r="M434" s="137"/>
      <c r="N434" s="16"/>
      <c r="O434" s="16" t="str">
        <f>IF(AND(BEMANNINGSPLAN!U432=1,OR($B$4="Alla lag",BEMANNINGSPLAN!J432=$B$4),OR($E$4="Alla datum",BEMANNINGSPLAN!A432=$E$4)),COUNT($O$6:O433)+1,"")</f>
        <v/>
      </c>
      <c r="P434" s="137" t="str">
        <f t="shared" si="6"/>
        <v/>
      </c>
    </row>
    <row r="435" spans="1:16" ht="27.75" customHeight="1">
      <c r="A435" s="17" t="str">
        <f>IF($P435="","",INDEX(BEMANNINGSPLAN!$A$5:$A$546,$P435))</f>
        <v/>
      </c>
      <c r="B435" s="18" t="str">
        <f>IF($P435="","",INDEX(BEMANNINGSPLAN!$B$5:$B$546,$P435))</f>
        <v/>
      </c>
      <c r="C435" s="19" t="str">
        <f>IF($P435="","",INDEX(BEMANNINGSPLAN!$C$5:$C$546,$P435))</f>
        <v/>
      </c>
      <c r="D435" s="20" t="str">
        <f>IF($P435="","",INDEX(BEMANNINGSPLAN!$D$5:$D$546,$P435))</f>
        <v/>
      </c>
      <c r="E435" s="20" t="str">
        <f>IF($P435="","",SUMIF(BEMANNINGSPLAN!$W$5:$W$546,INDEX(BEMANNINGSPLAN!$W$5:$W$546,$P435),BEMANNINGSPLAN!$X$5:$X$546))</f>
        <v/>
      </c>
      <c r="F435" s="18" t="str">
        <f>IF($P435="","",INDEX(BEMANNINGSPLAN!$J$5:$J$546,$P435))</f>
        <v/>
      </c>
      <c r="G435" s="19" t="str">
        <f>IF($P435="","",INDEX(BEMANNINGSPLAN!$AD$5:$AD$546,$P435))</f>
        <v/>
      </c>
      <c r="H435" s="18" t="str">
        <f>IF($P435="","",IF(AND(INDEX(BEMANNINGSPLAN!$Y$5:$Y$546,$P435)=1,G435&lt;&gt;"Minicafé"),"X",""))</f>
        <v/>
      </c>
      <c r="I435" s="21" t="str">
        <f>IF($P435="","",IF(INDEX(BEMANNINGSPLAN!$Y$5:$Y$546,$P435)=1,"X",""))</f>
        <v/>
      </c>
      <c r="J435" s="22" t="str">
        <f>IF($P435="","",IF(SUMIF(BEMANNINGSPLAN!$W$5:$W$546,INDEX(BEMANNINGSPLAN!$W$5:$W$546,$P435),BEMANNINGSPLAN!$Z$5:$Z$546)=1,"X",""))</f>
        <v/>
      </c>
      <c r="K435" s="23" t="str">
        <f>IF($P435="","",IFERROR(LOOKUP(2,1/((BEMANNINGSPLAN!$W$5:$W$546=INDEX(BEMANNINGSPLAN!$W$5:$W$546,$P435))*(BEMANNINGSPLAN!$L$5:$L$546&lt;&gt;"")),BEMANNINGSPLAN!$L$5:$L$546),""))</f>
        <v/>
      </c>
      <c r="L435" s="18" t="str">
        <f>IF($P435="","",INDEX(BEMANNINGSPLAN!$AE$5:$AE$546,$P435))</f>
        <v/>
      </c>
      <c r="M435" s="137"/>
      <c r="N435" s="16"/>
      <c r="O435" s="16">
        <f>IF(AND(BEMANNINGSPLAN!U433=1,OR($B$4="Alla lag",BEMANNINGSPLAN!J433=$B$4),OR($E$4="Alla datum",BEMANNINGSPLAN!A433=$E$4)),COUNT($O$6:O434)+1,"")</f>
        <v>70</v>
      </c>
      <c r="P435" s="137" t="str">
        <f t="shared" si="6"/>
        <v/>
      </c>
    </row>
    <row r="436" spans="1:16" ht="27.75" customHeight="1">
      <c r="A436" s="17" t="str">
        <f>IF($P436="","",INDEX(BEMANNINGSPLAN!$A$5:$A$546,$P436))</f>
        <v/>
      </c>
      <c r="B436" s="18" t="str">
        <f>IF($P436="","",INDEX(BEMANNINGSPLAN!$B$5:$B$546,$P436))</f>
        <v/>
      </c>
      <c r="C436" s="19" t="str">
        <f>IF($P436="","",INDEX(BEMANNINGSPLAN!$C$5:$C$546,$P436))</f>
        <v/>
      </c>
      <c r="D436" s="20" t="str">
        <f>IF($P436="","",INDEX(BEMANNINGSPLAN!$D$5:$D$546,$P436))</f>
        <v/>
      </c>
      <c r="E436" s="20" t="str">
        <f>IF($P436="","",SUMIF(BEMANNINGSPLAN!$W$5:$W$546,INDEX(BEMANNINGSPLAN!$W$5:$W$546,$P436),BEMANNINGSPLAN!$X$5:$X$546))</f>
        <v/>
      </c>
      <c r="F436" s="18" t="str">
        <f>IF($P436="","",INDEX(BEMANNINGSPLAN!$J$5:$J$546,$P436))</f>
        <v/>
      </c>
      <c r="G436" s="19" t="str">
        <f>IF($P436="","",INDEX(BEMANNINGSPLAN!$AD$5:$AD$546,$P436))</f>
        <v/>
      </c>
      <c r="H436" s="18" t="str">
        <f>IF($P436="","",IF(AND(INDEX(BEMANNINGSPLAN!$Y$5:$Y$546,$P436)=1,G436&lt;&gt;"Minicafé"),"X",""))</f>
        <v/>
      </c>
      <c r="I436" s="21" t="str">
        <f>IF($P436="","",IF(INDEX(BEMANNINGSPLAN!$Y$5:$Y$546,$P436)=1,"X",""))</f>
        <v/>
      </c>
      <c r="J436" s="22" t="str">
        <f>IF($P436="","",IF(SUMIF(BEMANNINGSPLAN!$W$5:$W$546,INDEX(BEMANNINGSPLAN!$W$5:$W$546,$P436),BEMANNINGSPLAN!$Z$5:$Z$546)=1,"X",""))</f>
        <v/>
      </c>
      <c r="K436" s="23" t="str">
        <f>IF($P436="","",IFERROR(LOOKUP(2,1/((BEMANNINGSPLAN!$W$5:$W$546=INDEX(BEMANNINGSPLAN!$W$5:$W$546,$P436))*(BEMANNINGSPLAN!$L$5:$L$546&lt;&gt;"")),BEMANNINGSPLAN!$L$5:$L$546),""))</f>
        <v/>
      </c>
      <c r="L436" s="18" t="str">
        <f>IF($P436="","",INDEX(BEMANNINGSPLAN!$AE$5:$AE$546,$P436))</f>
        <v/>
      </c>
      <c r="M436" s="137"/>
      <c r="N436" s="16"/>
      <c r="O436" s="16" t="str">
        <f>IF(AND(BEMANNINGSPLAN!U434=1,OR($B$4="Alla lag",BEMANNINGSPLAN!J434=$B$4),OR($E$4="Alla datum",BEMANNINGSPLAN!A434=$E$4)),COUNT($O$6:O435)+1,"")</f>
        <v/>
      </c>
      <c r="P436" s="137" t="str">
        <f t="shared" si="6"/>
        <v/>
      </c>
    </row>
    <row r="437" spans="1:16" ht="27.75" customHeight="1">
      <c r="A437" s="17" t="str">
        <f>IF($P437="","",INDEX(BEMANNINGSPLAN!$A$5:$A$546,$P437))</f>
        <v/>
      </c>
      <c r="B437" s="18" t="str">
        <f>IF($P437="","",INDEX(BEMANNINGSPLAN!$B$5:$B$546,$P437))</f>
        <v/>
      </c>
      <c r="C437" s="19" t="str">
        <f>IF($P437="","",INDEX(BEMANNINGSPLAN!$C$5:$C$546,$P437))</f>
        <v/>
      </c>
      <c r="D437" s="20" t="str">
        <f>IF($P437="","",INDEX(BEMANNINGSPLAN!$D$5:$D$546,$P437))</f>
        <v/>
      </c>
      <c r="E437" s="20" t="str">
        <f>IF($P437="","",SUMIF(BEMANNINGSPLAN!$W$5:$W$546,INDEX(BEMANNINGSPLAN!$W$5:$W$546,$P437),BEMANNINGSPLAN!$X$5:$X$546))</f>
        <v/>
      </c>
      <c r="F437" s="18" t="str">
        <f>IF($P437="","",INDEX(BEMANNINGSPLAN!$J$5:$J$546,$P437))</f>
        <v/>
      </c>
      <c r="G437" s="19" t="str">
        <f>IF($P437="","",INDEX(BEMANNINGSPLAN!$AD$5:$AD$546,$P437))</f>
        <v/>
      </c>
      <c r="H437" s="18" t="str">
        <f>IF($P437="","",IF(AND(INDEX(BEMANNINGSPLAN!$Y$5:$Y$546,$P437)=1,G437&lt;&gt;"Minicafé"),"X",""))</f>
        <v/>
      </c>
      <c r="I437" s="21" t="str">
        <f>IF($P437="","",IF(INDEX(BEMANNINGSPLAN!$Y$5:$Y$546,$P437)=1,"X",""))</f>
        <v/>
      </c>
      <c r="J437" s="22" t="str">
        <f>IF($P437="","",IF(SUMIF(BEMANNINGSPLAN!$W$5:$W$546,INDEX(BEMANNINGSPLAN!$W$5:$W$546,$P437),BEMANNINGSPLAN!$Z$5:$Z$546)=1,"X",""))</f>
        <v/>
      </c>
      <c r="K437" s="23" t="str">
        <f>IF($P437="","",IFERROR(LOOKUP(2,1/((BEMANNINGSPLAN!$W$5:$W$546=INDEX(BEMANNINGSPLAN!$W$5:$W$546,$P437))*(BEMANNINGSPLAN!$L$5:$L$546&lt;&gt;"")),BEMANNINGSPLAN!$L$5:$L$546),""))</f>
        <v/>
      </c>
      <c r="L437" s="18" t="str">
        <f>IF($P437="","",INDEX(BEMANNINGSPLAN!$AE$5:$AE$546,$P437))</f>
        <v/>
      </c>
      <c r="M437" s="137"/>
      <c r="N437" s="16"/>
      <c r="O437" s="16" t="str">
        <f>IF(AND(BEMANNINGSPLAN!U435=1,OR($B$4="Alla lag",BEMANNINGSPLAN!J435=$B$4),OR($E$4="Alla datum",BEMANNINGSPLAN!A435=$E$4)),COUNT($O$6:O436)+1,"")</f>
        <v/>
      </c>
      <c r="P437" s="137" t="str">
        <f t="shared" si="6"/>
        <v/>
      </c>
    </row>
    <row r="438" spans="1:16" ht="27.75" customHeight="1">
      <c r="A438" s="17" t="str">
        <f>IF($P438="","",INDEX(BEMANNINGSPLAN!$A$5:$A$546,$P438))</f>
        <v/>
      </c>
      <c r="B438" s="18" t="str">
        <f>IF($P438="","",INDEX(BEMANNINGSPLAN!$B$5:$B$546,$P438))</f>
        <v/>
      </c>
      <c r="C438" s="19" t="str">
        <f>IF($P438="","",INDEX(BEMANNINGSPLAN!$C$5:$C$546,$P438))</f>
        <v/>
      </c>
      <c r="D438" s="20" t="str">
        <f>IF($P438="","",INDEX(BEMANNINGSPLAN!$D$5:$D$546,$P438))</f>
        <v/>
      </c>
      <c r="E438" s="20" t="str">
        <f>IF($P438="","",SUMIF(BEMANNINGSPLAN!$W$5:$W$546,INDEX(BEMANNINGSPLAN!$W$5:$W$546,$P438),BEMANNINGSPLAN!$X$5:$X$546))</f>
        <v/>
      </c>
      <c r="F438" s="18" t="str">
        <f>IF($P438="","",INDEX(BEMANNINGSPLAN!$J$5:$J$546,$P438))</f>
        <v/>
      </c>
      <c r="G438" s="19" t="str">
        <f>IF($P438="","",INDEX(BEMANNINGSPLAN!$AD$5:$AD$546,$P438))</f>
        <v/>
      </c>
      <c r="H438" s="18" t="str">
        <f>IF($P438="","",IF(AND(INDEX(BEMANNINGSPLAN!$Y$5:$Y$546,$P438)=1,G438&lt;&gt;"Minicafé"),"X",""))</f>
        <v/>
      </c>
      <c r="I438" s="21" t="str">
        <f>IF($P438="","",IF(INDEX(BEMANNINGSPLAN!$Y$5:$Y$546,$P438)=1,"X",""))</f>
        <v/>
      </c>
      <c r="J438" s="22" t="str">
        <f>IF($P438="","",IF(SUMIF(BEMANNINGSPLAN!$W$5:$W$546,INDEX(BEMANNINGSPLAN!$W$5:$W$546,$P438),BEMANNINGSPLAN!$Z$5:$Z$546)=1,"X",""))</f>
        <v/>
      </c>
      <c r="K438" s="23" t="str">
        <f>IF($P438="","",IFERROR(LOOKUP(2,1/((BEMANNINGSPLAN!$W$5:$W$546=INDEX(BEMANNINGSPLAN!$W$5:$W$546,$P438))*(BEMANNINGSPLAN!$L$5:$L$546&lt;&gt;"")),BEMANNINGSPLAN!$L$5:$L$546),""))</f>
        <v/>
      </c>
      <c r="L438" s="18" t="str">
        <f>IF($P438="","",INDEX(BEMANNINGSPLAN!$AE$5:$AE$546,$P438))</f>
        <v/>
      </c>
      <c r="M438" s="137"/>
      <c r="N438" s="16"/>
      <c r="O438" s="16" t="str">
        <f>IF(AND(BEMANNINGSPLAN!U436=1,OR($B$4="Alla lag",BEMANNINGSPLAN!J436=$B$4),OR($E$4="Alla datum",BEMANNINGSPLAN!A436=$E$4)),COUNT($O$6:O437)+1,"")</f>
        <v/>
      </c>
      <c r="P438" s="137" t="str">
        <f t="shared" si="6"/>
        <v/>
      </c>
    </row>
    <row r="439" spans="1:16" ht="27.75" customHeight="1">
      <c r="A439" s="17" t="str">
        <f>IF($P439="","",INDEX(BEMANNINGSPLAN!$A$5:$A$546,$P439))</f>
        <v/>
      </c>
      <c r="B439" s="18" t="str">
        <f>IF($P439="","",INDEX(BEMANNINGSPLAN!$B$5:$B$546,$P439))</f>
        <v/>
      </c>
      <c r="C439" s="19" t="str">
        <f>IF($P439="","",INDEX(BEMANNINGSPLAN!$C$5:$C$546,$P439))</f>
        <v/>
      </c>
      <c r="D439" s="20" t="str">
        <f>IF($P439="","",INDEX(BEMANNINGSPLAN!$D$5:$D$546,$P439))</f>
        <v/>
      </c>
      <c r="E439" s="20" t="str">
        <f>IF($P439="","",SUMIF(BEMANNINGSPLAN!$W$5:$W$546,INDEX(BEMANNINGSPLAN!$W$5:$W$546,$P439),BEMANNINGSPLAN!$X$5:$X$546))</f>
        <v/>
      </c>
      <c r="F439" s="18" t="str">
        <f>IF($P439="","",INDEX(BEMANNINGSPLAN!$J$5:$J$546,$P439))</f>
        <v/>
      </c>
      <c r="G439" s="19" t="str">
        <f>IF($P439="","",INDEX(BEMANNINGSPLAN!$AD$5:$AD$546,$P439))</f>
        <v/>
      </c>
      <c r="H439" s="18" t="str">
        <f>IF($P439="","",IF(AND(INDEX(BEMANNINGSPLAN!$Y$5:$Y$546,$P439)=1,G439&lt;&gt;"Minicafé"),"X",""))</f>
        <v/>
      </c>
      <c r="I439" s="21" t="str">
        <f>IF($P439="","",IF(INDEX(BEMANNINGSPLAN!$Y$5:$Y$546,$P439)=1,"X",""))</f>
        <v/>
      </c>
      <c r="J439" s="22" t="str">
        <f>IF($P439="","",IF(SUMIF(BEMANNINGSPLAN!$W$5:$W$546,INDEX(BEMANNINGSPLAN!$W$5:$W$546,$P439),BEMANNINGSPLAN!$Z$5:$Z$546)=1,"X",""))</f>
        <v/>
      </c>
      <c r="K439" s="23" t="str">
        <f>IF($P439="","",IFERROR(LOOKUP(2,1/((BEMANNINGSPLAN!$W$5:$W$546=INDEX(BEMANNINGSPLAN!$W$5:$W$546,$P439))*(BEMANNINGSPLAN!$L$5:$L$546&lt;&gt;"")),BEMANNINGSPLAN!$L$5:$L$546),""))</f>
        <v/>
      </c>
      <c r="L439" s="18" t="str">
        <f>IF($P439="","",INDEX(BEMANNINGSPLAN!$AE$5:$AE$546,$P439))</f>
        <v/>
      </c>
      <c r="M439" s="137"/>
      <c r="N439" s="16"/>
      <c r="O439" s="16">
        <f>IF(AND(BEMANNINGSPLAN!U437=1,OR($B$4="Alla lag",BEMANNINGSPLAN!J437=$B$4),OR($E$4="Alla datum",BEMANNINGSPLAN!A437=$E$4)),COUNT($O$6:O438)+1,"")</f>
        <v>71</v>
      </c>
      <c r="P439" s="137" t="str">
        <f t="shared" si="6"/>
        <v/>
      </c>
    </row>
    <row r="440" spans="1:16" ht="27.75" customHeight="1">
      <c r="A440" s="17" t="str">
        <f>IF($P440="","",INDEX(BEMANNINGSPLAN!$A$5:$A$546,$P440))</f>
        <v/>
      </c>
      <c r="B440" s="18" t="str">
        <f>IF($P440="","",INDEX(BEMANNINGSPLAN!$B$5:$B$546,$P440))</f>
        <v/>
      </c>
      <c r="C440" s="19" t="str">
        <f>IF($P440="","",INDEX(BEMANNINGSPLAN!$C$5:$C$546,$P440))</f>
        <v/>
      </c>
      <c r="D440" s="20" t="str">
        <f>IF($P440="","",INDEX(BEMANNINGSPLAN!$D$5:$D$546,$P440))</f>
        <v/>
      </c>
      <c r="E440" s="20" t="str">
        <f>IF($P440="","",SUMIF(BEMANNINGSPLAN!$W$5:$W$546,INDEX(BEMANNINGSPLAN!$W$5:$W$546,$P440),BEMANNINGSPLAN!$X$5:$X$546))</f>
        <v/>
      </c>
      <c r="F440" s="18" t="str">
        <f>IF($P440="","",INDEX(BEMANNINGSPLAN!$J$5:$J$546,$P440))</f>
        <v/>
      </c>
      <c r="G440" s="19" t="str">
        <f>IF($P440="","",INDEX(BEMANNINGSPLAN!$AD$5:$AD$546,$P440))</f>
        <v/>
      </c>
      <c r="H440" s="18" t="str">
        <f>IF($P440="","",IF(AND(INDEX(BEMANNINGSPLAN!$Y$5:$Y$546,$P440)=1,G440&lt;&gt;"Minicafé"),"X",""))</f>
        <v/>
      </c>
      <c r="I440" s="21" t="str">
        <f>IF($P440="","",IF(INDEX(BEMANNINGSPLAN!$Y$5:$Y$546,$P440)=1,"X",""))</f>
        <v/>
      </c>
      <c r="J440" s="22" t="str">
        <f>IF($P440="","",IF(SUMIF(BEMANNINGSPLAN!$W$5:$W$546,INDEX(BEMANNINGSPLAN!$W$5:$W$546,$P440),BEMANNINGSPLAN!$Z$5:$Z$546)=1,"X",""))</f>
        <v/>
      </c>
      <c r="K440" s="23" t="str">
        <f>IF($P440="","",IFERROR(LOOKUP(2,1/((BEMANNINGSPLAN!$W$5:$W$546=INDEX(BEMANNINGSPLAN!$W$5:$W$546,$P440))*(BEMANNINGSPLAN!$L$5:$L$546&lt;&gt;"")),BEMANNINGSPLAN!$L$5:$L$546),""))</f>
        <v/>
      </c>
      <c r="L440" s="18" t="str">
        <f>IF($P440="","",INDEX(BEMANNINGSPLAN!$AE$5:$AE$546,$P440))</f>
        <v/>
      </c>
      <c r="M440" s="137"/>
      <c r="N440" s="16"/>
      <c r="O440" s="16" t="str">
        <f>IF(AND(BEMANNINGSPLAN!U438=1,OR($B$4="Alla lag",BEMANNINGSPLAN!J438=$B$4),OR($E$4="Alla datum",BEMANNINGSPLAN!A438=$E$4)),COUNT($O$6:O439)+1,"")</f>
        <v/>
      </c>
      <c r="P440" s="137" t="str">
        <f t="shared" si="6"/>
        <v/>
      </c>
    </row>
    <row r="441" spans="1:16" ht="27.75" customHeight="1">
      <c r="A441" s="17" t="str">
        <f>IF($P441="","",INDEX(BEMANNINGSPLAN!$A$5:$A$546,$P441))</f>
        <v/>
      </c>
      <c r="B441" s="18" t="str">
        <f>IF($P441="","",INDEX(BEMANNINGSPLAN!$B$5:$B$546,$P441))</f>
        <v/>
      </c>
      <c r="C441" s="19" t="str">
        <f>IF($P441="","",INDEX(BEMANNINGSPLAN!$C$5:$C$546,$P441))</f>
        <v/>
      </c>
      <c r="D441" s="20" t="str">
        <f>IF($P441="","",INDEX(BEMANNINGSPLAN!$D$5:$D$546,$P441))</f>
        <v/>
      </c>
      <c r="E441" s="20" t="str">
        <f>IF($P441="","",SUMIF(BEMANNINGSPLAN!$W$5:$W$546,INDEX(BEMANNINGSPLAN!$W$5:$W$546,$P441),BEMANNINGSPLAN!$X$5:$X$546))</f>
        <v/>
      </c>
      <c r="F441" s="18" t="str">
        <f>IF($P441="","",INDEX(BEMANNINGSPLAN!$J$5:$J$546,$P441))</f>
        <v/>
      </c>
      <c r="G441" s="19" t="str">
        <f>IF($P441="","",INDEX(BEMANNINGSPLAN!$AD$5:$AD$546,$P441))</f>
        <v/>
      </c>
      <c r="H441" s="18" t="str">
        <f>IF($P441="","",IF(AND(INDEX(BEMANNINGSPLAN!$Y$5:$Y$546,$P441)=1,G441&lt;&gt;"Minicafé"),"X",""))</f>
        <v/>
      </c>
      <c r="I441" s="21" t="str">
        <f>IF($P441="","",IF(INDEX(BEMANNINGSPLAN!$Y$5:$Y$546,$P441)=1,"X",""))</f>
        <v/>
      </c>
      <c r="J441" s="22" t="str">
        <f>IF($P441="","",IF(SUMIF(BEMANNINGSPLAN!$W$5:$W$546,INDEX(BEMANNINGSPLAN!$W$5:$W$546,$P441),BEMANNINGSPLAN!$Z$5:$Z$546)=1,"X",""))</f>
        <v/>
      </c>
      <c r="K441" s="23" t="str">
        <f>IF($P441="","",IFERROR(LOOKUP(2,1/((BEMANNINGSPLAN!$W$5:$W$546=INDEX(BEMANNINGSPLAN!$W$5:$W$546,$P441))*(BEMANNINGSPLAN!$L$5:$L$546&lt;&gt;"")),BEMANNINGSPLAN!$L$5:$L$546),""))</f>
        <v/>
      </c>
      <c r="L441" s="18" t="str">
        <f>IF($P441="","",INDEX(BEMANNINGSPLAN!$AE$5:$AE$546,$P441))</f>
        <v/>
      </c>
      <c r="M441" s="137"/>
      <c r="N441" s="16"/>
      <c r="O441" s="16" t="str">
        <f>IF(AND(BEMANNINGSPLAN!U439=1,OR($B$4="Alla lag",BEMANNINGSPLAN!J439=$B$4),OR($E$4="Alla datum",BEMANNINGSPLAN!A439=$E$4)),COUNT($O$6:O440)+1,"")</f>
        <v/>
      </c>
      <c r="P441" s="137" t="str">
        <f t="shared" si="6"/>
        <v/>
      </c>
    </row>
    <row r="442" spans="1:16" ht="27.75" customHeight="1">
      <c r="A442" s="17" t="str">
        <f>IF($P442="","",INDEX(BEMANNINGSPLAN!$A$5:$A$546,$P442))</f>
        <v/>
      </c>
      <c r="B442" s="18" t="str">
        <f>IF($P442="","",INDEX(BEMANNINGSPLAN!$B$5:$B$546,$P442))</f>
        <v/>
      </c>
      <c r="C442" s="19" t="str">
        <f>IF($P442="","",INDEX(BEMANNINGSPLAN!$C$5:$C$546,$P442))</f>
        <v/>
      </c>
      <c r="D442" s="20" t="str">
        <f>IF($P442="","",INDEX(BEMANNINGSPLAN!$D$5:$D$546,$P442))</f>
        <v/>
      </c>
      <c r="E442" s="20" t="str">
        <f>IF($P442="","",SUMIF(BEMANNINGSPLAN!$W$5:$W$546,INDEX(BEMANNINGSPLAN!$W$5:$W$546,$P442),BEMANNINGSPLAN!$X$5:$X$546))</f>
        <v/>
      </c>
      <c r="F442" s="18" t="str">
        <f>IF($P442="","",INDEX(BEMANNINGSPLAN!$J$5:$J$546,$P442))</f>
        <v/>
      </c>
      <c r="G442" s="19" t="str">
        <f>IF($P442="","",INDEX(BEMANNINGSPLAN!$AD$5:$AD$546,$P442))</f>
        <v/>
      </c>
      <c r="H442" s="18" t="str">
        <f>IF($P442="","",IF(AND(INDEX(BEMANNINGSPLAN!$Y$5:$Y$546,$P442)=1,G442&lt;&gt;"Minicafé"),"X",""))</f>
        <v/>
      </c>
      <c r="I442" s="21" t="str">
        <f>IF($P442="","",IF(INDEX(BEMANNINGSPLAN!$Y$5:$Y$546,$P442)=1,"X",""))</f>
        <v/>
      </c>
      <c r="J442" s="22" t="str">
        <f>IF($P442="","",IF(SUMIF(BEMANNINGSPLAN!$W$5:$W$546,INDEX(BEMANNINGSPLAN!$W$5:$W$546,$P442),BEMANNINGSPLAN!$Z$5:$Z$546)=1,"X",""))</f>
        <v/>
      </c>
      <c r="K442" s="23" t="str">
        <f>IF($P442="","",IFERROR(LOOKUP(2,1/((BEMANNINGSPLAN!$W$5:$W$546=INDEX(BEMANNINGSPLAN!$W$5:$W$546,$P442))*(BEMANNINGSPLAN!$L$5:$L$546&lt;&gt;"")),BEMANNINGSPLAN!$L$5:$L$546),""))</f>
        <v/>
      </c>
      <c r="L442" s="18" t="str">
        <f>IF($P442="","",INDEX(BEMANNINGSPLAN!$AE$5:$AE$546,$P442))</f>
        <v/>
      </c>
      <c r="M442" s="137"/>
      <c r="N442" s="16"/>
      <c r="O442" s="16" t="str">
        <f>IF(AND(BEMANNINGSPLAN!U440=1,OR($B$4="Alla lag",BEMANNINGSPLAN!J440=$B$4),OR($E$4="Alla datum",BEMANNINGSPLAN!A440=$E$4)),COUNT($O$6:O441)+1,"")</f>
        <v/>
      </c>
      <c r="P442" s="137" t="str">
        <f t="shared" si="6"/>
        <v/>
      </c>
    </row>
    <row r="443" spans="1:16" ht="27.75" customHeight="1">
      <c r="A443" s="17" t="str">
        <f>IF($P443="","",INDEX(BEMANNINGSPLAN!$A$5:$A$546,$P443))</f>
        <v/>
      </c>
      <c r="B443" s="18" t="str">
        <f>IF($P443="","",INDEX(BEMANNINGSPLAN!$B$5:$B$546,$P443))</f>
        <v/>
      </c>
      <c r="C443" s="19" t="str">
        <f>IF($P443="","",INDEX(BEMANNINGSPLAN!$C$5:$C$546,$P443))</f>
        <v/>
      </c>
      <c r="D443" s="20" t="str">
        <f>IF($P443="","",INDEX(BEMANNINGSPLAN!$D$5:$D$546,$P443))</f>
        <v/>
      </c>
      <c r="E443" s="20" t="str">
        <f>IF($P443="","",SUMIF(BEMANNINGSPLAN!$W$5:$W$546,INDEX(BEMANNINGSPLAN!$W$5:$W$546,$P443),BEMANNINGSPLAN!$X$5:$X$546))</f>
        <v/>
      </c>
      <c r="F443" s="18" t="str">
        <f>IF($P443="","",INDEX(BEMANNINGSPLAN!$J$5:$J$546,$P443))</f>
        <v/>
      </c>
      <c r="G443" s="19" t="str">
        <f>IF($P443="","",INDEX(BEMANNINGSPLAN!$AD$5:$AD$546,$P443))</f>
        <v/>
      </c>
      <c r="H443" s="18" t="str">
        <f>IF($P443="","",IF(AND(INDEX(BEMANNINGSPLAN!$Y$5:$Y$546,$P443)=1,G443&lt;&gt;"Minicafé"),"X",""))</f>
        <v/>
      </c>
      <c r="I443" s="21" t="str">
        <f>IF($P443="","",IF(INDEX(BEMANNINGSPLAN!$Y$5:$Y$546,$P443)=1,"X",""))</f>
        <v/>
      </c>
      <c r="J443" s="22" t="str">
        <f>IF($P443="","",IF(SUMIF(BEMANNINGSPLAN!$W$5:$W$546,INDEX(BEMANNINGSPLAN!$W$5:$W$546,$P443),BEMANNINGSPLAN!$Z$5:$Z$546)=1,"X",""))</f>
        <v/>
      </c>
      <c r="K443" s="23" t="str">
        <f>IF($P443="","",IFERROR(LOOKUP(2,1/((BEMANNINGSPLAN!$W$5:$W$546=INDEX(BEMANNINGSPLAN!$W$5:$W$546,$P443))*(BEMANNINGSPLAN!$L$5:$L$546&lt;&gt;"")),BEMANNINGSPLAN!$L$5:$L$546),""))</f>
        <v/>
      </c>
      <c r="L443" s="18" t="str">
        <f>IF($P443="","",INDEX(BEMANNINGSPLAN!$AE$5:$AE$546,$P443))</f>
        <v/>
      </c>
      <c r="M443" s="137"/>
      <c r="N443" s="16"/>
      <c r="O443" s="16">
        <f>IF(AND(BEMANNINGSPLAN!U441=1,OR($B$4="Alla lag",BEMANNINGSPLAN!J441=$B$4),OR($E$4="Alla datum",BEMANNINGSPLAN!A441=$E$4)),COUNT($O$6:O442)+1,"")</f>
        <v>72</v>
      </c>
      <c r="P443" s="137" t="str">
        <f t="shared" si="6"/>
        <v/>
      </c>
    </row>
    <row r="444" spans="1:16" ht="27.75" customHeight="1">
      <c r="A444" s="17" t="str">
        <f>IF($P444="","",INDEX(BEMANNINGSPLAN!$A$5:$A$546,$P444))</f>
        <v/>
      </c>
      <c r="B444" s="18" t="str">
        <f>IF($P444="","",INDEX(BEMANNINGSPLAN!$B$5:$B$546,$P444))</f>
        <v/>
      </c>
      <c r="C444" s="19" t="str">
        <f>IF($P444="","",INDEX(BEMANNINGSPLAN!$C$5:$C$546,$P444))</f>
        <v/>
      </c>
      <c r="D444" s="20" t="str">
        <f>IF($P444="","",INDEX(BEMANNINGSPLAN!$D$5:$D$546,$P444))</f>
        <v/>
      </c>
      <c r="E444" s="20" t="str">
        <f>IF($P444="","",SUMIF(BEMANNINGSPLAN!$W$5:$W$546,INDEX(BEMANNINGSPLAN!$W$5:$W$546,$P444),BEMANNINGSPLAN!$X$5:$X$546))</f>
        <v/>
      </c>
      <c r="F444" s="18" t="str">
        <f>IF($P444="","",INDEX(BEMANNINGSPLAN!$J$5:$J$546,$P444))</f>
        <v/>
      </c>
      <c r="G444" s="19" t="str">
        <f>IF($P444="","",INDEX(BEMANNINGSPLAN!$AD$5:$AD$546,$P444))</f>
        <v/>
      </c>
      <c r="H444" s="18" t="str">
        <f>IF($P444="","",IF(AND(INDEX(BEMANNINGSPLAN!$Y$5:$Y$546,$P444)=1,G444&lt;&gt;"Minicafé"),"X",""))</f>
        <v/>
      </c>
      <c r="I444" s="21" t="str">
        <f>IF($P444="","",IF(INDEX(BEMANNINGSPLAN!$Y$5:$Y$546,$P444)=1,"X",""))</f>
        <v/>
      </c>
      <c r="J444" s="22" t="str">
        <f>IF($P444="","",IF(SUMIF(BEMANNINGSPLAN!$W$5:$W$546,INDEX(BEMANNINGSPLAN!$W$5:$W$546,$P444),BEMANNINGSPLAN!$Z$5:$Z$546)=1,"X",""))</f>
        <v/>
      </c>
      <c r="K444" s="23" t="str">
        <f>IF($P444="","",IFERROR(LOOKUP(2,1/((BEMANNINGSPLAN!$W$5:$W$546=INDEX(BEMANNINGSPLAN!$W$5:$W$546,$P444))*(BEMANNINGSPLAN!$L$5:$L$546&lt;&gt;"")),BEMANNINGSPLAN!$L$5:$L$546),""))</f>
        <v/>
      </c>
      <c r="L444" s="18" t="str">
        <f>IF($P444="","",INDEX(BEMANNINGSPLAN!$AE$5:$AE$546,$P444))</f>
        <v/>
      </c>
      <c r="M444" s="137"/>
      <c r="N444" s="16"/>
      <c r="O444" s="16">
        <f>IF(AND(BEMANNINGSPLAN!U442=1,OR($B$4="Alla lag",BEMANNINGSPLAN!J442=$B$4),OR($E$4="Alla datum",BEMANNINGSPLAN!A442=$E$4)),COUNT($O$6:O443)+1,"")</f>
        <v>73</v>
      </c>
      <c r="P444" s="137" t="str">
        <f t="shared" si="6"/>
        <v/>
      </c>
    </row>
    <row r="445" spans="1:16" ht="27.75" customHeight="1">
      <c r="A445" s="17" t="str">
        <f>IF($P445="","",INDEX(BEMANNINGSPLAN!$A$5:$A$546,$P445))</f>
        <v/>
      </c>
      <c r="B445" s="18" t="str">
        <f>IF($P445="","",INDEX(BEMANNINGSPLAN!$B$5:$B$546,$P445))</f>
        <v/>
      </c>
      <c r="C445" s="19" t="str">
        <f>IF($P445="","",INDEX(BEMANNINGSPLAN!$C$5:$C$546,$P445))</f>
        <v/>
      </c>
      <c r="D445" s="20" t="str">
        <f>IF($P445="","",INDEX(BEMANNINGSPLAN!$D$5:$D$546,$P445))</f>
        <v/>
      </c>
      <c r="E445" s="20" t="str">
        <f>IF($P445="","",SUMIF(BEMANNINGSPLAN!$W$5:$W$546,INDEX(BEMANNINGSPLAN!$W$5:$W$546,$P445),BEMANNINGSPLAN!$X$5:$X$546))</f>
        <v/>
      </c>
      <c r="F445" s="18" t="str">
        <f>IF($P445="","",INDEX(BEMANNINGSPLAN!$J$5:$J$546,$P445))</f>
        <v/>
      </c>
      <c r="G445" s="19" t="str">
        <f>IF($P445="","",INDEX(BEMANNINGSPLAN!$AD$5:$AD$546,$P445))</f>
        <v/>
      </c>
      <c r="H445" s="18" t="str">
        <f>IF($P445="","",IF(AND(INDEX(BEMANNINGSPLAN!$Y$5:$Y$546,$P445)=1,G445&lt;&gt;"Minicafé"),"X",""))</f>
        <v/>
      </c>
      <c r="I445" s="21" t="str">
        <f>IF($P445="","",IF(INDEX(BEMANNINGSPLAN!$Y$5:$Y$546,$P445)=1,"X",""))</f>
        <v/>
      </c>
      <c r="J445" s="22" t="str">
        <f>IF($P445="","",IF(SUMIF(BEMANNINGSPLAN!$W$5:$W$546,INDEX(BEMANNINGSPLAN!$W$5:$W$546,$P445),BEMANNINGSPLAN!$Z$5:$Z$546)=1,"X",""))</f>
        <v/>
      </c>
      <c r="K445" s="23" t="str">
        <f>IF($P445="","",IFERROR(LOOKUP(2,1/((BEMANNINGSPLAN!$W$5:$W$546=INDEX(BEMANNINGSPLAN!$W$5:$W$546,$P445))*(BEMANNINGSPLAN!$L$5:$L$546&lt;&gt;"")),BEMANNINGSPLAN!$L$5:$L$546),""))</f>
        <v/>
      </c>
      <c r="L445" s="18" t="str">
        <f>IF($P445="","",INDEX(BEMANNINGSPLAN!$AE$5:$AE$546,$P445))</f>
        <v/>
      </c>
      <c r="M445" s="137"/>
      <c r="N445" s="16"/>
      <c r="O445" s="16">
        <f>IF(AND(BEMANNINGSPLAN!U443=1,OR($B$4="Alla lag",BEMANNINGSPLAN!J443=$B$4),OR($E$4="Alla datum",BEMANNINGSPLAN!A443=$E$4)),COUNT($O$6:O444)+1,"")</f>
        <v>74</v>
      </c>
      <c r="P445" s="137" t="str">
        <f t="shared" si="6"/>
        <v/>
      </c>
    </row>
    <row r="446" spans="1:16" ht="27.75" customHeight="1">
      <c r="A446" s="17" t="str">
        <f>IF($P446="","",INDEX(BEMANNINGSPLAN!$A$5:$A$546,$P446))</f>
        <v/>
      </c>
      <c r="B446" s="18" t="str">
        <f>IF($P446="","",INDEX(BEMANNINGSPLAN!$B$5:$B$546,$P446))</f>
        <v/>
      </c>
      <c r="C446" s="19" t="str">
        <f>IF($P446="","",INDEX(BEMANNINGSPLAN!$C$5:$C$546,$P446))</f>
        <v/>
      </c>
      <c r="D446" s="20" t="str">
        <f>IF($P446="","",INDEX(BEMANNINGSPLAN!$D$5:$D$546,$P446))</f>
        <v/>
      </c>
      <c r="E446" s="20" t="str">
        <f>IF($P446="","",SUMIF(BEMANNINGSPLAN!$W$5:$W$546,INDEX(BEMANNINGSPLAN!$W$5:$W$546,$P446),BEMANNINGSPLAN!$X$5:$X$546))</f>
        <v/>
      </c>
      <c r="F446" s="18" t="str">
        <f>IF($P446="","",INDEX(BEMANNINGSPLAN!$J$5:$J$546,$P446))</f>
        <v/>
      </c>
      <c r="G446" s="19" t="str">
        <f>IF($P446="","",INDEX(BEMANNINGSPLAN!$AD$5:$AD$546,$P446))</f>
        <v/>
      </c>
      <c r="H446" s="18" t="str">
        <f>IF($P446="","",IF(AND(INDEX(BEMANNINGSPLAN!$Y$5:$Y$546,$P446)=1,G446&lt;&gt;"Minicafé"),"X",""))</f>
        <v/>
      </c>
      <c r="I446" s="21" t="str">
        <f>IF($P446="","",IF(INDEX(BEMANNINGSPLAN!$Y$5:$Y$546,$P446)=1,"X",""))</f>
        <v/>
      </c>
      <c r="J446" s="22" t="str">
        <f>IF($P446="","",IF(SUMIF(BEMANNINGSPLAN!$W$5:$W$546,INDEX(BEMANNINGSPLAN!$W$5:$W$546,$P446),BEMANNINGSPLAN!$Z$5:$Z$546)=1,"X",""))</f>
        <v/>
      </c>
      <c r="K446" s="23" t="str">
        <f>IF($P446="","",IFERROR(LOOKUP(2,1/((BEMANNINGSPLAN!$W$5:$W$546=INDEX(BEMANNINGSPLAN!$W$5:$W$546,$P446))*(BEMANNINGSPLAN!$L$5:$L$546&lt;&gt;"")),BEMANNINGSPLAN!$L$5:$L$546),""))</f>
        <v/>
      </c>
      <c r="L446" s="18" t="str">
        <f>IF($P446="","",INDEX(BEMANNINGSPLAN!$AE$5:$AE$546,$P446))</f>
        <v/>
      </c>
      <c r="M446" s="137"/>
      <c r="N446" s="16"/>
      <c r="O446" s="16">
        <f>IF(AND(BEMANNINGSPLAN!U444=1,OR($B$4="Alla lag",BEMANNINGSPLAN!J444=$B$4),OR($E$4="Alla datum",BEMANNINGSPLAN!A444=$E$4)),COUNT($O$6:O445)+1,"")</f>
        <v>75</v>
      </c>
      <c r="P446" s="137" t="str">
        <f t="shared" si="6"/>
        <v/>
      </c>
    </row>
    <row r="447" spans="1:16" ht="27.75" customHeight="1">
      <c r="A447" s="17" t="str">
        <f>IF($P447="","",INDEX(BEMANNINGSPLAN!$A$5:$A$546,$P447))</f>
        <v/>
      </c>
      <c r="B447" s="18" t="str">
        <f>IF($P447="","",INDEX(BEMANNINGSPLAN!$B$5:$B$546,$P447))</f>
        <v/>
      </c>
      <c r="C447" s="19" t="str">
        <f>IF($P447="","",INDEX(BEMANNINGSPLAN!$C$5:$C$546,$P447))</f>
        <v/>
      </c>
      <c r="D447" s="20" t="str">
        <f>IF($P447="","",INDEX(BEMANNINGSPLAN!$D$5:$D$546,$P447))</f>
        <v/>
      </c>
      <c r="E447" s="20" t="str">
        <f>IF($P447="","",SUMIF(BEMANNINGSPLAN!$W$5:$W$546,INDEX(BEMANNINGSPLAN!$W$5:$W$546,$P447),BEMANNINGSPLAN!$X$5:$X$546))</f>
        <v/>
      </c>
      <c r="F447" s="18" t="str">
        <f>IF($P447="","",INDEX(BEMANNINGSPLAN!$J$5:$J$546,$P447))</f>
        <v/>
      </c>
      <c r="G447" s="19" t="str">
        <f>IF($P447="","",INDEX(BEMANNINGSPLAN!$AD$5:$AD$546,$P447))</f>
        <v/>
      </c>
      <c r="H447" s="18" t="str">
        <f>IF($P447="","",IF(AND(INDEX(BEMANNINGSPLAN!$Y$5:$Y$546,$P447)=1,G447&lt;&gt;"Minicafé"),"X",""))</f>
        <v/>
      </c>
      <c r="I447" s="21" t="str">
        <f>IF($P447="","",IF(INDEX(BEMANNINGSPLAN!$Y$5:$Y$546,$P447)=1,"X",""))</f>
        <v/>
      </c>
      <c r="J447" s="22" t="str">
        <f>IF($P447="","",IF(SUMIF(BEMANNINGSPLAN!$W$5:$W$546,INDEX(BEMANNINGSPLAN!$W$5:$W$546,$P447),BEMANNINGSPLAN!$Z$5:$Z$546)=1,"X",""))</f>
        <v/>
      </c>
      <c r="K447" s="23" t="str">
        <f>IF($P447="","",IFERROR(LOOKUP(2,1/((BEMANNINGSPLAN!$W$5:$W$546=INDEX(BEMANNINGSPLAN!$W$5:$W$546,$P447))*(BEMANNINGSPLAN!$L$5:$L$546&lt;&gt;"")),BEMANNINGSPLAN!$L$5:$L$546),""))</f>
        <v/>
      </c>
      <c r="L447" s="18" t="str">
        <f>IF($P447="","",INDEX(BEMANNINGSPLAN!$AE$5:$AE$546,$P447))</f>
        <v/>
      </c>
      <c r="M447" s="137"/>
      <c r="N447" s="16"/>
      <c r="O447" s="16">
        <f>IF(AND(BEMANNINGSPLAN!U445=1,OR($B$4="Alla lag",BEMANNINGSPLAN!J445=$B$4),OR($E$4="Alla datum",BEMANNINGSPLAN!A445=$E$4)),COUNT($O$6:O446)+1,"")</f>
        <v>76</v>
      </c>
      <c r="P447" s="137" t="str">
        <f t="shared" si="6"/>
        <v/>
      </c>
    </row>
    <row r="448" spans="1:16" ht="27.75" customHeight="1">
      <c r="A448" s="17" t="str">
        <f>IF($P448="","",INDEX(BEMANNINGSPLAN!$A$5:$A$546,$P448))</f>
        <v/>
      </c>
      <c r="B448" s="18" t="str">
        <f>IF($P448="","",INDEX(BEMANNINGSPLAN!$B$5:$B$546,$P448))</f>
        <v/>
      </c>
      <c r="C448" s="19" t="str">
        <f>IF($P448="","",INDEX(BEMANNINGSPLAN!$C$5:$C$546,$P448))</f>
        <v/>
      </c>
      <c r="D448" s="20" t="str">
        <f>IF($P448="","",INDEX(BEMANNINGSPLAN!$D$5:$D$546,$P448))</f>
        <v/>
      </c>
      <c r="E448" s="20" t="str">
        <f>IF($P448="","",SUMIF(BEMANNINGSPLAN!$W$5:$W$546,INDEX(BEMANNINGSPLAN!$W$5:$W$546,$P448),BEMANNINGSPLAN!$X$5:$X$546))</f>
        <v/>
      </c>
      <c r="F448" s="18" t="str">
        <f>IF($P448="","",INDEX(BEMANNINGSPLAN!$J$5:$J$546,$P448))</f>
        <v/>
      </c>
      <c r="G448" s="19" t="str">
        <f>IF($P448="","",INDEX(BEMANNINGSPLAN!$AD$5:$AD$546,$P448))</f>
        <v/>
      </c>
      <c r="H448" s="18" t="str">
        <f>IF($P448="","",IF(AND(INDEX(BEMANNINGSPLAN!$Y$5:$Y$546,$P448)=1,G448&lt;&gt;"Minicafé"),"X",""))</f>
        <v/>
      </c>
      <c r="I448" s="21" t="str">
        <f>IF($P448="","",IF(INDEX(BEMANNINGSPLAN!$Y$5:$Y$546,$P448)=1,"X",""))</f>
        <v/>
      </c>
      <c r="J448" s="22" t="str">
        <f>IF($P448="","",IF(SUMIF(BEMANNINGSPLAN!$W$5:$W$546,INDEX(BEMANNINGSPLAN!$W$5:$W$546,$P448),BEMANNINGSPLAN!$Z$5:$Z$546)=1,"X",""))</f>
        <v/>
      </c>
      <c r="K448" s="23" t="str">
        <f>IF($P448="","",IFERROR(LOOKUP(2,1/((BEMANNINGSPLAN!$W$5:$W$546=INDEX(BEMANNINGSPLAN!$W$5:$W$546,$P448))*(BEMANNINGSPLAN!$L$5:$L$546&lt;&gt;"")),BEMANNINGSPLAN!$L$5:$L$546),""))</f>
        <v/>
      </c>
      <c r="L448" s="18" t="str">
        <f>IF($P448="","",INDEX(BEMANNINGSPLAN!$AE$5:$AE$546,$P448))</f>
        <v/>
      </c>
      <c r="M448" s="137"/>
      <c r="N448" s="16"/>
      <c r="O448" s="16">
        <f>IF(AND(BEMANNINGSPLAN!U446=1,OR($B$4="Alla lag",BEMANNINGSPLAN!J446=$B$4),OR($E$4="Alla datum",BEMANNINGSPLAN!A446=$E$4)),COUNT($O$6:O447)+1,"")</f>
        <v>77</v>
      </c>
      <c r="P448" s="137" t="str">
        <f t="shared" si="6"/>
        <v/>
      </c>
    </row>
    <row r="449" spans="1:16" ht="27.75" customHeight="1">
      <c r="A449" s="17" t="str">
        <f>IF($P449="","",INDEX(BEMANNINGSPLAN!$A$5:$A$546,$P449))</f>
        <v/>
      </c>
      <c r="B449" s="18" t="str">
        <f>IF($P449="","",INDEX(BEMANNINGSPLAN!$B$5:$B$546,$P449))</f>
        <v/>
      </c>
      <c r="C449" s="19" t="str">
        <f>IF($P449="","",INDEX(BEMANNINGSPLAN!$C$5:$C$546,$P449))</f>
        <v/>
      </c>
      <c r="D449" s="20" t="str">
        <f>IF($P449="","",INDEX(BEMANNINGSPLAN!$D$5:$D$546,$P449))</f>
        <v/>
      </c>
      <c r="E449" s="20" t="str">
        <f>IF($P449="","",SUMIF(BEMANNINGSPLAN!$W$5:$W$546,INDEX(BEMANNINGSPLAN!$W$5:$W$546,$P449),BEMANNINGSPLAN!$X$5:$X$546))</f>
        <v/>
      </c>
      <c r="F449" s="18" t="str">
        <f>IF($P449="","",INDEX(BEMANNINGSPLAN!$J$5:$J$546,$P449))</f>
        <v/>
      </c>
      <c r="G449" s="19" t="str">
        <f>IF($P449="","",INDEX(BEMANNINGSPLAN!$AD$5:$AD$546,$P449))</f>
        <v/>
      </c>
      <c r="H449" s="18" t="str">
        <f>IF($P449="","",IF(AND(INDEX(BEMANNINGSPLAN!$Y$5:$Y$546,$P449)=1,G449&lt;&gt;"Minicafé"),"X",""))</f>
        <v/>
      </c>
      <c r="I449" s="21" t="str">
        <f>IF($P449="","",IF(INDEX(BEMANNINGSPLAN!$Y$5:$Y$546,$P449)=1,"X",""))</f>
        <v/>
      </c>
      <c r="J449" s="22" t="str">
        <f>IF($P449="","",IF(SUMIF(BEMANNINGSPLAN!$W$5:$W$546,INDEX(BEMANNINGSPLAN!$W$5:$W$546,$P449),BEMANNINGSPLAN!$Z$5:$Z$546)=1,"X",""))</f>
        <v/>
      </c>
      <c r="K449" s="23" t="str">
        <f>IF($P449="","",IFERROR(LOOKUP(2,1/((BEMANNINGSPLAN!$W$5:$W$546=INDEX(BEMANNINGSPLAN!$W$5:$W$546,$P449))*(BEMANNINGSPLAN!$L$5:$L$546&lt;&gt;"")),BEMANNINGSPLAN!$L$5:$L$546),""))</f>
        <v/>
      </c>
      <c r="L449" s="18" t="str">
        <f>IF($P449="","",INDEX(BEMANNINGSPLAN!$AE$5:$AE$546,$P449))</f>
        <v/>
      </c>
      <c r="M449" s="137"/>
      <c r="N449" s="16"/>
      <c r="O449" s="16">
        <f>IF(AND(BEMANNINGSPLAN!U447=1,OR($B$4="Alla lag",BEMANNINGSPLAN!J447=$B$4),OR($E$4="Alla datum",BEMANNINGSPLAN!A447=$E$4)),COUNT($O$6:O448)+1,"")</f>
        <v>78</v>
      </c>
      <c r="P449" s="137" t="str">
        <f t="shared" si="6"/>
        <v/>
      </c>
    </row>
    <row r="450" spans="1:16" ht="27.75" customHeight="1">
      <c r="A450" s="17" t="str">
        <f>IF($P450="","",INDEX(BEMANNINGSPLAN!$A$5:$A$546,$P450))</f>
        <v/>
      </c>
      <c r="B450" s="18" t="str">
        <f>IF($P450="","",INDEX(BEMANNINGSPLAN!$B$5:$B$546,$P450))</f>
        <v/>
      </c>
      <c r="C450" s="19" t="str">
        <f>IF($P450="","",INDEX(BEMANNINGSPLAN!$C$5:$C$546,$P450))</f>
        <v/>
      </c>
      <c r="D450" s="20" t="str">
        <f>IF($P450="","",INDEX(BEMANNINGSPLAN!$D$5:$D$546,$P450))</f>
        <v/>
      </c>
      <c r="E450" s="20" t="str">
        <f>IF($P450="","",SUMIF(BEMANNINGSPLAN!$W$5:$W$546,INDEX(BEMANNINGSPLAN!$W$5:$W$546,$P450),BEMANNINGSPLAN!$X$5:$X$546))</f>
        <v/>
      </c>
      <c r="F450" s="18" t="str">
        <f>IF($P450="","",INDEX(BEMANNINGSPLAN!$J$5:$J$546,$P450))</f>
        <v/>
      </c>
      <c r="G450" s="19" t="str">
        <f>IF($P450="","",INDEX(BEMANNINGSPLAN!$AD$5:$AD$546,$P450))</f>
        <v/>
      </c>
      <c r="H450" s="18" t="str">
        <f>IF($P450="","",IF(AND(INDEX(BEMANNINGSPLAN!$Y$5:$Y$546,$P450)=1,G450&lt;&gt;"Minicafé"),"X",""))</f>
        <v/>
      </c>
      <c r="I450" s="21" t="str">
        <f>IF($P450="","",IF(INDEX(BEMANNINGSPLAN!$Y$5:$Y$546,$P450)=1,"X",""))</f>
        <v/>
      </c>
      <c r="J450" s="22" t="str">
        <f>IF($P450="","",IF(SUMIF(BEMANNINGSPLAN!$W$5:$W$546,INDEX(BEMANNINGSPLAN!$W$5:$W$546,$P450),BEMANNINGSPLAN!$Z$5:$Z$546)=1,"X",""))</f>
        <v/>
      </c>
      <c r="K450" s="23" t="str">
        <f>IF($P450="","",IFERROR(LOOKUP(2,1/((BEMANNINGSPLAN!$W$5:$W$546=INDEX(BEMANNINGSPLAN!$W$5:$W$546,$P450))*(BEMANNINGSPLAN!$L$5:$L$546&lt;&gt;"")),BEMANNINGSPLAN!$L$5:$L$546),""))</f>
        <v/>
      </c>
      <c r="L450" s="18" t="str">
        <f>IF($P450="","",INDEX(BEMANNINGSPLAN!$AE$5:$AE$546,$P450))</f>
        <v/>
      </c>
      <c r="M450" s="137"/>
      <c r="N450" s="16"/>
      <c r="O450" s="16">
        <f>IF(AND(BEMANNINGSPLAN!U448=1,OR($B$4="Alla lag",BEMANNINGSPLAN!J448=$B$4),OR($E$4="Alla datum",BEMANNINGSPLAN!A448=$E$4)),COUNT($O$6:O449)+1,"")</f>
        <v>79</v>
      </c>
      <c r="P450" s="137" t="str">
        <f t="shared" si="6"/>
        <v/>
      </c>
    </row>
    <row r="451" spans="1:16" ht="27.75" customHeight="1">
      <c r="A451" s="17" t="str">
        <f>IF($P451="","",INDEX(BEMANNINGSPLAN!$A$5:$A$546,$P451))</f>
        <v/>
      </c>
      <c r="B451" s="18" t="str">
        <f>IF($P451="","",INDEX(BEMANNINGSPLAN!$B$5:$B$546,$P451))</f>
        <v/>
      </c>
      <c r="C451" s="19" t="str">
        <f>IF($P451="","",INDEX(BEMANNINGSPLAN!$C$5:$C$546,$P451))</f>
        <v/>
      </c>
      <c r="D451" s="20" t="str">
        <f>IF($P451="","",INDEX(BEMANNINGSPLAN!$D$5:$D$546,$P451))</f>
        <v/>
      </c>
      <c r="E451" s="20" t="str">
        <f>IF($P451="","",SUMIF(BEMANNINGSPLAN!$W$5:$W$546,INDEX(BEMANNINGSPLAN!$W$5:$W$546,$P451),BEMANNINGSPLAN!$X$5:$X$546))</f>
        <v/>
      </c>
      <c r="F451" s="18" t="str">
        <f>IF($P451="","",INDEX(BEMANNINGSPLAN!$J$5:$J$546,$P451))</f>
        <v/>
      </c>
      <c r="G451" s="19" t="str">
        <f>IF($P451="","",INDEX(BEMANNINGSPLAN!$AD$5:$AD$546,$P451))</f>
        <v/>
      </c>
      <c r="H451" s="18" t="str">
        <f>IF($P451="","",IF(AND(INDEX(BEMANNINGSPLAN!$Y$5:$Y$546,$P451)=1,G451&lt;&gt;"Minicafé"),"X",""))</f>
        <v/>
      </c>
      <c r="I451" s="21" t="str">
        <f>IF($P451="","",IF(INDEX(BEMANNINGSPLAN!$Y$5:$Y$546,$P451)=1,"X",""))</f>
        <v/>
      </c>
      <c r="J451" s="22" t="str">
        <f>IF($P451="","",IF(SUMIF(BEMANNINGSPLAN!$W$5:$W$546,INDEX(BEMANNINGSPLAN!$W$5:$W$546,$P451),BEMANNINGSPLAN!$Z$5:$Z$546)=1,"X",""))</f>
        <v/>
      </c>
      <c r="K451" s="23" t="str">
        <f>IF($P451="","",IFERROR(LOOKUP(2,1/((BEMANNINGSPLAN!$W$5:$W$546=INDEX(BEMANNINGSPLAN!$W$5:$W$546,$P451))*(BEMANNINGSPLAN!$L$5:$L$546&lt;&gt;"")),BEMANNINGSPLAN!$L$5:$L$546),""))</f>
        <v/>
      </c>
      <c r="L451" s="18" t="str">
        <f>IF($P451="","",INDEX(BEMANNINGSPLAN!$AE$5:$AE$546,$P451))</f>
        <v/>
      </c>
      <c r="M451" s="137"/>
      <c r="N451" s="16"/>
      <c r="O451" s="16">
        <f>IF(AND(BEMANNINGSPLAN!U449=1,OR($B$4="Alla lag",BEMANNINGSPLAN!J449=$B$4),OR($E$4="Alla datum",BEMANNINGSPLAN!A449=$E$4)),COUNT($O$6:O450)+1,"")</f>
        <v>80</v>
      </c>
      <c r="P451" s="137" t="str">
        <f t="shared" si="6"/>
        <v/>
      </c>
    </row>
    <row r="452" spans="1:16" ht="27.75" customHeight="1">
      <c r="A452" s="17" t="str">
        <f>IF($P452="","",INDEX(BEMANNINGSPLAN!$A$5:$A$546,$P452))</f>
        <v/>
      </c>
      <c r="B452" s="18" t="str">
        <f>IF($P452="","",INDEX(BEMANNINGSPLAN!$B$5:$B$546,$P452))</f>
        <v/>
      </c>
      <c r="C452" s="19" t="str">
        <f>IF($P452="","",INDEX(BEMANNINGSPLAN!$C$5:$C$546,$P452))</f>
        <v/>
      </c>
      <c r="D452" s="20" t="str">
        <f>IF($P452="","",INDEX(BEMANNINGSPLAN!$D$5:$D$546,$P452))</f>
        <v/>
      </c>
      <c r="E452" s="20" t="str">
        <f>IF($P452="","",SUMIF(BEMANNINGSPLAN!$W$5:$W$546,INDEX(BEMANNINGSPLAN!$W$5:$W$546,$P452),BEMANNINGSPLAN!$X$5:$X$546))</f>
        <v/>
      </c>
      <c r="F452" s="18" t="str">
        <f>IF($P452="","",INDEX(BEMANNINGSPLAN!$J$5:$J$546,$P452))</f>
        <v/>
      </c>
      <c r="G452" s="19" t="str">
        <f>IF($P452="","",INDEX(BEMANNINGSPLAN!$AD$5:$AD$546,$P452))</f>
        <v/>
      </c>
      <c r="H452" s="18" t="str">
        <f>IF($P452="","",IF(AND(INDEX(BEMANNINGSPLAN!$Y$5:$Y$546,$P452)=1,G452&lt;&gt;"Minicafé"),"X",""))</f>
        <v/>
      </c>
      <c r="I452" s="21" t="str">
        <f>IF($P452="","",IF(INDEX(BEMANNINGSPLAN!$Y$5:$Y$546,$P452)=1,"X",""))</f>
        <v/>
      </c>
      <c r="J452" s="22" t="str">
        <f>IF($P452="","",IF(SUMIF(BEMANNINGSPLAN!$W$5:$W$546,INDEX(BEMANNINGSPLAN!$W$5:$W$546,$P452),BEMANNINGSPLAN!$Z$5:$Z$546)=1,"X",""))</f>
        <v/>
      </c>
      <c r="K452" s="23" t="str">
        <f>IF($P452="","",IFERROR(LOOKUP(2,1/((BEMANNINGSPLAN!$W$5:$W$546=INDEX(BEMANNINGSPLAN!$W$5:$W$546,$P452))*(BEMANNINGSPLAN!$L$5:$L$546&lt;&gt;"")),BEMANNINGSPLAN!$L$5:$L$546),""))</f>
        <v/>
      </c>
      <c r="L452" s="18" t="str">
        <f>IF($P452="","",INDEX(BEMANNINGSPLAN!$AE$5:$AE$546,$P452))</f>
        <v/>
      </c>
      <c r="M452" s="137"/>
      <c r="N452" s="16"/>
      <c r="O452" s="16">
        <f>IF(AND(BEMANNINGSPLAN!U450=1,OR($B$4="Alla lag",BEMANNINGSPLAN!J450=$B$4),OR($E$4="Alla datum",BEMANNINGSPLAN!A450=$E$4)),COUNT($O$6:O451)+1,"")</f>
        <v>81</v>
      </c>
      <c r="P452" s="137" t="str">
        <f t="shared" si="6"/>
        <v/>
      </c>
    </row>
    <row r="453" spans="1:16" ht="27.75" customHeight="1">
      <c r="A453" s="17" t="str">
        <f>IF($P453="","",INDEX(BEMANNINGSPLAN!$A$5:$A$546,$P453))</f>
        <v/>
      </c>
      <c r="B453" s="18" t="str">
        <f>IF($P453="","",INDEX(BEMANNINGSPLAN!$B$5:$B$546,$P453))</f>
        <v/>
      </c>
      <c r="C453" s="19" t="str">
        <f>IF($P453="","",INDEX(BEMANNINGSPLAN!$C$5:$C$546,$P453))</f>
        <v/>
      </c>
      <c r="D453" s="20" t="str">
        <f>IF($P453="","",INDEX(BEMANNINGSPLAN!$D$5:$D$546,$P453))</f>
        <v/>
      </c>
      <c r="E453" s="20" t="str">
        <f>IF($P453="","",SUMIF(BEMANNINGSPLAN!$W$5:$W$546,INDEX(BEMANNINGSPLAN!$W$5:$W$546,$P453),BEMANNINGSPLAN!$X$5:$X$546))</f>
        <v/>
      </c>
      <c r="F453" s="18" t="str">
        <f>IF($P453="","",INDEX(BEMANNINGSPLAN!$J$5:$J$546,$P453))</f>
        <v/>
      </c>
      <c r="G453" s="19" t="str">
        <f>IF($P453="","",INDEX(BEMANNINGSPLAN!$AD$5:$AD$546,$P453))</f>
        <v/>
      </c>
      <c r="H453" s="18" t="str">
        <f>IF($P453="","",IF(AND(INDEX(BEMANNINGSPLAN!$Y$5:$Y$546,$P453)=1,G453&lt;&gt;"Minicafé"),"X",""))</f>
        <v/>
      </c>
      <c r="I453" s="21" t="str">
        <f>IF($P453="","",IF(INDEX(BEMANNINGSPLAN!$Y$5:$Y$546,$P453)=1,"X",""))</f>
        <v/>
      </c>
      <c r="J453" s="22" t="str">
        <f>IF($P453="","",IF(SUMIF(BEMANNINGSPLAN!$W$5:$W$546,INDEX(BEMANNINGSPLAN!$W$5:$W$546,$P453),BEMANNINGSPLAN!$Z$5:$Z$546)=1,"X",""))</f>
        <v/>
      </c>
      <c r="K453" s="23" t="str">
        <f>IF($P453="","",IFERROR(LOOKUP(2,1/((BEMANNINGSPLAN!$W$5:$W$546=INDEX(BEMANNINGSPLAN!$W$5:$W$546,$P453))*(BEMANNINGSPLAN!$L$5:$L$546&lt;&gt;"")),BEMANNINGSPLAN!$L$5:$L$546),""))</f>
        <v/>
      </c>
      <c r="L453" s="18" t="str">
        <f>IF($P453="","",INDEX(BEMANNINGSPLAN!$AE$5:$AE$546,$P453))</f>
        <v/>
      </c>
      <c r="M453" s="137"/>
      <c r="N453" s="16"/>
      <c r="O453" s="16" t="str">
        <f>IF(AND(BEMANNINGSPLAN!U451=1,OR($B$4="Alla lag",BEMANNINGSPLAN!J451=$B$4),OR($E$4="Alla datum",BEMANNINGSPLAN!A451=$E$4)),COUNT($O$6:O452)+1,"")</f>
        <v/>
      </c>
      <c r="P453" s="137" t="str">
        <f t="shared" si="6"/>
        <v/>
      </c>
    </row>
    <row r="454" spans="1:16" ht="27.75" customHeight="1">
      <c r="A454" s="17" t="str">
        <f>IF($P454="","",INDEX(BEMANNINGSPLAN!$A$5:$A$546,$P454))</f>
        <v/>
      </c>
      <c r="B454" s="18" t="str">
        <f>IF($P454="","",INDEX(BEMANNINGSPLAN!$B$5:$B$546,$P454))</f>
        <v/>
      </c>
      <c r="C454" s="19" t="str">
        <f>IF($P454="","",INDEX(BEMANNINGSPLAN!$C$5:$C$546,$P454))</f>
        <v/>
      </c>
      <c r="D454" s="20" t="str">
        <f>IF($P454="","",INDEX(BEMANNINGSPLAN!$D$5:$D$546,$P454))</f>
        <v/>
      </c>
      <c r="E454" s="20" t="str">
        <f>IF($P454="","",SUMIF(BEMANNINGSPLAN!$W$5:$W$546,INDEX(BEMANNINGSPLAN!$W$5:$W$546,$P454),BEMANNINGSPLAN!$X$5:$X$546))</f>
        <v/>
      </c>
      <c r="F454" s="18" t="str">
        <f>IF($P454="","",INDEX(BEMANNINGSPLAN!$J$5:$J$546,$P454))</f>
        <v/>
      </c>
      <c r="G454" s="19" t="str">
        <f>IF($P454="","",INDEX(BEMANNINGSPLAN!$AD$5:$AD$546,$P454))</f>
        <v/>
      </c>
      <c r="H454" s="18" t="str">
        <f>IF($P454="","",IF(AND(INDEX(BEMANNINGSPLAN!$Y$5:$Y$546,$P454)=1,G454&lt;&gt;"Minicafé"),"X",""))</f>
        <v/>
      </c>
      <c r="I454" s="21" t="str">
        <f>IF($P454="","",IF(INDEX(BEMANNINGSPLAN!$Y$5:$Y$546,$P454)=1,"X",""))</f>
        <v/>
      </c>
      <c r="J454" s="22" t="str">
        <f>IF($P454="","",IF(SUMIF(BEMANNINGSPLAN!$W$5:$W$546,INDEX(BEMANNINGSPLAN!$W$5:$W$546,$P454),BEMANNINGSPLAN!$Z$5:$Z$546)=1,"X",""))</f>
        <v/>
      </c>
      <c r="K454" s="23" t="str">
        <f>IF($P454="","",IFERROR(LOOKUP(2,1/((BEMANNINGSPLAN!$W$5:$W$546=INDEX(BEMANNINGSPLAN!$W$5:$W$546,$P454))*(BEMANNINGSPLAN!$L$5:$L$546&lt;&gt;"")),BEMANNINGSPLAN!$L$5:$L$546),""))</f>
        <v/>
      </c>
      <c r="L454" s="18" t="str">
        <f>IF($P454="","",INDEX(BEMANNINGSPLAN!$AE$5:$AE$546,$P454))</f>
        <v/>
      </c>
      <c r="M454" s="137"/>
      <c r="N454" s="16"/>
      <c r="O454" s="16" t="str">
        <f>IF(AND(BEMANNINGSPLAN!U452=1,OR($B$4="Alla lag",BEMANNINGSPLAN!J452=$B$4),OR($E$4="Alla datum",BEMANNINGSPLAN!A452=$E$4)),COUNT($O$6:O453)+1,"")</f>
        <v/>
      </c>
      <c r="P454" s="137" t="str">
        <f t="shared" si="6"/>
        <v/>
      </c>
    </row>
    <row r="455" spans="1:16" ht="27.75" customHeight="1">
      <c r="A455" s="17" t="str">
        <f>IF($P455="","",INDEX(BEMANNINGSPLAN!$A$5:$A$546,$P455))</f>
        <v/>
      </c>
      <c r="B455" s="18" t="str">
        <f>IF($P455="","",INDEX(BEMANNINGSPLAN!$B$5:$B$546,$P455))</f>
        <v/>
      </c>
      <c r="C455" s="19" t="str">
        <f>IF($P455="","",INDEX(BEMANNINGSPLAN!$C$5:$C$546,$P455))</f>
        <v/>
      </c>
      <c r="D455" s="20" t="str">
        <f>IF($P455="","",INDEX(BEMANNINGSPLAN!$D$5:$D$546,$P455))</f>
        <v/>
      </c>
      <c r="E455" s="20" t="str">
        <f>IF($P455="","",SUMIF(BEMANNINGSPLAN!$W$5:$W$546,INDEX(BEMANNINGSPLAN!$W$5:$W$546,$P455),BEMANNINGSPLAN!$X$5:$X$546))</f>
        <v/>
      </c>
      <c r="F455" s="18" t="str">
        <f>IF($P455="","",INDEX(BEMANNINGSPLAN!$J$5:$J$546,$P455))</f>
        <v/>
      </c>
      <c r="G455" s="19" t="str">
        <f>IF($P455="","",INDEX(BEMANNINGSPLAN!$AD$5:$AD$546,$P455))</f>
        <v/>
      </c>
      <c r="H455" s="18" t="str">
        <f>IF($P455="","",IF(AND(INDEX(BEMANNINGSPLAN!$Y$5:$Y$546,$P455)=1,G455&lt;&gt;"Minicafé"),"X",""))</f>
        <v/>
      </c>
      <c r="I455" s="21" t="str">
        <f>IF($P455="","",IF(INDEX(BEMANNINGSPLAN!$Y$5:$Y$546,$P455)=1,"X",""))</f>
        <v/>
      </c>
      <c r="J455" s="22" t="str">
        <f>IF($P455="","",IF(SUMIF(BEMANNINGSPLAN!$W$5:$W$546,INDEX(BEMANNINGSPLAN!$W$5:$W$546,$P455),BEMANNINGSPLAN!$Z$5:$Z$546)=1,"X",""))</f>
        <v/>
      </c>
      <c r="K455" s="23" t="str">
        <f>IF($P455="","",IFERROR(LOOKUP(2,1/((BEMANNINGSPLAN!$W$5:$W$546=INDEX(BEMANNINGSPLAN!$W$5:$W$546,$P455))*(BEMANNINGSPLAN!$L$5:$L$546&lt;&gt;"")),BEMANNINGSPLAN!$L$5:$L$546),""))</f>
        <v/>
      </c>
      <c r="L455" s="18" t="str">
        <f>IF($P455="","",INDEX(BEMANNINGSPLAN!$AE$5:$AE$546,$P455))</f>
        <v/>
      </c>
      <c r="M455" s="137"/>
      <c r="N455" s="16"/>
      <c r="O455" s="16" t="str">
        <f>IF(AND(BEMANNINGSPLAN!U453=1,OR($B$4="Alla lag",BEMANNINGSPLAN!J453=$B$4),OR($E$4="Alla datum",BEMANNINGSPLAN!A453=$E$4)),COUNT($O$6:O454)+1,"")</f>
        <v/>
      </c>
      <c r="P455" s="137" t="str">
        <f t="shared" ref="P455:P518" si="7">IFERROR(MATCH(ROW()-ROW($P$7)+1,$O$7:$O$548,0),"")</f>
        <v/>
      </c>
    </row>
    <row r="456" spans="1:16" ht="27.75" customHeight="1">
      <c r="A456" s="17" t="str">
        <f>IF($P456="","",INDEX(BEMANNINGSPLAN!$A$5:$A$546,$P456))</f>
        <v/>
      </c>
      <c r="B456" s="18" t="str">
        <f>IF($P456="","",INDEX(BEMANNINGSPLAN!$B$5:$B$546,$P456))</f>
        <v/>
      </c>
      <c r="C456" s="19" t="str">
        <f>IF($P456="","",INDEX(BEMANNINGSPLAN!$C$5:$C$546,$P456))</f>
        <v/>
      </c>
      <c r="D456" s="20" t="str">
        <f>IF($P456="","",INDEX(BEMANNINGSPLAN!$D$5:$D$546,$P456))</f>
        <v/>
      </c>
      <c r="E456" s="20" t="str">
        <f>IF($P456="","",SUMIF(BEMANNINGSPLAN!$W$5:$W$546,INDEX(BEMANNINGSPLAN!$W$5:$W$546,$P456),BEMANNINGSPLAN!$X$5:$X$546))</f>
        <v/>
      </c>
      <c r="F456" s="18" t="str">
        <f>IF($P456="","",INDEX(BEMANNINGSPLAN!$J$5:$J$546,$P456))</f>
        <v/>
      </c>
      <c r="G456" s="19" t="str">
        <f>IF($P456="","",INDEX(BEMANNINGSPLAN!$AD$5:$AD$546,$P456))</f>
        <v/>
      </c>
      <c r="H456" s="18" t="str">
        <f>IF($P456="","",IF(AND(INDEX(BEMANNINGSPLAN!$Y$5:$Y$546,$P456)=1,G456&lt;&gt;"Minicafé"),"X",""))</f>
        <v/>
      </c>
      <c r="I456" s="21" t="str">
        <f>IF($P456="","",IF(INDEX(BEMANNINGSPLAN!$Y$5:$Y$546,$P456)=1,"X",""))</f>
        <v/>
      </c>
      <c r="J456" s="22" t="str">
        <f>IF($P456="","",IF(SUMIF(BEMANNINGSPLAN!$W$5:$W$546,INDEX(BEMANNINGSPLAN!$W$5:$W$546,$P456),BEMANNINGSPLAN!$Z$5:$Z$546)=1,"X",""))</f>
        <v/>
      </c>
      <c r="K456" s="23" t="str">
        <f>IF($P456="","",IFERROR(LOOKUP(2,1/((BEMANNINGSPLAN!$W$5:$W$546=INDEX(BEMANNINGSPLAN!$W$5:$W$546,$P456))*(BEMANNINGSPLAN!$L$5:$L$546&lt;&gt;"")),BEMANNINGSPLAN!$L$5:$L$546),""))</f>
        <v/>
      </c>
      <c r="L456" s="18" t="str">
        <f>IF($P456="","",INDEX(BEMANNINGSPLAN!$AE$5:$AE$546,$P456))</f>
        <v/>
      </c>
      <c r="M456" s="137"/>
      <c r="N456" s="16"/>
      <c r="O456" s="16" t="str">
        <f>IF(AND(BEMANNINGSPLAN!U454=1,OR($B$4="Alla lag",BEMANNINGSPLAN!J454=$B$4),OR($E$4="Alla datum",BEMANNINGSPLAN!A454=$E$4)),COUNT($O$6:O455)+1,"")</f>
        <v/>
      </c>
      <c r="P456" s="137" t="str">
        <f t="shared" si="7"/>
        <v/>
      </c>
    </row>
    <row r="457" spans="1:16" ht="27.75" customHeight="1">
      <c r="A457" s="17" t="str">
        <f>IF($P457="","",INDEX(BEMANNINGSPLAN!$A$5:$A$546,$P457))</f>
        <v/>
      </c>
      <c r="B457" s="18" t="str">
        <f>IF($P457="","",INDEX(BEMANNINGSPLAN!$B$5:$B$546,$P457))</f>
        <v/>
      </c>
      <c r="C457" s="19" t="str">
        <f>IF($P457="","",INDEX(BEMANNINGSPLAN!$C$5:$C$546,$P457))</f>
        <v/>
      </c>
      <c r="D457" s="20" t="str">
        <f>IF($P457="","",INDEX(BEMANNINGSPLAN!$D$5:$D$546,$P457))</f>
        <v/>
      </c>
      <c r="E457" s="20" t="str">
        <f>IF($P457="","",SUMIF(BEMANNINGSPLAN!$W$5:$W$546,INDEX(BEMANNINGSPLAN!$W$5:$W$546,$P457),BEMANNINGSPLAN!$X$5:$X$546))</f>
        <v/>
      </c>
      <c r="F457" s="18" t="str">
        <f>IF($P457="","",INDEX(BEMANNINGSPLAN!$J$5:$J$546,$P457))</f>
        <v/>
      </c>
      <c r="G457" s="19" t="str">
        <f>IF($P457="","",INDEX(BEMANNINGSPLAN!$AD$5:$AD$546,$P457))</f>
        <v/>
      </c>
      <c r="H457" s="18" t="str">
        <f>IF($P457="","",IF(AND(INDEX(BEMANNINGSPLAN!$Y$5:$Y$546,$P457)=1,G457&lt;&gt;"Minicafé"),"X",""))</f>
        <v/>
      </c>
      <c r="I457" s="21" t="str">
        <f>IF($P457="","",IF(INDEX(BEMANNINGSPLAN!$Y$5:$Y$546,$P457)=1,"X",""))</f>
        <v/>
      </c>
      <c r="J457" s="22" t="str">
        <f>IF($P457="","",IF(SUMIF(BEMANNINGSPLAN!$W$5:$W$546,INDEX(BEMANNINGSPLAN!$W$5:$W$546,$P457),BEMANNINGSPLAN!$Z$5:$Z$546)=1,"X",""))</f>
        <v/>
      </c>
      <c r="K457" s="23" t="str">
        <f>IF($P457="","",IFERROR(LOOKUP(2,1/((BEMANNINGSPLAN!$W$5:$W$546=INDEX(BEMANNINGSPLAN!$W$5:$W$546,$P457))*(BEMANNINGSPLAN!$L$5:$L$546&lt;&gt;"")),BEMANNINGSPLAN!$L$5:$L$546),""))</f>
        <v/>
      </c>
      <c r="L457" s="18" t="str">
        <f>IF($P457="","",INDEX(BEMANNINGSPLAN!$AE$5:$AE$546,$P457))</f>
        <v/>
      </c>
      <c r="M457" s="137"/>
      <c r="N457" s="16"/>
      <c r="O457" s="16" t="str">
        <f>IF(AND(BEMANNINGSPLAN!U455=1,OR($B$4="Alla lag",BEMANNINGSPLAN!J455=$B$4),OR($E$4="Alla datum",BEMANNINGSPLAN!A455=$E$4)),COUNT($O$6:O456)+1,"")</f>
        <v/>
      </c>
      <c r="P457" s="137" t="str">
        <f t="shared" si="7"/>
        <v/>
      </c>
    </row>
    <row r="458" spans="1:16" ht="27.75" customHeight="1">
      <c r="A458" s="17" t="str">
        <f>IF($P458="","",INDEX(BEMANNINGSPLAN!$A$5:$A$546,$P458))</f>
        <v/>
      </c>
      <c r="B458" s="18" t="str">
        <f>IF($P458="","",INDEX(BEMANNINGSPLAN!$B$5:$B$546,$P458))</f>
        <v/>
      </c>
      <c r="C458" s="19" t="str">
        <f>IF($P458="","",INDEX(BEMANNINGSPLAN!$C$5:$C$546,$P458))</f>
        <v/>
      </c>
      <c r="D458" s="20" t="str">
        <f>IF($P458="","",INDEX(BEMANNINGSPLAN!$D$5:$D$546,$P458))</f>
        <v/>
      </c>
      <c r="E458" s="20" t="str">
        <f>IF($P458="","",SUMIF(BEMANNINGSPLAN!$W$5:$W$546,INDEX(BEMANNINGSPLAN!$W$5:$W$546,$P458),BEMANNINGSPLAN!$X$5:$X$546))</f>
        <v/>
      </c>
      <c r="F458" s="18" t="str">
        <f>IF($P458="","",INDEX(BEMANNINGSPLAN!$J$5:$J$546,$P458))</f>
        <v/>
      </c>
      <c r="G458" s="19" t="str">
        <f>IF($P458="","",INDEX(BEMANNINGSPLAN!$AD$5:$AD$546,$P458))</f>
        <v/>
      </c>
      <c r="H458" s="18" t="str">
        <f>IF($P458="","",IF(AND(INDEX(BEMANNINGSPLAN!$Y$5:$Y$546,$P458)=1,G458&lt;&gt;"Minicafé"),"X",""))</f>
        <v/>
      </c>
      <c r="I458" s="21" t="str">
        <f>IF($P458="","",IF(INDEX(BEMANNINGSPLAN!$Y$5:$Y$546,$P458)=1,"X",""))</f>
        <v/>
      </c>
      <c r="J458" s="22" t="str">
        <f>IF($P458="","",IF(SUMIF(BEMANNINGSPLAN!$W$5:$W$546,INDEX(BEMANNINGSPLAN!$W$5:$W$546,$P458),BEMANNINGSPLAN!$Z$5:$Z$546)=1,"X",""))</f>
        <v/>
      </c>
      <c r="K458" s="23" t="str">
        <f>IF($P458="","",IFERROR(LOOKUP(2,1/((BEMANNINGSPLAN!$W$5:$W$546=INDEX(BEMANNINGSPLAN!$W$5:$W$546,$P458))*(BEMANNINGSPLAN!$L$5:$L$546&lt;&gt;"")),BEMANNINGSPLAN!$L$5:$L$546),""))</f>
        <v/>
      </c>
      <c r="L458" s="18" t="str">
        <f>IF($P458="","",INDEX(BEMANNINGSPLAN!$AE$5:$AE$546,$P458))</f>
        <v/>
      </c>
      <c r="M458" s="137"/>
      <c r="N458" s="16"/>
      <c r="O458" s="16" t="str">
        <f>IF(AND(BEMANNINGSPLAN!U456=1,OR($B$4="Alla lag",BEMANNINGSPLAN!J456=$B$4),OR($E$4="Alla datum",BEMANNINGSPLAN!A456=$E$4)),COUNT($O$6:O457)+1,"")</f>
        <v/>
      </c>
      <c r="P458" s="137" t="str">
        <f t="shared" si="7"/>
        <v/>
      </c>
    </row>
    <row r="459" spans="1:16" ht="27.75" customHeight="1">
      <c r="A459" s="17" t="str">
        <f>IF($P459="","",INDEX(BEMANNINGSPLAN!$A$5:$A$546,$P459))</f>
        <v/>
      </c>
      <c r="B459" s="18" t="str">
        <f>IF($P459="","",INDEX(BEMANNINGSPLAN!$B$5:$B$546,$P459))</f>
        <v/>
      </c>
      <c r="C459" s="19" t="str">
        <f>IF($P459="","",INDEX(BEMANNINGSPLAN!$C$5:$C$546,$P459))</f>
        <v/>
      </c>
      <c r="D459" s="20" t="str">
        <f>IF($P459="","",INDEX(BEMANNINGSPLAN!$D$5:$D$546,$P459))</f>
        <v/>
      </c>
      <c r="E459" s="20" t="str">
        <f>IF($P459="","",SUMIF(BEMANNINGSPLAN!$W$5:$W$546,INDEX(BEMANNINGSPLAN!$W$5:$W$546,$P459),BEMANNINGSPLAN!$X$5:$X$546))</f>
        <v/>
      </c>
      <c r="F459" s="18" t="str">
        <f>IF($P459="","",INDEX(BEMANNINGSPLAN!$J$5:$J$546,$P459))</f>
        <v/>
      </c>
      <c r="G459" s="19" t="str">
        <f>IF($P459="","",INDEX(BEMANNINGSPLAN!$AD$5:$AD$546,$P459))</f>
        <v/>
      </c>
      <c r="H459" s="18" t="str">
        <f>IF($P459="","",IF(AND(INDEX(BEMANNINGSPLAN!$Y$5:$Y$546,$P459)=1,G459&lt;&gt;"Minicafé"),"X",""))</f>
        <v/>
      </c>
      <c r="I459" s="21" t="str">
        <f>IF($P459="","",IF(INDEX(BEMANNINGSPLAN!$Y$5:$Y$546,$P459)=1,"X",""))</f>
        <v/>
      </c>
      <c r="J459" s="22" t="str">
        <f>IF($P459="","",IF(SUMIF(BEMANNINGSPLAN!$W$5:$W$546,INDEX(BEMANNINGSPLAN!$W$5:$W$546,$P459),BEMANNINGSPLAN!$Z$5:$Z$546)=1,"X",""))</f>
        <v/>
      </c>
      <c r="K459" s="23" t="str">
        <f>IF($P459="","",IFERROR(LOOKUP(2,1/((BEMANNINGSPLAN!$W$5:$W$546=INDEX(BEMANNINGSPLAN!$W$5:$W$546,$P459))*(BEMANNINGSPLAN!$L$5:$L$546&lt;&gt;"")),BEMANNINGSPLAN!$L$5:$L$546),""))</f>
        <v/>
      </c>
      <c r="L459" s="18" t="str">
        <f>IF($P459="","",INDEX(BEMANNINGSPLAN!$AE$5:$AE$546,$P459))</f>
        <v/>
      </c>
      <c r="M459" s="137"/>
      <c r="N459" s="16"/>
      <c r="O459" s="16" t="str">
        <f>IF(AND(BEMANNINGSPLAN!U457=1,OR($B$4="Alla lag",BEMANNINGSPLAN!J457=$B$4),OR($E$4="Alla datum",BEMANNINGSPLAN!A457=$E$4)),COUNT($O$6:O458)+1,"")</f>
        <v/>
      </c>
      <c r="P459" s="137" t="str">
        <f t="shared" si="7"/>
        <v/>
      </c>
    </row>
    <row r="460" spans="1:16" ht="27.75" customHeight="1">
      <c r="A460" s="17" t="str">
        <f>IF($P460="","",INDEX(BEMANNINGSPLAN!$A$5:$A$546,$P460))</f>
        <v/>
      </c>
      <c r="B460" s="18" t="str">
        <f>IF($P460="","",INDEX(BEMANNINGSPLAN!$B$5:$B$546,$P460))</f>
        <v/>
      </c>
      <c r="C460" s="19" t="str">
        <f>IF($P460="","",INDEX(BEMANNINGSPLAN!$C$5:$C$546,$P460))</f>
        <v/>
      </c>
      <c r="D460" s="20" t="str">
        <f>IF($P460="","",INDEX(BEMANNINGSPLAN!$D$5:$D$546,$P460))</f>
        <v/>
      </c>
      <c r="E460" s="20" t="str">
        <f>IF($P460="","",SUMIF(BEMANNINGSPLAN!$W$5:$W$546,INDEX(BEMANNINGSPLAN!$W$5:$W$546,$P460),BEMANNINGSPLAN!$X$5:$X$546))</f>
        <v/>
      </c>
      <c r="F460" s="18" t="str">
        <f>IF($P460="","",INDEX(BEMANNINGSPLAN!$J$5:$J$546,$P460))</f>
        <v/>
      </c>
      <c r="G460" s="19" t="str">
        <f>IF($P460="","",INDEX(BEMANNINGSPLAN!$AD$5:$AD$546,$P460))</f>
        <v/>
      </c>
      <c r="H460" s="18" t="str">
        <f>IF($P460="","",IF(AND(INDEX(BEMANNINGSPLAN!$Y$5:$Y$546,$P460)=1,G460&lt;&gt;"Minicafé"),"X",""))</f>
        <v/>
      </c>
      <c r="I460" s="21" t="str">
        <f>IF($P460="","",IF(INDEX(BEMANNINGSPLAN!$Y$5:$Y$546,$P460)=1,"X",""))</f>
        <v/>
      </c>
      <c r="J460" s="22" t="str">
        <f>IF($P460="","",IF(SUMIF(BEMANNINGSPLAN!$W$5:$W$546,INDEX(BEMANNINGSPLAN!$W$5:$W$546,$P460),BEMANNINGSPLAN!$Z$5:$Z$546)=1,"X",""))</f>
        <v/>
      </c>
      <c r="K460" s="23" t="str">
        <f>IF($P460="","",IFERROR(LOOKUP(2,1/((BEMANNINGSPLAN!$W$5:$W$546=INDEX(BEMANNINGSPLAN!$W$5:$W$546,$P460))*(BEMANNINGSPLAN!$L$5:$L$546&lt;&gt;"")),BEMANNINGSPLAN!$L$5:$L$546),""))</f>
        <v/>
      </c>
      <c r="L460" s="18" t="str">
        <f>IF($P460="","",INDEX(BEMANNINGSPLAN!$AE$5:$AE$546,$P460))</f>
        <v/>
      </c>
      <c r="M460" s="137"/>
      <c r="N460" s="16"/>
      <c r="O460" s="16" t="str">
        <f>IF(AND(BEMANNINGSPLAN!U458=1,OR($B$4="Alla lag",BEMANNINGSPLAN!J458=$B$4),OR($E$4="Alla datum",BEMANNINGSPLAN!A458=$E$4)),COUNT($O$6:O459)+1,"")</f>
        <v/>
      </c>
      <c r="P460" s="137" t="str">
        <f t="shared" si="7"/>
        <v/>
      </c>
    </row>
    <row r="461" spans="1:16" ht="27.75" customHeight="1">
      <c r="A461" s="17" t="str">
        <f>IF($P461="","",INDEX(BEMANNINGSPLAN!$A$5:$A$546,$P461))</f>
        <v/>
      </c>
      <c r="B461" s="18" t="str">
        <f>IF($P461="","",INDEX(BEMANNINGSPLAN!$B$5:$B$546,$P461))</f>
        <v/>
      </c>
      <c r="C461" s="19" t="str">
        <f>IF($P461="","",INDEX(BEMANNINGSPLAN!$C$5:$C$546,$P461))</f>
        <v/>
      </c>
      <c r="D461" s="20" t="str">
        <f>IF($P461="","",INDEX(BEMANNINGSPLAN!$D$5:$D$546,$P461))</f>
        <v/>
      </c>
      <c r="E461" s="20" t="str">
        <f>IF($P461="","",SUMIF(BEMANNINGSPLAN!$W$5:$W$546,INDEX(BEMANNINGSPLAN!$W$5:$W$546,$P461),BEMANNINGSPLAN!$X$5:$X$546))</f>
        <v/>
      </c>
      <c r="F461" s="18" t="str">
        <f>IF($P461="","",INDEX(BEMANNINGSPLAN!$J$5:$J$546,$P461))</f>
        <v/>
      </c>
      <c r="G461" s="19" t="str">
        <f>IF($P461="","",INDEX(BEMANNINGSPLAN!$AD$5:$AD$546,$P461))</f>
        <v/>
      </c>
      <c r="H461" s="18" t="str">
        <f>IF($P461="","",IF(AND(INDEX(BEMANNINGSPLAN!$Y$5:$Y$546,$P461)=1,G461&lt;&gt;"Minicafé"),"X",""))</f>
        <v/>
      </c>
      <c r="I461" s="21" t="str">
        <f>IF($P461="","",IF(INDEX(BEMANNINGSPLAN!$Y$5:$Y$546,$P461)=1,"X",""))</f>
        <v/>
      </c>
      <c r="J461" s="22" t="str">
        <f>IF($P461="","",IF(SUMIF(BEMANNINGSPLAN!$W$5:$W$546,INDEX(BEMANNINGSPLAN!$W$5:$W$546,$P461),BEMANNINGSPLAN!$Z$5:$Z$546)=1,"X",""))</f>
        <v/>
      </c>
      <c r="K461" s="23" t="str">
        <f>IF($P461="","",IFERROR(LOOKUP(2,1/((BEMANNINGSPLAN!$W$5:$W$546=INDEX(BEMANNINGSPLAN!$W$5:$W$546,$P461))*(BEMANNINGSPLAN!$L$5:$L$546&lt;&gt;"")),BEMANNINGSPLAN!$L$5:$L$546),""))</f>
        <v/>
      </c>
      <c r="L461" s="18" t="str">
        <f>IF($P461="","",INDEX(BEMANNINGSPLAN!$AE$5:$AE$546,$P461))</f>
        <v/>
      </c>
      <c r="M461" s="137"/>
      <c r="N461" s="16"/>
      <c r="O461" s="16" t="str">
        <f>IF(AND(BEMANNINGSPLAN!U459=1,OR($B$4="Alla lag",BEMANNINGSPLAN!J459=$B$4),OR($E$4="Alla datum",BEMANNINGSPLAN!A459=$E$4)),COUNT($O$6:O460)+1,"")</f>
        <v/>
      </c>
      <c r="P461" s="137" t="str">
        <f t="shared" si="7"/>
        <v/>
      </c>
    </row>
    <row r="462" spans="1:16" ht="27.75" customHeight="1">
      <c r="A462" s="17" t="str">
        <f>IF($P462="","",INDEX(BEMANNINGSPLAN!$A$5:$A$546,$P462))</f>
        <v/>
      </c>
      <c r="B462" s="18" t="str">
        <f>IF($P462="","",INDEX(BEMANNINGSPLAN!$B$5:$B$546,$P462))</f>
        <v/>
      </c>
      <c r="C462" s="19" t="str">
        <f>IF($P462="","",INDEX(BEMANNINGSPLAN!$C$5:$C$546,$P462))</f>
        <v/>
      </c>
      <c r="D462" s="20" t="str">
        <f>IF($P462="","",INDEX(BEMANNINGSPLAN!$D$5:$D$546,$P462))</f>
        <v/>
      </c>
      <c r="E462" s="20" t="str">
        <f>IF($P462="","",SUMIF(BEMANNINGSPLAN!$W$5:$W$546,INDEX(BEMANNINGSPLAN!$W$5:$W$546,$P462),BEMANNINGSPLAN!$X$5:$X$546))</f>
        <v/>
      </c>
      <c r="F462" s="18" t="str">
        <f>IF($P462="","",INDEX(BEMANNINGSPLAN!$J$5:$J$546,$P462))</f>
        <v/>
      </c>
      <c r="G462" s="19" t="str">
        <f>IF($P462="","",INDEX(BEMANNINGSPLAN!$AD$5:$AD$546,$P462))</f>
        <v/>
      </c>
      <c r="H462" s="18" t="str">
        <f>IF($P462="","",IF(AND(INDEX(BEMANNINGSPLAN!$Y$5:$Y$546,$P462)=1,G462&lt;&gt;"Minicafé"),"X",""))</f>
        <v/>
      </c>
      <c r="I462" s="21" t="str">
        <f>IF($P462="","",IF(INDEX(BEMANNINGSPLAN!$Y$5:$Y$546,$P462)=1,"X",""))</f>
        <v/>
      </c>
      <c r="J462" s="22" t="str">
        <f>IF($P462="","",IF(SUMIF(BEMANNINGSPLAN!$W$5:$W$546,INDEX(BEMANNINGSPLAN!$W$5:$W$546,$P462),BEMANNINGSPLAN!$Z$5:$Z$546)=1,"X",""))</f>
        <v/>
      </c>
      <c r="K462" s="23" t="str">
        <f>IF($P462="","",IFERROR(LOOKUP(2,1/((BEMANNINGSPLAN!$W$5:$W$546=INDEX(BEMANNINGSPLAN!$W$5:$W$546,$P462))*(BEMANNINGSPLAN!$L$5:$L$546&lt;&gt;"")),BEMANNINGSPLAN!$L$5:$L$546),""))</f>
        <v/>
      </c>
      <c r="L462" s="18" t="str">
        <f>IF($P462="","",INDEX(BEMANNINGSPLAN!$AE$5:$AE$546,$P462))</f>
        <v/>
      </c>
      <c r="M462" s="137"/>
      <c r="N462" s="16"/>
      <c r="O462" s="16" t="str">
        <f>IF(AND(BEMANNINGSPLAN!U460=1,OR($B$4="Alla lag",BEMANNINGSPLAN!J460=$B$4),OR($E$4="Alla datum",BEMANNINGSPLAN!A460=$E$4)),COUNT($O$6:O461)+1,"")</f>
        <v/>
      </c>
      <c r="P462" s="137" t="str">
        <f t="shared" si="7"/>
        <v/>
      </c>
    </row>
    <row r="463" spans="1:16" ht="27.75" customHeight="1">
      <c r="A463" s="17" t="str">
        <f>IF($P463="","",INDEX(BEMANNINGSPLAN!$A$5:$A$546,$P463))</f>
        <v/>
      </c>
      <c r="B463" s="18" t="str">
        <f>IF($P463="","",INDEX(BEMANNINGSPLAN!$B$5:$B$546,$P463))</f>
        <v/>
      </c>
      <c r="C463" s="19" t="str">
        <f>IF($P463="","",INDEX(BEMANNINGSPLAN!$C$5:$C$546,$P463))</f>
        <v/>
      </c>
      <c r="D463" s="20" t="str">
        <f>IF($P463="","",INDEX(BEMANNINGSPLAN!$D$5:$D$546,$P463))</f>
        <v/>
      </c>
      <c r="E463" s="20" t="str">
        <f>IF($P463="","",SUMIF(BEMANNINGSPLAN!$W$5:$W$546,INDEX(BEMANNINGSPLAN!$W$5:$W$546,$P463),BEMANNINGSPLAN!$X$5:$X$546))</f>
        <v/>
      </c>
      <c r="F463" s="18" t="str">
        <f>IF($P463="","",INDEX(BEMANNINGSPLAN!$J$5:$J$546,$P463))</f>
        <v/>
      </c>
      <c r="G463" s="19" t="str">
        <f>IF($P463="","",INDEX(BEMANNINGSPLAN!$AD$5:$AD$546,$P463))</f>
        <v/>
      </c>
      <c r="H463" s="18" t="str">
        <f>IF($P463="","",IF(AND(INDEX(BEMANNINGSPLAN!$Y$5:$Y$546,$P463)=1,G463&lt;&gt;"Minicafé"),"X",""))</f>
        <v/>
      </c>
      <c r="I463" s="21" t="str">
        <f>IF($P463="","",IF(INDEX(BEMANNINGSPLAN!$Y$5:$Y$546,$P463)=1,"X",""))</f>
        <v/>
      </c>
      <c r="J463" s="22" t="str">
        <f>IF($P463="","",IF(SUMIF(BEMANNINGSPLAN!$W$5:$W$546,INDEX(BEMANNINGSPLAN!$W$5:$W$546,$P463),BEMANNINGSPLAN!$Z$5:$Z$546)=1,"X",""))</f>
        <v/>
      </c>
      <c r="K463" s="23" t="str">
        <f>IF($P463="","",IFERROR(LOOKUP(2,1/((BEMANNINGSPLAN!$W$5:$W$546=INDEX(BEMANNINGSPLAN!$W$5:$W$546,$P463))*(BEMANNINGSPLAN!$L$5:$L$546&lt;&gt;"")),BEMANNINGSPLAN!$L$5:$L$546),""))</f>
        <v/>
      </c>
      <c r="L463" s="18" t="str">
        <f>IF($P463="","",INDEX(BEMANNINGSPLAN!$AE$5:$AE$546,$P463))</f>
        <v/>
      </c>
      <c r="M463" s="137"/>
      <c r="N463" s="16"/>
      <c r="O463" s="16" t="str">
        <f>IF(AND(BEMANNINGSPLAN!U461=1,OR($B$4="Alla lag",BEMANNINGSPLAN!J461=$B$4),OR($E$4="Alla datum",BEMANNINGSPLAN!A461=$E$4)),COUNT($O$6:O462)+1,"")</f>
        <v/>
      </c>
      <c r="P463" s="137" t="str">
        <f t="shared" si="7"/>
        <v/>
      </c>
    </row>
    <row r="464" spans="1:16" ht="27.75" customHeight="1">
      <c r="A464" s="17" t="str">
        <f>IF($P464="","",INDEX(BEMANNINGSPLAN!$A$5:$A$546,$P464))</f>
        <v/>
      </c>
      <c r="B464" s="18" t="str">
        <f>IF($P464="","",INDEX(BEMANNINGSPLAN!$B$5:$B$546,$P464))</f>
        <v/>
      </c>
      <c r="C464" s="19" t="str">
        <f>IF($P464="","",INDEX(BEMANNINGSPLAN!$C$5:$C$546,$P464))</f>
        <v/>
      </c>
      <c r="D464" s="20" t="str">
        <f>IF($P464="","",INDEX(BEMANNINGSPLAN!$D$5:$D$546,$P464))</f>
        <v/>
      </c>
      <c r="E464" s="20" t="str">
        <f>IF($P464="","",SUMIF(BEMANNINGSPLAN!$W$5:$W$546,INDEX(BEMANNINGSPLAN!$W$5:$W$546,$P464),BEMANNINGSPLAN!$X$5:$X$546))</f>
        <v/>
      </c>
      <c r="F464" s="18" t="str">
        <f>IF($P464="","",INDEX(BEMANNINGSPLAN!$J$5:$J$546,$P464))</f>
        <v/>
      </c>
      <c r="G464" s="19" t="str">
        <f>IF($P464="","",INDEX(BEMANNINGSPLAN!$AD$5:$AD$546,$P464))</f>
        <v/>
      </c>
      <c r="H464" s="18" t="str">
        <f>IF($P464="","",IF(AND(INDEX(BEMANNINGSPLAN!$Y$5:$Y$546,$P464)=1,G464&lt;&gt;"Minicafé"),"X",""))</f>
        <v/>
      </c>
      <c r="I464" s="21" t="str">
        <f>IF($P464="","",IF(INDEX(BEMANNINGSPLAN!$Y$5:$Y$546,$P464)=1,"X",""))</f>
        <v/>
      </c>
      <c r="J464" s="22" t="str">
        <f>IF($P464="","",IF(SUMIF(BEMANNINGSPLAN!$W$5:$W$546,INDEX(BEMANNINGSPLAN!$W$5:$W$546,$P464),BEMANNINGSPLAN!$Z$5:$Z$546)=1,"X",""))</f>
        <v/>
      </c>
      <c r="K464" s="23" t="str">
        <f>IF($P464="","",IFERROR(LOOKUP(2,1/((BEMANNINGSPLAN!$W$5:$W$546=INDEX(BEMANNINGSPLAN!$W$5:$W$546,$P464))*(BEMANNINGSPLAN!$L$5:$L$546&lt;&gt;"")),BEMANNINGSPLAN!$L$5:$L$546),""))</f>
        <v/>
      </c>
      <c r="L464" s="18" t="str">
        <f>IF($P464="","",INDEX(BEMANNINGSPLAN!$AE$5:$AE$546,$P464))</f>
        <v/>
      </c>
      <c r="M464" s="137"/>
      <c r="N464" s="16"/>
      <c r="O464" s="16" t="str">
        <f>IF(AND(BEMANNINGSPLAN!U462=1,OR($B$4="Alla lag",BEMANNINGSPLAN!J462=$B$4),OR($E$4="Alla datum",BEMANNINGSPLAN!A462=$E$4)),COUNT($O$6:O463)+1,"")</f>
        <v/>
      </c>
      <c r="P464" s="137" t="str">
        <f t="shared" si="7"/>
        <v/>
      </c>
    </row>
    <row r="465" spans="1:16" ht="27.75" customHeight="1">
      <c r="A465" s="17" t="str">
        <f>IF($P465="","",INDEX(BEMANNINGSPLAN!$A$5:$A$546,$P465))</f>
        <v/>
      </c>
      <c r="B465" s="18" t="str">
        <f>IF($P465="","",INDEX(BEMANNINGSPLAN!$B$5:$B$546,$P465))</f>
        <v/>
      </c>
      <c r="C465" s="19" t="str">
        <f>IF($P465="","",INDEX(BEMANNINGSPLAN!$C$5:$C$546,$P465))</f>
        <v/>
      </c>
      <c r="D465" s="20" t="str">
        <f>IF($P465="","",INDEX(BEMANNINGSPLAN!$D$5:$D$546,$P465))</f>
        <v/>
      </c>
      <c r="E465" s="20" t="str">
        <f>IF($P465="","",SUMIF(BEMANNINGSPLAN!$W$5:$W$546,INDEX(BEMANNINGSPLAN!$W$5:$W$546,$P465),BEMANNINGSPLAN!$X$5:$X$546))</f>
        <v/>
      </c>
      <c r="F465" s="18" t="str">
        <f>IF($P465="","",INDEX(BEMANNINGSPLAN!$J$5:$J$546,$P465))</f>
        <v/>
      </c>
      <c r="G465" s="19" t="str">
        <f>IF($P465="","",INDEX(BEMANNINGSPLAN!$AD$5:$AD$546,$P465))</f>
        <v/>
      </c>
      <c r="H465" s="18" t="str">
        <f>IF($P465="","",IF(AND(INDEX(BEMANNINGSPLAN!$Y$5:$Y$546,$P465)=1,G465&lt;&gt;"Minicafé"),"X",""))</f>
        <v/>
      </c>
      <c r="I465" s="21" t="str">
        <f>IF($P465="","",IF(INDEX(BEMANNINGSPLAN!$Y$5:$Y$546,$P465)=1,"X",""))</f>
        <v/>
      </c>
      <c r="J465" s="22" t="str">
        <f>IF($P465="","",IF(SUMIF(BEMANNINGSPLAN!$W$5:$W$546,INDEX(BEMANNINGSPLAN!$W$5:$W$546,$P465),BEMANNINGSPLAN!$Z$5:$Z$546)=1,"X",""))</f>
        <v/>
      </c>
      <c r="K465" s="23" t="str">
        <f>IF($P465="","",IFERROR(LOOKUP(2,1/((BEMANNINGSPLAN!$W$5:$W$546=INDEX(BEMANNINGSPLAN!$W$5:$W$546,$P465))*(BEMANNINGSPLAN!$L$5:$L$546&lt;&gt;"")),BEMANNINGSPLAN!$L$5:$L$546),""))</f>
        <v/>
      </c>
      <c r="L465" s="18" t="str">
        <f>IF($P465="","",INDEX(BEMANNINGSPLAN!$AE$5:$AE$546,$P465))</f>
        <v/>
      </c>
      <c r="M465" s="137"/>
      <c r="N465" s="16"/>
      <c r="O465" s="16" t="str">
        <f>IF(AND(BEMANNINGSPLAN!U463=1,OR($B$4="Alla lag",BEMANNINGSPLAN!J463=$B$4),OR($E$4="Alla datum",BEMANNINGSPLAN!A463=$E$4)),COUNT($O$6:O464)+1,"")</f>
        <v/>
      </c>
      <c r="P465" s="137" t="str">
        <f t="shared" si="7"/>
        <v/>
      </c>
    </row>
    <row r="466" spans="1:16" ht="27.75" customHeight="1">
      <c r="A466" s="17" t="str">
        <f>IF($P466="","",INDEX(BEMANNINGSPLAN!$A$5:$A$546,$P466))</f>
        <v/>
      </c>
      <c r="B466" s="18" t="str">
        <f>IF($P466="","",INDEX(BEMANNINGSPLAN!$B$5:$B$546,$P466))</f>
        <v/>
      </c>
      <c r="C466" s="19" t="str">
        <f>IF($P466="","",INDEX(BEMANNINGSPLAN!$C$5:$C$546,$P466))</f>
        <v/>
      </c>
      <c r="D466" s="20" t="str">
        <f>IF($P466="","",INDEX(BEMANNINGSPLAN!$D$5:$D$546,$P466))</f>
        <v/>
      </c>
      <c r="E466" s="20" t="str">
        <f>IF($P466="","",SUMIF(BEMANNINGSPLAN!$W$5:$W$546,INDEX(BEMANNINGSPLAN!$W$5:$W$546,$P466),BEMANNINGSPLAN!$X$5:$X$546))</f>
        <v/>
      </c>
      <c r="F466" s="18" t="str">
        <f>IF($P466="","",INDEX(BEMANNINGSPLAN!$J$5:$J$546,$P466))</f>
        <v/>
      </c>
      <c r="G466" s="19" t="str">
        <f>IF($P466="","",INDEX(BEMANNINGSPLAN!$AD$5:$AD$546,$P466))</f>
        <v/>
      </c>
      <c r="H466" s="18" t="str">
        <f>IF($P466="","",IF(AND(INDEX(BEMANNINGSPLAN!$Y$5:$Y$546,$P466)=1,G466&lt;&gt;"Minicafé"),"X",""))</f>
        <v/>
      </c>
      <c r="I466" s="21" t="str">
        <f>IF($P466="","",IF(INDEX(BEMANNINGSPLAN!$Y$5:$Y$546,$P466)=1,"X",""))</f>
        <v/>
      </c>
      <c r="J466" s="22" t="str">
        <f>IF($P466="","",IF(SUMIF(BEMANNINGSPLAN!$W$5:$W$546,INDEX(BEMANNINGSPLAN!$W$5:$W$546,$P466),BEMANNINGSPLAN!$Z$5:$Z$546)=1,"X",""))</f>
        <v/>
      </c>
      <c r="K466" s="23" t="str">
        <f>IF($P466="","",IFERROR(LOOKUP(2,1/((BEMANNINGSPLAN!$W$5:$W$546=INDEX(BEMANNINGSPLAN!$W$5:$W$546,$P466))*(BEMANNINGSPLAN!$L$5:$L$546&lt;&gt;"")),BEMANNINGSPLAN!$L$5:$L$546),""))</f>
        <v/>
      </c>
      <c r="L466" s="18" t="str">
        <f>IF($P466="","",INDEX(BEMANNINGSPLAN!$AE$5:$AE$546,$P466))</f>
        <v/>
      </c>
      <c r="M466" s="137"/>
      <c r="N466" s="16"/>
      <c r="O466" s="16">
        <f>IF(AND(BEMANNINGSPLAN!U464=1,OR($B$4="Alla lag",BEMANNINGSPLAN!J464=$B$4),OR($E$4="Alla datum",BEMANNINGSPLAN!A464=$E$4)),COUNT($O$6:O465)+1,"")</f>
        <v>82</v>
      </c>
      <c r="P466" s="137" t="str">
        <f t="shared" si="7"/>
        <v/>
      </c>
    </row>
    <row r="467" spans="1:16" ht="27.75" customHeight="1">
      <c r="A467" s="17" t="str">
        <f>IF($P467="","",INDEX(BEMANNINGSPLAN!$A$5:$A$546,$P467))</f>
        <v/>
      </c>
      <c r="B467" s="18" t="str">
        <f>IF($P467="","",INDEX(BEMANNINGSPLAN!$B$5:$B$546,$P467))</f>
        <v/>
      </c>
      <c r="C467" s="19" t="str">
        <f>IF($P467="","",INDEX(BEMANNINGSPLAN!$C$5:$C$546,$P467))</f>
        <v/>
      </c>
      <c r="D467" s="20" t="str">
        <f>IF($P467="","",INDEX(BEMANNINGSPLAN!$D$5:$D$546,$P467))</f>
        <v/>
      </c>
      <c r="E467" s="20" t="str">
        <f>IF($P467="","",SUMIF(BEMANNINGSPLAN!$W$5:$W$546,INDEX(BEMANNINGSPLAN!$W$5:$W$546,$P467),BEMANNINGSPLAN!$X$5:$X$546))</f>
        <v/>
      </c>
      <c r="F467" s="18" t="str">
        <f>IF($P467="","",INDEX(BEMANNINGSPLAN!$J$5:$J$546,$P467))</f>
        <v/>
      </c>
      <c r="G467" s="19" t="str">
        <f>IF($P467="","",INDEX(BEMANNINGSPLAN!$AD$5:$AD$546,$P467))</f>
        <v/>
      </c>
      <c r="H467" s="18" t="str">
        <f>IF($P467="","",IF(AND(INDEX(BEMANNINGSPLAN!$Y$5:$Y$546,$P467)=1,G467&lt;&gt;"Minicafé"),"X",""))</f>
        <v/>
      </c>
      <c r="I467" s="21" t="str">
        <f>IF($P467="","",IF(INDEX(BEMANNINGSPLAN!$Y$5:$Y$546,$P467)=1,"X",""))</f>
        <v/>
      </c>
      <c r="J467" s="22" t="str">
        <f>IF($P467="","",IF(SUMIF(BEMANNINGSPLAN!$W$5:$W$546,INDEX(BEMANNINGSPLAN!$W$5:$W$546,$P467),BEMANNINGSPLAN!$Z$5:$Z$546)=1,"X",""))</f>
        <v/>
      </c>
      <c r="K467" s="23" t="str">
        <f>IF($P467="","",IFERROR(LOOKUP(2,1/((BEMANNINGSPLAN!$W$5:$W$546=INDEX(BEMANNINGSPLAN!$W$5:$W$546,$P467))*(BEMANNINGSPLAN!$L$5:$L$546&lt;&gt;"")),BEMANNINGSPLAN!$L$5:$L$546),""))</f>
        <v/>
      </c>
      <c r="L467" s="18" t="str">
        <f>IF($P467="","",INDEX(BEMANNINGSPLAN!$AE$5:$AE$546,$P467))</f>
        <v/>
      </c>
      <c r="M467" s="137"/>
      <c r="N467" s="16"/>
      <c r="O467" s="16" t="str">
        <f>IF(AND(BEMANNINGSPLAN!U465=1,OR($B$4="Alla lag",BEMANNINGSPLAN!J465=$B$4),OR($E$4="Alla datum",BEMANNINGSPLAN!A465=$E$4)),COUNT($O$6:O466)+1,"")</f>
        <v/>
      </c>
      <c r="P467" s="137" t="str">
        <f t="shared" si="7"/>
        <v/>
      </c>
    </row>
    <row r="468" spans="1:16" ht="27.75" customHeight="1">
      <c r="A468" s="17" t="str">
        <f>IF($P468="","",INDEX(BEMANNINGSPLAN!$A$5:$A$546,$P468))</f>
        <v/>
      </c>
      <c r="B468" s="18" t="str">
        <f>IF($P468="","",INDEX(BEMANNINGSPLAN!$B$5:$B$546,$P468))</f>
        <v/>
      </c>
      <c r="C468" s="19" t="str">
        <f>IF($P468="","",INDEX(BEMANNINGSPLAN!$C$5:$C$546,$P468))</f>
        <v/>
      </c>
      <c r="D468" s="20" t="str">
        <f>IF($P468="","",INDEX(BEMANNINGSPLAN!$D$5:$D$546,$P468))</f>
        <v/>
      </c>
      <c r="E468" s="20" t="str">
        <f>IF($P468="","",SUMIF(BEMANNINGSPLAN!$W$5:$W$546,INDEX(BEMANNINGSPLAN!$W$5:$W$546,$P468),BEMANNINGSPLAN!$X$5:$X$546))</f>
        <v/>
      </c>
      <c r="F468" s="18" t="str">
        <f>IF($P468="","",INDEX(BEMANNINGSPLAN!$J$5:$J$546,$P468))</f>
        <v/>
      </c>
      <c r="G468" s="19" t="str">
        <f>IF($P468="","",INDEX(BEMANNINGSPLAN!$AD$5:$AD$546,$P468))</f>
        <v/>
      </c>
      <c r="H468" s="18" t="str">
        <f>IF($P468="","",IF(AND(INDEX(BEMANNINGSPLAN!$Y$5:$Y$546,$P468)=1,G468&lt;&gt;"Minicafé"),"X",""))</f>
        <v/>
      </c>
      <c r="I468" s="21" t="str">
        <f>IF($P468="","",IF(INDEX(BEMANNINGSPLAN!$Y$5:$Y$546,$P468)=1,"X",""))</f>
        <v/>
      </c>
      <c r="J468" s="22" t="str">
        <f>IF($P468="","",IF(SUMIF(BEMANNINGSPLAN!$W$5:$W$546,INDEX(BEMANNINGSPLAN!$W$5:$W$546,$P468),BEMANNINGSPLAN!$Z$5:$Z$546)=1,"X",""))</f>
        <v/>
      </c>
      <c r="K468" s="23" t="str">
        <f>IF($P468="","",IFERROR(LOOKUP(2,1/((BEMANNINGSPLAN!$W$5:$W$546=INDEX(BEMANNINGSPLAN!$W$5:$W$546,$P468))*(BEMANNINGSPLAN!$L$5:$L$546&lt;&gt;"")),BEMANNINGSPLAN!$L$5:$L$546),""))</f>
        <v/>
      </c>
      <c r="L468" s="18" t="str">
        <f>IF($P468="","",INDEX(BEMANNINGSPLAN!$AE$5:$AE$546,$P468))</f>
        <v/>
      </c>
      <c r="M468" s="137"/>
      <c r="N468" s="16"/>
      <c r="O468" s="16" t="str">
        <f>IF(AND(BEMANNINGSPLAN!U466=1,OR($B$4="Alla lag",BEMANNINGSPLAN!J466=$B$4),OR($E$4="Alla datum",BEMANNINGSPLAN!A466=$E$4)),COUNT($O$6:O467)+1,"")</f>
        <v/>
      </c>
      <c r="P468" s="137" t="str">
        <f t="shared" si="7"/>
        <v/>
      </c>
    </row>
    <row r="469" spans="1:16" ht="27.75" customHeight="1">
      <c r="A469" s="17" t="str">
        <f>IF($P469="","",INDEX(BEMANNINGSPLAN!$A$5:$A$546,$P469))</f>
        <v/>
      </c>
      <c r="B469" s="18" t="str">
        <f>IF($P469="","",INDEX(BEMANNINGSPLAN!$B$5:$B$546,$P469))</f>
        <v/>
      </c>
      <c r="C469" s="19" t="str">
        <f>IF($P469="","",INDEX(BEMANNINGSPLAN!$C$5:$C$546,$P469))</f>
        <v/>
      </c>
      <c r="D469" s="20" t="str">
        <f>IF($P469="","",INDEX(BEMANNINGSPLAN!$D$5:$D$546,$P469))</f>
        <v/>
      </c>
      <c r="E469" s="20" t="str">
        <f>IF($P469="","",SUMIF(BEMANNINGSPLAN!$W$5:$W$546,INDEX(BEMANNINGSPLAN!$W$5:$W$546,$P469),BEMANNINGSPLAN!$X$5:$X$546))</f>
        <v/>
      </c>
      <c r="F469" s="18" t="str">
        <f>IF($P469="","",INDEX(BEMANNINGSPLAN!$J$5:$J$546,$P469))</f>
        <v/>
      </c>
      <c r="G469" s="19" t="str">
        <f>IF($P469="","",INDEX(BEMANNINGSPLAN!$AD$5:$AD$546,$P469))</f>
        <v/>
      </c>
      <c r="H469" s="18" t="str">
        <f>IF($P469="","",IF(AND(INDEX(BEMANNINGSPLAN!$Y$5:$Y$546,$P469)=1,G469&lt;&gt;"Minicafé"),"X",""))</f>
        <v/>
      </c>
      <c r="I469" s="21" t="str">
        <f>IF($P469="","",IF(INDEX(BEMANNINGSPLAN!$Y$5:$Y$546,$P469)=1,"X",""))</f>
        <v/>
      </c>
      <c r="J469" s="22" t="str">
        <f>IF($P469="","",IF(SUMIF(BEMANNINGSPLAN!$W$5:$W$546,INDEX(BEMANNINGSPLAN!$W$5:$W$546,$P469),BEMANNINGSPLAN!$Z$5:$Z$546)=1,"X",""))</f>
        <v/>
      </c>
      <c r="K469" s="23" t="str">
        <f>IF($P469="","",IFERROR(LOOKUP(2,1/((BEMANNINGSPLAN!$W$5:$W$546=INDEX(BEMANNINGSPLAN!$W$5:$W$546,$P469))*(BEMANNINGSPLAN!$L$5:$L$546&lt;&gt;"")),BEMANNINGSPLAN!$L$5:$L$546),""))</f>
        <v/>
      </c>
      <c r="L469" s="18" t="str">
        <f>IF($P469="","",INDEX(BEMANNINGSPLAN!$AE$5:$AE$546,$P469))</f>
        <v/>
      </c>
      <c r="M469" s="137"/>
      <c r="N469" s="16"/>
      <c r="O469" s="16" t="str">
        <f>IF(AND(BEMANNINGSPLAN!U467=1,OR($B$4="Alla lag",BEMANNINGSPLAN!J467=$B$4),OR($E$4="Alla datum",BEMANNINGSPLAN!A467=$E$4)),COUNT($O$6:O468)+1,"")</f>
        <v/>
      </c>
      <c r="P469" s="137" t="str">
        <f t="shared" si="7"/>
        <v/>
      </c>
    </row>
    <row r="470" spans="1:16" ht="27.75" customHeight="1">
      <c r="A470" s="17" t="str">
        <f>IF($P470="","",INDEX(BEMANNINGSPLAN!$A$5:$A$546,$P470))</f>
        <v/>
      </c>
      <c r="B470" s="18" t="str">
        <f>IF($P470="","",INDEX(BEMANNINGSPLAN!$B$5:$B$546,$P470))</f>
        <v/>
      </c>
      <c r="C470" s="19" t="str">
        <f>IF($P470="","",INDEX(BEMANNINGSPLAN!$C$5:$C$546,$P470))</f>
        <v/>
      </c>
      <c r="D470" s="20" t="str">
        <f>IF($P470="","",INDEX(BEMANNINGSPLAN!$D$5:$D$546,$P470))</f>
        <v/>
      </c>
      <c r="E470" s="20" t="str">
        <f>IF($P470="","",SUMIF(BEMANNINGSPLAN!$W$5:$W$546,INDEX(BEMANNINGSPLAN!$W$5:$W$546,$P470),BEMANNINGSPLAN!$X$5:$X$546))</f>
        <v/>
      </c>
      <c r="F470" s="18" t="str">
        <f>IF($P470="","",INDEX(BEMANNINGSPLAN!$J$5:$J$546,$P470))</f>
        <v/>
      </c>
      <c r="G470" s="19" t="str">
        <f>IF($P470="","",INDEX(BEMANNINGSPLAN!$AD$5:$AD$546,$P470))</f>
        <v/>
      </c>
      <c r="H470" s="18" t="str">
        <f>IF($P470="","",IF(AND(INDEX(BEMANNINGSPLAN!$Y$5:$Y$546,$P470)=1,G470&lt;&gt;"Minicafé"),"X",""))</f>
        <v/>
      </c>
      <c r="I470" s="21" t="str">
        <f>IF($P470="","",IF(INDEX(BEMANNINGSPLAN!$Y$5:$Y$546,$P470)=1,"X",""))</f>
        <v/>
      </c>
      <c r="J470" s="22" t="str">
        <f>IF($P470="","",IF(SUMIF(BEMANNINGSPLAN!$W$5:$W$546,INDEX(BEMANNINGSPLAN!$W$5:$W$546,$P470),BEMANNINGSPLAN!$Z$5:$Z$546)=1,"X",""))</f>
        <v/>
      </c>
      <c r="K470" s="23" t="str">
        <f>IF($P470="","",IFERROR(LOOKUP(2,1/((BEMANNINGSPLAN!$W$5:$W$546=INDEX(BEMANNINGSPLAN!$W$5:$W$546,$P470))*(BEMANNINGSPLAN!$L$5:$L$546&lt;&gt;"")),BEMANNINGSPLAN!$L$5:$L$546),""))</f>
        <v/>
      </c>
      <c r="L470" s="18" t="str">
        <f>IF($P470="","",INDEX(BEMANNINGSPLAN!$AE$5:$AE$546,$P470))</f>
        <v/>
      </c>
      <c r="M470" s="137"/>
      <c r="N470" s="16"/>
      <c r="O470" s="16">
        <f>IF(AND(BEMANNINGSPLAN!U468=1,OR($B$4="Alla lag",BEMANNINGSPLAN!J468=$B$4),OR($E$4="Alla datum",BEMANNINGSPLAN!A468=$E$4)),COUNT($O$6:O469)+1,"")</f>
        <v>83</v>
      </c>
      <c r="P470" s="137" t="str">
        <f t="shared" si="7"/>
        <v/>
      </c>
    </row>
    <row r="471" spans="1:16" ht="27.75" customHeight="1">
      <c r="A471" s="17" t="str">
        <f>IF($P471="","",INDEX(BEMANNINGSPLAN!$A$5:$A$546,$P471))</f>
        <v/>
      </c>
      <c r="B471" s="18" t="str">
        <f>IF($P471="","",INDEX(BEMANNINGSPLAN!$B$5:$B$546,$P471))</f>
        <v/>
      </c>
      <c r="C471" s="19" t="str">
        <f>IF($P471="","",INDEX(BEMANNINGSPLAN!$C$5:$C$546,$P471))</f>
        <v/>
      </c>
      <c r="D471" s="20" t="str">
        <f>IF($P471="","",INDEX(BEMANNINGSPLAN!$D$5:$D$546,$P471))</f>
        <v/>
      </c>
      <c r="E471" s="20" t="str">
        <f>IF($P471="","",SUMIF(BEMANNINGSPLAN!$W$5:$W$546,INDEX(BEMANNINGSPLAN!$W$5:$W$546,$P471),BEMANNINGSPLAN!$X$5:$X$546))</f>
        <v/>
      </c>
      <c r="F471" s="18" t="str">
        <f>IF($P471="","",INDEX(BEMANNINGSPLAN!$J$5:$J$546,$P471))</f>
        <v/>
      </c>
      <c r="G471" s="19" t="str">
        <f>IF($P471="","",INDEX(BEMANNINGSPLAN!$AD$5:$AD$546,$P471))</f>
        <v/>
      </c>
      <c r="H471" s="18" t="str">
        <f>IF($P471="","",IF(AND(INDEX(BEMANNINGSPLAN!$Y$5:$Y$546,$P471)=1,G471&lt;&gt;"Minicafé"),"X",""))</f>
        <v/>
      </c>
      <c r="I471" s="21" t="str">
        <f>IF($P471="","",IF(INDEX(BEMANNINGSPLAN!$Y$5:$Y$546,$P471)=1,"X",""))</f>
        <v/>
      </c>
      <c r="J471" s="22" t="str">
        <f>IF($P471="","",IF(SUMIF(BEMANNINGSPLAN!$W$5:$W$546,INDEX(BEMANNINGSPLAN!$W$5:$W$546,$P471),BEMANNINGSPLAN!$Z$5:$Z$546)=1,"X",""))</f>
        <v/>
      </c>
      <c r="K471" s="23" t="str">
        <f>IF($P471="","",IFERROR(LOOKUP(2,1/((BEMANNINGSPLAN!$W$5:$W$546=INDEX(BEMANNINGSPLAN!$W$5:$W$546,$P471))*(BEMANNINGSPLAN!$L$5:$L$546&lt;&gt;"")),BEMANNINGSPLAN!$L$5:$L$546),""))</f>
        <v/>
      </c>
      <c r="L471" s="18" t="str">
        <f>IF($P471="","",INDEX(BEMANNINGSPLAN!$AE$5:$AE$546,$P471))</f>
        <v/>
      </c>
      <c r="M471" s="137"/>
      <c r="N471" s="16"/>
      <c r="O471" s="16" t="str">
        <f>IF(AND(BEMANNINGSPLAN!U469=1,OR($B$4="Alla lag",BEMANNINGSPLAN!J469=$B$4),OR($E$4="Alla datum",BEMANNINGSPLAN!A469=$E$4)),COUNT($O$6:O470)+1,"")</f>
        <v/>
      </c>
      <c r="P471" s="137" t="str">
        <f t="shared" si="7"/>
        <v/>
      </c>
    </row>
    <row r="472" spans="1:16" ht="27.75" customHeight="1">
      <c r="A472" s="17" t="str">
        <f>IF($P472="","",INDEX(BEMANNINGSPLAN!$A$5:$A$546,$P472))</f>
        <v/>
      </c>
      <c r="B472" s="18" t="str">
        <f>IF($P472="","",INDEX(BEMANNINGSPLAN!$B$5:$B$546,$P472))</f>
        <v/>
      </c>
      <c r="C472" s="19" t="str">
        <f>IF($P472="","",INDEX(BEMANNINGSPLAN!$C$5:$C$546,$P472))</f>
        <v/>
      </c>
      <c r="D472" s="20" t="str">
        <f>IF($P472="","",INDEX(BEMANNINGSPLAN!$D$5:$D$546,$P472))</f>
        <v/>
      </c>
      <c r="E472" s="20" t="str">
        <f>IF($P472="","",SUMIF(BEMANNINGSPLAN!$W$5:$W$546,INDEX(BEMANNINGSPLAN!$W$5:$W$546,$P472),BEMANNINGSPLAN!$X$5:$X$546))</f>
        <v/>
      </c>
      <c r="F472" s="18" t="str">
        <f>IF($P472="","",INDEX(BEMANNINGSPLAN!$J$5:$J$546,$P472))</f>
        <v/>
      </c>
      <c r="G472" s="19" t="str">
        <f>IF($P472="","",INDEX(BEMANNINGSPLAN!$AD$5:$AD$546,$P472))</f>
        <v/>
      </c>
      <c r="H472" s="18" t="str">
        <f>IF($P472="","",IF(AND(INDEX(BEMANNINGSPLAN!$Y$5:$Y$546,$P472)=1,G472&lt;&gt;"Minicafé"),"X",""))</f>
        <v/>
      </c>
      <c r="I472" s="21" t="str">
        <f>IF($P472="","",IF(INDEX(BEMANNINGSPLAN!$Y$5:$Y$546,$P472)=1,"X",""))</f>
        <v/>
      </c>
      <c r="J472" s="22" t="str">
        <f>IF($P472="","",IF(SUMIF(BEMANNINGSPLAN!$W$5:$W$546,INDEX(BEMANNINGSPLAN!$W$5:$W$546,$P472),BEMANNINGSPLAN!$Z$5:$Z$546)=1,"X",""))</f>
        <v/>
      </c>
      <c r="K472" s="23" t="str">
        <f>IF($P472="","",IFERROR(LOOKUP(2,1/((BEMANNINGSPLAN!$W$5:$W$546=INDEX(BEMANNINGSPLAN!$W$5:$W$546,$P472))*(BEMANNINGSPLAN!$L$5:$L$546&lt;&gt;"")),BEMANNINGSPLAN!$L$5:$L$546),""))</f>
        <v/>
      </c>
      <c r="L472" s="18" t="str">
        <f>IF($P472="","",INDEX(BEMANNINGSPLAN!$AE$5:$AE$546,$P472))</f>
        <v/>
      </c>
      <c r="M472" s="137"/>
      <c r="N472" s="16"/>
      <c r="O472" s="16" t="str">
        <f>IF(AND(BEMANNINGSPLAN!U470=1,OR($B$4="Alla lag",BEMANNINGSPLAN!J470=$B$4),OR($E$4="Alla datum",BEMANNINGSPLAN!A470=$E$4)),COUNT($O$6:O471)+1,"")</f>
        <v/>
      </c>
      <c r="P472" s="137" t="str">
        <f t="shared" si="7"/>
        <v/>
      </c>
    </row>
    <row r="473" spans="1:16" ht="27.75" customHeight="1">
      <c r="A473" s="17" t="str">
        <f>IF($P473="","",INDEX(BEMANNINGSPLAN!$A$5:$A$546,$P473))</f>
        <v/>
      </c>
      <c r="B473" s="18" t="str">
        <f>IF($P473="","",INDEX(BEMANNINGSPLAN!$B$5:$B$546,$P473))</f>
        <v/>
      </c>
      <c r="C473" s="19" t="str">
        <f>IF($P473="","",INDEX(BEMANNINGSPLAN!$C$5:$C$546,$P473))</f>
        <v/>
      </c>
      <c r="D473" s="20" t="str">
        <f>IF($P473="","",INDEX(BEMANNINGSPLAN!$D$5:$D$546,$P473))</f>
        <v/>
      </c>
      <c r="E473" s="20" t="str">
        <f>IF($P473="","",SUMIF(BEMANNINGSPLAN!$W$5:$W$546,INDEX(BEMANNINGSPLAN!$W$5:$W$546,$P473),BEMANNINGSPLAN!$X$5:$X$546))</f>
        <v/>
      </c>
      <c r="F473" s="18" t="str">
        <f>IF($P473="","",INDEX(BEMANNINGSPLAN!$J$5:$J$546,$P473))</f>
        <v/>
      </c>
      <c r="G473" s="19" t="str">
        <f>IF($P473="","",INDEX(BEMANNINGSPLAN!$AD$5:$AD$546,$P473))</f>
        <v/>
      </c>
      <c r="H473" s="18" t="str">
        <f>IF($P473="","",IF(AND(INDEX(BEMANNINGSPLAN!$Y$5:$Y$546,$P473)=1,G473&lt;&gt;"Minicafé"),"X",""))</f>
        <v/>
      </c>
      <c r="I473" s="21" t="str">
        <f>IF($P473="","",IF(INDEX(BEMANNINGSPLAN!$Y$5:$Y$546,$P473)=1,"X",""))</f>
        <v/>
      </c>
      <c r="J473" s="22" t="str">
        <f>IF($P473="","",IF(SUMIF(BEMANNINGSPLAN!$W$5:$W$546,INDEX(BEMANNINGSPLAN!$W$5:$W$546,$P473),BEMANNINGSPLAN!$Z$5:$Z$546)=1,"X",""))</f>
        <v/>
      </c>
      <c r="K473" s="23" t="str">
        <f>IF($P473="","",IFERROR(LOOKUP(2,1/((BEMANNINGSPLAN!$W$5:$W$546=INDEX(BEMANNINGSPLAN!$W$5:$W$546,$P473))*(BEMANNINGSPLAN!$L$5:$L$546&lt;&gt;"")),BEMANNINGSPLAN!$L$5:$L$546),""))</f>
        <v/>
      </c>
      <c r="L473" s="18" t="str">
        <f>IF($P473="","",INDEX(BEMANNINGSPLAN!$AE$5:$AE$546,$P473))</f>
        <v/>
      </c>
      <c r="M473" s="137"/>
      <c r="N473" s="16"/>
      <c r="O473" s="16" t="str">
        <f>IF(AND(BEMANNINGSPLAN!U471=1,OR($B$4="Alla lag",BEMANNINGSPLAN!J471=$B$4),OR($E$4="Alla datum",BEMANNINGSPLAN!A471=$E$4)),COUNT($O$6:O472)+1,"")</f>
        <v/>
      </c>
      <c r="P473" s="137" t="str">
        <f t="shared" si="7"/>
        <v/>
      </c>
    </row>
    <row r="474" spans="1:16" ht="27.75" customHeight="1">
      <c r="A474" s="17" t="str">
        <f>IF($P474="","",INDEX(BEMANNINGSPLAN!$A$5:$A$546,$P474))</f>
        <v/>
      </c>
      <c r="B474" s="18" t="str">
        <f>IF($P474="","",INDEX(BEMANNINGSPLAN!$B$5:$B$546,$P474))</f>
        <v/>
      </c>
      <c r="C474" s="19" t="str">
        <f>IF($P474="","",INDEX(BEMANNINGSPLAN!$C$5:$C$546,$P474))</f>
        <v/>
      </c>
      <c r="D474" s="20" t="str">
        <f>IF($P474="","",INDEX(BEMANNINGSPLAN!$D$5:$D$546,$P474))</f>
        <v/>
      </c>
      <c r="E474" s="20" t="str">
        <f>IF($P474="","",SUMIF(BEMANNINGSPLAN!$W$5:$W$546,INDEX(BEMANNINGSPLAN!$W$5:$W$546,$P474),BEMANNINGSPLAN!$X$5:$X$546))</f>
        <v/>
      </c>
      <c r="F474" s="18" t="str">
        <f>IF($P474="","",INDEX(BEMANNINGSPLAN!$J$5:$J$546,$P474))</f>
        <v/>
      </c>
      <c r="G474" s="19" t="str">
        <f>IF($P474="","",INDEX(BEMANNINGSPLAN!$AD$5:$AD$546,$P474))</f>
        <v/>
      </c>
      <c r="H474" s="18" t="str">
        <f>IF($P474="","",IF(AND(INDEX(BEMANNINGSPLAN!$Y$5:$Y$546,$P474)=1,G474&lt;&gt;"Minicafé"),"X",""))</f>
        <v/>
      </c>
      <c r="I474" s="21" t="str">
        <f>IF($P474="","",IF(INDEX(BEMANNINGSPLAN!$Y$5:$Y$546,$P474)=1,"X",""))</f>
        <v/>
      </c>
      <c r="J474" s="22" t="str">
        <f>IF($P474="","",IF(SUMIF(BEMANNINGSPLAN!$W$5:$W$546,INDEX(BEMANNINGSPLAN!$W$5:$W$546,$P474),BEMANNINGSPLAN!$Z$5:$Z$546)=1,"X",""))</f>
        <v/>
      </c>
      <c r="K474" s="23" t="str">
        <f>IF($P474="","",IFERROR(LOOKUP(2,1/((BEMANNINGSPLAN!$W$5:$W$546=INDEX(BEMANNINGSPLAN!$W$5:$W$546,$P474))*(BEMANNINGSPLAN!$L$5:$L$546&lt;&gt;"")),BEMANNINGSPLAN!$L$5:$L$546),""))</f>
        <v/>
      </c>
      <c r="L474" s="18" t="str">
        <f>IF($P474="","",INDEX(BEMANNINGSPLAN!$AE$5:$AE$546,$P474))</f>
        <v/>
      </c>
      <c r="M474" s="137"/>
      <c r="N474" s="16"/>
      <c r="O474" s="16" t="str">
        <f>IF(AND(BEMANNINGSPLAN!U472=1,OR($B$4="Alla lag",BEMANNINGSPLAN!J472=$B$4),OR($E$4="Alla datum",BEMANNINGSPLAN!A472=$E$4)),COUNT($O$6:O473)+1,"")</f>
        <v/>
      </c>
      <c r="P474" s="137" t="str">
        <f t="shared" si="7"/>
        <v/>
      </c>
    </row>
    <row r="475" spans="1:16" ht="27.75" customHeight="1">
      <c r="A475" s="17" t="str">
        <f>IF($P475="","",INDEX(BEMANNINGSPLAN!$A$5:$A$546,$P475))</f>
        <v/>
      </c>
      <c r="B475" s="18" t="str">
        <f>IF($P475="","",INDEX(BEMANNINGSPLAN!$B$5:$B$546,$P475))</f>
        <v/>
      </c>
      <c r="C475" s="19" t="str">
        <f>IF($P475="","",INDEX(BEMANNINGSPLAN!$C$5:$C$546,$P475))</f>
        <v/>
      </c>
      <c r="D475" s="20" t="str">
        <f>IF($P475="","",INDEX(BEMANNINGSPLAN!$D$5:$D$546,$P475))</f>
        <v/>
      </c>
      <c r="E475" s="20" t="str">
        <f>IF($P475="","",SUMIF(BEMANNINGSPLAN!$W$5:$W$546,INDEX(BEMANNINGSPLAN!$W$5:$W$546,$P475),BEMANNINGSPLAN!$X$5:$X$546))</f>
        <v/>
      </c>
      <c r="F475" s="18" t="str">
        <f>IF($P475="","",INDEX(BEMANNINGSPLAN!$J$5:$J$546,$P475))</f>
        <v/>
      </c>
      <c r="G475" s="19" t="str">
        <f>IF($P475="","",INDEX(BEMANNINGSPLAN!$AD$5:$AD$546,$P475))</f>
        <v/>
      </c>
      <c r="H475" s="18" t="str">
        <f>IF($P475="","",IF(AND(INDEX(BEMANNINGSPLAN!$Y$5:$Y$546,$P475)=1,G475&lt;&gt;"Minicafé"),"X",""))</f>
        <v/>
      </c>
      <c r="I475" s="21" t="str">
        <f>IF($P475="","",IF(INDEX(BEMANNINGSPLAN!$Y$5:$Y$546,$P475)=1,"X",""))</f>
        <v/>
      </c>
      <c r="J475" s="22" t="str">
        <f>IF($P475="","",IF(SUMIF(BEMANNINGSPLAN!$W$5:$W$546,INDEX(BEMANNINGSPLAN!$W$5:$W$546,$P475),BEMANNINGSPLAN!$Z$5:$Z$546)=1,"X",""))</f>
        <v/>
      </c>
      <c r="K475" s="23" t="str">
        <f>IF($P475="","",IFERROR(LOOKUP(2,1/((BEMANNINGSPLAN!$W$5:$W$546=INDEX(BEMANNINGSPLAN!$W$5:$W$546,$P475))*(BEMANNINGSPLAN!$L$5:$L$546&lt;&gt;"")),BEMANNINGSPLAN!$L$5:$L$546),""))</f>
        <v/>
      </c>
      <c r="L475" s="18" t="str">
        <f>IF($P475="","",INDEX(BEMANNINGSPLAN!$AE$5:$AE$546,$P475))</f>
        <v/>
      </c>
      <c r="M475" s="137"/>
      <c r="N475" s="16"/>
      <c r="O475" s="16" t="str">
        <f>IF(AND(BEMANNINGSPLAN!U473=1,OR($B$4="Alla lag",BEMANNINGSPLAN!J473=$B$4),OR($E$4="Alla datum",BEMANNINGSPLAN!A473=$E$4)),COUNT($O$6:O474)+1,"")</f>
        <v/>
      </c>
      <c r="P475" s="137" t="str">
        <f t="shared" si="7"/>
        <v/>
      </c>
    </row>
    <row r="476" spans="1:16" ht="27.75" customHeight="1">
      <c r="A476" s="17" t="str">
        <f>IF($P476="","",INDEX(BEMANNINGSPLAN!$A$5:$A$546,$P476))</f>
        <v/>
      </c>
      <c r="B476" s="18" t="str">
        <f>IF($P476="","",INDEX(BEMANNINGSPLAN!$B$5:$B$546,$P476))</f>
        <v/>
      </c>
      <c r="C476" s="19" t="str">
        <f>IF($P476="","",INDEX(BEMANNINGSPLAN!$C$5:$C$546,$P476))</f>
        <v/>
      </c>
      <c r="D476" s="20" t="str">
        <f>IF($P476="","",INDEX(BEMANNINGSPLAN!$D$5:$D$546,$P476))</f>
        <v/>
      </c>
      <c r="E476" s="20" t="str">
        <f>IF($P476="","",SUMIF(BEMANNINGSPLAN!$W$5:$W$546,INDEX(BEMANNINGSPLAN!$W$5:$W$546,$P476),BEMANNINGSPLAN!$X$5:$X$546))</f>
        <v/>
      </c>
      <c r="F476" s="18" t="str">
        <f>IF($P476="","",INDEX(BEMANNINGSPLAN!$J$5:$J$546,$P476))</f>
        <v/>
      </c>
      <c r="G476" s="19" t="str">
        <f>IF($P476="","",INDEX(BEMANNINGSPLAN!$AD$5:$AD$546,$P476))</f>
        <v/>
      </c>
      <c r="H476" s="18" t="str">
        <f>IF($P476="","",IF(AND(INDEX(BEMANNINGSPLAN!$Y$5:$Y$546,$P476)=1,G476&lt;&gt;"Minicafé"),"X",""))</f>
        <v/>
      </c>
      <c r="I476" s="21" t="str">
        <f>IF($P476="","",IF(INDEX(BEMANNINGSPLAN!$Y$5:$Y$546,$P476)=1,"X",""))</f>
        <v/>
      </c>
      <c r="J476" s="22" t="str">
        <f>IF($P476="","",IF(SUMIF(BEMANNINGSPLAN!$W$5:$W$546,INDEX(BEMANNINGSPLAN!$W$5:$W$546,$P476),BEMANNINGSPLAN!$Z$5:$Z$546)=1,"X",""))</f>
        <v/>
      </c>
      <c r="K476" s="23" t="str">
        <f>IF($P476="","",IFERROR(LOOKUP(2,1/((BEMANNINGSPLAN!$W$5:$W$546=INDEX(BEMANNINGSPLAN!$W$5:$W$546,$P476))*(BEMANNINGSPLAN!$L$5:$L$546&lt;&gt;"")),BEMANNINGSPLAN!$L$5:$L$546),""))</f>
        <v/>
      </c>
      <c r="L476" s="18" t="str">
        <f>IF($P476="","",INDEX(BEMANNINGSPLAN!$AE$5:$AE$546,$P476))</f>
        <v/>
      </c>
      <c r="M476" s="137"/>
      <c r="N476" s="16"/>
      <c r="O476" s="16" t="str">
        <f>IF(AND(BEMANNINGSPLAN!U474=1,OR($B$4="Alla lag",BEMANNINGSPLAN!J474=$B$4),OR($E$4="Alla datum",BEMANNINGSPLAN!A474=$E$4)),COUNT($O$6:O475)+1,"")</f>
        <v/>
      </c>
      <c r="P476" s="137" t="str">
        <f t="shared" si="7"/>
        <v/>
      </c>
    </row>
    <row r="477" spans="1:16" ht="27.75" customHeight="1">
      <c r="A477" s="17" t="str">
        <f>IF($P477="","",INDEX(BEMANNINGSPLAN!$A$5:$A$546,$P477))</f>
        <v/>
      </c>
      <c r="B477" s="18" t="str">
        <f>IF($P477="","",INDEX(BEMANNINGSPLAN!$B$5:$B$546,$P477))</f>
        <v/>
      </c>
      <c r="C477" s="19" t="str">
        <f>IF($P477="","",INDEX(BEMANNINGSPLAN!$C$5:$C$546,$P477))</f>
        <v/>
      </c>
      <c r="D477" s="20" t="str">
        <f>IF($P477="","",INDEX(BEMANNINGSPLAN!$D$5:$D$546,$P477))</f>
        <v/>
      </c>
      <c r="E477" s="20" t="str">
        <f>IF($P477="","",SUMIF(BEMANNINGSPLAN!$W$5:$W$546,INDEX(BEMANNINGSPLAN!$W$5:$W$546,$P477),BEMANNINGSPLAN!$X$5:$X$546))</f>
        <v/>
      </c>
      <c r="F477" s="18" t="str">
        <f>IF($P477="","",INDEX(BEMANNINGSPLAN!$J$5:$J$546,$P477))</f>
        <v/>
      </c>
      <c r="G477" s="19" t="str">
        <f>IF($P477="","",INDEX(BEMANNINGSPLAN!$AD$5:$AD$546,$P477))</f>
        <v/>
      </c>
      <c r="H477" s="18" t="str">
        <f>IF($P477="","",IF(AND(INDEX(BEMANNINGSPLAN!$Y$5:$Y$546,$P477)=1,G477&lt;&gt;"Minicafé"),"X",""))</f>
        <v/>
      </c>
      <c r="I477" s="21" t="str">
        <f>IF($P477="","",IF(INDEX(BEMANNINGSPLAN!$Y$5:$Y$546,$P477)=1,"X",""))</f>
        <v/>
      </c>
      <c r="J477" s="22" t="str">
        <f>IF($P477="","",IF(SUMIF(BEMANNINGSPLAN!$W$5:$W$546,INDEX(BEMANNINGSPLAN!$W$5:$W$546,$P477),BEMANNINGSPLAN!$Z$5:$Z$546)=1,"X",""))</f>
        <v/>
      </c>
      <c r="K477" s="23" t="str">
        <f>IF($P477="","",IFERROR(LOOKUP(2,1/((BEMANNINGSPLAN!$W$5:$W$546=INDEX(BEMANNINGSPLAN!$W$5:$W$546,$P477))*(BEMANNINGSPLAN!$L$5:$L$546&lt;&gt;"")),BEMANNINGSPLAN!$L$5:$L$546),""))</f>
        <v/>
      </c>
      <c r="L477" s="18" t="str">
        <f>IF($P477="","",INDEX(BEMANNINGSPLAN!$AE$5:$AE$546,$P477))</f>
        <v/>
      </c>
      <c r="M477" s="137"/>
      <c r="N477" s="16"/>
      <c r="O477" s="16">
        <f>IF(AND(BEMANNINGSPLAN!U475=1,OR($B$4="Alla lag",BEMANNINGSPLAN!J475=$B$4),OR($E$4="Alla datum",BEMANNINGSPLAN!A475=$E$4)),COUNT($O$6:O476)+1,"")</f>
        <v>84</v>
      </c>
      <c r="P477" s="137" t="str">
        <f t="shared" si="7"/>
        <v/>
      </c>
    </row>
    <row r="478" spans="1:16" ht="27.75" customHeight="1">
      <c r="A478" s="17" t="str">
        <f>IF($P478="","",INDEX(BEMANNINGSPLAN!$A$5:$A$546,$P478))</f>
        <v/>
      </c>
      <c r="B478" s="18" t="str">
        <f>IF($P478="","",INDEX(BEMANNINGSPLAN!$B$5:$B$546,$P478))</f>
        <v/>
      </c>
      <c r="C478" s="19" t="str">
        <f>IF($P478="","",INDEX(BEMANNINGSPLAN!$C$5:$C$546,$P478))</f>
        <v/>
      </c>
      <c r="D478" s="20" t="str">
        <f>IF($P478="","",INDEX(BEMANNINGSPLAN!$D$5:$D$546,$P478))</f>
        <v/>
      </c>
      <c r="E478" s="20" t="str">
        <f>IF($P478="","",SUMIF(BEMANNINGSPLAN!$W$5:$W$546,INDEX(BEMANNINGSPLAN!$W$5:$W$546,$P478),BEMANNINGSPLAN!$X$5:$X$546))</f>
        <v/>
      </c>
      <c r="F478" s="18" t="str">
        <f>IF($P478="","",INDEX(BEMANNINGSPLAN!$J$5:$J$546,$P478))</f>
        <v/>
      </c>
      <c r="G478" s="19" t="str">
        <f>IF($P478="","",INDEX(BEMANNINGSPLAN!$AD$5:$AD$546,$P478))</f>
        <v/>
      </c>
      <c r="H478" s="18" t="str">
        <f>IF($P478="","",IF(AND(INDEX(BEMANNINGSPLAN!$Y$5:$Y$546,$P478)=1,G478&lt;&gt;"Minicafé"),"X",""))</f>
        <v/>
      </c>
      <c r="I478" s="21" t="str">
        <f>IF($P478="","",IF(INDEX(BEMANNINGSPLAN!$Y$5:$Y$546,$P478)=1,"X",""))</f>
        <v/>
      </c>
      <c r="J478" s="22" t="str">
        <f>IF($P478="","",IF(SUMIF(BEMANNINGSPLAN!$W$5:$W$546,INDEX(BEMANNINGSPLAN!$W$5:$W$546,$P478),BEMANNINGSPLAN!$Z$5:$Z$546)=1,"X",""))</f>
        <v/>
      </c>
      <c r="K478" s="23" t="str">
        <f>IF($P478="","",IFERROR(LOOKUP(2,1/((BEMANNINGSPLAN!$W$5:$W$546=INDEX(BEMANNINGSPLAN!$W$5:$W$546,$P478))*(BEMANNINGSPLAN!$L$5:$L$546&lt;&gt;"")),BEMANNINGSPLAN!$L$5:$L$546),""))</f>
        <v/>
      </c>
      <c r="L478" s="18" t="str">
        <f>IF($P478="","",INDEX(BEMANNINGSPLAN!$AE$5:$AE$546,$P478))</f>
        <v/>
      </c>
      <c r="M478" s="137"/>
      <c r="N478" s="16"/>
      <c r="O478" s="16" t="str">
        <f>IF(AND(BEMANNINGSPLAN!U476=1,OR($B$4="Alla lag",BEMANNINGSPLAN!J476=$B$4),OR($E$4="Alla datum",BEMANNINGSPLAN!A476=$E$4)),COUNT($O$6:O477)+1,"")</f>
        <v/>
      </c>
      <c r="P478" s="137" t="str">
        <f t="shared" si="7"/>
        <v/>
      </c>
    </row>
    <row r="479" spans="1:16" ht="27.75" customHeight="1">
      <c r="A479" s="17" t="str">
        <f>IF($P479="","",INDEX(BEMANNINGSPLAN!$A$5:$A$546,$P479))</f>
        <v/>
      </c>
      <c r="B479" s="18" t="str">
        <f>IF($P479="","",INDEX(BEMANNINGSPLAN!$B$5:$B$546,$P479))</f>
        <v/>
      </c>
      <c r="C479" s="19" t="str">
        <f>IF($P479="","",INDEX(BEMANNINGSPLAN!$C$5:$C$546,$P479))</f>
        <v/>
      </c>
      <c r="D479" s="20" t="str">
        <f>IF($P479="","",INDEX(BEMANNINGSPLAN!$D$5:$D$546,$P479))</f>
        <v/>
      </c>
      <c r="E479" s="20" t="str">
        <f>IF($P479="","",SUMIF(BEMANNINGSPLAN!$W$5:$W$546,INDEX(BEMANNINGSPLAN!$W$5:$W$546,$P479),BEMANNINGSPLAN!$X$5:$X$546))</f>
        <v/>
      </c>
      <c r="F479" s="18" t="str">
        <f>IF($P479="","",INDEX(BEMANNINGSPLAN!$J$5:$J$546,$P479))</f>
        <v/>
      </c>
      <c r="G479" s="19" t="str">
        <f>IF($P479="","",INDEX(BEMANNINGSPLAN!$AD$5:$AD$546,$P479))</f>
        <v/>
      </c>
      <c r="H479" s="18" t="str">
        <f>IF($P479="","",IF(AND(INDEX(BEMANNINGSPLAN!$Y$5:$Y$546,$P479)=1,G479&lt;&gt;"Minicafé"),"X",""))</f>
        <v/>
      </c>
      <c r="I479" s="21" t="str">
        <f>IF($P479="","",IF(INDEX(BEMANNINGSPLAN!$Y$5:$Y$546,$P479)=1,"X",""))</f>
        <v/>
      </c>
      <c r="J479" s="22" t="str">
        <f>IF($P479="","",IF(SUMIF(BEMANNINGSPLAN!$W$5:$W$546,INDEX(BEMANNINGSPLAN!$W$5:$W$546,$P479),BEMANNINGSPLAN!$Z$5:$Z$546)=1,"X",""))</f>
        <v/>
      </c>
      <c r="K479" s="23" t="str">
        <f>IF($P479="","",IFERROR(LOOKUP(2,1/((BEMANNINGSPLAN!$W$5:$W$546=INDEX(BEMANNINGSPLAN!$W$5:$W$546,$P479))*(BEMANNINGSPLAN!$L$5:$L$546&lt;&gt;"")),BEMANNINGSPLAN!$L$5:$L$546),""))</f>
        <v/>
      </c>
      <c r="L479" s="18" t="str">
        <f>IF($P479="","",INDEX(BEMANNINGSPLAN!$AE$5:$AE$546,$P479))</f>
        <v/>
      </c>
      <c r="M479" s="137"/>
      <c r="N479" s="16"/>
      <c r="O479" s="16" t="str">
        <f>IF(AND(BEMANNINGSPLAN!U477=1,OR($B$4="Alla lag",BEMANNINGSPLAN!J477=$B$4),OR($E$4="Alla datum",BEMANNINGSPLAN!A477=$E$4)),COUNT($O$6:O478)+1,"")</f>
        <v/>
      </c>
      <c r="P479" s="137" t="str">
        <f t="shared" si="7"/>
        <v/>
      </c>
    </row>
    <row r="480" spans="1:16" ht="27.75" customHeight="1">
      <c r="A480" s="17" t="str">
        <f>IF($P480="","",INDEX(BEMANNINGSPLAN!$A$5:$A$546,$P480))</f>
        <v/>
      </c>
      <c r="B480" s="18" t="str">
        <f>IF($P480="","",INDEX(BEMANNINGSPLAN!$B$5:$B$546,$P480))</f>
        <v/>
      </c>
      <c r="C480" s="19" t="str">
        <f>IF($P480="","",INDEX(BEMANNINGSPLAN!$C$5:$C$546,$P480))</f>
        <v/>
      </c>
      <c r="D480" s="20" t="str">
        <f>IF($P480="","",INDEX(BEMANNINGSPLAN!$D$5:$D$546,$P480))</f>
        <v/>
      </c>
      <c r="E480" s="20" t="str">
        <f>IF($P480="","",SUMIF(BEMANNINGSPLAN!$W$5:$W$546,INDEX(BEMANNINGSPLAN!$W$5:$W$546,$P480),BEMANNINGSPLAN!$X$5:$X$546))</f>
        <v/>
      </c>
      <c r="F480" s="18" t="str">
        <f>IF($P480="","",INDEX(BEMANNINGSPLAN!$J$5:$J$546,$P480))</f>
        <v/>
      </c>
      <c r="G480" s="19" t="str">
        <f>IF($P480="","",INDEX(BEMANNINGSPLAN!$AD$5:$AD$546,$P480))</f>
        <v/>
      </c>
      <c r="H480" s="18" t="str">
        <f>IF($P480="","",IF(AND(INDEX(BEMANNINGSPLAN!$Y$5:$Y$546,$P480)=1,G480&lt;&gt;"Minicafé"),"X",""))</f>
        <v/>
      </c>
      <c r="I480" s="21" t="str">
        <f>IF($P480="","",IF(INDEX(BEMANNINGSPLAN!$Y$5:$Y$546,$P480)=1,"X",""))</f>
        <v/>
      </c>
      <c r="J480" s="22" t="str">
        <f>IF($P480="","",IF(SUMIF(BEMANNINGSPLAN!$W$5:$W$546,INDEX(BEMANNINGSPLAN!$W$5:$W$546,$P480),BEMANNINGSPLAN!$Z$5:$Z$546)=1,"X",""))</f>
        <v/>
      </c>
      <c r="K480" s="23" t="str">
        <f>IF($P480="","",IFERROR(LOOKUP(2,1/((BEMANNINGSPLAN!$W$5:$W$546=INDEX(BEMANNINGSPLAN!$W$5:$W$546,$P480))*(BEMANNINGSPLAN!$L$5:$L$546&lt;&gt;"")),BEMANNINGSPLAN!$L$5:$L$546),""))</f>
        <v/>
      </c>
      <c r="L480" s="18" t="str">
        <f>IF($P480="","",INDEX(BEMANNINGSPLAN!$AE$5:$AE$546,$P480))</f>
        <v/>
      </c>
      <c r="M480" s="137"/>
      <c r="N480" s="16"/>
      <c r="O480" s="16" t="str">
        <f>IF(AND(BEMANNINGSPLAN!U478=1,OR($B$4="Alla lag",BEMANNINGSPLAN!J478=$B$4),OR($E$4="Alla datum",BEMANNINGSPLAN!A478=$E$4)),COUNT($O$6:O479)+1,"")</f>
        <v/>
      </c>
      <c r="P480" s="137" t="str">
        <f t="shared" si="7"/>
        <v/>
      </c>
    </row>
    <row r="481" spans="1:16" ht="27.75" customHeight="1">
      <c r="A481" s="17" t="str">
        <f>IF($P481="","",INDEX(BEMANNINGSPLAN!$A$5:$A$546,$P481))</f>
        <v/>
      </c>
      <c r="B481" s="18" t="str">
        <f>IF($P481="","",INDEX(BEMANNINGSPLAN!$B$5:$B$546,$P481))</f>
        <v/>
      </c>
      <c r="C481" s="19" t="str">
        <f>IF($P481="","",INDEX(BEMANNINGSPLAN!$C$5:$C$546,$P481))</f>
        <v/>
      </c>
      <c r="D481" s="20" t="str">
        <f>IF($P481="","",INDEX(BEMANNINGSPLAN!$D$5:$D$546,$P481))</f>
        <v/>
      </c>
      <c r="E481" s="20" t="str">
        <f>IF($P481="","",SUMIF(BEMANNINGSPLAN!$W$5:$W$546,INDEX(BEMANNINGSPLAN!$W$5:$W$546,$P481),BEMANNINGSPLAN!$X$5:$X$546))</f>
        <v/>
      </c>
      <c r="F481" s="18" t="str">
        <f>IF($P481="","",INDEX(BEMANNINGSPLAN!$J$5:$J$546,$P481))</f>
        <v/>
      </c>
      <c r="G481" s="19" t="str">
        <f>IF($P481="","",INDEX(BEMANNINGSPLAN!$AD$5:$AD$546,$P481))</f>
        <v/>
      </c>
      <c r="H481" s="18" t="str">
        <f>IF($P481="","",IF(AND(INDEX(BEMANNINGSPLAN!$Y$5:$Y$546,$P481)=1,G481&lt;&gt;"Minicafé"),"X",""))</f>
        <v/>
      </c>
      <c r="I481" s="21" t="str">
        <f>IF($P481="","",IF(INDEX(BEMANNINGSPLAN!$Y$5:$Y$546,$P481)=1,"X",""))</f>
        <v/>
      </c>
      <c r="J481" s="22" t="str">
        <f>IF($P481="","",IF(SUMIF(BEMANNINGSPLAN!$W$5:$W$546,INDEX(BEMANNINGSPLAN!$W$5:$W$546,$P481),BEMANNINGSPLAN!$Z$5:$Z$546)=1,"X",""))</f>
        <v/>
      </c>
      <c r="K481" s="23" t="str">
        <f>IF($P481="","",IFERROR(LOOKUP(2,1/((BEMANNINGSPLAN!$W$5:$W$546=INDEX(BEMANNINGSPLAN!$W$5:$W$546,$P481))*(BEMANNINGSPLAN!$L$5:$L$546&lt;&gt;"")),BEMANNINGSPLAN!$L$5:$L$546),""))</f>
        <v/>
      </c>
      <c r="L481" s="18" t="str">
        <f>IF($P481="","",INDEX(BEMANNINGSPLAN!$AE$5:$AE$546,$P481))</f>
        <v/>
      </c>
      <c r="M481" s="137"/>
      <c r="N481" s="16"/>
      <c r="O481" s="16" t="str">
        <f>IF(AND(BEMANNINGSPLAN!U479=1,OR($B$4="Alla lag",BEMANNINGSPLAN!J479=$B$4),OR($E$4="Alla datum",BEMANNINGSPLAN!A479=$E$4)),COUNT($O$6:O480)+1,"")</f>
        <v/>
      </c>
      <c r="P481" s="137" t="str">
        <f t="shared" si="7"/>
        <v/>
      </c>
    </row>
    <row r="482" spans="1:16" ht="27.75" customHeight="1">
      <c r="A482" s="17" t="str">
        <f>IF($P482="","",INDEX(BEMANNINGSPLAN!$A$5:$A$546,$P482))</f>
        <v/>
      </c>
      <c r="B482" s="18" t="str">
        <f>IF($P482="","",INDEX(BEMANNINGSPLAN!$B$5:$B$546,$P482))</f>
        <v/>
      </c>
      <c r="C482" s="19" t="str">
        <f>IF($P482="","",INDEX(BEMANNINGSPLAN!$C$5:$C$546,$P482))</f>
        <v/>
      </c>
      <c r="D482" s="20" t="str">
        <f>IF($P482="","",INDEX(BEMANNINGSPLAN!$D$5:$D$546,$P482))</f>
        <v/>
      </c>
      <c r="E482" s="20" t="str">
        <f>IF($P482="","",SUMIF(BEMANNINGSPLAN!$W$5:$W$546,INDEX(BEMANNINGSPLAN!$W$5:$W$546,$P482),BEMANNINGSPLAN!$X$5:$X$546))</f>
        <v/>
      </c>
      <c r="F482" s="18" t="str">
        <f>IF($P482="","",INDEX(BEMANNINGSPLAN!$J$5:$J$546,$P482))</f>
        <v/>
      </c>
      <c r="G482" s="19" t="str">
        <f>IF($P482="","",INDEX(BEMANNINGSPLAN!$AD$5:$AD$546,$P482))</f>
        <v/>
      </c>
      <c r="H482" s="18" t="str">
        <f>IF($P482="","",IF(AND(INDEX(BEMANNINGSPLAN!$Y$5:$Y$546,$P482)=1,G482&lt;&gt;"Minicafé"),"X",""))</f>
        <v/>
      </c>
      <c r="I482" s="21" t="str">
        <f>IF($P482="","",IF(INDEX(BEMANNINGSPLAN!$Y$5:$Y$546,$P482)=1,"X",""))</f>
        <v/>
      </c>
      <c r="J482" s="22" t="str">
        <f>IF($P482="","",IF(SUMIF(BEMANNINGSPLAN!$W$5:$W$546,INDEX(BEMANNINGSPLAN!$W$5:$W$546,$P482),BEMANNINGSPLAN!$Z$5:$Z$546)=1,"X",""))</f>
        <v/>
      </c>
      <c r="K482" s="23" t="str">
        <f>IF($P482="","",IFERROR(LOOKUP(2,1/((BEMANNINGSPLAN!$W$5:$W$546=INDEX(BEMANNINGSPLAN!$W$5:$W$546,$P482))*(BEMANNINGSPLAN!$L$5:$L$546&lt;&gt;"")),BEMANNINGSPLAN!$L$5:$L$546),""))</f>
        <v/>
      </c>
      <c r="L482" s="18" t="str">
        <f>IF($P482="","",INDEX(BEMANNINGSPLAN!$AE$5:$AE$546,$P482))</f>
        <v/>
      </c>
      <c r="M482" s="137"/>
      <c r="N482" s="16"/>
      <c r="O482" s="16" t="str">
        <f>IF(AND(BEMANNINGSPLAN!U480=1,OR($B$4="Alla lag",BEMANNINGSPLAN!J480=$B$4),OR($E$4="Alla datum",BEMANNINGSPLAN!A480=$E$4)),COUNT($O$6:O481)+1,"")</f>
        <v/>
      </c>
      <c r="P482" s="137" t="str">
        <f t="shared" si="7"/>
        <v/>
      </c>
    </row>
    <row r="483" spans="1:16" ht="27.75" customHeight="1">
      <c r="A483" s="17" t="str">
        <f>IF($P483="","",INDEX(BEMANNINGSPLAN!$A$5:$A$546,$P483))</f>
        <v/>
      </c>
      <c r="B483" s="18" t="str">
        <f>IF($P483="","",INDEX(BEMANNINGSPLAN!$B$5:$B$546,$P483))</f>
        <v/>
      </c>
      <c r="C483" s="19" t="str">
        <f>IF($P483="","",INDEX(BEMANNINGSPLAN!$C$5:$C$546,$P483))</f>
        <v/>
      </c>
      <c r="D483" s="20" t="str">
        <f>IF($P483="","",INDEX(BEMANNINGSPLAN!$D$5:$D$546,$P483))</f>
        <v/>
      </c>
      <c r="E483" s="20" t="str">
        <f>IF($P483="","",SUMIF(BEMANNINGSPLAN!$W$5:$W$546,INDEX(BEMANNINGSPLAN!$W$5:$W$546,$P483),BEMANNINGSPLAN!$X$5:$X$546))</f>
        <v/>
      </c>
      <c r="F483" s="18" t="str">
        <f>IF($P483="","",INDEX(BEMANNINGSPLAN!$J$5:$J$546,$P483))</f>
        <v/>
      </c>
      <c r="G483" s="19" t="str">
        <f>IF($P483="","",INDEX(BEMANNINGSPLAN!$AD$5:$AD$546,$P483))</f>
        <v/>
      </c>
      <c r="H483" s="18" t="str">
        <f>IF($P483="","",IF(AND(INDEX(BEMANNINGSPLAN!$Y$5:$Y$546,$P483)=1,G483&lt;&gt;"Minicafé"),"X",""))</f>
        <v/>
      </c>
      <c r="I483" s="21" t="str">
        <f>IF($P483="","",IF(INDEX(BEMANNINGSPLAN!$Y$5:$Y$546,$P483)=1,"X",""))</f>
        <v/>
      </c>
      <c r="J483" s="22" t="str">
        <f>IF($P483="","",IF(SUMIF(BEMANNINGSPLAN!$W$5:$W$546,INDEX(BEMANNINGSPLAN!$W$5:$W$546,$P483),BEMANNINGSPLAN!$Z$5:$Z$546)=1,"X",""))</f>
        <v/>
      </c>
      <c r="K483" s="23" t="str">
        <f>IF($P483="","",IFERROR(LOOKUP(2,1/((BEMANNINGSPLAN!$W$5:$W$546=INDEX(BEMANNINGSPLAN!$W$5:$W$546,$P483))*(BEMANNINGSPLAN!$L$5:$L$546&lt;&gt;"")),BEMANNINGSPLAN!$L$5:$L$546),""))</f>
        <v/>
      </c>
      <c r="L483" s="18" t="str">
        <f>IF($P483="","",INDEX(BEMANNINGSPLAN!$AE$5:$AE$546,$P483))</f>
        <v/>
      </c>
      <c r="M483" s="137"/>
      <c r="N483" s="16"/>
      <c r="O483" s="16" t="str">
        <f>IF(AND(BEMANNINGSPLAN!U481=1,OR($B$4="Alla lag",BEMANNINGSPLAN!J481=$B$4),OR($E$4="Alla datum",BEMANNINGSPLAN!A481=$E$4)),COUNT($O$6:O482)+1,"")</f>
        <v/>
      </c>
      <c r="P483" s="137" t="str">
        <f t="shared" si="7"/>
        <v/>
      </c>
    </row>
    <row r="484" spans="1:16" ht="27.75" customHeight="1">
      <c r="A484" s="17" t="str">
        <f>IF($P484="","",INDEX(BEMANNINGSPLAN!$A$5:$A$546,$P484))</f>
        <v/>
      </c>
      <c r="B484" s="18" t="str">
        <f>IF($P484="","",INDEX(BEMANNINGSPLAN!$B$5:$B$546,$P484))</f>
        <v/>
      </c>
      <c r="C484" s="19" t="str">
        <f>IF($P484="","",INDEX(BEMANNINGSPLAN!$C$5:$C$546,$P484))</f>
        <v/>
      </c>
      <c r="D484" s="20" t="str">
        <f>IF($P484="","",INDEX(BEMANNINGSPLAN!$D$5:$D$546,$P484))</f>
        <v/>
      </c>
      <c r="E484" s="20" t="str">
        <f>IF($P484="","",SUMIF(BEMANNINGSPLAN!$W$5:$W$546,INDEX(BEMANNINGSPLAN!$W$5:$W$546,$P484),BEMANNINGSPLAN!$X$5:$X$546))</f>
        <v/>
      </c>
      <c r="F484" s="18" t="str">
        <f>IF($P484="","",INDEX(BEMANNINGSPLAN!$J$5:$J$546,$P484))</f>
        <v/>
      </c>
      <c r="G484" s="19" t="str">
        <f>IF($P484="","",INDEX(BEMANNINGSPLAN!$AD$5:$AD$546,$P484))</f>
        <v/>
      </c>
      <c r="H484" s="18" t="str">
        <f>IF($P484="","",IF(AND(INDEX(BEMANNINGSPLAN!$Y$5:$Y$546,$P484)=1,G484&lt;&gt;"Minicafé"),"X",""))</f>
        <v/>
      </c>
      <c r="I484" s="21" t="str">
        <f>IF($P484="","",IF(INDEX(BEMANNINGSPLAN!$Y$5:$Y$546,$P484)=1,"X",""))</f>
        <v/>
      </c>
      <c r="J484" s="22" t="str">
        <f>IF($P484="","",IF(SUMIF(BEMANNINGSPLAN!$W$5:$W$546,INDEX(BEMANNINGSPLAN!$W$5:$W$546,$P484),BEMANNINGSPLAN!$Z$5:$Z$546)=1,"X",""))</f>
        <v/>
      </c>
      <c r="K484" s="23" t="str">
        <f>IF($P484="","",IFERROR(LOOKUP(2,1/((BEMANNINGSPLAN!$W$5:$W$546=INDEX(BEMANNINGSPLAN!$W$5:$W$546,$P484))*(BEMANNINGSPLAN!$L$5:$L$546&lt;&gt;"")),BEMANNINGSPLAN!$L$5:$L$546),""))</f>
        <v/>
      </c>
      <c r="L484" s="18" t="str">
        <f>IF($P484="","",INDEX(BEMANNINGSPLAN!$AE$5:$AE$546,$P484))</f>
        <v/>
      </c>
      <c r="M484" s="137"/>
      <c r="N484" s="16"/>
      <c r="O484" s="16">
        <f>IF(AND(BEMANNINGSPLAN!U482=1,OR($B$4="Alla lag",BEMANNINGSPLAN!J482=$B$4),OR($E$4="Alla datum",BEMANNINGSPLAN!A482=$E$4)),COUNT($O$6:O483)+1,"")</f>
        <v>85</v>
      </c>
      <c r="P484" s="137" t="str">
        <f t="shared" si="7"/>
        <v/>
      </c>
    </row>
    <row r="485" spans="1:16" ht="27.75" customHeight="1">
      <c r="A485" s="17" t="str">
        <f>IF($P485="","",INDEX(BEMANNINGSPLAN!$A$5:$A$546,$P485))</f>
        <v/>
      </c>
      <c r="B485" s="18" t="str">
        <f>IF($P485="","",INDEX(BEMANNINGSPLAN!$B$5:$B$546,$P485))</f>
        <v/>
      </c>
      <c r="C485" s="19" t="str">
        <f>IF($P485="","",INDEX(BEMANNINGSPLAN!$C$5:$C$546,$P485))</f>
        <v/>
      </c>
      <c r="D485" s="20" t="str">
        <f>IF($P485="","",INDEX(BEMANNINGSPLAN!$D$5:$D$546,$P485))</f>
        <v/>
      </c>
      <c r="E485" s="20" t="str">
        <f>IF($P485="","",SUMIF(BEMANNINGSPLAN!$W$5:$W$546,INDEX(BEMANNINGSPLAN!$W$5:$W$546,$P485),BEMANNINGSPLAN!$X$5:$X$546))</f>
        <v/>
      </c>
      <c r="F485" s="18" t="str">
        <f>IF($P485="","",INDEX(BEMANNINGSPLAN!$J$5:$J$546,$P485))</f>
        <v/>
      </c>
      <c r="G485" s="19" t="str">
        <f>IF($P485="","",INDEX(BEMANNINGSPLAN!$AD$5:$AD$546,$P485))</f>
        <v/>
      </c>
      <c r="H485" s="18" t="str">
        <f>IF($P485="","",IF(AND(INDEX(BEMANNINGSPLAN!$Y$5:$Y$546,$P485)=1,G485&lt;&gt;"Minicafé"),"X",""))</f>
        <v/>
      </c>
      <c r="I485" s="21" t="str">
        <f>IF($P485="","",IF(INDEX(BEMANNINGSPLAN!$Y$5:$Y$546,$P485)=1,"X",""))</f>
        <v/>
      </c>
      <c r="J485" s="22" t="str">
        <f>IF($P485="","",IF(SUMIF(BEMANNINGSPLAN!$W$5:$W$546,INDEX(BEMANNINGSPLAN!$W$5:$W$546,$P485),BEMANNINGSPLAN!$Z$5:$Z$546)=1,"X",""))</f>
        <v/>
      </c>
      <c r="K485" s="23" t="str">
        <f>IF($P485="","",IFERROR(LOOKUP(2,1/((BEMANNINGSPLAN!$W$5:$W$546=INDEX(BEMANNINGSPLAN!$W$5:$W$546,$P485))*(BEMANNINGSPLAN!$L$5:$L$546&lt;&gt;"")),BEMANNINGSPLAN!$L$5:$L$546),""))</f>
        <v/>
      </c>
      <c r="L485" s="18" t="str">
        <f>IF($P485="","",INDEX(BEMANNINGSPLAN!$AE$5:$AE$546,$P485))</f>
        <v/>
      </c>
      <c r="M485" s="137"/>
      <c r="N485" s="16"/>
      <c r="O485" s="16" t="str">
        <f>IF(AND(BEMANNINGSPLAN!U483=1,OR($B$4="Alla lag",BEMANNINGSPLAN!J483=$B$4),OR($E$4="Alla datum",BEMANNINGSPLAN!A483=$E$4)),COUNT($O$6:O484)+1,"")</f>
        <v/>
      </c>
      <c r="P485" s="137" t="str">
        <f t="shared" si="7"/>
        <v/>
      </c>
    </row>
    <row r="486" spans="1:16" ht="27.75" customHeight="1">
      <c r="A486" s="24" t="str">
        <f>IF($P486="","",INDEX(BEMANNINGSPLAN!$A$5:$A$546,$P486))</f>
        <v/>
      </c>
      <c r="B486" s="24" t="str">
        <f>IF($P486="","",INDEX(BEMANNINGSPLAN!$B$5:$B$546,$P486))</f>
        <v/>
      </c>
      <c r="C486" s="24" t="str">
        <f>IF($P486="","",INDEX(BEMANNINGSPLAN!$C$5:$C$546,$P486))</f>
        <v/>
      </c>
      <c r="D486" s="24" t="str">
        <f>IF($P486="","",INDEX(BEMANNINGSPLAN!$D$5:$D$546,$P486))</f>
        <v/>
      </c>
      <c r="E486" s="24" t="str">
        <f>IF($P486="","",SUMIF(BEMANNINGSPLAN!$W$5:$W$546,INDEX(BEMANNINGSPLAN!$W$5:$W$546,$P486),BEMANNINGSPLAN!$X$5:$X$546))</f>
        <v/>
      </c>
      <c r="F486" s="24" t="str">
        <f>IF($P486="","",INDEX(BEMANNINGSPLAN!$J$5:$J$546,$P486))</f>
        <v/>
      </c>
      <c r="G486" s="24" t="str">
        <f>IF($P486="","",INDEX(BEMANNINGSPLAN!$AD$5:$AD$546,$P486))</f>
        <v/>
      </c>
      <c r="H486" s="24" t="str">
        <f>IF($P486="","",IF(AND(INDEX(BEMANNINGSPLAN!$Y$5:$Y$546,$P486)=1,G486&lt;&gt;"Minicafé"),"X",""))</f>
        <v/>
      </c>
      <c r="I486" s="24" t="str">
        <f>IF($P486="","",IF(INDEX(BEMANNINGSPLAN!$Y$5:$Y$546,$P486)=1,"X",""))</f>
        <v/>
      </c>
      <c r="J486" s="24" t="str">
        <f>IF($P486="","",IF(SUMIF(BEMANNINGSPLAN!$W$5:$W$546,INDEX(BEMANNINGSPLAN!$W$5:$W$546,$P486),BEMANNINGSPLAN!$Z$5:$Z$546)=1,"X",""))</f>
        <v/>
      </c>
      <c r="K486" s="24" t="str">
        <f>IF($P486="","",IFERROR(LOOKUP(2,1/((BEMANNINGSPLAN!$W$5:$W$546=INDEX(BEMANNINGSPLAN!$W$5:$W$546,$P486))*(BEMANNINGSPLAN!$L$5:$L$546&lt;&gt;"")),BEMANNINGSPLAN!$L$5:$L$546),""))</f>
        <v/>
      </c>
      <c r="L486" s="24" t="str">
        <f>IF($P486="","",INDEX(BEMANNINGSPLAN!$AE$5:$AE$546,$P486))</f>
        <v/>
      </c>
      <c r="O486" s="136" t="str">
        <f>IF(AND(BEMANNINGSPLAN!U484=1,OR($B$4="Alla lag",BEMANNINGSPLAN!J484=$B$4),OR($E$4="Alla datum",BEMANNINGSPLAN!A484=$E$4)),COUNT($O$6:O485)+1,"")</f>
        <v/>
      </c>
      <c r="P486" s="136" t="str">
        <f t="shared" si="7"/>
        <v/>
      </c>
    </row>
    <row r="487" spans="1:16" ht="27.75" customHeight="1">
      <c r="A487" s="24" t="str">
        <f>IF($P487="","",INDEX(BEMANNINGSPLAN!$A$5:$A$546,$P487))</f>
        <v/>
      </c>
      <c r="B487" s="24" t="str">
        <f>IF($P487="","",INDEX(BEMANNINGSPLAN!$B$5:$B$546,$P487))</f>
        <v/>
      </c>
      <c r="C487" s="24" t="str">
        <f>IF($P487="","",INDEX(BEMANNINGSPLAN!$C$5:$C$546,$P487))</f>
        <v/>
      </c>
      <c r="D487" s="24" t="str">
        <f>IF($P487="","",INDEX(BEMANNINGSPLAN!$D$5:$D$546,$P487))</f>
        <v/>
      </c>
      <c r="E487" s="24" t="str">
        <f>IF($P487="","",SUMIF(BEMANNINGSPLAN!$W$5:$W$546,INDEX(BEMANNINGSPLAN!$W$5:$W$546,$P487),BEMANNINGSPLAN!$X$5:$X$546))</f>
        <v/>
      </c>
      <c r="F487" s="24" t="str">
        <f>IF($P487="","",INDEX(BEMANNINGSPLAN!$J$5:$J$546,$P487))</f>
        <v/>
      </c>
      <c r="G487" s="24" t="str">
        <f>IF($P487="","",INDEX(BEMANNINGSPLAN!$AD$5:$AD$546,$P487))</f>
        <v/>
      </c>
      <c r="H487" s="24" t="str">
        <f>IF($P487="","",IF(AND(INDEX(BEMANNINGSPLAN!$Y$5:$Y$546,$P487)=1,G487&lt;&gt;"Minicafé"),"X",""))</f>
        <v/>
      </c>
      <c r="I487" s="24" t="str">
        <f>IF($P487="","",IF(INDEX(BEMANNINGSPLAN!$Y$5:$Y$546,$P487)=1,"X",""))</f>
        <v/>
      </c>
      <c r="J487" s="24" t="str">
        <f>IF($P487="","",IF(SUMIF(BEMANNINGSPLAN!$W$5:$W$546,INDEX(BEMANNINGSPLAN!$W$5:$W$546,$P487),BEMANNINGSPLAN!$Z$5:$Z$546)=1,"X",""))</f>
        <v/>
      </c>
      <c r="K487" s="24" t="str">
        <f>IF($P487="","",IFERROR(LOOKUP(2,1/((BEMANNINGSPLAN!$W$5:$W$546=INDEX(BEMANNINGSPLAN!$W$5:$W$546,$P487))*(BEMANNINGSPLAN!$L$5:$L$546&lt;&gt;"")),BEMANNINGSPLAN!$L$5:$L$546),""))</f>
        <v/>
      </c>
      <c r="L487" s="24" t="str">
        <f>IF($P487="","",INDEX(BEMANNINGSPLAN!$AE$5:$AE$546,$P487))</f>
        <v/>
      </c>
      <c r="O487" s="136" t="str">
        <f>IF(AND(BEMANNINGSPLAN!U485=1,OR($B$4="Alla lag",BEMANNINGSPLAN!J485=$B$4),OR($E$4="Alla datum",BEMANNINGSPLAN!A485=$E$4)),COUNT($O$6:O486)+1,"")</f>
        <v/>
      </c>
      <c r="P487" s="136" t="str">
        <f t="shared" si="7"/>
        <v/>
      </c>
    </row>
    <row r="488" spans="1:16" ht="27.75" customHeight="1">
      <c r="A488" s="24" t="str">
        <f>IF($P488="","",INDEX(BEMANNINGSPLAN!$A$5:$A$546,$P488))</f>
        <v/>
      </c>
      <c r="B488" s="24" t="str">
        <f>IF($P488="","",INDEX(BEMANNINGSPLAN!$B$5:$B$546,$P488))</f>
        <v/>
      </c>
      <c r="C488" s="24" t="str">
        <f>IF($P488="","",INDEX(BEMANNINGSPLAN!$C$5:$C$546,$P488))</f>
        <v/>
      </c>
      <c r="D488" s="24" t="str">
        <f>IF($P488="","",INDEX(BEMANNINGSPLAN!$D$5:$D$546,$P488))</f>
        <v/>
      </c>
      <c r="E488" s="24" t="str">
        <f>IF($P488="","",SUMIF(BEMANNINGSPLAN!$W$5:$W$546,INDEX(BEMANNINGSPLAN!$W$5:$W$546,$P488),BEMANNINGSPLAN!$X$5:$X$546))</f>
        <v/>
      </c>
      <c r="F488" s="24" t="str">
        <f>IF($P488="","",INDEX(BEMANNINGSPLAN!$J$5:$J$546,$P488))</f>
        <v/>
      </c>
      <c r="G488" s="24" t="str">
        <f>IF($P488="","",INDEX(BEMANNINGSPLAN!$AD$5:$AD$546,$P488))</f>
        <v/>
      </c>
      <c r="H488" s="24" t="str">
        <f>IF($P488="","",IF(AND(INDEX(BEMANNINGSPLAN!$Y$5:$Y$546,$P488)=1,G488&lt;&gt;"Minicafé"),"X",""))</f>
        <v/>
      </c>
      <c r="I488" s="24" t="str">
        <f>IF($P488="","",IF(INDEX(BEMANNINGSPLAN!$Y$5:$Y$546,$P488)=1,"X",""))</f>
        <v/>
      </c>
      <c r="J488" s="24" t="str">
        <f>IF($P488="","",IF(SUMIF(BEMANNINGSPLAN!$W$5:$W$546,INDEX(BEMANNINGSPLAN!$W$5:$W$546,$P488),BEMANNINGSPLAN!$Z$5:$Z$546)=1,"X",""))</f>
        <v/>
      </c>
      <c r="K488" s="24" t="str">
        <f>IF($P488="","",IFERROR(LOOKUP(2,1/((BEMANNINGSPLAN!$W$5:$W$546=INDEX(BEMANNINGSPLAN!$W$5:$W$546,$P488))*(BEMANNINGSPLAN!$L$5:$L$546&lt;&gt;"")),BEMANNINGSPLAN!$L$5:$L$546),""))</f>
        <v/>
      </c>
      <c r="L488" s="24" t="str">
        <f>IF($P488="","",INDEX(BEMANNINGSPLAN!$AE$5:$AE$546,$P488))</f>
        <v/>
      </c>
      <c r="O488" s="136" t="str">
        <f>IF(AND(BEMANNINGSPLAN!U486=1,OR($B$4="Alla lag",BEMANNINGSPLAN!J486=$B$4),OR($E$4="Alla datum",BEMANNINGSPLAN!A486=$E$4)),COUNT($O$6:O487)+1,"")</f>
        <v/>
      </c>
      <c r="P488" s="136" t="str">
        <f t="shared" si="7"/>
        <v/>
      </c>
    </row>
    <row r="489" spans="1:16" ht="27.75" customHeight="1">
      <c r="A489" s="24" t="str">
        <f>IF($P489="","",INDEX(BEMANNINGSPLAN!$A$5:$A$546,$P489))</f>
        <v/>
      </c>
      <c r="B489" s="24" t="str">
        <f>IF($P489="","",INDEX(BEMANNINGSPLAN!$B$5:$B$546,$P489))</f>
        <v/>
      </c>
      <c r="C489" s="24" t="str">
        <f>IF($P489="","",INDEX(BEMANNINGSPLAN!$C$5:$C$546,$P489))</f>
        <v/>
      </c>
      <c r="D489" s="24" t="str">
        <f>IF($P489="","",INDEX(BEMANNINGSPLAN!$D$5:$D$546,$P489))</f>
        <v/>
      </c>
      <c r="E489" s="24" t="str">
        <f>IF($P489="","",SUMIF(BEMANNINGSPLAN!$W$5:$W$546,INDEX(BEMANNINGSPLAN!$W$5:$W$546,$P489),BEMANNINGSPLAN!$X$5:$X$546))</f>
        <v/>
      </c>
      <c r="F489" s="24" t="str">
        <f>IF($P489="","",INDEX(BEMANNINGSPLAN!$J$5:$J$546,$P489))</f>
        <v/>
      </c>
      <c r="G489" s="24" t="str">
        <f>IF($P489="","",INDEX(BEMANNINGSPLAN!$AD$5:$AD$546,$P489))</f>
        <v/>
      </c>
      <c r="H489" s="24" t="str">
        <f>IF($P489="","",IF(AND(INDEX(BEMANNINGSPLAN!$Y$5:$Y$546,$P489)=1,G489&lt;&gt;"Minicafé"),"X",""))</f>
        <v/>
      </c>
      <c r="I489" s="24" t="str">
        <f>IF($P489="","",IF(INDEX(BEMANNINGSPLAN!$Y$5:$Y$546,$P489)=1,"X",""))</f>
        <v/>
      </c>
      <c r="J489" s="24" t="str">
        <f>IF($P489="","",IF(SUMIF(BEMANNINGSPLAN!$W$5:$W$546,INDEX(BEMANNINGSPLAN!$W$5:$W$546,$P489),BEMANNINGSPLAN!$Z$5:$Z$546)=1,"X",""))</f>
        <v/>
      </c>
      <c r="K489" s="24" t="str">
        <f>IF($P489="","",IFERROR(LOOKUP(2,1/((BEMANNINGSPLAN!$W$5:$W$546=INDEX(BEMANNINGSPLAN!$W$5:$W$546,$P489))*(BEMANNINGSPLAN!$L$5:$L$546&lt;&gt;"")),BEMANNINGSPLAN!$L$5:$L$546),""))</f>
        <v/>
      </c>
      <c r="L489" s="24" t="str">
        <f>IF($P489="","",INDEX(BEMANNINGSPLAN!$AE$5:$AE$546,$P489))</f>
        <v/>
      </c>
      <c r="O489" s="136" t="str">
        <f>IF(AND(BEMANNINGSPLAN!U487=1,OR($B$4="Alla lag",BEMANNINGSPLAN!J487=$B$4),OR($E$4="Alla datum",BEMANNINGSPLAN!A487=$E$4)),COUNT($O$6:O488)+1,"")</f>
        <v/>
      </c>
      <c r="P489" s="136" t="str">
        <f t="shared" si="7"/>
        <v/>
      </c>
    </row>
    <row r="490" spans="1:16" ht="27.75" customHeight="1">
      <c r="A490" s="24" t="str">
        <f>IF($P490="","",INDEX(BEMANNINGSPLAN!$A$5:$A$546,$P490))</f>
        <v/>
      </c>
      <c r="B490" s="24" t="str">
        <f>IF($P490="","",INDEX(BEMANNINGSPLAN!$B$5:$B$546,$P490))</f>
        <v/>
      </c>
      <c r="C490" s="24" t="str">
        <f>IF($P490="","",INDEX(BEMANNINGSPLAN!$C$5:$C$546,$P490))</f>
        <v/>
      </c>
      <c r="D490" s="24" t="str">
        <f>IF($P490="","",INDEX(BEMANNINGSPLAN!$D$5:$D$546,$P490))</f>
        <v/>
      </c>
      <c r="E490" s="24" t="str">
        <f>IF($P490="","",SUMIF(BEMANNINGSPLAN!$W$5:$W$546,INDEX(BEMANNINGSPLAN!$W$5:$W$546,$P490),BEMANNINGSPLAN!$X$5:$X$546))</f>
        <v/>
      </c>
      <c r="F490" s="24" t="str">
        <f>IF($P490="","",INDEX(BEMANNINGSPLAN!$J$5:$J$546,$P490))</f>
        <v/>
      </c>
      <c r="G490" s="24" t="str">
        <f>IF($P490="","",INDEX(BEMANNINGSPLAN!$AD$5:$AD$546,$P490))</f>
        <v/>
      </c>
      <c r="H490" s="24" t="str">
        <f>IF($P490="","",IF(AND(INDEX(BEMANNINGSPLAN!$Y$5:$Y$546,$P490)=1,G490&lt;&gt;"Minicafé"),"X",""))</f>
        <v/>
      </c>
      <c r="I490" s="24" t="str">
        <f>IF($P490="","",IF(INDEX(BEMANNINGSPLAN!$Y$5:$Y$546,$P490)=1,"X",""))</f>
        <v/>
      </c>
      <c r="J490" s="24" t="str">
        <f>IF($P490="","",IF(SUMIF(BEMANNINGSPLAN!$W$5:$W$546,INDEX(BEMANNINGSPLAN!$W$5:$W$546,$P490),BEMANNINGSPLAN!$Z$5:$Z$546)=1,"X",""))</f>
        <v/>
      </c>
      <c r="K490" s="24" t="str">
        <f>IF($P490="","",IFERROR(LOOKUP(2,1/((BEMANNINGSPLAN!$W$5:$W$546=INDEX(BEMANNINGSPLAN!$W$5:$W$546,$P490))*(BEMANNINGSPLAN!$L$5:$L$546&lt;&gt;"")),BEMANNINGSPLAN!$L$5:$L$546),""))</f>
        <v/>
      </c>
      <c r="L490" s="24" t="str">
        <f>IF($P490="","",INDEX(BEMANNINGSPLAN!$AE$5:$AE$546,$P490))</f>
        <v/>
      </c>
      <c r="O490" s="136" t="str">
        <f>IF(AND(BEMANNINGSPLAN!U488=1,OR($B$4="Alla lag",BEMANNINGSPLAN!J488=$B$4),OR($E$4="Alla datum",BEMANNINGSPLAN!A488=$E$4)),COUNT($O$6:O489)+1,"")</f>
        <v/>
      </c>
      <c r="P490" s="136" t="str">
        <f t="shared" si="7"/>
        <v/>
      </c>
    </row>
    <row r="491" spans="1:16" ht="27.75" customHeight="1">
      <c r="A491" s="24" t="str">
        <f>IF($P491="","",INDEX(BEMANNINGSPLAN!$A$5:$A$546,$P491))</f>
        <v/>
      </c>
      <c r="B491" s="24" t="str">
        <f>IF($P491="","",INDEX(BEMANNINGSPLAN!$B$5:$B$546,$P491))</f>
        <v/>
      </c>
      <c r="C491" s="24" t="str">
        <f>IF($P491="","",INDEX(BEMANNINGSPLAN!$C$5:$C$546,$P491))</f>
        <v/>
      </c>
      <c r="D491" s="24" t="str">
        <f>IF($P491="","",INDEX(BEMANNINGSPLAN!$D$5:$D$546,$P491))</f>
        <v/>
      </c>
      <c r="E491" s="24" t="str">
        <f>IF($P491="","",SUMIF(BEMANNINGSPLAN!$W$5:$W$546,INDEX(BEMANNINGSPLAN!$W$5:$W$546,$P491),BEMANNINGSPLAN!$X$5:$X$546))</f>
        <v/>
      </c>
      <c r="F491" s="24" t="str">
        <f>IF($P491="","",INDEX(BEMANNINGSPLAN!$J$5:$J$546,$P491))</f>
        <v/>
      </c>
      <c r="G491" s="24" t="str">
        <f>IF($P491="","",INDEX(BEMANNINGSPLAN!$AD$5:$AD$546,$P491))</f>
        <v/>
      </c>
      <c r="H491" s="24" t="str">
        <f>IF($P491="","",IF(AND(INDEX(BEMANNINGSPLAN!$Y$5:$Y$546,$P491)=1,G491&lt;&gt;"Minicafé"),"X",""))</f>
        <v/>
      </c>
      <c r="I491" s="24" t="str">
        <f>IF($P491="","",IF(INDEX(BEMANNINGSPLAN!$Y$5:$Y$546,$P491)=1,"X",""))</f>
        <v/>
      </c>
      <c r="J491" s="24" t="str">
        <f>IF($P491="","",IF(SUMIF(BEMANNINGSPLAN!$W$5:$W$546,INDEX(BEMANNINGSPLAN!$W$5:$W$546,$P491),BEMANNINGSPLAN!$Z$5:$Z$546)=1,"X",""))</f>
        <v/>
      </c>
      <c r="K491" s="24" t="str">
        <f>IF($P491="","",IFERROR(LOOKUP(2,1/((BEMANNINGSPLAN!$W$5:$W$546=INDEX(BEMANNINGSPLAN!$W$5:$W$546,$P491))*(BEMANNINGSPLAN!$L$5:$L$546&lt;&gt;"")),BEMANNINGSPLAN!$L$5:$L$546),""))</f>
        <v/>
      </c>
      <c r="L491" s="24" t="str">
        <f>IF($P491="","",INDEX(BEMANNINGSPLAN!$AE$5:$AE$546,$P491))</f>
        <v/>
      </c>
      <c r="O491" s="136" t="str">
        <f>IF(AND(BEMANNINGSPLAN!U489=1,OR($B$4="Alla lag",BEMANNINGSPLAN!J489=$B$4),OR($E$4="Alla datum",BEMANNINGSPLAN!A489=$E$4)),COUNT($O$6:O490)+1,"")</f>
        <v/>
      </c>
      <c r="P491" s="136" t="str">
        <f t="shared" si="7"/>
        <v/>
      </c>
    </row>
    <row r="492" spans="1:16" ht="27.75" customHeight="1">
      <c r="A492" s="24" t="str">
        <f>IF($P492="","",INDEX(BEMANNINGSPLAN!$A$5:$A$546,$P492))</f>
        <v/>
      </c>
      <c r="B492" s="24" t="str">
        <f>IF($P492="","",INDEX(BEMANNINGSPLAN!$B$5:$B$546,$P492))</f>
        <v/>
      </c>
      <c r="C492" s="24" t="str">
        <f>IF($P492="","",INDEX(BEMANNINGSPLAN!$C$5:$C$546,$P492))</f>
        <v/>
      </c>
      <c r="D492" s="24" t="str">
        <f>IF($P492="","",INDEX(BEMANNINGSPLAN!$D$5:$D$546,$P492))</f>
        <v/>
      </c>
      <c r="E492" s="24" t="str">
        <f>IF($P492="","",SUMIF(BEMANNINGSPLAN!$W$5:$W$546,INDEX(BEMANNINGSPLAN!$W$5:$W$546,$P492),BEMANNINGSPLAN!$X$5:$X$546))</f>
        <v/>
      </c>
      <c r="F492" s="24" t="str">
        <f>IF($P492="","",INDEX(BEMANNINGSPLAN!$J$5:$J$546,$P492))</f>
        <v/>
      </c>
      <c r="G492" s="24" t="str">
        <f>IF($P492="","",INDEX(BEMANNINGSPLAN!$AD$5:$AD$546,$P492))</f>
        <v/>
      </c>
      <c r="H492" s="24" t="str">
        <f>IF($P492="","",IF(AND(INDEX(BEMANNINGSPLAN!$Y$5:$Y$546,$P492)=1,G492&lt;&gt;"Minicafé"),"X",""))</f>
        <v/>
      </c>
      <c r="I492" s="24" t="str">
        <f>IF($P492="","",IF(INDEX(BEMANNINGSPLAN!$Y$5:$Y$546,$P492)=1,"X",""))</f>
        <v/>
      </c>
      <c r="J492" s="24" t="str">
        <f>IF($P492="","",IF(SUMIF(BEMANNINGSPLAN!$W$5:$W$546,INDEX(BEMANNINGSPLAN!$W$5:$W$546,$P492),BEMANNINGSPLAN!$Z$5:$Z$546)=1,"X",""))</f>
        <v/>
      </c>
      <c r="K492" s="24" t="str">
        <f>IF($P492="","",IFERROR(LOOKUP(2,1/((BEMANNINGSPLAN!$W$5:$W$546=INDEX(BEMANNINGSPLAN!$W$5:$W$546,$P492))*(BEMANNINGSPLAN!$L$5:$L$546&lt;&gt;"")),BEMANNINGSPLAN!$L$5:$L$546),""))</f>
        <v/>
      </c>
      <c r="L492" s="24" t="str">
        <f>IF($P492="","",INDEX(BEMANNINGSPLAN!$AE$5:$AE$546,$P492))</f>
        <v/>
      </c>
      <c r="O492" s="136">
        <f>IF(AND(BEMANNINGSPLAN!U490=1,OR($B$4="Alla lag",BEMANNINGSPLAN!J490=$B$4),OR($E$4="Alla datum",BEMANNINGSPLAN!A490=$E$4)),COUNT($O$6:O491)+1,"")</f>
        <v>86</v>
      </c>
      <c r="P492" s="136" t="str">
        <f t="shared" si="7"/>
        <v/>
      </c>
    </row>
    <row r="493" spans="1:16" ht="27.75" customHeight="1">
      <c r="A493" s="24" t="str">
        <f>IF($P493="","",INDEX(BEMANNINGSPLAN!$A$5:$A$546,$P493))</f>
        <v/>
      </c>
      <c r="B493" s="24" t="str">
        <f>IF($P493="","",INDEX(BEMANNINGSPLAN!$B$5:$B$546,$P493))</f>
        <v/>
      </c>
      <c r="C493" s="24" t="str">
        <f>IF($P493="","",INDEX(BEMANNINGSPLAN!$C$5:$C$546,$P493))</f>
        <v/>
      </c>
      <c r="D493" s="24" t="str">
        <f>IF($P493="","",INDEX(BEMANNINGSPLAN!$D$5:$D$546,$P493))</f>
        <v/>
      </c>
      <c r="E493" s="24" t="str">
        <f>IF($P493="","",SUMIF(BEMANNINGSPLAN!$W$5:$W$546,INDEX(BEMANNINGSPLAN!$W$5:$W$546,$P493),BEMANNINGSPLAN!$X$5:$X$546))</f>
        <v/>
      </c>
      <c r="F493" s="24" t="str">
        <f>IF($P493="","",INDEX(BEMANNINGSPLAN!$J$5:$J$546,$P493))</f>
        <v/>
      </c>
      <c r="G493" s="24" t="str">
        <f>IF($P493="","",INDEX(BEMANNINGSPLAN!$AD$5:$AD$546,$P493))</f>
        <v/>
      </c>
      <c r="H493" s="24" t="str">
        <f>IF($P493="","",IF(AND(INDEX(BEMANNINGSPLAN!$Y$5:$Y$546,$P493)=1,G493&lt;&gt;"Minicafé"),"X",""))</f>
        <v/>
      </c>
      <c r="I493" s="24" t="str">
        <f>IF($P493="","",IF(INDEX(BEMANNINGSPLAN!$Y$5:$Y$546,$P493)=1,"X",""))</f>
        <v/>
      </c>
      <c r="J493" s="24" t="str">
        <f>IF($P493="","",IF(SUMIF(BEMANNINGSPLAN!$W$5:$W$546,INDEX(BEMANNINGSPLAN!$W$5:$W$546,$P493),BEMANNINGSPLAN!$Z$5:$Z$546)=1,"X",""))</f>
        <v/>
      </c>
      <c r="K493" s="24" t="str">
        <f>IF($P493="","",IFERROR(LOOKUP(2,1/((BEMANNINGSPLAN!$W$5:$W$546=INDEX(BEMANNINGSPLAN!$W$5:$W$546,$P493))*(BEMANNINGSPLAN!$L$5:$L$546&lt;&gt;"")),BEMANNINGSPLAN!$L$5:$L$546),""))</f>
        <v/>
      </c>
      <c r="L493" s="24" t="str">
        <f>IF($P493="","",INDEX(BEMANNINGSPLAN!$AE$5:$AE$546,$P493))</f>
        <v/>
      </c>
      <c r="O493" s="136">
        <f>IF(AND(BEMANNINGSPLAN!U491=1,OR($B$4="Alla lag",BEMANNINGSPLAN!J491=$B$4),OR($E$4="Alla datum",BEMANNINGSPLAN!A491=$E$4)),COUNT($O$6:O492)+1,"")</f>
        <v>87</v>
      </c>
      <c r="P493" s="136" t="str">
        <f t="shared" si="7"/>
        <v/>
      </c>
    </row>
    <row r="494" spans="1:16" ht="27.75" customHeight="1">
      <c r="A494" s="24" t="str">
        <f>IF($P494="","",INDEX(BEMANNINGSPLAN!$A$5:$A$546,$P494))</f>
        <v/>
      </c>
      <c r="B494" s="24" t="str">
        <f>IF($P494="","",INDEX(BEMANNINGSPLAN!$B$5:$B$546,$P494))</f>
        <v/>
      </c>
      <c r="C494" s="24" t="str">
        <f>IF($P494="","",INDEX(BEMANNINGSPLAN!$C$5:$C$546,$P494))</f>
        <v/>
      </c>
      <c r="D494" s="24" t="str">
        <f>IF($P494="","",INDEX(BEMANNINGSPLAN!$D$5:$D$546,$P494))</f>
        <v/>
      </c>
      <c r="E494" s="24" t="str">
        <f>IF($P494="","",SUMIF(BEMANNINGSPLAN!$W$5:$W$546,INDEX(BEMANNINGSPLAN!$W$5:$W$546,$P494),BEMANNINGSPLAN!$X$5:$X$546))</f>
        <v/>
      </c>
      <c r="F494" s="24" t="str">
        <f>IF($P494="","",INDEX(BEMANNINGSPLAN!$J$5:$J$546,$P494))</f>
        <v/>
      </c>
      <c r="G494" s="24" t="str">
        <f>IF($P494="","",INDEX(BEMANNINGSPLAN!$AD$5:$AD$546,$P494))</f>
        <v/>
      </c>
      <c r="H494" s="24" t="str">
        <f>IF($P494="","",IF(AND(INDEX(BEMANNINGSPLAN!$Y$5:$Y$546,$P494)=1,G494&lt;&gt;"Minicafé"),"X",""))</f>
        <v/>
      </c>
      <c r="I494" s="24" t="str">
        <f>IF($P494="","",IF(INDEX(BEMANNINGSPLAN!$Y$5:$Y$546,$P494)=1,"X",""))</f>
        <v/>
      </c>
      <c r="J494" s="24" t="str">
        <f>IF($P494="","",IF(SUMIF(BEMANNINGSPLAN!$W$5:$W$546,INDEX(BEMANNINGSPLAN!$W$5:$W$546,$P494),BEMANNINGSPLAN!$Z$5:$Z$546)=1,"X",""))</f>
        <v/>
      </c>
      <c r="K494" s="24" t="str">
        <f>IF($P494="","",IFERROR(LOOKUP(2,1/((BEMANNINGSPLAN!$W$5:$W$546=INDEX(BEMANNINGSPLAN!$W$5:$W$546,$P494))*(BEMANNINGSPLAN!$L$5:$L$546&lt;&gt;"")),BEMANNINGSPLAN!$L$5:$L$546),""))</f>
        <v/>
      </c>
      <c r="L494" s="24" t="str">
        <f>IF($P494="","",INDEX(BEMANNINGSPLAN!$AE$5:$AE$546,$P494))</f>
        <v/>
      </c>
      <c r="O494" s="136">
        <f>IF(AND(BEMANNINGSPLAN!U492=1,OR($B$4="Alla lag",BEMANNINGSPLAN!J492=$B$4),OR($E$4="Alla datum",BEMANNINGSPLAN!A492=$E$4)),COUNT($O$6:O493)+1,"")</f>
        <v>88</v>
      </c>
      <c r="P494" s="136" t="str">
        <f t="shared" si="7"/>
        <v/>
      </c>
    </row>
    <row r="495" spans="1:16" ht="27.75" customHeight="1">
      <c r="A495" s="24" t="str">
        <f>IF($P495="","",INDEX(BEMANNINGSPLAN!$A$5:$A$546,$P495))</f>
        <v/>
      </c>
      <c r="B495" s="24" t="str">
        <f>IF($P495="","",INDEX(BEMANNINGSPLAN!$B$5:$B$546,$P495))</f>
        <v/>
      </c>
      <c r="C495" s="24" t="str">
        <f>IF($P495="","",INDEX(BEMANNINGSPLAN!$C$5:$C$546,$P495))</f>
        <v/>
      </c>
      <c r="D495" s="24" t="str">
        <f>IF($P495="","",INDEX(BEMANNINGSPLAN!$D$5:$D$546,$P495))</f>
        <v/>
      </c>
      <c r="E495" s="24" t="str">
        <f>IF($P495="","",SUMIF(BEMANNINGSPLAN!$W$5:$W$546,INDEX(BEMANNINGSPLAN!$W$5:$W$546,$P495),BEMANNINGSPLAN!$X$5:$X$546))</f>
        <v/>
      </c>
      <c r="F495" s="24" t="str">
        <f>IF($P495="","",INDEX(BEMANNINGSPLAN!$J$5:$J$546,$P495))</f>
        <v/>
      </c>
      <c r="G495" s="24" t="str">
        <f>IF($P495="","",INDEX(BEMANNINGSPLAN!$AD$5:$AD$546,$P495))</f>
        <v/>
      </c>
      <c r="H495" s="24" t="str">
        <f>IF($P495="","",IF(AND(INDEX(BEMANNINGSPLAN!$Y$5:$Y$546,$P495)=1,G495&lt;&gt;"Minicafé"),"X",""))</f>
        <v/>
      </c>
      <c r="I495" s="24" t="str">
        <f>IF($P495="","",IF(INDEX(BEMANNINGSPLAN!$Y$5:$Y$546,$P495)=1,"X",""))</f>
        <v/>
      </c>
      <c r="J495" s="24" t="str">
        <f>IF($P495="","",IF(SUMIF(BEMANNINGSPLAN!$W$5:$W$546,INDEX(BEMANNINGSPLAN!$W$5:$W$546,$P495),BEMANNINGSPLAN!$Z$5:$Z$546)=1,"X",""))</f>
        <v/>
      </c>
      <c r="K495" s="24" t="str">
        <f>IF($P495="","",IFERROR(LOOKUP(2,1/((BEMANNINGSPLAN!$W$5:$W$546=INDEX(BEMANNINGSPLAN!$W$5:$W$546,$P495))*(BEMANNINGSPLAN!$L$5:$L$546&lt;&gt;"")),BEMANNINGSPLAN!$L$5:$L$546),""))</f>
        <v/>
      </c>
      <c r="L495" s="24" t="str">
        <f>IF($P495="","",INDEX(BEMANNINGSPLAN!$AE$5:$AE$546,$P495))</f>
        <v/>
      </c>
      <c r="O495" s="136">
        <f>IF(AND(BEMANNINGSPLAN!U493=1,OR($B$4="Alla lag",BEMANNINGSPLAN!J493=$B$4),OR($E$4="Alla datum",BEMANNINGSPLAN!A493=$E$4)),COUNT($O$6:O494)+1,"")</f>
        <v>89</v>
      </c>
      <c r="P495" s="136" t="str">
        <f t="shared" si="7"/>
        <v/>
      </c>
    </row>
    <row r="496" spans="1:16" ht="27.75" customHeight="1">
      <c r="A496" s="24" t="str">
        <f>IF($P496="","",INDEX(BEMANNINGSPLAN!$A$5:$A$546,$P496))</f>
        <v/>
      </c>
      <c r="B496" s="24" t="str">
        <f>IF($P496="","",INDEX(BEMANNINGSPLAN!$B$5:$B$546,$P496))</f>
        <v/>
      </c>
      <c r="C496" s="24" t="str">
        <f>IF($P496="","",INDEX(BEMANNINGSPLAN!$C$5:$C$546,$P496))</f>
        <v/>
      </c>
      <c r="D496" s="24" t="str">
        <f>IF($P496="","",INDEX(BEMANNINGSPLAN!$D$5:$D$546,$P496))</f>
        <v/>
      </c>
      <c r="E496" s="24" t="str">
        <f>IF($P496="","",SUMIF(BEMANNINGSPLAN!$W$5:$W$546,INDEX(BEMANNINGSPLAN!$W$5:$W$546,$P496),BEMANNINGSPLAN!$X$5:$X$546))</f>
        <v/>
      </c>
      <c r="F496" s="24" t="str">
        <f>IF($P496="","",INDEX(BEMANNINGSPLAN!$J$5:$J$546,$P496))</f>
        <v/>
      </c>
      <c r="G496" s="24" t="str">
        <f>IF($P496="","",INDEX(BEMANNINGSPLAN!$AD$5:$AD$546,$P496))</f>
        <v/>
      </c>
      <c r="H496" s="24" t="str">
        <f>IF($P496="","",IF(AND(INDEX(BEMANNINGSPLAN!$Y$5:$Y$546,$P496)=1,G496&lt;&gt;"Minicafé"),"X",""))</f>
        <v/>
      </c>
      <c r="I496" s="24" t="str">
        <f>IF($P496="","",IF(INDEX(BEMANNINGSPLAN!$Y$5:$Y$546,$P496)=1,"X",""))</f>
        <v/>
      </c>
      <c r="J496" s="24" t="str">
        <f>IF($P496="","",IF(SUMIF(BEMANNINGSPLAN!$W$5:$W$546,INDEX(BEMANNINGSPLAN!$W$5:$W$546,$P496),BEMANNINGSPLAN!$Z$5:$Z$546)=1,"X",""))</f>
        <v/>
      </c>
      <c r="K496" s="24" t="str">
        <f>IF($P496="","",IFERROR(LOOKUP(2,1/((BEMANNINGSPLAN!$W$5:$W$546=INDEX(BEMANNINGSPLAN!$W$5:$W$546,$P496))*(BEMANNINGSPLAN!$L$5:$L$546&lt;&gt;"")),BEMANNINGSPLAN!$L$5:$L$546),""))</f>
        <v/>
      </c>
      <c r="L496" s="24" t="str">
        <f>IF($P496="","",INDEX(BEMANNINGSPLAN!$AE$5:$AE$546,$P496))</f>
        <v/>
      </c>
      <c r="O496" s="136">
        <f>IF(AND(BEMANNINGSPLAN!U494=1,OR($B$4="Alla lag",BEMANNINGSPLAN!J494=$B$4),OR($E$4="Alla datum",BEMANNINGSPLAN!A494=$E$4)),COUNT($O$6:O495)+1,"")</f>
        <v>90</v>
      </c>
      <c r="P496" s="136" t="str">
        <f t="shared" si="7"/>
        <v/>
      </c>
    </row>
    <row r="497" spans="1:16" ht="27.75" customHeight="1">
      <c r="A497" s="24" t="str">
        <f>IF($P497="","",INDEX(BEMANNINGSPLAN!$A$5:$A$546,$P497))</f>
        <v/>
      </c>
      <c r="B497" s="24" t="str">
        <f>IF($P497="","",INDEX(BEMANNINGSPLAN!$B$5:$B$546,$P497))</f>
        <v/>
      </c>
      <c r="C497" s="24" t="str">
        <f>IF($P497="","",INDEX(BEMANNINGSPLAN!$C$5:$C$546,$P497))</f>
        <v/>
      </c>
      <c r="D497" s="24" t="str">
        <f>IF($P497="","",INDEX(BEMANNINGSPLAN!$D$5:$D$546,$P497))</f>
        <v/>
      </c>
      <c r="E497" s="24" t="str">
        <f>IF($P497="","",SUMIF(BEMANNINGSPLAN!$W$5:$W$546,INDEX(BEMANNINGSPLAN!$W$5:$W$546,$P497),BEMANNINGSPLAN!$X$5:$X$546))</f>
        <v/>
      </c>
      <c r="F497" s="24" t="str">
        <f>IF($P497="","",INDEX(BEMANNINGSPLAN!$J$5:$J$546,$P497))</f>
        <v/>
      </c>
      <c r="G497" s="24" t="str">
        <f>IF($P497="","",INDEX(BEMANNINGSPLAN!$AD$5:$AD$546,$P497))</f>
        <v/>
      </c>
      <c r="H497" s="24" t="str">
        <f>IF($P497="","",IF(AND(INDEX(BEMANNINGSPLAN!$Y$5:$Y$546,$P497)=1,G497&lt;&gt;"Minicafé"),"X",""))</f>
        <v/>
      </c>
      <c r="I497" s="24" t="str">
        <f>IF($P497="","",IF(INDEX(BEMANNINGSPLAN!$Y$5:$Y$546,$P497)=1,"X",""))</f>
        <v/>
      </c>
      <c r="J497" s="24" t="str">
        <f>IF($P497="","",IF(SUMIF(BEMANNINGSPLAN!$W$5:$W$546,INDEX(BEMANNINGSPLAN!$W$5:$W$546,$P497),BEMANNINGSPLAN!$Z$5:$Z$546)=1,"X",""))</f>
        <v/>
      </c>
      <c r="K497" s="24" t="str">
        <f>IF($P497="","",IFERROR(LOOKUP(2,1/((BEMANNINGSPLAN!$W$5:$W$546=INDEX(BEMANNINGSPLAN!$W$5:$W$546,$P497))*(BEMANNINGSPLAN!$L$5:$L$546&lt;&gt;"")),BEMANNINGSPLAN!$L$5:$L$546),""))</f>
        <v/>
      </c>
      <c r="L497" s="24" t="str">
        <f>IF($P497="","",INDEX(BEMANNINGSPLAN!$AE$5:$AE$546,$P497))</f>
        <v/>
      </c>
      <c r="O497" s="136">
        <f>IF(AND(BEMANNINGSPLAN!U495=1,OR($B$4="Alla lag",BEMANNINGSPLAN!J495=$B$4),OR($E$4="Alla datum",BEMANNINGSPLAN!A495=$E$4)),COUNT($O$6:O496)+1,"")</f>
        <v>91</v>
      </c>
      <c r="P497" s="136" t="str">
        <f t="shared" si="7"/>
        <v/>
      </c>
    </row>
    <row r="498" spans="1:16" ht="27.75" customHeight="1">
      <c r="A498" s="24" t="str">
        <f>IF($P498="","",INDEX(BEMANNINGSPLAN!$A$5:$A$546,$P498))</f>
        <v/>
      </c>
      <c r="B498" s="24" t="str">
        <f>IF($P498="","",INDEX(BEMANNINGSPLAN!$B$5:$B$546,$P498))</f>
        <v/>
      </c>
      <c r="C498" s="24" t="str">
        <f>IF($P498="","",INDEX(BEMANNINGSPLAN!$C$5:$C$546,$P498))</f>
        <v/>
      </c>
      <c r="D498" s="24" t="str">
        <f>IF($P498="","",INDEX(BEMANNINGSPLAN!$D$5:$D$546,$P498))</f>
        <v/>
      </c>
      <c r="E498" s="24" t="str">
        <f>IF($P498="","",SUMIF(BEMANNINGSPLAN!$W$5:$W$546,INDEX(BEMANNINGSPLAN!$W$5:$W$546,$P498),BEMANNINGSPLAN!$X$5:$X$546))</f>
        <v/>
      </c>
      <c r="F498" s="24" t="str">
        <f>IF($P498="","",INDEX(BEMANNINGSPLAN!$J$5:$J$546,$P498))</f>
        <v/>
      </c>
      <c r="G498" s="24" t="str">
        <f>IF($P498="","",INDEX(BEMANNINGSPLAN!$AD$5:$AD$546,$P498))</f>
        <v/>
      </c>
      <c r="H498" s="24" t="str">
        <f>IF($P498="","",IF(AND(INDEX(BEMANNINGSPLAN!$Y$5:$Y$546,$P498)=1,G498&lt;&gt;"Minicafé"),"X",""))</f>
        <v/>
      </c>
      <c r="I498" s="24" t="str">
        <f>IF($P498="","",IF(INDEX(BEMANNINGSPLAN!$Y$5:$Y$546,$P498)=1,"X",""))</f>
        <v/>
      </c>
      <c r="J498" s="24" t="str">
        <f>IF($P498="","",IF(SUMIF(BEMANNINGSPLAN!$W$5:$W$546,INDEX(BEMANNINGSPLAN!$W$5:$W$546,$P498),BEMANNINGSPLAN!$Z$5:$Z$546)=1,"X",""))</f>
        <v/>
      </c>
      <c r="K498" s="24" t="str">
        <f>IF($P498="","",IFERROR(LOOKUP(2,1/((BEMANNINGSPLAN!$W$5:$W$546=INDEX(BEMANNINGSPLAN!$W$5:$W$546,$P498))*(BEMANNINGSPLAN!$L$5:$L$546&lt;&gt;"")),BEMANNINGSPLAN!$L$5:$L$546),""))</f>
        <v/>
      </c>
      <c r="L498" s="24" t="str">
        <f>IF($P498="","",INDEX(BEMANNINGSPLAN!$AE$5:$AE$546,$P498))</f>
        <v/>
      </c>
      <c r="O498" s="136">
        <f>IF(AND(BEMANNINGSPLAN!U496=1,OR($B$4="Alla lag",BEMANNINGSPLAN!J496=$B$4),OR($E$4="Alla datum",BEMANNINGSPLAN!A496=$E$4)),COUNT($O$6:O497)+1,"")</f>
        <v>92</v>
      </c>
      <c r="P498" s="136" t="str">
        <f t="shared" si="7"/>
        <v/>
      </c>
    </row>
    <row r="499" spans="1:16" ht="27.75" customHeight="1">
      <c r="A499" s="24" t="str">
        <f>IF($P499="","",INDEX(BEMANNINGSPLAN!$A$5:$A$546,$P499))</f>
        <v/>
      </c>
      <c r="B499" s="24" t="str">
        <f>IF($P499="","",INDEX(BEMANNINGSPLAN!$B$5:$B$546,$P499))</f>
        <v/>
      </c>
      <c r="C499" s="24" t="str">
        <f>IF($P499="","",INDEX(BEMANNINGSPLAN!$C$5:$C$546,$P499))</f>
        <v/>
      </c>
      <c r="D499" s="24" t="str">
        <f>IF($P499="","",INDEX(BEMANNINGSPLAN!$D$5:$D$546,$P499))</f>
        <v/>
      </c>
      <c r="E499" s="24" t="str">
        <f>IF($P499="","",SUMIF(BEMANNINGSPLAN!$W$5:$W$546,INDEX(BEMANNINGSPLAN!$W$5:$W$546,$P499),BEMANNINGSPLAN!$X$5:$X$546))</f>
        <v/>
      </c>
      <c r="F499" s="24" t="str">
        <f>IF($P499="","",INDEX(BEMANNINGSPLAN!$J$5:$J$546,$P499))</f>
        <v/>
      </c>
      <c r="G499" s="24" t="str">
        <f>IF($P499="","",INDEX(BEMANNINGSPLAN!$AD$5:$AD$546,$P499))</f>
        <v/>
      </c>
      <c r="H499" s="24" t="str">
        <f>IF($P499="","",IF(AND(INDEX(BEMANNINGSPLAN!$Y$5:$Y$546,$P499)=1,G499&lt;&gt;"Minicafé"),"X",""))</f>
        <v/>
      </c>
      <c r="I499" s="24" t="str">
        <f>IF($P499="","",IF(INDEX(BEMANNINGSPLAN!$Y$5:$Y$546,$P499)=1,"X",""))</f>
        <v/>
      </c>
      <c r="J499" s="24" t="str">
        <f>IF($P499="","",IF(SUMIF(BEMANNINGSPLAN!$W$5:$W$546,INDEX(BEMANNINGSPLAN!$W$5:$W$546,$P499),BEMANNINGSPLAN!$Z$5:$Z$546)=1,"X",""))</f>
        <v/>
      </c>
      <c r="K499" s="24" t="str">
        <f>IF($P499="","",IFERROR(LOOKUP(2,1/((BEMANNINGSPLAN!$W$5:$W$546=INDEX(BEMANNINGSPLAN!$W$5:$W$546,$P499))*(BEMANNINGSPLAN!$L$5:$L$546&lt;&gt;"")),BEMANNINGSPLAN!$L$5:$L$546),""))</f>
        <v/>
      </c>
      <c r="L499" s="24" t="str">
        <f>IF($P499="","",INDEX(BEMANNINGSPLAN!$AE$5:$AE$546,$P499))</f>
        <v/>
      </c>
      <c r="O499" s="136">
        <f>IF(AND(BEMANNINGSPLAN!U497=1,OR($B$4="Alla lag",BEMANNINGSPLAN!J497=$B$4),OR($E$4="Alla datum",BEMANNINGSPLAN!A497=$E$4)),COUNT($O$6:O498)+1,"")</f>
        <v>93</v>
      </c>
      <c r="P499" s="136" t="str">
        <f t="shared" si="7"/>
        <v/>
      </c>
    </row>
    <row r="500" spans="1:16" ht="27.75" customHeight="1">
      <c r="A500" s="24" t="str">
        <f>IF($P500="","",INDEX(BEMANNINGSPLAN!$A$5:$A$546,$P500))</f>
        <v/>
      </c>
      <c r="B500" s="24" t="str">
        <f>IF($P500="","",INDEX(BEMANNINGSPLAN!$B$5:$B$546,$P500))</f>
        <v/>
      </c>
      <c r="C500" s="24" t="str">
        <f>IF($P500="","",INDEX(BEMANNINGSPLAN!$C$5:$C$546,$P500))</f>
        <v/>
      </c>
      <c r="D500" s="24" t="str">
        <f>IF($P500="","",INDEX(BEMANNINGSPLAN!$D$5:$D$546,$P500))</f>
        <v/>
      </c>
      <c r="E500" s="24" t="str">
        <f>IF($P500="","",SUMIF(BEMANNINGSPLAN!$W$5:$W$546,INDEX(BEMANNINGSPLAN!$W$5:$W$546,$P500),BEMANNINGSPLAN!$X$5:$X$546))</f>
        <v/>
      </c>
      <c r="F500" s="24" t="str">
        <f>IF($P500="","",INDEX(BEMANNINGSPLAN!$J$5:$J$546,$P500))</f>
        <v/>
      </c>
      <c r="G500" s="24" t="str">
        <f>IF($P500="","",INDEX(BEMANNINGSPLAN!$AD$5:$AD$546,$P500))</f>
        <v/>
      </c>
      <c r="H500" s="24" t="str">
        <f>IF($P500="","",IF(AND(INDEX(BEMANNINGSPLAN!$Y$5:$Y$546,$P500)=1,G500&lt;&gt;"Minicafé"),"X",""))</f>
        <v/>
      </c>
      <c r="I500" s="24" t="str">
        <f>IF($P500="","",IF(INDEX(BEMANNINGSPLAN!$Y$5:$Y$546,$P500)=1,"X",""))</f>
        <v/>
      </c>
      <c r="J500" s="24" t="str">
        <f>IF($P500="","",IF(SUMIF(BEMANNINGSPLAN!$W$5:$W$546,INDEX(BEMANNINGSPLAN!$W$5:$W$546,$P500),BEMANNINGSPLAN!$Z$5:$Z$546)=1,"X",""))</f>
        <v/>
      </c>
      <c r="K500" s="24" t="str">
        <f>IF($P500="","",IFERROR(LOOKUP(2,1/((BEMANNINGSPLAN!$W$5:$W$546=INDEX(BEMANNINGSPLAN!$W$5:$W$546,$P500))*(BEMANNINGSPLAN!$L$5:$L$546&lt;&gt;"")),BEMANNINGSPLAN!$L$5:$L$546),""))</f>
        <v/>
      </c>
      <c r="L500" s="24" t="str">
        <f>IF($P500="","",INDEX(BEMANNINGSPLAN!$AE$5:$AE$546,$P500))</f>
        <v/>
      </c>
      <c r="O500" s="136" t="str">
        <f>IF(AND(BEMANNINGSPLAN!U498=1,OR($B$4="Alla lag",BEMANNINGSPLAN!J498=$B$4),OR($E$4="Alla datum",BEMANNINGSPLAN!A498=$E$4)),COUNT($O$6:O499)+1,"")</f>
        <v/>
      </c>
      <c r="P500" s="136" t="str">
        <f t="shared" si="7"/>
        <v/>
      </c>
    </row>
    <row r="501" spans="1:16" ht="27.75" customHeight="1">
      <c r="A501" s="24" t="str">
        <f>IF($P501="","",INDEX(BEMANNINGSPLAN!$A$5:$A$546,$P501))</f>
        <v/>
      </c>
      <c r="B501" s="24" t="str">
        <f>IF($P501="","",INDEX(BEMANNINGSPLAN!$B$5:$B$546,$P501))</f>
        <v/>
      </c>
      <c r="C501" s="24" t="str">
        <f>IF($P501="","",INDEX(BEMANNINGSPLAN!$C$5:$C$546,$P501))</f>
        <v/>
      </c>
      <c r="D501" s="24" t="str">
        <f>IF($P501="","",INDEX(BEMANNINGSPLAN!$D$5:$D$546,$P501))</f>
        <v/>
      </c>
      <c r="E501" s="24" t="str">
        <f>IF($P501="","",SUMIF(BEMANNINGSPLAN!$W$5:$W$546,INDEX(BEMANNINGSPLAN!$W$5:$W$546,$P501),BEMANNINGSPLAN!$X$5:$X$546))</f>
        <v/>
      </c>
      <c r="F501" s="24" t="str">
        <f>IF($P501="","",INDEX(BEMANNINGSPLAN!$J$5:$J$546,$P501))</f>
        <v/>
      </c>
      <c r="G501" s="24" t="str">
        <f>IF($P501="","",INDEX(BEMANNINGSPLAN!$AD$5:$AD$546,$P501))</f>
        <v/>
      </c>
      <c r="H501" s="24" t="str">
        <f>IF($P501="","",IF(AND(INDEX(BEMANNINGSPLAN!$Y$5:$Y$546,$P501)=1,G501&lt;&gt;"Minicafé"),"X",""))</f>
        <v/>
      </c>
      <c r="I501" s="24" t="str">
        <f>IF($P501="","",IF(INDEX(BEMANNINGSPLAN!$Y$5:$Y$546,$P501)=1,"X",""))</f>
        <v/>
      </c>
      <c r="J501" s="24" t="str">
        <f>IF($P501="","",IF(SUMIF(BEMANNINGSPLAN!$W$5:$W$546,INDEX(BEMANNINGSPLAN!$W$5:$W$546,$P501),BEMANNINGSPLAN!$Z$5:$Z$546)=1,"X",""))</f>
        <v/>
      </c>
      <c r="K501" s="24" t="str">
        <f>IF($P501="","",IFERROR(LOOKUP(2,1/((BEMANNINGSPLAN!$W$5:$W$546=INDEX(BEMANNINGSPLAN!$W$5:$W$546,$P501))*(BEMANNINGSPLAN!$L$5:$L$546&lt;&gt;"")),BEMANNINGSPLAN!$L$5:$L$546),""))</f>
        <v/>
      </c>
      <c r="L501" s="24" t="str">
        <f>IF($P501="","",INDEX(BEMANNINGSPLAN!$AE$5:$AE$546,$P501))</f>
        <v/>
      </c>
      <c r="O501" s="136" t="str">
        <f>IF(AND(BEMANNINGSPLAN!U499=1,OR($B$4="Alla lag",BEMANNINGSPLAN!J499=$B$4),OR($E$4="Alla datum",BEMANNINGSPLAN!A499=$E$4)),COUNT($O$6:O500)+1,"")</f>
        <v/>
      </c>
      <c r="P501" s="136" t="str">
        <f t="shared" si="7"/>
        <v/>
      </c>
    </row>
    <row r="502" spans="1:16" ht="27.75" customHeight="1">
      <c r="A502" s="24" t="str">
        <f>IF($P502="","",INDEX(BEMANNINGSPLAN!$A$5:$A$546,$P502))</f>
        <v/>
      </c>
      <c r="B502" s="24" t="str">
        <f>IF($P502="","",INDEX(BEMANNINGSPLAN!$B$5:$B$546,$P502))</f>
        <v/>
      </c>
      <c r="C502" s="24" t="str">
        <f>IF($P502="","",INDEX(BEMANNINGSPLAN!$C$5:$C$546,$P502))</f>
        <v/>
      </c>
      <c r="D502" s="24" t="str">
        <f>IF($P502="","",INDEX(BEMANNINGSPLAN!$D$5:$D$546,$P502))</f>
        <v/>
      </c>
      <c r="E502" s="24" t="str">
        <f>IF($P502="","",SUMIF(BEMANNINGSPLAN!$W$5:$W$546,INDEX(BEMANNINGSPLAN!$W$5:$W$546,$P502),BEMANNINGSPLAN!$X$5:$X$546))</f>
        <v/>
      </c>
      <c r="F502" s="24" t="str">
        <f>IF($P502="","",INDEX(BEMANNINGSPLAN!$J$5:$J$546,$P502))</f>
        <v/>
      </c>
      <c r="G502" s="24" t="str">
        <f>IF($P502="","",INDEX(BEMANNINGSPLAN!$AD$5:$AD$546,$P502))</f>
        <v/>
      </c>
      <c r="H502" s="24" t="str">
        <f>IF($P502="","",IF(AND(INDEX(BEMANNINGSPLAN!$Y$5:$Y$546,$P502)=1,G502&lt;&gt;"Minicafé"),"X",""))</f>
        <v/>
      </c>
      <c r="I502" s="24" t="str">
        <f>IF($P502="","",IF(INDEX(BEMANNINGSPLAN!$Y$5:$Y$546,$P502)=1,"X",""))</f>
        <v/>
      </c>
      <c r="J502" s="24" t="str">
        <f>IF($P502="","",IF(SUMIF(BEMANNINGSPLAN!$W$5:$W$546,INDEX(BEMANNINGSPLAN!$W$5:$W$546,$P502),BEMANNINGSPLAN!$Z$5:$Z$546)=1,"X",""))</f>
        <v/>
      </c>
      <c r="K502" s="24" t="str">
        <f>IF($P502="","",IFERROR(LOOKUP(2,1/((BEMANNINGSPLAN!$W$5:$W$546=INDEX(BEMANNINGSPLAN!$W$5:$W$546,$P502))*(BEMANNINGSPLAN!$L$5:$L$546&lt;&gt;"")),BEMANNINGSPLAN!$L$5:$L$546),""))</f>
        <v/>
      </c>
      <c r="L502" s="24" t="str">
        <f>IF($P502="","",INDEX(BEMANNINGSPLAN!$AE$5:$AE$546,$P502))</f>
        <v/>
      </c>
      <c r="O502" s="136">
        <f>IF(AND(BEMANNINGSPLAN!U500=1,OR($B$4="Alla lag",BEMANNINGSPLAN!J500=$B$4),OR($E$4="Alla datum",BEMANNINGSPLAN!A500=$E$4)),COUNT($O$6:O501)+1,"")</f>
        <v>94</v>
      </c>
      <c r="P502" s="136" t="str">
        <f t="shared" si="7"/>
        <v/>
      </c>
    </row>
    <row r="503" spans="1:16" ht="27.75" customHeight="1">
      <c r="A503" s="24" t="str">
        <f>IF($P503="","",INDEX(BEMANNINGSPLAN!$A$5:$A$546,$P503))</f>
        <v/>
      </c>
      <c r="B503" s="24" t="str">
        <f>IF($P503="","",INDEX(BEMANNINGSPLAN!$B$5:$B$546,$P503))</f>
        <v/>
      </c>
      <c r="C503" s="24" t="str">
        <f>IF($P503="","",INDEX(BEMANNINGSPLAN!$C$5:$C$546,$P503))</f>
        <v/>
      </c>
      <c r="D503" s="24" t="str">
        <f>IF($P503="","",INDEX(BEMANNINGSPLAN!$D$5:$D$546,$P503))</f>
        <v/>
      </c>
      <c r="E503" s="24" t="str">
        <f>IF($P503="","",SUMIF(BEMANNINGSPLAN!$W$5:$W$546,INDEX(BEMANNINGSPLAN!$W$5:$W$546,$P503),BEMANNINGSPLAN!$X$5:$X$546))</f>
        <v/>
      </c>
      <c r="F503" s="24" t="str">
        <f>IF($P503="","",INDEX(BEMANNINGSPLAN!$J$5:$J$546,$P503))</f>
        <v/>
      </c>
      <c r="G503" s="24" t="str">
        <f>IF($P503="","",INDEX(BEMANNINGSPLAN!$AD$5:$AD$546,$P503))</f>
        <v/>
      </c>
      <c r="H503" s="24" t="str">
        <f>IF($P503="","",IF(AND(INDEX(BEMANNINGSPLAN!$Y$5:$Y$546,$P503)=1,G503&lt;&gt;"Minicafé"),"X",""))</f>
        <v/>
      </c>
      <c r="I503" s="24" t="str">
        <f>IF($P503="","",IF(INDEX(BEMANNINGSPLAN!$Y$5:$Y$546,$P503)=1,"X",""))</f>
        <v/>
      </c>
      <c r="J503" s="24" t="str">
        <f>IF($P503="","",IF(SUMIF(BEMANNINGSPLAN!$W$5:$W$546,INDEX(BEMANNINGSPLAN!$W$5:$W$546,$P503),BEMANNINGSPLAN!$Z$5:$Z$546)=1,"X",""))</f>
        <v/>
      </c>
      <c r="K503" s="24" t="str">
        <f>IF($P503="","",IFERROR(LOOKUP(2,1/((BEMANNINGSPLAN!$W$5:$W$546=INDEX(BEMANNINGSPLAN!$W$5:$W$546,$P503))*(BEMANNINGSPLAN!$L$5:$L$546&lt;&gt;"")),BEMANNINGSPLAN!$L$5:$L$546),""))</f>
        <v/>
      </c>
      <c r="L503" s="24" t="str">
        <f>IF($P503="","",INDEX(BEMANNINGSPLAN!$AE$5:$AE$546,$P503))</f>
        <v/>
      </c>
      <c r="O503" s="136" t="str">
        <f>IF(AND(BEMANNINGSPLAN!U501=1,OR($B$4="Alla lag",BEMANNINGSPLAN!J501=$B$4),OR($E$4="Alla datum",BEMANNINGSPLAN!A501=$E$4)),COUNT($O$6:O502)+1,"")</f>
        <v/>
      </c>
      <c r="P503" s="136" t="str">
        <f t="shared" si="7"/>
        <v/>
      </c>
    </row>
    <row r="504" spans="1:16" ht="27.75" customHeight="1">
      <c r="A504" s="24" t="str">
        <f>IF($P504="","",INDEX(BEMANNINGSPLAN!$A$5:$A$546,$P504))</f>
        <v/>
      </c>
      <c r="B504" s="24" t="str">
        <f>IF($P504="","",INDEX(BEMANNINGSPLAN!$B$5:$B$546,$P504))</f>
        <v/>
      </c>
      <c r="C504" s="24" t="str">
        <f>IF($P504="","",INDEX(BEMANNINGSPLAN!$C$5:$C$546,$P504))</f>
        <v/>
      </c>
      <c r="D504" s="24" t="str">
        <f>IF($P504="","",INDEX(BEMANNINGSPLAN!$D$5:$D$546,$P504))</f>
        <v/>
      </c>
      <c r="E504" s="24" t="str">
        <f>IF($P504="","",SUMIF(BEMANNINGSPLAN!$W$5:$W$546,INDEX(BEMANNINGSPLAN!$W$5:$W$546,$P504),BEMANNINGSPLAN!$X$5:$X$546))</f>
        <v/>
      </c>
      <c r="F504" s="24" t="str">
        <f>IF($P504="","",INDEX(BEMANNINGSPLAN!$J$5:$J$546,$P504))</f>
        <v/>
      </c>
      <c r="G504" s="24" t="str">
        <f>IF($P504="","",INDEX(BEMANNINGSPLAN!$AD$5:$AD$546,$P504))</f>
        <v/>
      </c>
      <c r="H504" s="24" t="str">
        <f>IF($P504="","",IF(AND(INDEX(BEMANNINGSPLAN!$Y$5:$Y$546,$P504)=1,G504&lt;&gt;"Minicafé"),"X",""))</f>
        <v/>
      </c>
      <c r="I504" s="24" t="str">
        <f>IF($P504="","",IF(INDEX(BEMANNINGSPLAN!$Y$5:$Y$546,$P504)=1,"X",""))</f>
        <v/>
      </c>
      <c r="J504" s="24" t="str">
        <f>IF($P504="","",IF(SUMIF(BEMANNINGSPLAN!$W$5:$W$546,INDEX(BEMANNINGSPLAN!$W$5:$W$546,$P504),BEMANNINGSPLAN!$Z$5:$Z$546)=1,"X",""))</f>
        <v/>
      </c>
      <c r="K504" s="24" t="str">
        <f>IF($P504="","",IFERROR(LOOKUP(2,1/((BEMANNINGSPLAN!$W$5:$W$546=INDEX(BEMANNINGSPLAN!$W$5:$W$546,$P504))*(BEMANNINGSPLAN!$L$5:$L$546&lt;&gt;"")),BEMANNINGSPLAN!$L$5:$L$546),""))</f>
        <v/>
      </c>
      <c r="L504" s="24" t="str">
        <f>IF($P504="","",INDEX(BEMANNINGSPLAN!$AE$5:$AE$546,$P504))</f>
        <v/>
      </c>
      <c r="O504" s="136" t="str">
        <f>IF(AND(BEMANNINGSPLAN!U502=1,OR($B$4="Alla lag",BEMANNINGSPLAN!J502=$B$4),OR($E$4="Alla datum",BEMANNINGSPLAN!A502=$E$4)),COUNT($O$6:O503)+1,"")</f>
        <v/>
      </c>
      <c r="P504" s="136" t="str">
        <f t="shared" si="7"/>
        <v/>
      </c>
    </row>
    <row r="505" spans="1:16" ht="27.75" customHeight="1">
      <c r="A505" s="24" t="str">
        <f>IF($P505="","",INDEX(BEMANNINGSPLAN!$A$5:$A$546,$P505))</f>
        <v/>
      </c>
      <c r="B505" s="24" t="str">
        <f>IF($P505="","",INDEX(BEMANNINGSPLAN!$B$5:$B$546,$P505))</f>
        <v/>
      </c>
      <c r="C505" s="24" t="str">
        <f>IF($P505="","",INDEX(BEMANNINGSPLAN!$C$5:$C$546,$P505))</f>
        <v/>
      </c>
      <c r="D505" s="24" t="str">
        <f>IF($P505="","",INDEX(BEMANNINGSPLAN!$D$5:$D$546,$P505))</f>
        <v/>
      </c>
      <c r="E505" s="24" t="str">
        <f>IF($P505="","",SUMIF(BEMANNINGSPLAN!$W$5:$W$546,INDEX(BEMANNINGSPLAN!$W$5:$W$546,$P505),BEMANNINGSPLAN!$X$5:$X$546))</f>
        <v/>
      </c>
      <c r="F505" s="24" t="str">
        <f>IF($P505="","",INDEX(BEMANNINGSPLAN!$J$5:$J$546,$P505))</f>
        <v/>
      </c>
      <c r="G505" s="24" t="str">
        <f>IF($P505="","",INDEX(BEMANNINGSPLAN!$AD$5:$AD$546,$P505))</f>
        <v/>
      </c>
      <c r="H505" s="24" t="str">
        <f>IF($P505="","",IF(AND(INDEX(BEMANNINGSPLAN!$Y$5:$Y$546,$P505)=1,G505&lt;&gt;"Minicafé"),"X",""))</f>
        <v/>
      </c>
      <c r="I505" s="24" t="str">
        <f>IF($P505="","",IF(INDEX(BEMANNINGSPLAN!$Y$5:$Y$546,$P505)=1,"X",""))</f>
        <v/>
      </c>
      <c r="J505" s="24" t="str">
        <f>IF($P505="","",IF(SUMIF(BEMANNINGSPLAN!$W$5:$W$546,INDEX(BEMANNINGSPLAN!$W$5:$W$546,$P505),BEMANNINGSPLAN!$Z$5:$Z$546)=1,"X",""))</f>
        <v/>
      </c>
      <c r="K505" s="24" t="str">
        <f>IF($P505="","",IFERROR(LOOKUP(2,1/((BEMANNINGSPLAN!$W$5:$W$546=INDEX(BEMANNINGSPLAN!$W$5:$W$546,$P505))*(BEMANNINGSPLAN!$L$5:$L$546&lt;&gt;"")),BEMANNINGSPLAN!$L$5:$L$546),""))</f>
        <v/>
      </c>
      <c r="L505" s="24" t="str">
        <f>IF($P505="","",INDEX(BEMANNINGSPLAN!$AE$5:$AE$546,$P505))</f>
        <v/>
      </c>
      <c r="O505" s="136">
        <f>IF(AND(BEMANNINGSPLAN!U503=1,OR($B$4="Alla lag",BEMANNINGSPLAN!J503=$B$4),OR($E$4="Alla datum",BEMANNINGSPLAN!A503=$E$4)),COUNT($O$6:O504)+1,"")</f>
        <v>95</v>
      </c>
      <c r="P505" s="136" t="str">
        <f t="shared" si="7"/>
        <v/>
      </c>
    </row>
    <row r="506" spans="1:16" ht="27.75" customHeight="1">
      <c r="A506" s="24" t="str">
        <f>IF($P506="","",INDEX(BEMANNINGSPLAN!$A$5:$A$546,$P506))</f>
        <v/>
      </c>
      <c r="B506" s="24" t="str">
        <f>IF($P506="","",INDEX(BEMANNINGSPLAN!$B$5:$B$546,$P506))</f>
        <v/>
      </c>
      <c r="C506" s="24" t="str">
        <f>IF($P506="","",INDEX(BEMANNINGSPLAN!$C$5:$C$546,$P506))</f>
        <v/>
      </c>
      <c r="D506" s="24" t="str">
        <f>IF($P506="","",INDEX(BEMANNINGSPLAN!$D$5:$D$546,$P506))</f>
        <v/>
      </c>
      <c r="E506" s="24" t="str">
        <f>IF($P506="","",SUMIF(BEMANNINGSPLAN!$W$5:$W$546,INDEX(BEMANNINGSPLAN!$W$5:$W$546,$P506),BEMANNINGSPLAN!$X$5:$X$546))</f>
        <v/>
      </c>
      <c r="F506" s="24" t="str">
        <f>IF($P506="","",INDEX(BEMANNINGSPLAN!$J$5:$J$546,$P506))</f>
        <v/>
      </c>
      <c r="G506" s="24" t="str">
        <f>IF($P506="","",INDEX(BEMANNINGSPLAN!$AD$5:$AD$546,$P506))</f>
        <v/>
      </c>
      <c r="H506" s="24" t="str">
        <f>IF($P506="","",IF(AND(INDEX(BEMANNINGSPLAN!$Y$5:$Y$546,$P506)=1,G506&lt;&gt;"Minicafé"),"X",""))</f>
        <v/>
      </c>
      <c r="I506" s="24" t="str">
        <f>IF($P506="","",IF(INDEX(BEMANNINGSPLAN!$Y$5:$Y$546,$P506)=1,"X",""))</f>
        <v/>
      </c>
      <c r="J506" s="24" t="str">
        <f>IF($P506="","",IF(SUMIF(BEMANNINGSPLAN!$W$5:$W$546,INDEX(BEMANNINGSPLAN!$W$5:$W$546,$P506),BEMANNINGSPLAN!$Z$5:$Z$546)=1,"X",""))</f>
        <v/>
      </c>
      <c r="K506" s="24" t="str">
        <f>IF($P506="","",IFERROR(LOOKUP(2,1/((BEMANNINGSPLAN!$W$5:$W$546=INDEX(BEMANNINGSPLAN!$W$5:$W$546,$P506))*(BEMANNINGSPLAN!$L$5:$L$546&lt;&gt;"")),BEMANNINGSPLAN!$L$5:$L$546),""))</f>
        <v/>
      </c>
      <c r="L506" s="24" t="str">
        <f>IF($P506="","",INDEX(BEMANNINGSPLAN!$AE$5:$AE$546,$P506))</f>
        <v/>
      </c>
      <c r="O506" s="136" t="str">
        <f>IF(AND(BEMANNINGSPLAN!U504=1,OR($B$4="Alla lag",BEMANNINGSPLAN!J504=$B$4),OR($E$4="Alla datum",BEMANNINGSPLAN!A504=$E$4)),COUNT($O$6:O505)+1,"")</f>
        <v/>
      </c>
      <c r="P506" s="136" t="str">
        <f t="shared" si="7"/>
        <v/>
      </c>
    </row>
    <row r="507" spans="1:16" ht="27.75" customHeight="1">
      <c r="A507" s="24" t="str">
        <f>IF($P507="","",INDEX(BEMANNINGSPLAN!$A$5:$A$546,$P507))</f>
        <v/>
      </c>
      <c r="B507" s="24" t="str">
        <f>IF($P507="","",INDEX(BEMANNINGSPLAN!$B$5:$B$546,$P507))</f>
        <v/>
      </c>
      <c r="C507" s="24" t="str">
        <f>IF($P507="","",INDEX(BEMANNINGSPLAN!$C$5:$C$546,$P507))</f>
        <v/>
      </c>
      <c r="D507" s="24" t="str">
        <f>IF($P507="","",INDEX(BEMANNINGSPLAN!$D$5:$D$546,$P507))</f>
        <v/>
      </c>
      <c r="E507" s="24" t="str">
        <f>IF($P507="","",SUMIF(BEMANNINGSPLAN!$W$5:$W$546,INDEX(BEMANNINGSPLAN!$W$5:$W$546,$P507),BEMANNINGSPLAN!$X$5:$X$546))</f>
        <v/>
      </c>
      <c r="F507" s="24" t="str">
        <f>IF($P507="","",INDEX(BEMANNINGSPLAN!$J$5:$J$546,$P507))</f>
        <v/>
      </c>
      <c r="G507" s="24" t="str">
        <f>IF($P507="","",INDEX(BEMANNINGSPLAN!$AD$5:$AD$546,$P507))</f>
        <v/>
      </c>
      <c r="H507" s="24" t="str">
        <f>IF($P507="","",IF(AND(INDEX(BEMANNINGSPLAN!$Y$5:$Y$546,$P507)=1,G507&lt;&gt;"Minicafé"),"X",""))</f>
        <v/>
      </c>
      <c r="I507" s="24" t="str">
        <f>IF($P507="","",IF(INDEX(BEMANNINGSPLAN!$Y$5:$Y$546,$P507)=1,"X",""))</f>
        <v/>
      </c>
      <c r="J507" s="24" t="str">
        <f>IF($P507="","",IF(SUMIF(BEMANNINGSPLAN!$W$5:$W$546,INDEX(BEMANNINGSPLAN!$W$5:$W$546,$P507),BEMANNINGSPLAN!$Z$5:$Z$546)=1,"X",""))</f>
        <v/>
      </c>
      <c r="K507" s="24" t="str">
        <f>IF($P507="","",IFERROR(LOOKUP(2,1/((BEMANNINGSPLAN!$W$5:$W$546=INDEX(BEMANNINGSPLAN!$W$5:$W$546,$P507))*(BEMANNINGSPLAN!$L$5:$L$546&lt;&gt;"")),BEMANNINGSPLAN!$L$5:$L$546),""))</f>
        <v/>
      </c>
      <c r="L507" s="24" t="str">
        <f>IF($P507="","",INDEX(BEMANNINGSPLAN!$AE$5:$AE$546,$P507))</f>
        <v/>
      </c>
      <c r="O507" s="136" t="str">
        <f>IF(AND(BEMANNINGSPLAN!U505=1,OR($B$4="Alla lag",BEMANNINGSPLAN!J505=$B$4),OR($E$4="Alla datum",BEMANNINGSPLAN!A505=$E$4)),COUNT($O$6:O506)+1,"")</f>
        <v/>
      </c>
      <c r="P507" s="136" t="str">
        <f t="shared" si="7"/>
        <v/>
      </c>
    </row>
    <row r="508" spans="1:16" ht="27.75" customHeight="1">
      <c r="A508" s="24" t="str">
        <f>IF($P508="","",INDEX(BEMANNINGSPLAN!$A$5:$A$546,$P508))</f>
        <v/>
      </c>
      <c r="B508" s="24" t="str">
        <f>IF($P508="","",INDEX(BEMANNINGSPLAN!$B$5:$B$546,$P508))</f>
        <v/>
      </c>
      <c r="C508" s="24" t="str">
        <f>IF($P508="","",INDEX(BEMANNINGSPLAN!$C$5:$C$546,$P508))</f>
        <v/>
      </c>
      <c r="D508" s="24" t="str">
        <f>IF($P508="","",INDEX(BEMANNINGSPLAN!$D$5:$D$546,$P508))</f>
        <v/>
      </c>
      <c r="E508" s="24" t="str">
        <f>IF($P508="","",SUMIF(BEMANNINGSPLAN!$W$5:$W$546,INDEX(BEMANNINGSPLAN!$W$5:$W$546,$P508),BEMANNINGSPLAN!$X$5:$X$546))</f>
        <v/>
      </c>
      <c r="F508" s="24" t="str">
        <f>IF($P508="","",INDEX(BEMANNINGSPLAN!$J$5:$J$546,$P508))</f>
        <v/>
      </c>
      <c r="G508" s="24" t="str">
        <f>IF($P508="","",INDEX(BEMANNINGSPLAN!$AD$5:$AD$546,$P508))</f>
        <v/>
      </c>
      <c r="H508" s="24" t="str">
        <f>IF($P508="","",IF(AND(INDEX(BEMANNINGSPLAN!$Y$5:$Y$546,$P508)=1,G508&lt;&gt;"Minicafé"),"X",""))</f>
        <v/>
      </c>
      <c r="I508" s="24" t="str">
        <f>IF($P508="","",IF(INDEX(BEMANNINGSPLAN!$Y$5:$Y$546,$P508)=1,"X",""))</f>
        <v/>
      </c>
      <c r="J508" s="24" t="str">
        <f>IF($P508="","",IF(SUMIF(BEMANNINGSPLAN!$W$5:$W$546,INDEX(BEMANNINGSPLAN!$W$5:$W$546,$P508),BEMANNINGSPLAN!$Z$5:$Z$546)=1,"X",""))</f>
        <v/>
      </c>
      <c r="K508" s="24" t="str">
        <f>IF($P508="","",IFERROR(LOOKUP(2,1/((BEMANNINGSPLAN!$W$5:$W$546=INDEX(BEMANNINGSPLAN!$W$5:$W$546,$P508))*(BEMANNINGSPLAN!$L$5:$L$546&lt;&gt;"")),BEMANNINGSPLAN!$L$5:$L$546),""))</f>
        <v/>
      </c>
      <c r="L508" s="24" t="str">
        <f>IF($P508="","",INDEX(BEMANNINGSPLAN!$AE$5:$AE$546,$P508))</f>
        <v/>
      </c>
      <c r="O508" s="136" t="str">
        <f>IF(AND(BEMANNINGSPLAN!U506=1,OR($B$4="Alla lag",BEMANNINGSPLAN!J506=$B$4),OR($E$4="Alla datum",BEMANNINGSPLAN!A506=$E$4)),COUNT($O$6:O507)+1,"")</f>
        <v/>
      </c>
      <c r="P508" s="136" t="str">
        <f t="shared" si="7"/>
        <v/>
      </c>
    </row>
    <row r="509" spans="1:16" ht="27.75" customHeight="1">
      <c r="A509" s="24" t="str">
        <f>IF($P509="","",INDEX(BEMANNINGSPLAN!$A$5:$A$546,$P509))</f>
        <v/>
      </c>
      <c r="B509" s="24" t="str">
        <f>IF($P509="","",INDEX(BEMANNINGSPLAN!$B$5:$B$546,$P509))</f>
        <v/>
      </c>
      <c r="C509" s="24" t="str">
        <f>IF($P509="","",INDEX(BEMANNINGSPLAN!$C$5:$C$546,$P509))</f>
        <v/>
      </c>
      <c r="D509" s="24" t="str">
        <f>IF($P509="","",INDEX(BEMANNINGSPLAN!$D$5:$D$546,$P509))</f>
        <v/>
      </c>
      <c r="E509" s="24" t="str">
        <f>IF($P509="","",SUMIF(BEMANNINGSPLAN!$W$5:$W$546,INDEX(BEMANNINGSPLAN!$W$5:$W$546,$P509),BEMANNINGSPLAN!$X$5:$X$546))</f>
        <v/>
      </c>
      <c r="F509" s="24" t="str">
        <f>IF($P509="","",INDEX(BEMANNINGSPLAN!$J$5:$J$546,$P509))</f>
        <v/>
      </c>
      <c r="G509" s="24" t="str">
        <f>IF($P509="","",INDEX(BEMANNINGSPLAN!$AD$5:$AD$546,$P509))</f>
        <v/>
      </c>
      <c r="H509" s="24" t="str">
        <f>IF($P509="","",IF(AND(INDEX(BEMANNINGSPLAN!$Y$5:$Y$546,$P509)=1,G509&lt;&gt;"Minicafé"),"X",""))</f>
        <v/>
      </c>
      <c r="I509" s="24" t="str">
        <f>IF($P509="","",IF(INDEX(BEMANNINGSPLAN!$Y$5:$Y$546,$P509)=1,"X",""))</f>
        <v/>
      </c>
      <c r="J509" s="24" t="str">
        <f>IF($P509="","",IF(SUMIF(BEMANNINGSPLAN!$W$5:$W$546,INDEX(BEMANNINGSPLAN!$W$5:$W$546,$P509),BEMANNINGSPLAN!$Z$5:$Z$546)=1,"X",""))</f>
        <v/>
      </c>
      <c r="K509" s="24" t="str">
        <f>IF($P509="","",IFERROR(LOOKUP(2,1/((BEMANNINGSPLAN!$W$5:$W$546=INDEX(BEMANNINGSPLAN!$W$5:$W$546,$P509))*(BEMANNINGSPLAN!$L$5:$L$546&lt;&gt;"")),BEMANNINGSPLAN!$L$5:$L$546),""))</f>
        <v/>
      </c>
      <c r="L509" s="24" t="str">
        <f>IF($P509="","",INDEX(BEMANNINGSPLAN!$AE$5:$AE$546,$P509))</f>
        <v/>
      </c>
      <c r="O509" s="136" t="str">
        <f>IF(AND(BEMANNINGSPLAN!U507=1,OR($B$4="Alla lag",BEMANNINGSPLAN!J507=$B$4),OR($E$4="Alla datum",BEMANNINGSPLAN!A507=$E$4)),COUNT($O$6:O508)+1,"")</f>
        <v/>
      </c>
      <c r="P509" s="136" t="str">
        <f t="shared" si="7"/>
        <v/>
      </c>
    </row>
    <row r="510" spans="1:16" ht="27.75" customHeight="1">
      <c r="A510" s="24" t="str">
        <f>IF($P510="","",INDEX(BEMANNINGSPLAN!$A$5:$A$546,$P510))</f>
        <v/>
      </c>
      <c r="B510" s="24" t="str">
        <f>IF($P510="","",INDEX(BEMANNINGSPLAN!$B$5:$B$546,$P510))</f>
        <v/>
      </c>
      <c r="C510" s="24" t="str">
        <f>IF($P510="","",INDEX(BEMANNINGSPLAN!$C$5:$C$546,$P510))</f>
        <v/>
      </c>
      <c r="D510" s="24" t="str">
        <f>IF($P510="","",INDEX(BEMANNINGSPLAN!$D$5:$D$546,$P510))</f>
        <v/>
      </c>
      <c r="E510" s="24" t="str">
        <f>IF($P510="","",SUMIF(BEMANNINGSPLAN!$W$5:$W$546,INDEX(BEMANNINGSPLAN!$W$5:$W$546,$P510),BEMANNINGSPLAN!$X$5:$X$546))</f>
        <v/>
      </c>
      <c r="F510" s="24" t="str">
        <f>IF($P510="","",INDEX(BEMANNINGSPLAN!$J$5:$J$546,$P510))</f>
        <v/>
      </c>
      <c r="G510" s="24" t="str">
        <f>IF($P510="","",INDEX(BEMANNINGSPLAN!$AD$5:$AD$546,$P510))</f>
        <v/>
      </c>
      <c r="H510" s="24" t="str">
        <f>IF($P510="","",IF(AND(INDEX(BEMANNINGSPLAN!$Y$5:$Y$546,$P510)=1,G510&lt;&gt;"Minicafé"),"X",""))</f>
        <v/>
      </c>
      <c r="I510" s="24" t="str">
        <f>IF($P510="","",IF(INDEX(BEMANNINGSPLAN!$Y$5:$Y$546,$P510)=1,"X",""))</f>
        <v/>
      </c>
      <c r="J510" s="24" t="str">
        <f>IF($P510="","",IF(SUMIF(BEMANNINGSPLAN!$W$5:$W$546,INDEX(BEMANNINGSPLAN!$W$5:$W$546,$P510),BEMANNINGSPLAN!$Z$5:$Z$546)=1,"X",""))</f>
        <v/>
      </c>
      <c r="K510" s="24" t="str">
        <f>IF($P510="","",IFERROR(LOOKUP(2,1/((BEMANNINGSPLAN!$W$5:$W$546=INDEX(BEMANNINGSPLAN!$W$5:$W$546,$P510))*(BEMANNINGSPLAN!$L$5:$L$546&lt;&gt;"")),BEMANNINGSPLAN!$L$5:$L$546),""))</f>
        <v/>
      </c>
      <c r="L510" s="24" t="str">
        <f>IF($P510="","",INDEX(BEMANNINGSPLAN!$AE$5:$AE$546,$P510))</f>
        <v/>
      </c>
      <c r="O510" s="136" t="str">
        <f>IF(AND(BEMANNINGSPLAN!U508=1,OR($B$4="Alla lag",BEMANNINGSPLAN!J508=$B$4),OR($E$4="Alla datum",BEMANNINGSPLAN!A508=$E$4)),COUNT($O$6:O509)+1,"")</f>
        <v/>
      </c>
      <c r="P510" s="136" t="str">
        <f t="shared" si="7"/>
        <v/>
      </c>
    </row>
    <row r="511" spans="1:16" ht="27.75" customHeight="1">
      <c r="A511" s="24" t="str">
        <f>IF($P511="","",INDEX(BEMANNINGSPLAN!$A$5:$A$546,$P511))</f>
        <v/>
      </c>
      <c r="B511" s="24" t="str">
        <f>IF($P511="","",INDEX(BEMANNINGSPLAN!$B$5:$B$546,$P511))</f>
        <v/>
      </c>
      <c r="C511" s="24" t="str">
        <f>IF($P511="","",INDEX(BEMANNINGSPLAN!$C$5:$C$546,$P511))</f>
        <v/>
      </c>
      <c r="D511" s="24" t="str">
        <f>IF($P511="","",INDEX(BEMANNINGSPLAN!$D$5:$D$546,$P511))</f>
        <v/>
      </c>
      <c r="E511" s="24" t="str">
        <f>IF($P511="","",SUMIF(BEMANNINGSPLAN!$W$5:$W$546,INDEX(BEMANNINGSPLAN!$W$5:$W$546,$P511),BEMANNINGSPLAN!$X$5:$X$546))</f>
        <v/>
      </c>
      <c r="F511" s="24" t="str">
        <f>IF($P511="","",INDEX(BEMANNINGSPLAN!$J$5:$J$546,$P511))</f>
        <v/>
      </c>
      <c r="G511" s="24" t="str">
        <f>IF($P511="","",INDEX(BEMANNINGSPLAN!$AD$5:$AD$546,$P511))</f>
        <v/>
      </c>
      <c r="H511" s="24" t="str">
        <f>IF($P511="","",IF(AND(INDEX(BEMANNINGSPLAN!$Y$5:$Y$546,$P511)=1,G511&lt;&gt;"Minicafé"),"X",""))</f>
        <v/>
      </c>
      <c r="I511" s="24" t="str">
        <f>IF($P511="","",IF(INDEX(BEMANNINGSPLAN!$Y$5:$Y$546,$P511)=1,"X",""))</f>
        <v/>
      </c>
      <c r="J511" s="24" t="str">
        <f>IF($P511="","",IF(SUMIF(BEMANNINGSPLAN!$W$5:$W$546,INDEX(BEMANNINGSPLAN!$W$5:$W$546,$P511),BEMANNINGSPLAN!$Z$5:$Z$546)=1,"X",""))</f>
        <v/>
      </c>
      <c r="K511" s="24" t="str">
        <f>IF($P511="","",IFERROR(LOOKUP(2,1/((BEMANNINGSPLAN!$W$5:$W$546=INDEX(BEMANNINGSPLAN!$W$5:$W$546,$P511))*(BEMANNINGSPLAN!$L$5:$L$546&lt;&gt;"")),BEMANNINGSPLAN!$L$5:$L$546),""))</f>
        <v/>
      </c>
      <c r="L511" s="24" t="str">
        <f>IF($P511="","",INDEX(BEMANNINGSPLAN!$AE$5:$AE$546,$P511))</f>
        <v/>
      </c>
      <c r="O511" s="136" t="str">
        <f>IF(AND(BEMANNINGSPLAN!U509=1,OR($B$4="Alla lag",BEMANNINGSPLAN!J509=$B$4),OR($E$4="Alla datum",BEMANNINGSPLAN!A509=$E$4)),COUNT($O$6:O510)+1,"")</f>
        <v/>
      </c>
      <c r="P511" s="136" t="str">
        <f t="shared" si="7"/>
        <v/>
      </c>
    </row>
    <row r="512" spans="1:16" ht="27.75" customHeight="1">
      <c r="A512" s="24" t="str">
        <f>IF($P512="","",INDEX(BEMANNINGSPLAN!$A$5:$A$546,$P512))</f>
        <v/>
      </c>
      <c r="B512" s="24" t="str">
        <f>IF($P512="","",INDEX(BEMANNINGSPLAN!$B$5:$B$546,$P512))</f>
        <v/>
      </c>
      <c r="C512" s="24" t="str">
        <f>IF($P512="","",INDEX(BEMANNINGSPLAN!$C$5:$C$546,$P512))</f>
        <v/>
      </c>
      <c r="D512" s="24" t="str">
        <f>IF($P512="","",INDEX(BEMANNINGSPLAN!$D$5:$D$546,$P512))</f>
        <v/>
      </c>
      <c r="E512" s="24" t="str">
        <f>IF($P512="","",SUMIF(BEMANNINGSPLAN!$W$5:$W$546,INDEX(BEMANNINGSPLAN!$W$5:$W$546,$P512),BEMANNINGSPLAN!$X$5:$X$546))</f>
        <v/>
      </c>
      <c r="F512" s="24" t="str">
        <f>IF($P512="","",INDEX(BEMANNINGSPLAN!$J$5:$J$546,$P512))</f>
        <v/>
      </c>
      <c r="G512" s="24" t="str">
        <f>IF($P512="","",INDEX(BEMANNINGSPLAN!$AD$5:$AD$546,$P512))</f>
        <v/>
      </c>
      <c r="H512" s="24" t="str">
        <f>IF($P512="","",IF(AND(INDEX(BEMANNINGSPLAN!$Y$5:$Y$546,$P512)=1,G512&lt;&gt;"Minicafé"),"X",""))</f>
        <v/>
      </c>
      <c r="I512" s="24" t="str">
        <f>IF($P512="","",IF(INDEX(BEMANNINGSPLAN!$Y$5:$Y$546,$P512)=1,"X",""))</f>
        <v/>
      </c>
      <c r="J512" s="24" t="str">
        <f>IF($P512="","",IF(SUMIF(BEMANNINGSPLAN!$W$5:$W$546,INDEX(BEMANNINGSPLAN!$W$5:$W$546,$P512),BEMANNINGSPLAN!$Z$5:$Z$546)=1,"X",""))</f>
        <v/>
      </c>
      <c r="K512" s="24" t="str">
        <f>IF($P512="","",IFERROR(LOOKUP(2,1/((BEMANNINGSPLAN!$W$5:$W$546=INDEX(BEMANNINGSPLAN!$W$5:$W$546,$P512))*(BEMANNINGSPLAN!$L$5:$L$546&lt;&gt;"")),BEMANNINGSPLAN!$L$5:$L$546),""))</f>
        <v/>
      </c>
      <c r="L512" s="24" t="str">
        <f>IF($P512="","",INDEX(BEMANNINGSPLAN!$AE$5:$AE$546,$P512))</f>
        <v/>
      </c>
      <c r="O512" s="136" t="str">
        <f>IF(AND(BEMANNINGSPLAN!U510=1,OR($B$4="Alla lag",BEMANNINGSPLAN!J510=$B$4),OR($E$4="Alla datum",BEMANNINGSPLAN!A510=$E$4)),COUNT($O$6:O511)+1,"")</f>
        <v/>
      </c>
      <c r="P512" s="136" t="str">
        <f t="shared" si="7"/>
        <v/>
      </c>
    </row>
    <row r="513" spans="1:16" ht="27.75" customHeight="1">
      <c r="A513" s="24" t="str">
        <f>IF($P513="","",INDEX(BEMANNINGSPLAN!$A$5:$A$546,$P513))</f>
        <v/>
      </c>
      <c r="B513" s="24" t="str">
        <f>IF($P513="","",INDEX(BEMANNINGSPLAN!$B$5:$B$546,$P513))</f>
        <v/>
      </c>
      <c r="C513" s="24" t="str">
        <f>IF($P513="","",INDEX(BEMANNINGSPLAN!$C$5:$C$546,$P513))</f>
        <v/>
      </c>
      <c r="D513" s="24" t="str">
        <f>IF($P513="","",INDEX(BEMANNINGSPLAN!$D$5:$D$546,$P513))</f>
        <v/>
      </c>
      <c r="E513" s="24" t="str">
        <f>IF($P513="","",SUMIF(BEMANNINGSPLAN!$W$5:$W$546,INDEX(BEMANNINGSPLAN!$W$5:$W$546,$P513),BEMANNINGSPLAN!$X$5:$X$546))</f>
        <v/>
      </c>
      <c r="F513" s="24" t="str">
        <f>IF($P513="","",INDEX(BEMANNINGSPLAN!$J$5:$J$546,$P513))</f>
        <v/>
      </c>
      <c r="G513" s="24" t="str">
        <f>IF($P513="","",INDEX(BEMANNINGSPLAN!$AD$5:$AD$546,$P513))</f>
        <v/>
      </c>
      <c r="H513" s="24" t="str">
        <f>IF($P513="","",IF(AND(INDEX(BEMANNINGSPLAN!$Y$5:$Y$546,$P513)=1,G513&lt;&gt;"Minicafé"),"X",""))</f>
        <v/>
      </c>
      <c r="I513" s="24" t="str">
        <f>IF($P513="","",IF(INDEX(BEMANNINGSPLAN!$Y$5:$Y$546,$P513)=1,"X",""))</f>
        <v/>
      </c>
      <c r="J513" s="24" t="str">
        <f>IF($P513="","",IF(SUMIF(BEMANNINGSPLAN!$W$5:$W$546,INDEX(BEMANNINGSPLAN!$W$5:$W$546,$P513),BEMANNINGSPLAN!$Z$5:$Z$546)=1,"X",""))</f>
        <v/>
      </c>
      <c r="K513" s="24" t="str">
        <f>IF($P513="","",IFERROR(LOOKUP(2,1/((BEMANNINGSPLAN!$W$5:$W$546=INDEX(BEMANNINGSPLAN!$W$5:$W$546,$P513))*(BEMANNINGSPLAN!$L$5:$L$546&lt;&gt;"")),BEMANNINGSPLAN!$L$5:$L$546),""))</f>
        <v/>
      </c>
      <c r="L513" s="24" t="str">
        <f>IF($P513="","",INDEX(BEMANNINGSPLAN!$AE$5:$AE$546,$P513))</f>
        <v/>
      </c>
      <c r="O513" s="136">
        <f>IF(AND(BEMANNINGSPLAN!U511=1,OR($B$4="Alla lag",BEMANNINGSPLAN!J511=$B$4),OR($E$4="Alla datum",BEMANNINGSPLAN!A511=$E$4)),COUNT($O$6:O512)+1,"")</f>
        <v>96</v>
      </c>
      <c r="P513" s="136" t="str">
        <f t="shared" si="7"/>
        <v/>
      </c>
    </row>
    <row r="514" spans="1:16" ht="27.75" customHeight="1">
      <c r="A514" s="24" t="str">
        <f>IF($P514="","",INDEX(BEMANNINGSPLAN!$A$5:$A$546,$P514))</f>
        <v/>
      </c>
      <c r="B514" s="24" t="str">
        <f>IF($P514="","",INDEX(BEMANNINGSPLAN!$B$5:$B$546,$P514))</f>
        <v/>
      </c>
      <c r="C514" s="24" t="str">
        <f>IF($P514="","",INDEX(BEMANNINGSPLAN!$C$5:$C$546,$P514))</f>
        <v/>
      </c>
      <c r="D514" s="24" t="str">
        <f>IF($P514="","",INDEX(BEMANNINGSPLAN!$D$5:$D$546,$P514))</f>
        <v/>
      </c>
      <c r="E514" s="24" t="str">
        <f>IF($P514="","",SUMIF(BEMANNINGSPLAN!$W$5:$W$546,INDEX(BEMANNINGSPLAN!$W$5:$W$546,$P514),BEMANNINGSPLAN!$X$5:$X$546))</f>
        <v/>
      </c>
      <c r="F514" s="24" t="str">
        <f>IF($P514="","",INDEX(BEMANNINGSPLAN!$J$5:$J$546,$P514))</f>
        <v/>
      </c>
      <c r="G514" s="24" t="str">
        <f>IF($P514="","",INDEX(BEMANNINGSPLAN!$AD$5:$AD$546,$P514))</f>
        <v/>
      </c>
      <c r="H514" s="24" t="str">
        <f>IF($P514="","",IF(AND(INDEX(BEMANNINGSPLAN!$Y$5:$Y$546,$P514)=1,G514&lt;&gt;"Minicafé"),"X",""))</f>
        <v/>
      </c>
      <c r="I514" s="24" t="str">
        <f>IF($P514="","",IF(INDEX(BEMANNINGSPLAN!$Y$5:$Y$546,$P514)=1,"X",""))</f>
        <v/>
      </c>
      <c r="J514" s="24" t="str">
        <f>IF($P514="","",IF(SUMIF(BEMANNINGSPLAN!$W$5:$W$546,INDEX(BEMANNINGSPLAN!$W$5:$W$546,$P514),BEMANNINGSPLAN!$Z$5:$Z$546)=1,"X",""))</f>
        <v/>
      </c>
      <c r="K514" s="24" t="str">
        <f>IF($P514="","",IFERROR(LOOKUP(2,1/((BEMANNINGSPLAN!$W$5:$W$546=INDEX(BEMANNINGSPLAN!$W$5:$W$546,$P514))*(BEMANNINGSPLAN!$L$5:$L$546&lt;&gt;"")),BEMANNINGSPLAN!$L$5:$L$546),""))</f>
        <v/>
      </c>
      <c r="L514" s="24" t="str">
        <f>IF($P514="","",INDEX(BEMANNINGSPLAN!$AE$5:$AE$546,$P514))</f>
        <v/>
      </c>
      <c r="O514" s="136">
        <f>IF(AND(BEMANNINGSPLAN!U512=1,OR($B$4="Alla lag",BEMANNINGSPLAN!J512=$B$4),OR($E$4="Alla datum",BEMANNINGSPLAN!A512=$E$4)),COUNT($O$6:O513)+1,"")</f>
        <v>97</v>
      </c>
      <c r="P514" s="136" t="str">
        <f t="shared" si="7"/>
        <v/>
      </c>
    </row>
    <row r="515" spans="1:16" ht="27.75" customHeight="1">
      <c r="A515" s="24" t="str">
        <f>IF($P515="","",INDEX(BEMANNINGSPLAN!$A$5:$A$546,$P515))</f>
        <v/>
      </c>
      <c r="B515" s="24" t="str">
        <f>IF($P515="","",INDEX(BEMANNINGSPLAN!$B$5:$B$546,$P515))</f>
        <v/>
      </c>
      <c r="C515" s="24" t="str">
        <f>IF($P515="","",INDEX(BEMANNINGSPLAN!$C$5:$C$546,$P515))</f>
        <v/>
      </c>
      <c r="D515" s="24" t="str">
        <f>IF($P515="","",INDEX(BEMANNINGSPLAN!$D$5:$D$546,$P515))</f>
        <v/>
      </c>
      <c r="E515" s="24" t="str">
        <f>IF($P515="","",SUMIF(BEMANNINGSPLAN!$W$5:$W$546,INDEX(BEMANNINGSPLAN!$W$5:$W$546,$P515),BEMANNINGSPLAN!$X$5:$X$546))</f>
        <v/>
      </c>
      <c r="F515" s="24" t="str">
        <f>IF($P515="","",INDEX(BEMANNINGSPLAN!$J$5:$J$546,$P515))</f>
        <v/>
      </c>
      <c r="G515" s="24" t="str">
        <f>IF($P515="","",INDEX(BEMANNINGSPLAN!$AD$5:$AD$546,$P515))</f>
        <v/>
      </c>
      <c r="H515" s="24" t="str">
        <f>IF($P515="","",IF(AND(INDEX(BEMANNINGSPLAN!$Y$5:$Y$546,$P515)=1,G515&lt;&gt;"Minicafé"),"X",""))</f>
        <v/>
      </c>
      <c r="I515" s="24" t="str">
        <f>IF($P515="","",IF(INDEX(BEMANNINGSPLAN!$Y$5:$Y$546,$P515)=1,"X",""))</f>
        <v/>
      </c>
      <c r="J515" s="24" t="str">
        <f>IF($P515="","",IF(SUMIF(BEMANNINGSPLAN!$W$5:$W$546,INDEX(BEMANNINGSPLAN!$W$5:$W$546,$P515),BEMANNINGSPLAN!$Z$5:$Z$546)=1,"X",""))</f>
        <v/>
      </c>
      <c r="K515" s="24" t="str">
        <f>IF($P515="","",IFERROR(LOOKUP(2,1/((BEMANNINGSPLAN!$W$5:$W$546=INDEX(BEMANNINGSPLAN!$W$5:$W$546,$P515))*(BEMANNINGSPLAN!$L$5:$L$546&lt;&gt;"")),BEMANNINGSPLAN!$L$5:$L$546),""))</f>
        <v/>
      </c>
      <c r="L515" s="24" t="str">
        <f>IF($P515="","",INDEX(BEMANNINGSPLAN!$AE$5:$AE$546,$P515))</f>
        <v/>
      </c>
      <c r="O515" s="136">
        <f>IF(AND(BEMANNINGSPLAN!U513=1,OR($B$4="Alla lag",BEMANNINGSPLAN!J513=$B$4),OR($E$4="Alla datum",BEMANNINGSPLAN!A513=$E$4)),COUNT($O$6:O514)+1,"")</f>
        <v>98</v>
      </c>
      <c r="P515" s="136" t="str">
        <f t="shared" si="7"/>
        <v/>
      </c>
    </row>
    <row r="516" spans="1:16" ht="27.75" customHeight="1">
      <c r="A516" s="24" t="str">
        <f>IF($P516="","",INDEX(BEMANNINGSPLAN!$A$5:$A$546,$P516))</f>
        <v/>
      </c>
      <c r="B516" s="24" t="str">
        <f>IF($P516="","",INDEX(BEMANNINGSPLAN!$B$5:$B$546,$P516))</f>
        <v/>
      </c>
      <c r="C516" s="24" t="str">
        <f>IF($P516="","",INDEX(BEMANNINGSPLAN!$C$5:$C$546,$P516))</f>
        <v/>
      </c>
      <c r="D516" s="24" t="str">
        <f>IF($P516="","",INDEX(BEMANNINGSPLAN!$D$5:$D$546,$P516))</f>
        <v/>
      </c>
      <c r="E516" s="24" t="str">
        <f>IF($P516="","",SUMIF(BEMANNINGSPLAN!$W$5:$W$546,INDEX(BEMANNINGSPLAN!$W$5:$W$546,$P516),BEMANNINGSPLAN!$X$5:$X$546))</f>
        <v/>
      </c>
      <c r="F516" s="24" t="str">
        <f>IF($P516="","",INDEX(BEMANNINGSPLAN!$J$5:$J$546,$P516))</f>
        <v/>
      </c>
      <c r="G516" s="24" t="str">
        <f>IF($P516="","",INDEX(BEMANNINGSPLAN!$AD$5:$AD$546,$P516))</f>
        <v/>
      </c>
      <c r="H516" s="24" t="str">
        <f>IF($P516="","",IF(AND(INDEX(BEMANNINGSPLAN!$Y$5:$Y$546,$P516)=1,G516&lt;&gt;"Minicafé"),"X",""))</f>
        <v/>
      </c>
      <c r="I516" s="24" t="str">
        <f>IF($P516="","",IF(INDEX(BEMANNINGSPLAN!$Y$5:$Y$546,$P516)=1,"X",""))</f>
        <v/>
      </c>
      <c r="J516" s="24" t="str">
        <f>IF($P516="","",IF(SUMIF(BEMANNINGSPLAN!$W$5:$W$546,INDEX(BEMANNINGSPLAN!$W$5:$W$546,$P516),BEMANNINGSPLAN!$Z$5:$Z$546)=1,"X",""))</f>
        <v/>
      </c>
      <c r="K516" s="24" t="str">
        <f>IF($P516="","",IFERROR(LOOKUP(2,1/((BEMANNINGSPLAN!$W$5:$W$546=INDEX(BEMANNINGSPLAN!$W$5:$W$546,$P516))*(BEMANNINGSPLAN!$L$5:$L$546&lt;&gt;"")),BEMANNINGSPLAN!$L$5:$L$546),""))</f>
        <v/>
      </c>
      <c r="L516" s="24" t="str">
        <f>IF($P516="","",INDEX(BEMANNINGSPLAN!$AE$5:$AE$546,$P516))</f>
        <v/>
      </c>
      <c r="O516" s="136">
        <f>IF(AND(BEMANNINGSPLAN!U514=1,OR($B$4="Alla lag",BEMANNINGSPLAN!J514=$B$4),OR($E$4="Alla datum",BEMANNINGSPLAN!A514=$E$4)),COUNT($O$6:O515)+1,"")</f>
        <v>99</v>
      </c>
      <c r="P516" s="136" t="str">
        <f t="shared" si="7"/>
        <v/>
      </c>
    </row>
    <row r="517" spans="1:16" ht="27.75" customHeight="1">
      <c r="A517" s="24" t="str">
        <f>IF($P517="","",INDEX(BEMANNINGSPLAN!$A$5:$A$546,$P517))</f>
        <v/>
      </c>
      <c r="B517" s="24" t="str">
        <f>IF($P517="","",INDEX(BEMANNINGSPLAN!$B$5:$B$546,$P517))</f>
        <v/>
      </c>
      <c r="C517" s="24" t="str">
        <f>IF($P517="","",INDEX(BEMANNINGSPLAN!$C$5:$C$546,$P517))</f>
        <v/>
      </c>
      <c r="D517" s="24" t="str">
        <f>IF($P517="","",INDEX(BEMANNINGSPLAN!$D$5:$D$546,$P517))</f>
        <v/>
      </c>
      <c r="E517" s="24" t="str">
        <f>IF($P517="","",SUMIF(BEMANNINGSPLAN!$W$5:$W$546,INDEX(BEMANNINGSPLAN!$W$5:$W$546,$P517),BEMANNINGSPLAN!$X$5:$X$546))</f>
        <v/>
      </c>
      <c r="F517" s="24" t="str">
        <f>IF($P517="","",INDEX(BEMANNINGSPLAN!$J$5:$J$546,$P517))</f>
        <v/>
      </c>
      <c r="G517" s="24" t="str">
        <f>IF($P517="","",INDEX(BEMANNINGSPLAN!$AD$5:$AD$546,$P517))</f>
        <v/>
      </c>
      <c r="H517" s="24" t="str">
        <f>IF($P517="","",IF(AND(INDEX(BEMANNINGSPLAN!$Y$5:$Y$546,$P517)=1,G517&lt;&gt;"Minicafé"),"X",""))</f>
        <v/>
      </c>
      <c r="I517" s="24" t="str">
        <f>IF($P517="","",IF(INDEX(BEMANNINGSPLAN!$Y$5:$Y$546,$P517)=1,"X",""))</f>
        <v/>
      </c>
      <c r="J517" s="24" t="str">
        <f>IF($P517="","",IF(SUMIF(BEMANNINGSPLAN!$W$5:$W$546,INDEX(BEMANNINGSPLAN!$W$5:$W$546,$P517),BEMANNINGSPLAN!$Z$5:$Z$546)=1,"X",""))</f>
        <v/>
      </c>
      <c r="K517" s="24" t="str">
        <f>IF($P517="","",IFERROR(LOOKUP(2,1/((BEMANNINGSPLAN!$W$5:$W$546=INDEX(BEMANNINGSPLAN!$W$5:$W$546,$P517))*(BEMANNINGSPLAN!$L$5:$L$546&lt;&gt;"")),BEMANNINGSPLAN!$L$5:$L$546),""))</f>
        <v/>
      </c>
      <c r="L517" s="24" t="str">
        <f>IF($P517="","",INDEX(BEMANNINGSPLAN!$AE$5:$AE$546,$P517))</f>
        <v/>
      </c>
      <c r="O517" s="136">
        <f>IF(AND(BEMANNINGSPLAN!U515=1,OR($B$4="Alla lag",BEMANNINGSPLAN!J515=$B$4),OR($E$4="Alla datum",BEMANNINGSPLAN!A515=$E$4)),COUNT($O$6:O516)+1,"")</f>
        <v>100</v>
      </c>
      <c r="P517" s="136" t="str">
        <f t="shared" si="7"/>
        <v/>
      </c>
    </row>
    <row r="518" spans="1:16" ht="27.75" customHeight="1">
      <c r="A518" s="24" t="str">
        <f>IF($P518="","",INDEX(BEMANNINGSPLAN!$A$5:$A$546,$P518))</f>
        <v/>
      </c>
      <c r="B518" s="24" t="str">
        <f>IF($P518="","",INDEX(BEMANNINGSPLAN!$B$5:$B$546,$P518))</f>
        <v/>
      </c>
      <c r="C518" s="24" t="str">
        <f>IF($P518="","",INDEX(BEMANNINGSPLAN!$C$5:$C$546,$P518))</f>
        <v/>
      </c>
      <c r="D518" s="24" t="str">
        <f>IF($P518="","",INDEX(BEMANNINGSPLAN!$D$5:$D$546,$P518))</f>
        <v/>
      </c>
      <c r="E518" s="24" t="str">
        <f>IF($P518="","",SUMIF(BEMANNINGSPLAN!$W$5:$W$546,INDEX(BEMANNINGSPLAN!$W$5:$W$546,$P518),BEMANNINGSPLAN!$X$5:$X$546))</f>
        <v/>
      </c>
      <c r="F518" s="24" t="str">
        <f>IF($P518="","",INDEX(BEMANNINGSPLAN!$J$5:$J$546,$P518))</f>
        <v/>
      </c>
      <c r="G518" s="24" t="str">
        <f>IF($P518="","",INDEX(BEMANNINGSPLAN!$AD$5:$AD$546,$P518))</f>
        <v/>
      </c>
      <c r="H518" s="24" t="str">
        <f>IF($P518="","",IF(AND(INDEX(BEMANNINGSPLAN!$Y$5:$Y$546,$P518)=1,G518&lt;&gt;"Minicafé"),"X",""))</f>
        <v/>
      </c>
      <c r="I518" s="24" t="str">
        <f>IF($P518="","",IF(INDEX(BEMANNINGSPLAN!$Y$5:$Y$546,$P518)=1,"X",""))</f>
        <v/>
      </c>
      <c r="J518" s="24" t="str">
        <f>IF($P518="","",IF(SUMIF(BEMANNINGSPLAN!$W$5:$W$546,INDEX(BEMANNINGSPLAN!$W$5:$W$546,$P518),BEMANNINGSPLAN!$Z$5:$Z$546)=1,"X",""))</f>
        <v/>
      </c>
      <c r="K518" s="24" t="str">
        <f>IF($P518="","",IFERROR(LOOKUP(2,1/((BEMANNINGSPLAN!$W$5:$W$546=INDEX(BEMANNINGSPLAN!$W$5:$W$546,$P518))*(BEMANNINGSPLAN!$L$5:$L$546&lt;&gt;"")),BEMANNINGSPLAN!$L$5:$L$546),""))</f>
        <v/>
      </c>
      <c r="L518" s="24" t="str">
        <f>IF($P518="","",INDEX(BEMANNINGSPLAN!$AE$5:$AE$546,$P518))</f>
        <v/>
      </c>
      <c r="O518" s="136">
        <f>IF(AND(BEMANNINGSPLAN!U516=1,OR($B$4="Alla lag",BEMANNINGSPLAN!J516=$B$4),OR($E$4="Alla datum",BEMANNINGSPLAN!A516=$E$4)),COUNT($O$6:O517)+1,"")</f>
        <v>101</v>
      </c>
      <c r="P518" s="136" t="str">
        <f t="shared" si="7"/>
        <v/>
      </c>
    </row>
    <row r="519" spans="1:16" ht="27.75" customHeight="1">
      <c r="A519" s="24" t="str">
        <f>IF($P519="","",INDEX(BEMANNINGSPLAN!$A$5:$A$546,$P519))</f>
        <v/>
      </c>
      <c r="B519" s="24" t="str">
        <f>IF($P519="","",INDEX(BEMANNINGSPLAN!$B$5:$B$546,$P519))</f>
        <v/>
      </c>
      <c r="C519" s="24" t="str">
        <f>IF($P519="","",INDEX(BEMANNINGSPLAN!$C$5:$C$546,$P519))</f>
        <v/>
      </c>
      <c r="D519" s="24" t="str">
        <f>IF($P519="","",INDEX(BEMANNINGSPLAN!$D$5:$D$546,$P519))</f>
        <v/>
      </c>
      <c r="E519" s="24" t="str">
        <f>IF($P519="","",SUMIF(BEMANNINGSPLAN!$W$5:$W$546,INDEX(BEMANNINGSPLAN!$W$5:$W$546,$P519),BEMANNINGSPLAN!$X$5:$X$546))</f>
        <v/>
      </c>
      <c r="F519" s="24" t="str">
        <f>IF($P519="","",INDEX(BEMANNINGSPLAN!$J$5:$J$546,$P519))</f>
        <v/>
      </c>
      <c r="G519" s="24" t="str">
        <f>IF($P519="","",INDEX(BEMANNINGSPLAN!$AD$5:$AD$546,$P519))</f>
        <v/>
      </c>
      <c r="H519" s="24" t="str">
        <f>IF($P519="","",IF(AND(INDEX(BEMANNINGSPLAN!$Y$5:$Y$546,$P519)=1,G519&lt;&gt;"Minicafé"),"X",""))</f>
        <v/>
      </c>
      <c r="I519" s="24" t="str">
        <f>IF($P519="","",IF(INDEX(BEMANNINGSPLAN!$Y$5:$Y$546,$P519)=1,"X",""))</f>
        <v/>
      </c>
      <c r="J519" s="24" t="str">
        <f>IF($P519="","",IF(SUMIF(BEMANNINGSPLAN!$W$5:$W$546,INDEX(BEMANNINGSPLAN!$W$5:$W$546,$P519),BEMANNINGSPLAN!$Z$5:$Z$546)=1,"X",""))</f>
        <v/>
      </c>
      <c r="K519" s="24" t="str">
        <f>IF($P519="","",IFERROR(LOOKUP(2,1/((BEMANNINGSPLAN!$W$5:$W$546=INDEX(BEMANNINGSPLAN!$W$5:$W$546,$P519))*(BEMANNINGSPLAN!$L$5:$L$546&lt;&gt;"")),BEMANNINGSPLAN!$L$5:$L$546),""))</f>
        <v/>
      </c>
      <c r="L519" s="24" t="str">
        <f>IF($P519="","",INDEX(BEMANNINGSPLAN!$AE$5:$AE$546,$P519))</f>
        <v/>
      </c>
      <c r="O519" s="136">
        <f>IF(AND(BEMANNINGSPLAN!U517=1,OR($B$4="Alla lag",BEMANNINGSPLAN!J517=$B$4),OR($E$4="Alla datum",BEMANNINGSPLAN!A517=$E$4)),COUNT($O$6:O518)+1,"")</f>
        <v>102</v>
      </c>
      <c r="P519" s="136" t="str">
        <f t="shared" ref="P519:P560" si="8">IFERROR(MATCH(ROW()-ROW($P$7)+1,$O$7:$O$548,0),"")</f>
        <v/>
      </c>
    </row>
    <row r="520" spans="1:16" ht="27.75" customHeight="1">
      <c r="A520" s="24" t="str">
        <f>IF($P520="","",INDEX(BEMANNINGSPLAN!$A$5:$A$546,$P520))</f>
        <v/>
      </c>
      <c r="B520" s="24" t="str">
        <f>IF($P520="","",INDEX(BEMANNINGSPLAN!$B$5:$B$546,$P520))</f>
        <v/>
      </c>
      <c r="C520" s="24" t="str">
        <f>IF($P520="","",INDEX(BEMANNINGSPLAN!$C$5:$C$546,$P520))</f>
        <v/>
      </c>
      <c r="D520" s="24" t="str">
        <f>IF($P520="","",INDEX(BEMANNINGSPLAN!$D$5:$D$546,$P520))</f>
        <v/>
      </c>
      <c r="E520" s="24" t="str">
        <f>IF($P520="","",SUMIF(BEMANNINGSPLAN!$W$5:$W$546,INDEX(BEMANNINGSPLAN!$W$5:$W$546,$P520),BEMANNINGSPLAN!$X$5:$X$546))</f>
        <v/>
      </c>
      <c r="F520" s="24" t="str">
        <f>IF($P520="","",INDEX(BEMANNINGSPLAN!$J$5:$J$546,$P520))</f>
        <v/>
      </c>
      <c r="G520" s="24" t="str">
        <f>IF($P520="","",INDEX(BEMANNINGSPLAN!$AD$5:$AD$546,$P520))</f>
        <v/>
      </c>
      <c r="H520" s="24" t="str">
        <f>IF($P520="","",IF(AND(INDEX(BEMANNINGSPLAN!$Y$5:$Y$546,$P520)=1,G520&lt;&gt;"Minicafé"),"X",""))</f>
        <v/>
      </c>
      <c r="I520" s="24" t="str">
        <f>IF($P520="","",IF(INDEX(BEMANNINGSPLAN!$Y$5:$Y$546,$P520)=1,"X",""))</f>
        <v/>
      </c>
      <c r="J520" s="24" t="str">
        <f>IF($P520="","",IF(SUMIF(BEMANNINGSPLAN!$W$5:$W$546,INDEX(BEMANNINGSPLAN!$W$5:$W$546,$P520),BEMANNINGSPLAN!$Z$5:$Z$546)=1,"X",""))</f>
        <v/>
      </c>
      <c r="K520" s="24" t="str">
        <f>IF($P520="","",IFERROR(LOOKUP(2,1/((BEMANNINGSPLAN!$W$5:$W$546=INDEX(BEMANNINGSPLAN!$W$5:$W$546,$P520))*(BEMANNINGSPLAN!$L$5:$L$546&lt;&gt;"")),BEMANNINGSPLAN!$L$5:$L$546),""))</f>
        <v/>
      </c>
      <c r="L520" s="24" t="str">
        <f>IF($P520="","",INDEX(BEMANNINGSPLAN!$AE$5:$AE$546,$P520))</f>
        <v/>
      </c>
      <c r="O520" s="136">
        <f>IF(AND(BEMANNINGSPLAN!U518=1,OR($B$4="Alla lag",BEMANNINGSPLAN!J518=$B$4),OR($E$4="Alla datum",BEMANNINGSPLAN!A518=$E$4)),COUNT($O$6:O519)+1,"")</f>
        <v>103</v>
      </c>
      <c r="P520" s="136" t="str">
        <f t="shared" si="8"/>
        <v/>
      </c>
    </row>
    <row r="521" spans="1:16" ht="27.75" customHeight="1">
      <c r="A521" s="24" t="str">
        <f>IF($P521="","",INDEX(BEMANNINGSPLAN!$A$5:$A$546,$P521))</f>
        <v/>
      </c>
      <c r="B521" s="24" t="str">
        <f>IF($P521="","",INDEX(BEMANNINGSPLAN!$B$5:$B$546,$P521))</f>
        <v/>
      </c>
      <c r="C521" s="24" t="str">
        <f>IF($P521="","",INDEX(BEMANNINGSPLAN!$C$5:$C$546,$P521))</f>
        <v/>
      </c>
      <c r="D521" s="24" t="str">
        <f>IF($P521="","",INDEX(BEMANNINGSPLAN!$D$5:$D$546,$P521))</f>
        <v/>
      </c>
      <c r="E521" s="24" t="str">
        <f>IF($P521="","",SUMIF(BEMANNINGSPLAN!$W$5:$W$546,INDEX(BEMANNINGSPLAN!$W$5:$W$546,$P521),BEMANNINGSPLAN!$X$5:$X$546))</f>
        <v/>
      </c>
      <c r="F521" s="24" t="str">
        <f>IF($P521="","",INDEX(BEMANNINGSPLAN!$J$5:$J$546,$P521))</f>
        <v/>
      </c>
      <c r="G521" s="24" t="str">
        <f>IF($P521="","",INDEX(BEMANNINGSPLAN!$AD$5:$AD$546,$P521))</f>
        <v/>
      </c>
      <c r="H521" s="24" t="str">
        <f>IF($P521="","",IF(AND(INDEX(BEMANNINGSPLAN!$Y$5:$Y$546,$P521)=1,G521&lt;&gt;"Minicafé"),"X",""))</f>
        <v/>
      </c>
      <c r="I521" s="24" t="str">
        <f>IF($P521="","",IF(INDEX(BEMANNINGSPLAN!$Y$5:$Y$546,$P521)=1,"X",""))</f>
        <v/>
      </c>
      <c r="J521" s="24" t="str">
        <f>IF($P521="","",IF(SUMIF(BEMANNINGSPLAN!$W$5:$W$546,INDEX(BEMANNINGSPLAN!$W$5:$W$546,$P521),BEMANNINGSPLAN!$Z$5:$Z$546)=1,"X",""))</f>
        <v/>
      </c>
      <c r="K521" s="24" t="str">
        <f>IF($P521="","",IFERROR(LOOKUP(2,1/((BEMANNINGSPLAN!$W$5:$W$546=INDEX(BEMANNINGSPLAN!$W$5:$W$546,$P521))*(BEMANNINGSPLAN!$L$5:$L$546&lt;&gt;"")),BEMANNINGSPLAN!$L$5:$L$546),""))</f>
        <v/>
      </c>
      <c r="L521" s="24" t="str">
        <f>IF($P521="","",INDEX(BEMANNINGSPLAN!$AE$5:$AE$546,$P521))</f>
        <v/>
      </c>
      <c r="O521" s="136">
        <f>IF(AND(BEMANNINGSPLAN!U519=1,OR($B$4="Alla lag",BEMANNINGSPLAN!J519=$B$4),OR($E$4="Alla datum",BEMANNINGSPLAN!A519=$E$4)),COUNT($O$6:O520)+1,"")</f>
        <v>104</v>
      </c>
      <c r="P521" s="136" t="str">
        <f t="shared" si="8"/>
        <v/>
      </c>
    </row>
    <row r="522" spans="1:16" ht="27.75" customHeight="1">
      <c r="A522" s="24" t="str">
        <f>IF($P522="","",INDEX(BEMANNINGSPLAN!$A$5:$A$546,$P522))</f>
        <v/>
      </c>
      <c r="B522" s="24" t="str">
        <f>IF($P522="","",INDEX(BEMANNINGSPLAN!$B$5:$B$546,$P522))</f>
        <v/>
      </c>
      <c r="C522" s="24" t="str">
        <f>IF($P522="","",INDEX(BEMANNINGSPLAN!$C$5:$C$546,$P522))</f>
        <v/>
      </c>
      <c r="D522" s="24" t="str">
        <f>IF($P522="","",INDEX(BEMANNINGSPLAN!$D$5:$D$546,$P522))</f>
        <v/>
      </c>
      <c r="E522" s="24" t="str">
        <f>IF($P522="","",SUMIF(BEMANNINGSPLAN!$W$5:$W$546,INDEX(BEMANNINGSPLAN!$W$5:$W$546,$P522),BEMANNINGSPLAN!$X$5:$X$546))</f>
        <v/>
      </c>
      <c r="F522" s="24" t="str">
        <f>IF($P522="","",INDEX(BEMANNINGSPLAN!$J$5:$J$546,$P522))</f>
        <v/>
      </c>
      <c r="G522" s="24" t="str">
        <f>IF($P522="","",INDEX(BEMANNINGSPLAN!$AD$5:$AD$546,$P522))</f>
        <v/>
      </c>
      <c r="H522" s="24" t="str">
        <f>IF($P522="","",IF(AND(INDEX(BEMANNINGSPLAN!$Y$5:$Y$546,$P522)=1,G522&lt;&gt;"Minicafé"),"X",""))</f>
        <v/>
      </c>
      <c r="I522" s="24" t="str">
        <f>IF($P522="","",IF(INDEX(BEMANNINGSPLAN!$Y$5:$Y$546,$P522)=1,"X",""))</f>
        <v/>
      </c>
      <c r="J522" s="24" t="str">
        <f>IF($P522="","",IF(SUMIF(BEMANNINGSPLAN!$W$5:$W$546,INDEX(BEMANNINGSPLAN!$W$5:$W$546,$P522),BEMANNINGSPLAN!$Z$5:$Z$546)=1,"X",""))</f>
        <v/>
      </c>
      <c r="K522" s="24" t="str">
        <f>IF($P522="","",IFERROR(LOOKUP(2,1/((BEMANNINGSPLAN!$W$5:$W$546=INDEX(BEMANNINGSPLAN!$W$5:$W$546,$P522))*(BEMANNINGSPLAN!$L$5:$L$546&lt;&gt;"")),BEMANNINGSPLAN!$L$5:$L$546),""))</f>
        <v/>
      </c>
      <c r="L522" s="24" t="str">
        <f>IF($P522="","",INDEX(BEMANNINGSPLAN!$AE$5:$AE$546,$P522))</f>
        <v/>
      </c>
      <c r="O522" s="136">
        <f>IF(AND(BEMANNINGSPLAN!U520=1,OR($B$4="Alla lag",BEMANNINGSPLAN!J520=$B$4),OR($E$4="Alla datum",BEMANNINGSPLAN!A520=$E$4)),COUNT($O$6:O521)+1,"")</f>
        <v>105</v>
      </c>
      <c r="P522" s="136" t="str">
        <f t="shared" si="8"/>
        <v/>
      </c>
    </row>
    <row r="523" spans="1:16" ht="27.75" customHeight="1">
      <c r="A523" s="24" t="str">
        <f>IF($P523="","",INDEX(BEMANNINGSPLAN!$A$5:$A$546,$P523))</f>
        <v/>
      </c>
      <c r="B523" s="24" t="str">
        <f>IF($P523="","",INDEX(BEMANNINGSPLAN!$B$5:$B$546,$P523))</f>
        <v/>
      </c>
      <c r="C523" s="24" t="str">
        <f>IF($P523="","",INDEX(BEMANNINGSPLAN!$C$5:$C$546,$P523))</f>
        <v/>
      </c>
      <c r="D523" s="24" t="str">
        <f>IF($P523="","",INDEX(BEMANNINGSPLAN!$D$5:$D$546,$P523))</f>
        <v/>
      </c>
      <c r="E523" s="24" t="str">
        <f>IF($P523="","",SUMIF(BEMANNINGSPLAN!$W$5:$W$546,INDEX(BEMANNINGSPLAN!$W$5:$W$546,$P523),BEMANNINGSPLAN!$X$5:$X$546))</f>
        <v/>
      </c>
      <c r="F523" s="24" t="str">
        <f>IF($P523="","",INDEX(BEMANNINGSPLAN!$J$5:$J$546,$P523))</f>
        <v/>
      </c>
      <c r="G523" s="24" t="str">
        <f>IF($P523="","",INDEX(BEMANNINGSPLAN!$AD$5:$AD$546,$P523))</f>
        <v/>
      </c>
      <c r="H523" s="24" t="str">
        <f>IF($P523="","",IF(AND(INDEX(BEMANNINGSPLAN!$Y$5:$Y$546,$P523)=1,G523&lt;&gt;"Minicafé"),"X",""))</f>
        <v/>
      </c>
      <c r="I523" s="24" t="str">
        <f>IF($P523="","",IF(INDEX(BEMANNINGSPLAN!$Y$5:$Y$546,$P523)=1,"X",""))</f>
        <v/>
      </c>
      <c r="J523" s="24" t="str">
        <f>IF($P523="","",IF(SUMIF(BEMANNINGSPLAN!$W$5:$W$546,INDEX(BEMANNINGSPLAN!$W$5:$W$546,$P523),BEMANNINGSPLAN!$Z$5:$Z$546)=1,"X",""))</f>
        <v/>
      </c>
      <c r="K523" s="24" t="str">
        <f>IF($P523="","",IFERROR(LOOKUP(2,1/((BEMANNINGSPLAN!$W$5:$W$546=INDEX(BEMANNINGSPLAN!$W$5:$W$546,$P523))*(BEMANNINGSPLAN!$L$5:$L$546&lt;&gt;"")),BEMANNINGSPLAN!$L$5:$L$546),""))</f>
        <v/>
      </c>
      <c r="L523" s="24" t="str">
        <f>IF($P523="","",INDEX(BEMANNINGSPLAN!$AE$5:$AE$546,$P523))</f>
        <v/>
      </c>
      <c r="O523" s="136" t="str">
        <f>IF(AND(BEMANNINGSPLAN!U521=1,OR($B$4="Alla lag",BEMANNINGSPLAN!J521=$B$4),OR($E$4="Alla datum",BEMANNINGSPLAN!A521=$E$4)),COUNT($O$6:O522)+1,"")</f>
        <v/>
      </c>
      <c r="P523" s="136" t="str">
        <f t="shared" si="8"/>
        <v/>
      </c>
    </row>
    <row r="524" spans="1:16" ht="27.75" customHeight="1">
      <c r="A524" s="24" t="str">
        <f>IF($P524="","",INDEX(BEMANNINGSPLAN!$A$5:$A$546,$P524))</f>
        <v/>
      </c>
      <c r="B524" s="24" t="str">
        <f>IF($P524="","",INDEX(BEMANNINGSPLAN!$B$5:$B$546,$P524))</f>
        <v/>
      </c>
      <c r="C524" s="24" t="str">
        <f>IF($P524="","",INDEX(BEMANNINGSPLAN!$C$5:$C$546,$P524))</f>
        <v/>
      </c>
      <c r="D524" s="24" t="str">
        <f>IF($P524="","",INDEX(BEMANNINGSPLAN!$D$5:$D$546,$P524))</f>
        <v/>
      </c>
      <c r="E524" s="24" t="str">
        <f>IF($P524="","",SUMIF(BEMANNINGSPLAN!$W$5:$W$546,INDEX(BEMANNINGSPLAN!$W$5:$W$546,$P524),BEMANNINGSPLAN!$X$5:$X$546))</f>
        <v/>
      </c>
      <c r="F524" s="24" t="str">
        <f>IF($P524="","",INDEX(BEMANNINGSPLAN!$J$5:$J$546,$P524))</f>
        <v/>
      </c>
      <c r="G524" s="24" t="str">
        <f>IF($P524="","",INDEX(BEMANNINGSPLAN!$AD$5:$AD$546,$P524))</f>
        <v/>
      </c>
      <c r="H524" s="24" t="str">
        <f>IF($P524="","",IF(AND(INDEX(BEMANNINGSPLAN!$Y$5:$Y$546,$P524)=1,G524&lt;&gt;"Minicafé"),"X",""))</f>
        <v/>
      </c>
      <c r="I524" s="24" t="str">
        <f>IF($P524="","",IF(INDEX(BEMANNINGSPLAN!$Y$5:$Y$546,$P524)=1,"X",""))</f>
        <v/>
      </c>
      <c r="J524" s="24" t="str">
        <f>IF($P524="","",IF(SUMIF(BEMANNINGSPLAN!$W$5:$W$546,INDEX(BEMANNINGSPLAN!$W$5:$W$546,$P524),BEMANNINGSPLAN!$Z$5:$Z$546)=1,"X",""))</f>
        <v/>
      </c>
      <c r="K524" s="24" t="str">
        <f>IF($P524="","",IFERROR(LOOKUP(2,1/((BEMANNINGSPLAN!$W$5:$W$546=INDEX(BEMANNINGSPLAN!$W$5:$W$546,$P524))*(BEMANNINGSPLAN!$L$5:$L$546&lt;&gt;"")),BEMANNINGSPLAN!$L$5:$L$546),""))</f>
        <v/>
      </c>
      <c r="L524" s="24" t="str">
        <f>IF($P524="","",INDEX(BEMANNINGSPLAN!$AE$5:$AE$546,$P524))</f>
        <v/>
      </c>
      <c r="O524" s="136" t="str">
        <f>IF(AND(BEMANNINGSPLAN!U522=1,OR($B$4="Alla lag",BEMANNINGSPLAN!J522=$B$4),OR($E$4="Alla datum",BEMANNINGSPLAN!A522=$E$4)),COUNT($O$6:O523)+1,"")</f>
        <v/>
      </c>
      <c r="P524" s="136" t="str">
        <f t="shared" si="8"/>
        <v/>
      </c>
    </row>
    <row r="525" spans="1:16" ht="27.75" customHeight="1">
      <c r="A525" s="24" t="str">
        <f>IF($P525="","",INDEX(BEMANNINGSPLAN!$A$5:$A$546,$P525))</f>
        <v/>
      </c>
      <c r="B525" s="24" t="str">
        <f>IF($P525="","",INDEX(BEMANNINGSPLAN!$B$5:$B$546,$P525))</f>
        <v/>
      </c>
      <c r="C525" s="24" t="str">
        <f>IF($P525="","",INDEX(BEMANNINGSPLAN!$C$5:$C$546,$P525))</f>
        <v/>
      </c>
      <c r="D525" s="24" t="str">
        <f>IF($P525="","",INDEX(BEMANNINGSPLAN!$D$5:$D$546,$P525))</f>
        <v/>
      </c>
      <c r="E525" s="24" t="str">
        <f>IF($P525="","",SUMIF(BEMANNINGSPLAN!$W$5:$W$546,INDEX(BEMANNINGSPLAN!$W$5:$W$546,$P525),BEMANNINGSPLAN!$X$5:$X$546))</f>
        <v/>
      </c>
      <c r="F525" s="24" t="str">
        <f>IF($P525="","",INDEX(BEMANNINGSPLAN!$J$5:$J$546,$P525))</f>
        <v/>
      </c>
      <c r="G525" s="24" t="str">
        <f>IF($P525="","",INDEX(BEMANNINGSPLAN!$AD$5:$AD$546,$P525))</f>
        <v/>
      </c>
      <c r="H525" s="24" t="str">
        <f>IF($P525="","",IF(AND(INDEX(BEMANNINGSPLAN!$Y$5:$Y$546,$P525)=1,G525&lt;&gt;"Minicafé"),"X",""))</f>
        <v/>
      </c>
      <c r="I525" s="24" t="str">
        <f>IF($P525="","",IF(INDEX(BEMANNINGSPLAN!$Y$5:$Y$546,$P525)=1,"X",""))</f>
        <v/>
      </c>
      <c r="J525" s="24" t="str">
        <f>IF($P525="","",IF(SUMIF(BEMANNINGSPLAN!$W$5:$W$546,INDEX(BEMANNINGSPLAN!$W$5:$W$546,$P525),BEMANNINGSPLAN!$Z$5:$Z$546)=1,"X",""))</f>
        <v/>
      </c>
      <c r="K525" s="24" t="str">
        <f>IF($P525="","",IFERROR(LOOKUP(2,1/((BEMANNINGSPLAN!$W$5:$W$546=INDEX(BEMANNINGSPLAN!$W$5:$W$546,$P525))*(BEMANNINGSPLAN!$L$5:$L$546&lt;&gt;"")),BEMANNINGSPLAN!$L$5:$L$546),""))</f>
        <v/>
      </c>
      <c r="L525" s="24" t="str">
        <f>IF($P525="","",INDEX(BEMANNINGSPLAN!$AE$5:$AE$546,$P525))</f>
        <v/>
      </c>
      <c r="O525" s="136" t="str">
        <f>IF(AND(BEMANNINGSPLAN!U523=1,OR($B$4="Alla lag",BEMANNINGSPLAN!J523=$B$4),OR($E$4="Alla datum",BEMANNINGSPLAN!A523=$E$4)),COUNT($O$6:O524)+1,"")</f>
        <v/>
      </c>
      <c r="P525" s="136" t="str">
        <f t="shared" si="8"/>
        <v/>
      </c>
    </row>
    <row r="526" spans="1:16" ht="27.75" customHeight="1">
      <c r="A526" s="24" t="str">
        <f>IF($P526="","",INDEX(BEMANNINGSPLAN!$A$5:$A$546,$P526))</f>
        <v/>
      </c>
      <c r="B526" s="24" t="str">
        <f>IF($P526="","",INDEX(BEMANNINGSPLAN!$B$5:$B$546,$P526))</f>
        <v/>
      </c>
      <c r="C526" s="24" t="str">
        <f>IF($P526="","",INDEX(BEMANNINGSPLAN!$C$5:$C$546,$P526))</f>
        <v/>
      </c>
      <c r="D526" s="24" t="str">
        <f>IF($P526="","",INDEX(BEMANNINGSPLAN!$D$5:$D$546,$P526))</f>
        <v/>
      </c>
      <c r="E526" s="24" t="str">
        <f>IF($P526="","",SUMIF(BEMANNINGSPLAN!$W$5:$W$546,INDEX(BEMANNINGSPLAN!$W$5:$W$546,$P526),BEMANNINGSPLAN!$X$5:$X$546))</f>
        <v/>
      </c>
      <c r="F526" s="24" t="str">
        <f>IF($P526="","",INDEX(BEMANNINGSPLAN!$J$5:$J$546,$P526))</f>
        <v/>
      </c>
      <c r="G526" s="24" t="str">
        <f>IF($P526="","",INDEX(BEMANNINGSPLAN!$AD$5:$AD$546,$P526))</f>
        <v/>
      </c>
      <c r="H526" s="24" t="str">
        <f>IF($P526="","",IF(AND(INDEX(BEMANNINGSPLAN!$Y$5:$Y$546,$P526)=1,G526&lt;&gt;"Minicafé"),"X",""))</f>
        <v/>
      </c>
      <c r="I526" s="24" t="str">
        <f>IF($P526="","",IF(INDEX(BEMANNINGSPLAN!$Y$5:$Y$546,$P526)=1,"X",""))</f>
        <v/>
      </c>
      <c r="J526" s="24" t="str">
        <f>IF($P526="","",IF(SUMIF(BEMANNINGSPLAN!$W$5:$W$546,INDEX(BEMANNINGSPLAN!$W$5:$W$546,$P526),BEMANNINGSPLAN!$Z$5:$Z$546)=1,"X",""))</f>
        <v/>
      </c>
      <c r="K526" s="24" t="str">
        <f>IF($P526="","",IFERROR(LOOKUP(2,1/((BEMANNINGSPLAN!$W$5:$W$546=INDEX(BEMANNINGSPLAN!$W$5:$W$546,$P526))*(BEMANNINGSPLAN!$L$5:$L$546&lt;&gt;"")),BEMANNINGSPLAN!$L$5:$L$546),""))</f>
        <v/>
      </c>
      <c r="L526" s="24" t="str">
        <f>IF($P526="","",INDEX(BEMANNINGSPLAN!$AE$5:$AE$546,$P526))</f>
        <v/>
      </c>
      <c r="O526" s="136" t="str">
        <f>IF(AND(BEMANNINGSPLAN!U524=1,OR($B$4="Alla lag",BEMANNINGSPLAN!J524=$B$4),OR($E$4="Alla datum",BEMANNINGSPLAN!A524=$E$4)),COUNT($O$6:O525)+1,"")</f>
        <v/>
      </c>
      <c r="P526" s="136" t="str">
        <f t="shared" si="8"/>
        <v/>
      </c>
    </row>
    <row r="527" spans="1:16" ht="27.75" customHeight="1">
      <c r="A527" s="24" t="str">
        <f>IF($P527="","",INDEX(BEMANNINGSPLAN!$A$5:$A$546,$P527))</f>
        <v/>
      </c>
      <c r="B527" s="24" t="str">
        <f>IF($P527="","",INDEX(BEMANNINGSPLAN!$B$5:$B$546,$P527))</f>
        <v/>
      </c>
      <c r="C527" s="24" t="str">
        <f>IF($P527="","",INDEX(BEMANNINGSPLAN!$C$5:$C$546,$P527))</f>
        <v/>
      </c>
      <c r="D527" s="24" t="str">
        <f>IF($P527="","",INDEX(BEMANNINGSPLAN!$D$5:$D$546,$P527))</f>
        <v/>
      </c>
      <c r="E527" s="24" t="str">
        <f>IF($P527="","",SUMIF(BEMANNINGSPLAN!$W$5:$W$546,INDEX(BEMANNINGSPLAN!$W$5:$W$546,$P527),BEMANNINGSPLAN!$X$5:$X$546))</f>
        <v/>
      </c>
      <c r="F527" s="24" t="str">
        <f>IF($P527="","",INDEX(BEMANNINGSPLAN!$J$5:$J$546,$P527))</f>
        <v/>
      </c>
      <c r="G527" s="24" t="str">
        <f>IF($P527="","",INDEX(BEMANNINGSPLAN!$AD$5:$AD$546,$P527))</f>
        <v/>
      </c>
      <c r="H527" s="24" t="str">
        <f>IF($P527="","",IF(AND(INDEX(BEMANNINGSPLAN!$Y$5:$Y$546,$P527)=1,G527&lt;&gt;"Minicafé"),"X",""))</f>
        <v/>
      </c>
      <c r="I527" s="24" t="str">
        <f>IF($P527="","",IF(INDEX(BEMANNINGSPLAN!$Y$5:$Y$546,$P527)=1,"X",""))</f>
        <v/>
      </c>
      <c r="J527" s="24" t="str">
        <f>IF($P527="","",IF(SUMIF(BEMANNINGSPLAN!$W$5:$W$546,INDEX(BEMANNINGSPLAN!$W$5:$W$546,$P527),BEMANNINGSPLAN!$Z$5:$Z$546)=1,"X",""))</f>
        <v/>
      </c>
      <c r="K527" s="24" t="str">
        <f>IF($P527="","",IFERROR(LOOKUP(2,1/((BEMANNINGSPLAN!$W$5:$W$546=INDEX(BEMANNINGSPLAN!$W$5:$W$546,$P527))*(BEMANNINGSPLAN!$L$5:$L$546&lt;&gt;"")),BEMANNINGSPLAN!$L$5:$L$546),""))</f>
        <v/>
      </c>
      <c r="L527" s="24" t="str">
        <f>IF($P527="","",INDEX(BEMANNINGSPLAN!$AE$5:$AE$546,$P527))</f>
        <v/>
      </c>
      <c r="O527" s="136">
        <f>IF(AND(BEMANNINGSPLAN!U525=1,OR($B$4="Alla lag",BEMANNINGSPLAN!J525=$B$4),OR($E$4="Alla datum",BEMANNINGSPLAN!A525=$E$4)),COUNT($O$6:O526)+1,"")</f>
        <v>106</v>
      </c>
      <c r="P527" s="136" t="str">
        <f t="shared" si="8"/>
        <v/>
      </c>
    </row>
    <row r="528" spans="1:16" ht="27.75" customHeight="1">
      <c r="A528" s="24" t="str">
        <f>IF($P528="","",INDEX(BEMANNINGSPLAN!$A$5:$A$546,$P528))</f>
        <v/>
      </c>
      <c r="B528" s="24" t="str">
        <f>IF($P528="","",INDEX(BEMANNINGSPLAN!$B$5:$B$546,$P528))</f>
        <v/>
      </c>
      <c r="C528" s="24" t="str">
        <f>IF($P528="","",INDEX(BEMANNINGSPLAN!$C$5:$C$546,$P528))</f>
        <v/>
      </c>
      <c r="D528" s="24" t="str">
        <f>IF($P528="","",INDEX(BEMANNINGSPLAN!$D$5:$D$546,$P528))</f>
        <v/>
      </c>
      <c r="E528" s="24" t="str">
        <f>IF($P528="","",SUMIF(BEMANNINGSPLAN!$W$5:$W$546,INDEX(BEMANNINGSPLAN!$W$5:$W$546,$P528),BEMANNINGSPLAN!$X$5:$X$546))</f>
        <v/>
      </c>
      <c r="F528" s="24" t="str">
        <f>IF($P528="","",INDEX(BEMANNINGSPLAN!$J$5:$J$546,$P528))</f>
        <v/>
      </c>
      <c r="G528" s="24" t="str">
        <f>IF($P528="","",INDEX(BEMANNINGSPLAN!$AD$5:$AD$546,$P528))</f>
        <v/>
      </c>
      <c r="H528" s="24" t="str">
        <f>IF($P528="","",IF(AND(INDEX(BEMANNINGSPLAN!$Y$5:$Y$546,$P528)=1,G528&lt;&gt;"Minicafé"),"X",""))</f>
        <v/>
      </c>
      <c r="I528" s="24" t="str">
        <f>IF($P528="","",IF(INDEX(BEMANNINGSPLAN!$Y$5:$Y$546,$P528)=1,"X",""))</f>
        <v/>
      </c>
      <c r="J528" s="24" t="str">
        <f>IF($P528="","",IF(SUMIF(BEMANNINGSPLAN!$W$5:$W$546,INDEX(BEMANNINGSPLAN!$W$5:$W$546,$P528),BEMANNINGSPLAN!$Z$5:$Z$546)=1,"X",""))</f>
        <v/>
      </c>
      <c r="K528" s="24" t="str">
        <f>IF($P528="","",IFERROR(LOOKUP(2,1/((BEMANNINGSPLAN!$W$5:$W$546=INDEX(BEMANNINGSPLAN!$W$5:$W$546,$P528))*(BEMANNINGSPLAN!$L$5:$L$546&lt;&gt;"")),BEMANNINGSPLAN!$L$5:$L$546),""))</f>
        <v/>
      </c>
      <c r="L528" s="24" t="str">
        <f>IF($P528="","",INDEX(BEMANNINGSPLAN!$AE$5:$AE$546,$P528))</f>
        <v/>
      </c>
      <c r="O528" s="136" t="str">
        <f>IF(AND(BEMANNINGSPLAN!U526=1,OR($B$4="Alla lag",BEMANNINGSPLAN!J526=$B$4),OR($E$4="Alla datum",BEMANNINGSPLAN!A526=$E$4)),COUNT($O$6:O527)+1,"")</f>
        <v/>
      </c>
      <c r="P528" s="136" t="str">
        <f t="shared" si="8"/>
        <v/>
      </c>
    </row>
    <row r="529" spans="1:16" ht="27.75" customHeight="1">
      <c r="A529" s="24" t="str">
        <f>IF($P529="","",INDEX(BEMANNINGSPLAN!$A$5:$A$546,$P529))</f>
        <v/>
      </c>
      <c r="B529" s="24" t="str">
        <f>IF($P529="","",INDEX(BEMANNINGSPLAN!$B$5:$B$546,$P529))</f>
        <v/>
      </c>
      <c r="C529" s="24" t="str">
        <f>IF($P529="","",INDEX(BEMANNINGSPLAN!$C$5:$C$546,$P529))</f>
        <v/>
      </c>
      <c r="D529" s="24" t="str">
        <f>IF($P529="","",INDEX(BEMANNINGSPLAN!$D$5:$D$546,$P529))</f>
        <v/>
      </c>
      <c r="E529" s="24" t="str">
        <f>IF($P529="","",SUMIF(BEMANNINGSPLAN!$W$5:$W$546,INDEX(BEMANNINGSPLAN!$W$5:$W$546,$P529),BEMANNINGSPLAN!$X$5:$X$546))</f>
        <v/>
      </c>
      <c r="F529" s="24" t="str">
        <f>IF($P529="","",INDEX(BEMANNINGSPLAN!$J$5:$J$546,$P529))</f>
        <v/>
      </c>
      <c r="G529" s="24" t="str">
        <f>IF($P529="","",INDEX(BEMANNINGSPLAN!$AD$5:$AD$546,$P529))</f>
        <v/>
      </c>
      <c r="H529" s="24" t="str">
        <f>IF($P529="","",IF(AND(INDEX(BEMANNINGSPLAN!$Y$5:$Y$546,$P529)=1,G529&lt;&gt;"Minicafé"),"X",""))</f>
        <v/>
      </c>
      <c r="I529" s="24" t="str">
        <f>IF($P529="","",IF(INDEX(BEMANNINGSPLAN!$Y$5:$Y$546,$P529)=1,"X",""))</f>
        <v/>
      </c>
      <c r="J529" s="24" t="str">
        <f>IF($P529="","",IF(SUMIF(BEMANNINGSPLAN!$W$5:$W$546,INDEX(BEMANNINGSPLAN!$W$5:$W$546,$P529),BEMANNINGSPLAN!$Z$5:$Z$546)=1,"X",""))</f>
        <v/>
      </c>
      <c r="K529" s="24" t="str">
        <f>IF($P529="","",IFERROR(LOOKUP(2,1/((BEMANNINGSPLAN!$W$5:$W$546=INDEX(BEMANNINGSPLAN!$W$5:$W$546,$P529))*(BEMANNINGSPLAN!$L$5:$L$546&lt;&gt;"")),BEMANNINGSPLAN!$L$5:$L$546),""))</f>
        <v/>
      </c>
      <c r="L529" s="24" t="str">
        <f>IF($P529="","",INDEX(BEMANNINGSPLAN!$AE$5:$AE$546,$P529))</f>
        <v/>
      </c>
      <c r="O529" s="136" t="str">
        <f>IF(AND(BEMANNINGSPLAN!U527=1,OR($B$4="Alla lag",BEMANNINGSPLAN!J527=$B$4),OR($E$4="Alla datum",BEMANNINGSPLAN!A527=$E$4)),COUNT($O$6:O528)+1,"")</f>
        <v/>
      </c>
      <c r="P529" s="136" t="str">
        <f t="shared" si="8"/>
        <v/>
      </c>
    </row>
    <row r="530" spans="1:16" ht="27.75" customHeight="1">
      <c r="A530" s="24" t="str">
        <f>IF($P530="","",INDEX(BEMANNINGSPLAN!$A$5:$A$546,$P530))</f>
        <v/>
      </c>
      <c r="B530" s="24" t="str">
        <f>IF($P530="","",INDEX(BEMANNINGSPLAN!$B$5:$B$546,$P530))</f>
        <v/>
      </c>
      <c r="C530" s="24" t="str">
        <f>IF($P530="","",INDEX(BEMANNINGSPLAN!$C$5:$C$546,$P530))</f>
        <v/>
      </c>
      <c r="D530" s="24" t="str">
        <f>IF($P530="","",INDEX(BEMANNINGSPLAN!$D$5:$D$546,$P530))</f>
        <v/>
      </c>
      <c r="E530" s="24" t="str">
        <f>IF($P530="","",SUMIF(BEMANNINGSPLAN!$W$5:$W$546,INDEX(BEMANNINGSPLAN!$W$5:$W$546,$P530),BEMANNINGSPLAN!$X$5:$X$546))</f>
        <v/>
      </c>
      <c r="F530" s="24" t="str">
        <f>IF($P530="","",INDEX(BEMANNINGSPLAN!$J$5:$J$546,$P530))</f>
        <v/>
      </c>
      <c r="G530" s="24" t="str">
        <f>IF($P530="","",INDEX(BEMANNINGSPLAN!$AD$5:$AD$546,$P530))</f>
        <v/>
      </c>
      <c r="H530" s="24" t="str">
        <f>IF($P530="","",IF(AND(INDEX(BEMANNINGSPLAN!$Y$5:$Y$546,$P530)=1,G530&lt;&gt;"Minicafé"),"X",""))</f>
        <v/>
      </c>
      <c r="I530" s="24" t="str">
        <f>IF($P530="","",IF(INDEX(BEMANNINGSPLAN!$Y$5:$Y$546,$P530)=1,"X",""))</f>
        <v/>
      </c>
      <c r="J530" s="24" t="str">
        <f>IF($P530="","",IF(SUMIF(BEMANNINGSPLAN!$W$5:$W$546,INDEX(BEMANNINGSPLAN!$W$5:$W$546,$P530),BEMANNINGSPLAN!$Z$5:$Z$546)=1,"X",""))</f>
        <v/>
      </c>
      <c r="K530" s="24" t="str">
        <f>IF($P530="","",IFERROR(LOOKUP(2,1/((BEMANNINGSPLAN!$W$5:$W$546=INDEX(BEMANNINGSPLAN!$W$5:$W$546,$P530))*(BEMANNINGSPLAN!$L$5:$L$546&lt;&gt;"")),BEMANNINGSPLAN!$L$5:$L$546),""))</f>
        <v/>
      </c>
      <c r="L530" s="24" t="str">
        <f>IF($P530="","",INDEX(BEMANNINGSPLAN!$AE$5:$AE$546,$P530))</f>
        <v/>
      </c>
      <c r="O530" s="136" t="str">
        <f>IF(AND(BEMANNINGSPLAN!U528=1,OR($B$4="Alla lag",BEMANNINGSPLAN!J528=$B$4),OR($E$4="Alla datum",BEMANNINGSPLAN!A528=$E$4)),COUNT($O$6:O529)+1,"")</f>
        <v/>
      </c>
      <c r="P530" s="136" t="str">
        <f t="shared" si="8"/>
        <v/>
      </c>
    </row>
    <row r="531" spans="1:16" ht="27.75" customHeight="1">
      <c r="A531" s="24" t="str">
        <f>IF($P531="","",INDEX(BEMANNINGSPLAN!$A$5:$A$546,$P531))</f>
        <v/>
      </c>
      <c r="B531" s="24" t="str">
        <f>IF($P531="","",INDEX(BEMANNINGSPLAN!$B$5:$B$546,$P531))</f>
        <v/>
      </c>
      <c r="C531" s="24" t="str">
        <f>IF($P531="","",INDEX(BEMANNINGSPLAN!$C$5:$C$546,$P531))</f>
        <v/>
      </c>
      <c r="D531" s="24" t="str">
        <f>IF($P531="","",INDEX(BEMANNINGSPLAN!$D$5:$D$546,$P531))</f>
        <v/>
      </c>
      <c r="E531" s="24" t="str">
        <f>IF($P531="","",SUMIF(BEMANNINGSPLAN!$W$5:$W$546,INDEX(BEMANNINGSPLAN!$W$5:$W$546,$P531),BEMANNINGSPLAN!$X$5:$X$546))</f>
        <v/>
      </c>
      <c r="F531" s="24" t="str">
        <f>IF($P531="","",INDEX(BEMANNINGSPLAN!$J$5:$J$546,$P531))</f>
        <v/>
      </c>
      <c r="G531" s="24" t="str">
        <f>IF($P531="","",INDEX(BEMANNINGSPLAN!$AD$5:$AD$546,$P531))</f>
        <v/>
      </c>
      <c r="H531" s="24" t="str">
        <f>IF($P531="","",IF(AND(INDEX(BEMANNINGSPLAN!$Y$5:$Y$546,$P531)=1,G531&lt;&gt;"Minicafé"),"X",""))</f>
        <v/>
      </c>
      <c r="I531" s="24" t="str">
        <f>IF($P531="","",IF(INDEX(BEMANNINGSPLAN!$Y$5:$Y$546,$P531)=1,"X",""))</f>
        <v/>
      </c>
      <c r="J531" s="24" t="str">
        <f>IF($P531="","",IF(SUMIF(BEMANNINGSPLAN!$W$5:$W$546,INDEX(BEMANNINGSPLAN!$W$5:$W$546,$P531),BEMANNINGSPLAN!$Z$5:$Z$546)=1,"X",""))</f>
        <v/>
      </c>
      <c r="K531" s="24" t="str">
        <f>IF($P531="","",IFERROR(LOOKUP(2,1/((BEMANNINGSPLAN!$W$5:$W$546=INDEX(BEMANNINGSPLAN!$W$5:$W$546,$P531))*(BEMANNINGSPLAN!$L$5:$L$546&lt;&gt;"")),BEMANNINGSPLAN!$L$5:$L$546),""))</f>
        <v/>
      </c>
      <c r="L531" s="24" t="str">
        <f>IF($P531="","",INDEX(BEMANNINGSPLAN!$AE$5:$AE$546,$P531))</f>
        <v/>
      </c>
      <c r="O531" s="136">
        <f>IF(AND(BEMANNINGSPLAN!U529=1,OR($B$4="Alla lag",BEMANNINGSPLAN!J529=$B$4),OR($E$4="Alla datum",BEMANNINGSPLAN!A529=$E$4)),COUNT($O$6:O530)+1,"")</f>
        <v>107</v>
      </c>
      <c r="P531" s="136" t="str">
        <f t="shared" si="8"/>
        <v/>
      </c>
    </row>
    <row r="532" spans="1:16" ht="27.75" customHeight="1">
      <c r="A532" s="24" t="str">
        <f>IF($P532="","",INDEX(BEMANNINGSPLAN!$A$5:$A$546,$P532))</f>
        <v/>
      </c>
      <c r="B532" s="24" t="str">
        <f>IF($P532="","",INDEX(BEMANNINGSPLAN!$B$5:$B$546,$P532))</f>
        <v/>
      </c>
      <c r="C532" s="24" t="str">
        <f>IF($P532="","",INDEX(BEMANNINGSPLAN!$C$5:$C$546,$P532))</f>
        <v/>
      </c>
      <c r="D532" s="24" t="str">
        <f>IF($P532="","",INDEX(BEMANNINGSPLAN!$D$5:$D$546,$P532))</f>
        <v/>
      </c>
      <c r="E532" s="24" t="str">
        <f>IF($P532="","",SUMIF(BEMANNINGSPLAN!$W$5:$W$546,INDEX(BEMANNINGSPLAN!$W$5:$W$546,$P532),BEMANNINGSPLAN!$X$5:$X$546))</f>
        <v/>
      </c>
      <c r="F532" s="24" t="str">
        <f>IF($P532="","",INDEX(BEMANNINGSPLAN!$J$5:$J$546,$P532))</f>
        <v/>
      </c>
      <c r="G532" s="24" t="str">
        <f>IF($P532="","",INDEX(BEMANNINGSPLAN!$AD$5:$AD$546,$P532))</f>
        <v/>
      </c>
      <c r="H532" s="24" t="str">
        <f>IF($P532="","",IF(AND(INDEX(BEMANNINGSPLAN!$Y$5:$Y$546,$P532)=1,G532&lt;&gt;"Minicafé"),"X",""))</f>
        <v/>
      </c>
      <c r="I532" s="24" t="str">
        <f>IF($P532="","",IF(INDEX(BEMANNINGSPLAN!$Y$5:$Y$546,$P532)=1,"X",""))</f>
        <v/>
      </c>
      <c r="J532" s="24" t="str">
        <f>IF($P532="","",IF(SUMIF(BEMANNINGSPLAN!$W$5:$W$546,INDEX(BEMANNINGSPLAN!$W$5:$W$546,$P532),BEMANNINGSPLAN!$Z$5:$Z$546)=1,"X",""))</f>
        <v/>
      </c>
      <c r="K532" s="24" t="str">
        <f>IF($P532="","",IFERROR(LOOKUP(2,1/((BEMANNINGSPLAN!$W$5:$W$546=INDEX(BEMANNINGSPLAN!$W$5:$W$546,$P532))*(BEMANNINGSPLAN!$L$5:$L$546&lt;&gt;"")),BEMANNINGSPLAN!$L$5:$L$546),""))</f>
        <v/>
      </c>
      <c r="L532" s="24" t="str">
        <f>IF($P532="","",INDEX(BEMANNINGSPLAN!$AE$5:$AE$546,$P532))</f>
        <v/>
      </c>
      <c r="O532" s="136" t="str">
        <f>IF(AND(BEMANNINGSPLAN!U530=1,OR($B$4="Alla lag",BEMANNINGSPLAN!J530=$B$4),OR($E$4="Alla datum",BEMANNINGSPLAN!A530=$E$4)),COUNT($O$6:O531)+1,"")</f>
        <v/>
      </c>
      <c r="P532" s="136" t="str">
        <f t="shared" si="8"/>
        <v/>
      </c>
    </row>
    <row r="533" spans="1:16" ht="27.75" customHeight="1">
      <c r="A533" s="24" t="str">
        <f>IF($P533="","",INDEX(BEMANNINGSPLAN!$A$5:$A$546,$P533))</f>
        <v/>
      </c>
      <c r="B533" s="24" t="str">
        <f>IF($P533="","",INDEX(BEMANNINGSPLAN!$B$5:$B$546,$P533))</f>
        <v/>
      </c>
      <c r="C533" s="24" t="str">
        <f>IF($P533="","",INDEX(BEMANNINGSPLAN!$C$5:$C$546,$P533))</f>
        <v/>
      </c>
      <c r="D533" s="24" t="str">
        <f>IF($P533="","",INDEX(BEMANNINGSPLAN!$D$5:$D$546,$P533))</f>
        <v/>
      </c>
      <c r="E533" s="24" t="str">
        <f>IF($P533="","",SUMIF(BEMANNINGSPLAN!$W$5:$W$546,INDEX(BEMANNINGSPLAN!$W$5:$W$546,$P533),BEMANNINGSPLAN!$X$5:$X$546))</f>
        <v/>
      </c>
      <c r="F533" s="24" t="str">
        <f>IF($P533="","",INDEX(BEMANNINGSPLAN!$J$5:$J$546,$P533))</f>
        <v/>
      </c>
      <c r="G533" s="24" t="str">
        <f>IF($P533="","",INDEX(BEMANNINGSPLAN!$AD$5:$AD$546,$P533))</f>
        <v/>
      </c>
      <c r="H533" s="24" t="str">
        <f>IF($P533="","",IF(AND(INDEX(BEMANNINGSPLAN!$Y$5:$Y$546,$P533)=1,G533&lt;&gt;"Minicafé"),"X",""))</f>
        <v/>
      </c>
      <c r="I533" s="24" t="str">
        <f>IF($P533="","",IF(INDEX(BEMANNINGSPLAN!$Y$5:$Y$546,$P533)=1,"X",""))</f>
        <v/>
      </c>
      <c r="J533" s="24" t="str">
        <f>IF($P533="","",IF(SUMIF(BEMANNINGSPLAN!$W$5:$W$546,INDEX(BEMANNINGSPLAN!$W$5:$W$546,$P533),BEMANNINGSPLAN!$Z$5:$Z$546)=1,"X",""))</f>
        <v/>
      </c>
      <c r="K533" s="24" t="str">
        <f>IF($P533="","",IFERROR(LOOKUP(2,1/((BEMANNINGSPLAN!$W$5:$W$546=INDEX(BEMANNINGSPLAN!$W$5:$W$546,$P533))*(BEMANNINGSPLAN!$L$5:$L$546&lt;&gt;"")),BEMANNINGSPLAN!$L$5:$L$546),""))</f>
        <v/>
      </c>
      <c r="L533" s="24" t="str">
        <f>IF($P533="","",INDEX(BEMANNINGSPLAN!$AE$5:$AE$546,$P533))</f>
        <v/>
      </c>
      <c r="O533" s="136" t="str">
        <f>IF(AND(BEMANNINGSPLAN!U531=1,OR($B$4="Alla lag",BEMANNINGSPLAN!J531=$B$4),OR($E$4="Alla datum",BEMANNINGSPLAN!A531=$E$4)),COUNT($O$6:O532)+1,"")</f>
        <v/>
      </c>
      <c r="P533" s="136" t="str">
        <f t="shared" si="8"/>
        <v/>
      </c>
    </row>
    <row r="534" spans="1:16" ht="27.75" customHeight="1">
      <c r="A534" s="24" t="str">
        <f>IF($P534="","",INDEX(BEMANNINGSPLAN!$A$5:$A$546,$P534))</f>
        <v/>
      </c>
      <c r="B534" s="24" t="str">
        <f>IF($P534="","",INDEX(BEMANNINGSPLAN!$B$5:$B$546,$P534))</f>
        <v/>
      </c>
      <c r="C534" s="24" t="str">
        <f>IF($P534="","",INDEX(BEMANNINGSPLAN!$C$5:$C$546,$P534))</f>
        <v/>
      </c>
      <c r="D534" s="24" t="str">
        <f>IF($P534="","",INDEX(BEMANNINGSPLAN!$D$5:$D$546,$P534))</f>
        <v/>
      </c>
      <c r="E534" s="24" t="str">
        <f>IF($P534="","",SUMIF(BEMANNINGSPLAN!$W$5:$W$546,INDEX(BEMANNINGSPLAN!$W$5:$W$546,$P534),BEMANNINGSPLAN!$X$5:$X$546))</f>
        <v/>
      </c>
      <c r="F534" s="24" t="str">
        <f>IF($P534="","",INDEX(BEMANNINGSPLAN!$J$5:$J$546,$P534))</f>
        <v/>
      </c>
      <c r="G534" s="24" t="str">
        <f>IF($P534="","",INDEX(BEMANNINGSPLAN!$AD$5:$AD$546,$P534))</f>
        <v/>
      </c>
      <c r="H534" s="24" t="str">
        <f>IF($P534="","",IF(AND(INDEX(BEMANNINGSPLAN!$Y$5:$Y$546,$P534)=1,G534&lt;&gt;"Minicafé"),"X",""))</f>
        <v/>
      </c>
      <c r="I534" s="24" t="str">
        <f>IF($P534="","",IF(INDEX(BEMANNINGSPLAN!$Y$5:$Y$546,$P534)=1,"X",""))</f>
        <v/>
      </c>
      <c r="J534" s="24" t="str">
        <f>IF($P534="","",IF(SUMIF(BEMANNINGSPLAN!$W$5:$W$546,INDEX(BEMANNINGSPLAN!$W$5:$W$546,$P534),BEMANNINGSPLAN!$Z$5:$Z$546)=1,"X",""))</f>
        <v/>
      </c>
      <c r="K534" s="24" t="str">
        <f>IF($P534="","",IFERROR(LOOKUP(2,1/((BEMANNINGSPLAN!$W$5:$W$546=INDEX(BEMANNINGSPLAN!$W$5:$W$546,$P534))*(BEMANNINGSPLAN!$L$5:$L$546&lt;&gt;"")),BEMANNINGSPLAN!$L$5:$L$546),""))</f>
        <v/>
      </c>
      <c r="L534" s="24" t="str">
        <f>IF($P534="","",INDEX(BEMANNINGSPLAN!$AE$5:$AE$546,$P534))</f>
        <v/>
      </c>
      <c r="O534" s="136" t="str">
        <f>IF(AND(BEMANNINGSPLAN!U532=1,OR($B$4="Alla lag",BEMANNINGSPLAN!J532=$B$4),OR($E$4="Alla datum",BEMANNINGSPLAN!A532=$E$4)),COUNT($O$6:O533)+1,"")</f>
        <v/>
      </c>
      <c r="P534" s="136" t="str">
        <f t="shared" si="8"/>
        <v/>
      </c>
    </row>
    <row r="535" spans="1:16" ht="27.75" customHeight="1">
      <c r="A535" s="24" t="str">
        <f>IF($P535="","",INDEX(BEMANNINGSPLAN!$A$5:$A$546,$P535))</f>
        <v/>
      </c>
      <c r="B535" s="24" t="str">
        <f>IF($P535="","",INDEX(BEMANNINGSPLAN!$B$5:$B$546,$P535))</f>
        <v/>
      </c>
      <c r="C535" s="24" t="str">
        <f>IF($P535="","",INDEX(BEMANNINGSPLAN!$C$5:$C$546,$P535))</f>
        <v/>
      </c>
      <c r="D535" s="24" t="str">
        <f>IF($P535="","",INDEX(BEMANNINGSPLAN!$D$5:$D$546,$P535))</f>
        <v/>
      </c>
      <c r="E535" s="24" t="str">
        <f>IF($P535="","",SUMIF(BEMANNINGSPLAN!$W$5:$W$546,INDEX(BEMANNINGSPLAN!$W$5:$W$546,$P535),BEMANNINGSPLAN!$X$5:$X$546))</f>
        <v/>
      </c>
      <c r="F535" s="24" t="str">
        <f>IF($P535="","",INDEX(BEMANNINGSPLAN!$J$5:$J$546,$P535))</f>
        <v/>
      </c>
      <c r="G535" s="24" t="str">
        <f>IF($P535="","",INDEX(BEMANNINGSPLAN!$AD$5:$AD$546,$P535))</f>
        <v/>
      </c>
      <c r="H535" s="24" t="str">
        <f>IF($P535="","",IF(AND(INDEX(BEMANNINGSPLAN!$Y$5:$Y$546,$P535)=1,G535&lt;&gt;"Minicafé"),"X",""))</f>
        <v/>
      </c>
      <c r="I535" s="24" t="str">
        <f>IF($P535="","",IF(INDEX(BEMANNINGSPLAN!$Y$5:$Y$546,$P535)=1,"X",""))</f>
        <v/>
      </c>
      <c r="J535" s="24" t="str">
        <f>IF($P535="","",IF(SUMIF(BEMANNINGSPLAN!$W$5:$W$546,INDEX(BEMANNINGSPLAN!$W$5:$W$546,$P535),BEMANNINGSPLAN!$Z$5:$Z$546)=1,"X",""))</f>
        <v/>
      </c>
      <c r="K535" s="24" t="str">
        <f>IF($P535="","",IFERROR(LOOKUP(2,1/((BEMANNINGSPLAN!$W$5:$W$546=INDEX(BEMANNINGSPLAN!$W$5:$W$546,$P535))*(BEMANNINGSPLAN!$L$5:$L$546&lt;&gt;"")),BEMANNINGSPLAN!$L$5:$L$546),""))</f>
        <v/>
      </c>
      <c r="L535" s="24" t="str">
        <f>IF($P535="","",INDEX(BEMANNINGSPLAN!$AE$5:$AE$546,$P535))</f>
        <v/>
      </c>
      <c r="O535" s="136">
        <f>IF(AND(BEMANNINGSPLAN!U533=1,OR($B$4="Alla lag",BEMANNINGSPLAN!J533=$B$4),OR($E$4="Alla datum",BEMANNINGSPLAN!A533=$E$4)),COUNT($O$6:O534)+1,"")</f>
        <v>108</v>
      </c>
      <c r="P535" s="136" t="str">
        <f t="shared" si="8"/>
        <v/>
      </c>
    </row>
    <row r="536" spans="1:16" ht="27.75" customHeight="1">
      <c r="A536" s="24" t="str">
        <f>IF($P536="","",INDEX(BEMANNINGSPLAN!$A$5:$A$546,$P536))</f>
        <v/>
      </c>
      <c r="B536" s="24" t="str">
        <f>IF($P536="","",INDEX(BEMANNINGSPLAN!$B$5:$B$546,$P536))</f>
        <v/>
      </c>
      <c r="C536" s="24" t="str">
        <f>IF($P536="","",INDEX(BEMANNINGSPLAN!$C$5:$C$546,$P536))</f>
        <v/>
      </c>
      <c r="D536" s="24" t="str">
        <f>IF($P536="","",INDEX(BEMANNINGSPLAN!$D$5:$D$546,$P536))</f>
        <v/>
      </c>
      <c r="E536" s="24" t="str">
        <f>IF($P536="","",SUMIF(BEMANNINGSPLAN!$W$5:$W$546,INDEX(BEMANNINGSPLAN!$W$5:$W$546,$P536),BEMANNINGSPLAN!$X$5:$X$546))</f>
        <v/>
      </c>
      <c r="F536" s="24" t="str">
        <f>IF($P536="","",INDEX(BEMANNINGSPLAN!$J$5:$J$546,$P536))</f>
        <v/>
      </c>
      <c r="G536" s="24" t="str">
        <f>IF($P536="","",INDEX(BEMANNINGSPLAN!$AD$5:$AD$546,$P536))</f>
        <v/>
      </c>
      <c r="H536" s="24" t="str">
        <f>IF($P536="","",IF(AND(INDEX(BEMANNINGSPLAN!$Y$5:$Y$546,$P536)=1,G536&lt;&gt;"Minicafé"),"X",""))</f>
        <v/>
      </c>
      <c r="I536" s="24" t="str">
        <f>IF($P536="","",IF(INDEX(BEMANNINGSPLAN!$Y$5:$Y$546,$P536)=1,"X",""))</f>
        <v/>
      </c>
      <c r="J536" s="24" t="str">
        <f>IF($P536="","",IF(SUMIF(BEMANNINGSPLAN!$W$5:$W$546,INDEX(BEMANNINGSPLAN!$W$5:$W$546,$P536),BEMANNINGSPLAN!$Z$5:$Z$546)=1,"X",""))</f>
        <v/>
      </c>
      <c r="K536" s="24" t="str">
        <f>IF($P536="","",IFERROR(LOOKUP(2,1/((BEMANNINGSPLAN!$W$5:$W$546=INDEX(BEMANNINGSPLAN!$W$5:$W$546,$P536))*(BEMANNINGSPLAN!$L$5:$L$546&lt;&gt;"")),BEMANNINGSPLAN!$L$5:$L$546),""))</f>
        <v/>
      </c>
      <c r="L536" s="24" t="str">
        <f>IF($P536="","",INDEX(BEMANNINGSPLAN!$AE$5:$AE$546,$P536))</f>
        <v/>
      </c>
      <c r="O536" s="136" t="str">
        <f>IF(AND(BEMANNINGSPLAN!U534=1,OR($B$4="Alla lag",BEMANNINGSPLAN!J534=$B$4),OR($E$4="Alla datum",BEMANNINGSPLAN!A534=$E$4)),COUNT($O$6:O535)+1,"")</f>
        <v/>
      </c>
      <c r="P536" s="136" t="str">
        <f t="shared" si="8"/>
        <v/>
      </c>
    </row>
    <row r="537" spans="1:16" ht="27.75" customHeight="1">
      <c r="A537" s="24" t="str">
        <f>IF($P537="","",INDEX(BEMANNINGSPLAN!$A$5:$A$546,$P537))</f>
        <v/>
      </c>
      <c r="B537" s="24" t="str">
        <f>IF($P537="","",INDEX(BEMANNINGSPLAN!$B$5:$B$546,$P537))</f>
        <v/>
      </c>
      <c r="C537" s="24" t="str">
        <f>IF($P537="","",INDEX(BEMANNINGSPLAN!$C$5:$C$546,$P537))</f>
        <v/>
      </c>
      <c r="D537" s="24" t="str">
        <f>IF($P537="","",INDEX(BEMANNINGSPLAN!$D$5:$D$546,$P537))</f>
        <v/>
      </c>
      <c r="E537" s="24" t="str">
        <f>IF($P537="","",SUMIF(BEMANNINGSPLAN!$W$5:$W$546,INDEX(BEMANNINGSPLAN!$W$5:$W$546,$P537),BEMANNINGSPLAN!$X$5:$X$546))</f>
        <v/>
      </c>
      <c r="F537" s="24" t="str">
        <f>IF($P537="","",INDEX(BEMANNINGSPLAN!$J$5:$J$546,$P537))</f>
        <v/>
      </c>
      <c r="G537" s="24" t="str">
        <f>IF($P537="","",INDEX(BEMANNINGSPLAN!$AD$5:$AD$546,$P537))</f>
        <v/>
      </c>
      <c r="H537" s="24" t="str">
        <f>IF($P537="","",IF(AND(INDEX(BEMANNINGSPLAN!$Y$5:$Y$546,$P537)=1,G537&lt;&gt;"Minicafé"),"X",""))</f>
        <v/>
      </c>
      <c r="I537" s="24" t="str">
        <f>IF($P537="","",IF(INDEX(BEMANNINGSPLAN!$Y$5:$Y$546,$P537)=1,"X",""))</f>
        <v/>
      </c>
      <c r="J537" s="24" t="str">
        <f>IF($P537="","",IF(SUMIF(BEMANNINGSPLAN!$W$5:$W$546,INDEX(BEMANNINGSPLAN!$W$5:$W$546,$P537),BEMANNINGSPLAN!$Z$5:$Z$546)=1,"X",""))</f>
        <v/>
      </c>
      <c r="K537" s="24" t="str">
        <f>IF($P537="","",IFERROR(LOOKUP(2,1/((BEMANNINGSPLAN!$W$5:$W$546=INDEX(BEMANNINGSPLAN!$W$5:$W$546,$P537))*(BEMANNINGSPLAN!$L$5:$L$546&lt;&gt;"")),BEMANNINGSPLAN!$L$5:$L$546),""))</f>
        <v/>
      </c>
      <c r="L537" s="24" t="str">
        <f>IF($P537="","",INDEX(BEMANNINGSPLAN!$AE$5:$AE$546,$P537))</f>
        <v/>
      </c>
      <c r="O537" s="136" t="str">
        <f>IF(AND(BEMANNINGSPLAN!U535=1,OR($B$4="Alla lag",BEMANNINGSPLAN!J535=$B$4),OR($E$4="Alla datum",BEMANNINGSPLAN!A535=$E$4)),COUNT($O$6:O536)+1,"")</f>
        <v/>
      </c>
      <c r="P537" s="136" t="str">
        <f t="shared" si="8"/>
        <v/>
      </c>
    </row>
    <row r="538" spans="1:16" ht="27.75" customHeight="1">
      <c r="A538" s="24" t="str">
        <f>IF($P538="","",INDEX(BEMANNINGSPLAN!$A$5:$A$546,$P538))</f>
        <v/>
      </c>
      <c r="B538" s="24" t="str">
        <f>IF($P538="","",INDEX(BEMANNINGSPLAN!$B$5:$B$546,$P538))</f>
        <v/>
      </c>
      <c r="C538" s="24" t="str">
        <f>IF($P538="","",INDEX(BEMANNINGSPLAN!$C$5:$C$546,$P538))</f>
        <v/>
      </c>
      <c r="D538" s="24" t="str">
        <f>IF($P538="","",INDEX(BEMANNINGSPLAN!$D$5:$D$546,$P538))</f>
        <v/>
      </c>
      <c r="E538" s="24" t="str">
        <f>IF($P538="","",SUMIF(BEMANNINGSPLAN!$W$5:$W$546,INDEX(BEMANNINGSPLAN!$W$5:$W$546,$P538),BEMANNINGSPLAN!$X$5:$X$546))</f>
        <v/>
      </c>
      <c r="F538" s="24" t="str">
        <f>IF($P538="","",INDEX(BEMANNINGSPLAN!$J$5:$J$546,$P538))</f>
        <v/>
      </c>
      <c r="G538" s="24" t="str">
        <f>IF($P538="","",INDEX(BEMANNINGSPLAN!$AD$5:$AD$546,$P538))</f>
        <v/>
      </c>
      <c r="H538" s="24" t="str">
        <f>IF($P538="","",IF(AND(INDEX(BEMANNINGSPLAN!$Y$5:$Y$546,$P538)=1,G538&lt;&gt;"Minicafé"),"X",""))</f>
        <v/>
      </c>
      <c r="I538" s="24" t="str">
        <f>IF($P538="","",IF(INDEX(BEMANNINGSPLAN!$Y$5:$Y$546,$P538)=1,"X",""))</f>
        <v/>
      </c>
      <c r="J538" s="24" t="str">
        <f>IF($P538="","",IF(SUMIF(BEMANNINGSPLAN!$W$5:$W$546,INDEX(BEMANNINGSPLAN!$W$5:$W$546,$P538),BEMANNINGSPLAN!$Z$5:$Z$546)=1,"X",""))</f>
        <v/>
      </c>
      <c r="K538" s="24" t="str">
        <f>IF($P538="","",IFERROR(LOOKUP(2,1/((BEMANNINGSPLAN!$W$5:$W$546=INDEX(BEMANNINGSPLAN!$W$5:$W$546,$P538))*(BEMANNINGSPLAN!$L$5:$L$546&lt;&gt;"")),BEMANNINGSPLAN!$L$5:$L$546),""))</f>
        <v/>
      </c>
      <c r="L538" s="24" t="str">
        <f>IF($P538="","",INDEX(BEMANNINGSPLAN!$AE$5:$AE$546,$P538))</f>
        <v/>
      </c>
      <c r="O538" s="136" t="str">
        <f>IF(AND(BEMANNINGSPLAN!U536=1,OR($B$4="Alla lag",BEMANNINGSPLAN!J536=$B$4),OR($E$4="Alla datum",BEMANNINGSPLAN!A536=$E$4)),COUNT($O$6:O537)+1,"")</f>
        <v/>
      </c>
      <c r="P538" s="136" t="str">
        <f t="shared" si="8"/>
        <v/>
      </c>
    </row>
    <row r="539" spans="1:16" ht="27.75" customHeight="1">
      <c r="A539" s="24" t="str">
        <f>IF($P539="","",INDEX(BEMANNINGSPLAN!$A$5:$A$546,$P539))</f>
        <v/>
      </c>
      <c r="B539" s="24" t="str">
        <f>IF($P539="","",INDEX(BEMANNINGSPLAN!$B$5:$B$546,$P539))</f>
        <v/>
      </c>
      <c r="C539" s="24" t="str">
        <f>IF($P539="","",INDEX(BEMANNINGSPLAN!$C$5:$C$546,$P539))</f>
        <v/>
      </c>
      <c r="D539" s="24" t="str">
        <f>IF($P539="","",INDEX(BEMANNINGSPLAN!$D$5:$D$546,$P539))</f>
        <v/>
      </c>
      <c r="E539" s="24" t="str">
        <f>IF($P539="","",SUMIF(BEMANNINGSPLAN!$W$5:$W$546,INDEX(BEMANNINGSPLAN!$W$5:$W$546,$P539),BEMANNINGSPLAN!$X$5:$X$546))</f>
        <v/>
      </c>
      <c r="F539" s="24" t="str">
        <f>IF($P539="","",INDEX(BEMANNINGSPLAN!$J$5:$J$546,$P539))</f>
        <v/>
      </c>
      <c r="G539" s="24" t="str">
        <f>IF($P539="","",INDEX(BEMANNINGSPLAN!$AD$5:$AD$546,$P539))</f>
        <v/>
      </c>
      <c r="H539" s="24" t="str">
        <f>IF($P539="","",IF(AND(INDEX(BEMANNINGSPLAN!$Y$5:$Y$546,$P539)=1,G539&lt;&gt;"Minicafé"),"X",""))</f>
        <v/>
      </c>
      <c r="I539" s="24" t="str">
        <f>IF($P539="","",IF(INDEX(BEMANNINGSPLAN!$Y$5:$Y$546,$P539)=1,"X",""))</f>
        <v/>
      </c>
      <c r="J539" s="24" t="str">
        <f>IF($P539="","",IF(SUMIF(BEMANNINGSPLAN!$W$5:$W$546,INDEX(BEMANNINGSPLAN!$W$5:$W$546,$P539),BEMANNINGSPLAN!$Z$5:$Z$546)=1,"X",""))</f>
        <v/>
      </c>
      <c r="K539" s="24" t="str">
        <f>IF($P539="","",IFERROR(LOOKUP(2,1/((BEMANNINGSPLAN!$W$5:$W$546=INDEX(BEMANNINGSPLAN!$W$5:$W$546,$P539))*(BEMANNINGSPLAN!$L$5:$L$546&lt;&gt;"")),BEMANNINGSPLAN!$L$5:$L$546),""))</f>
        <v/>
      </c>
      <c r="L539" s="24" t="str">
        <f>IF($P539="","",INDEX(BEMANNINGSPLAN!$AE$5:$AE$546,$P539))</f>
        <v/>
      </c>
      <c r="O539" s="136" t="str">
        <f>IF(AND(BEMANNINGSPLAN!U537=1,OR($B$4="Alla lag",BEMANNINGSPLAN!J537=$B$4),OR($E$4="Alla datum",BEMANNINGSPLAN!A537=$E$4)),COUNT($O$6:O538)+1,"")</f>
        <v/>
      </c>
      <c r="P539" s="136" t="str">
        <f t="shared" si="8"/>
        <v/>
      </c>
    </row>
    <row r="540" spans="1:16" ht="27.75" customHeight="1">
      <c r="A540" s="24" t="str">
        <f>IF($P540="","",INDEX(BEMANNINGSPLAN!$A$5:$A$546,$P540))</f>
        <v/>
      </c>
      <c r="B540" s="24" t="str">
        <f>IF($P540="","",INDEX(BEMANNINGSPLAN!$B$5:$B$546,$P540))</f>
        <v/>
      </c>
      <c r="C540" s="24" t="str">
        <f>IF($P540="","",INDEX(BEMANNINGSPLAN!$C$5:$C$546,$P540))</f>
        <v/>
      </c>
      <c r="D540" s="24" t="str">
        <f>IF($P540="","",INDEX(BEMANNINGSPLAN!$D$5:$D$546,$P540))</f>
        <v/>
      </c>
      <c r="E540" s="24" t="str">
        <f>IF($P540="","",SUMIF(BEMANNINGSPLAN!$W$5:$W$546,INDEX(BEMANNINGSPLAN!$W$5:$W$546,$P540),BEMANNINGSPLAN!$X$5:$X$546))</f>
        <v/>
      </c>
      <c r="F540" s="24" t="str">
        <f>IF($P540="","",INDEX(BEMANNINGSPLAN!$J$5:$J$546,$P540))</f>
        <v/>
      </c>
      <c r="G540" s="24" t="str">
        <f>IF($P540="","",INDEX(BEMANNINGSPLAN!$AD$5:$AD$546,$P540))</f>
        <v/>
      </c>
      <c r="H540" s="24" t="str">
        <f>IF($P540="","",IF(AND(INDEX(BEMANNINGSPLAN!$Y$5:$Y$546,$P540)=1,G540&lt;&gt;"Minicafé"),"X",""))</f>
        <v/>
      </c>
      <c r="I540" s="24" t="str">
        <f>IF($P540="","",IF(INDEX(BEMANNINGSPLAN!$Y$5:$Y$546,$P540)=1,"X",""))</f>
        <v/>
      </c>
      <c r="J540" s="24" t="str">
        <f>IF($P540="","",IF(SUMIF(BEMANNINGSPLAN!$W$5:$W$546,INDEX(BEMANNINGSPLAN!$W$5:$W$546,$P540),BEMANNINGSPLAN!$Z$5:$Z$546)=1,"X",""))</f>
        <v/>
      </c>
      <c r="K540" s="24" t="str">
        <f>IF($P540="","",IFERROR(LOOKUP(2,1/((BEMANNINGSPLAN!$W$5:$W$546=INDEX(BEMANNINGSPLAN!$W$5:$W$546,$P540))*(BEMANNINGSPLAN!$L$5:$L$546&lt;&gt;"")),BEMANNINGSPLAN!$L$5:$L$546),""))</f>
        <v/>
      </c>
      <c r="L540" s="24" t="str">
        <f>IF($P540="","",INDEX(BEMANNINGSPLAN!$AE$5:$AE$546,$P540))</f>
        <v/>
      </c>
      <c r="O540" s="136" t="str">
        <f>IF(AND(BEMANNINGSPLAN!U538=1,OR($B$4="Alla lag",BEMANNINGSPLAN!J538=$B$4),OR($E$4="Alla datum",BEMANNINGSPLAN!A538=$E$4)),COUNT($O$6:O539)+1,"")</f>
        <v/>
      </c>
      <c r="P540" s="136" t="str">
        <f t="shared" si="8"/>
        <v/>
      </c>
    </row>
    <row r="541" spans="1:16" ht="27.75" customHeight="1">
      <c r="A541" s="24" t="str">
        <f>IF($P541="","",INDEX(BEMANNINGSPLAN!$A$5:$A$546,$P541))</f>
        <v/>
      </c>
      <c r="B541" s="24" t="str">
        <f>IF($P541="","",INDEX(BEMANNINGSPLAN!$B$5:$B$546,$P541))</f>
        <v/>
      </c>
      <c r="C541" s="24" t="str">
        <f>IF($P541="","",INDEX(BEMANNINGSPLAN!$C$5:$C$546,$P541))</f>
        <v/>
      </c>
      <c r="D541" s="24" t="str">
        <f>IF($P541="","",INDEX(BEMANNINGSPLAN!$D$5:$D$546,$P541))</f>
        <v/>
      </c>
      <c r="E541" s="24" t="str">
        <f>IF($P541="","",SUMIF(BEMANNINGSPLAN!$W$5:$W$546,INDEX(BEMANNINGSPLAN!$W$5:$W$546,$P541),BEMANNINGSPLAN!$X$5:$X$546))</f>
        <v/>
      </c>
      <c r="F541" s="24" t="str">
        <f>IF($P541="","",INDEX(BEMANNINGSPLAN!$J$5:$J$546,$P541))</f>
        <v/>
      </c>
      <c r="G541" s="24" t="str">
        <f>IF($P541="","",INDEX(BEMANNINGSPLAN!$AD$5:$AD$546,$P541))</f>
        <v/>
      </c>
      <c r="H541" s="24" t="str">
        <f>IF($P541="","",IF(AND(INDEX(BEMANNINGSPLAN!$Y$5:$Y$546,$P541)=1,G541&lt;&gt;"Minicafé"),"X",""))</f>
        <v/>
      </c>
      <c r="I541" s="24" t="str">
        <f>IF($P541="","",IF(INDEX(BEMANNINGSPLAN!$Y$5:$Y$546,$P541)=1,"X",""))</f>
        <v/>
      </c>
      <c r="J541" s="24" t="str">
        <f>IF($P541="","",IF(SUMIF(BEMANNINGSPLAN!$W$5:$W$546,INDEX(BEMANNINGSPLAN!$W$5:$W$546,$P541),BEMANNINGSPLAN!$Z$5:$Z$546)=1,"X",""))</f>
        <v/>
      </c>
      <c r="K541" s="24" t="str">
        <f>IF($P541="","",IFERROR(LOOKUP(2,1/((BEMANNINGSPLAN!$W$5:$W$546=INDEX(BEMANNINGSPLAN!$W$5:$W$546,$P541))*(BEMANNINGSPLAN!$L$5:$L$546&lt;&gt;"")),BEMANNINGSPLAN!$L$5:$L$546),""))</f>
        <v/>
      </c>
      <c r="L541" s="24" t="str">
        <f>IF($P541="","",INDEX(BEMANNINGSPLAN!$AE$5:$AE$546,$P541))</f>
        <v/>
      </c>
      <c r="O541" s="136" t="str">
        <f>IF(AND(BEMANNINGSPLAN!U539=1,OR($B$4="Alla lag",BEMANNINGSPLAN!J539=$B$4),OR($E$4="Alla datum",BEMANNINGSPLAN!A539=$E$4)),COUNT($O$6:O540)+1,"")</f>
        <v/>
      </c>
      <c r="P541" s="136" t="str">
        <f t="shared" si="8"/>
        <v/>
      </c>
    </row>
    <row r="542" spans="1:16" ht="27.75" customHeight="1">
      <c r="A542" s="24" t="str">
        <f>IF($P542="","",INDEX(BEMANNINGSPLAN!$A$5:$A$546,$P542))</f>
        <v/>
      </c>
      <c r="B542" s="24" t="str">
        <f>IF($P542="","",INDEX(BEMANNINGSPLAN!$B$5:$B$546,$P542))</f>
        <v/>
      </c>
      <c r="C542" s="24" t="str">
        <f>IF($P542="","",INDEX(BEMANNINGSPLAN!$C$5:$C$546,$P542))</f>
        <v/>
      </c>
      <c r="D542" s="24" t="str">
        <f>IF($P542="","",INDEX(BEMANNINGSPLAN!$D$5:$D$546,$P542))</f>
        <v/>
      </c>
      <c r="E542" s="24" t="str">
        <f>IF($P542="","",SUMIF(BEMANNINGSPLAN!$W$5:$W$546,INDEX(BEMANNINGSPLAN!$W$5:$W$546,$P542),BEMANNINGSPLAN!$X$5:$X$546))</f>
        <v/>
      </c>
      <c r="F542" s="24" t="str">
        <f>IF($P542="","",INDEX(BEMANNINGSPLAN!$J$5:$J$546,$P542))</f>
        <v/>
      </c>
      <c r="G542" s="24" t="str">
        <f>IF($P542="","",INDEX(BEMANNINGSPLAN!$AD$5:$AD$546,$P542))</f>
        <v/>
      </c>
      <c r="H542" s="24" t="str">
        <f>IF($P542="","",IF(AND(INDEX(BEMANNINGSPLAN!$Y$5:$Y$546,$P542)=1,G542&lt;&gt;"Minicafé"),"X",""))</f>
        <v/>
      </c>
      <c r="I542" s="24" t="str">
        <f>IF($P542="","",IF(INDEX(BEMANNINGSPLAN!$Y$5:$Y$546,$P542)=1,"X",""))</f>
        <v/>
      </c>
      <c r="J542" s="24" t="str">
        <f>IF($P542="","",IF(SUMIF(BEMANNINGSPLAN!$W$5:$W$546,INDEX(BEMANNINGSPLAN!$W$5:$W$546,$P542),BEMANNINGSPLAN!$Z$5:$Z$546)=1,"X",""))</f>
        <v/>
      </c>
      <c r="K542" s="24" t="str">
        <f>IF($P542="","",IFERROR(LOOKUP(2,1/((BEMANNINGSPLAN!$W$5:$W$546=INDEX(BEMANNINGSPLAN!$W$5:$W$546,$P542))*(BEMANNINGSPLAN!$L$5:$L$546&lt;&gt;"")),BEMANNINGSPLAN!$L$5:$L$546),""))</f>
        <v/>
      </c>
      <c r="L542" s="24" t="str">
        <f>IF($P542="","",INDEX(BEMANNINGSPLAN!$AE$5:$AE$546,$P542))</f>
        <v/>
      </c>
      <c r="O542" s="136">
        <f>IF(AND(BEMANNINGSPLAN!U540=1,OR($B$4="Alla lag",BEMANNINGSPLAN!J540=$B$4),OR($E$4="Alla datum",BEMANNINGSPLAN!A540=$E$4)),COUNT($O$6:O541)+1,"")</f>
        <v>109</v>
      </c>
      <c r="P542" s="136" t="str">
        <f t="shared" si="8"/>
        <v/>
      </c>
    </row>
    <row r="543" spans="1:16" ht="27.75" customHeight="1">
      <c r="A543" s="24" t="str">
        <f>IF($P543="","",INDEX(BEMANNINGSPLAN!$A$5:$A$546,$P543))</f>
        <v/>
      </c>
      <c r="B543" s="24" t="str">
        <f>IF($P543="","",INDEX(BEMANNINGSPLAN!$B$5:$B$546,$P543))</f>
        <v/>
      </c>
      <c r="C543" s="24" t="str">
        <f>IF($P543="","",INDEX(BEMANNINGSPLAN!$C$5:$C$546,$P543))</f>
        <v/>
      </c>
      <c r="D543" s="24" t="str">
        <f>IF($P543="","",INDEX(BEMANNINGSPLAN!$D$5:$D$546,$P543))</f>
        <v/>
      </c>
      <c r="E543" s="24" t="str">
        <f>IF($P543="","",SUMIF(BEMANNINGSPLAN!$W$5:$W$546,INDEX(BEMANNINGSPLAN!$W$5:$W$546,$P543),BEMANNINGSPLAN!$X$5:$X$546))</f>
        <v/>
      </c>
      <c r="F543" s="24" t="str">
        <f>IF($P543="","",INDEX(BEMANNINGSPLAN!$J$5:$J$546,$P543))</f>
        <v/>
      </c>
      <c r="G543" s="24" t="str">
        <f>IF($P543="","",INDEX(BEMANNINGSPLAN!$AD$5:$AD$546,$P543))</f>
        <v/>
      </c>
      <c r="H543" s="24" t="str">
        <f>IF($P543="","",IF(AND(INDEX(BEMANNINGSPLAN!$Y$5:$Y$546,$P543)=1,G543&lt;&gt;"Minicafé"),"X",""))</f>
        <v/>
      </c>
      <c r="I543" s="24" t="str">
        <f>IF($P543="","",IF(INDEX(BEMANNINGSPLAN!$Y$5:$Y$546,$P543)=1,"X",""))</f>
        <v/>
      </c>
      <c r="J543" s="24" t="str">
        <f>IF($P543="","",IF(SUMIF(BEMANNINGSPLAN!$W$5:$W$546,INDEX(BEMANNINGSPLAN!$W$5:$W$546,$P543),BEMANNINGSPLAN!$Z$5:$Z$546)=1,"X",""))</f>
        <v/>
      </c>
      <c r="K543" s="24" t="str">
        <f>IF($P543="","",IFERROR(LOOKUP(2,1/((BEMANNINGSPLAN!$W$5:$W$546=INDEX(BEMANNINGSPLAN!$W$5:$W$546,$P543))*(BEMANNINGSPLAN!$L$5:$L$546&lt;&gt;"")),BEMANNINGSPLAN!$L$5:$L$546),""))</f>
        <v/>
      </c>
      <c r="L543" s="24" t="str">
        <f>IF($P543="","",INDEX(BEMANNINGSPLAN!$AE$5:$AE$546,$P543))</f>
        <v/>
      </c>
      <c r="O543" s="136" t="str">
        <f>IF(AND(BEMANNINGSPLAN!U541=1,OR($B$4="Alla lag",BEMANNINGSPLAN!J541=$B$4),OR($E$4="Alla datum",BEMANNINGSPLAN!A541=$E$4)),COUNT($O$6:O542)+1,"")</f>
        <v/>
      </c>
      <c r="P543" s="136" t="str">
        <f t="shared" si="8"/>
        <v/>
      </c>
    </row>
    <row r="544" spans="1:16" ht="27.75" customHeight="1">
      <c r="A544" s="24" t="str">
        <f>IF($P544="","",INDEX(BEMANNINGSPLAN!$A$5:$A$546,$P544))</f>
        <v/>
      </c>
      <c r="B544" s="24" t="str">
        <f>IF($P544="","",INDEX(BEMANNINGSPLAN!$B$5:$B$546,$P544))</f>
        <v/>
      </c>
      <c r="C544" s="24" t="str">
        <f>IF($P544="","",INDEX(BEMANNINGSPLAN!$C$5:$C$546,$P544))</f>
        <v/>
      </c>
      <c r="D544" s="24" t="str">
        <f>IF($P544="","",INDEX(BEMANNINGSPLAN!$D$5:$D$546,$P544))</f>
        <v/>
      </c>
      <c r="E544" s="24" t="str">
        <f>IF($P544="","",SUMIF(BEMANNINGSPLAN!$W$5:$W$546,INDEX(BEMANNINGSPLAN!$W$5:$W$546,$P544),BEMANNINGSPLAN!$X$5:$X$546))</f>
        <v/>
      </c>
      <c r="F544" s="24" t="str">
        <f>IF($P544="","",INDEX(BEMANNINGSPLAN!$J$5:$J$546,$P544))</f>
        <v/>
      </c>
      <c r="G544" s="24" t="str">
        <f>IF($P544="","",INDEX(BEMANNINGSPLAN!$AD$5:$AD$546,$P544))</f>
        <v/>
      </c>
      <c r="H544" s="24" t="str">
        <f>IF($P544="","",IF(AND(INDEX(BEMANNINGSPLAN!$Y$5:$Y$546,$P544)=1,G544&lt;&gt;"Minicafé"),"X",""))</f>
        <v/>
      </c>
      <c r="I544" s="24" t="str">
        <f>IF($P544="","",IF(INDEX(BEMANNINGSPLAN!$Y$5:$Y$546,$P544)=1,"X",""))</f>
        <v/>
      </c>
      <c r="J544" s="24" t="str">
        <f>IF($P544="","",IF(SUMIF(BEMANNINGSPLAN!$W$5:$W$546,INDEX(BEMANNINGSPLAN!$W$5:$W$546,$P544),BEMANNINGSPLAN!$Z$5:$Z$546)=1,"X",""))</f>
        <v/>
      </c>
      <c r="K544" s="24" t="str">
        <f>IF($P544="","",IFERROR(LOOKUP(2,1/((BEMANNINGSPLAN!$W$5:$W$546=INDEX(BEMANNINGSPLAN!$W$5:$W$546,$P544))*(BEMANNINGSPLAN!$L$5:$L$546&lt;&gt;"")),BEMANNINGSPLAN!$L$5:$L$546),""))</f>
        <v/>
      </c>
      <c r="L544" s="24" t="str">
        <f>IF($P544="","",INDEX(BEMANNINGSPLAN!$AE$5:$AE$546,$P544))</f>
        <v/>
      </c>
      <c r="O544" s="136" t="str">
        <f>IF(AND(BEMANNINGSPLAN!U542=1,OR($B$4="Alla lag",BEMANNINGSPLAN!J542=$B$4),OR($E$4="Alla datum",BEMANNINGSPLAN!A542=$E$4)),COUNT($O$6:O543)+1,"")</f>
        <v/>
      </c>
      <c r="P544" s="136" t="str">
        <f t="shared" si="8"/>
        <v/>
      </c>
    </row>
    <row r="545" spans="1:16" ht="27.75" customHeight="1">
      <c r="A545" s="24" t="str">
        <f>IF($P545="","",INDEX(BEMANNINGSPLAN!$A$5:$A$546,$P545))</f>
        <v/>
      </c>
      <c r="B545" s="24" t="str">
        <f>IF($P545="","",INDEX(BEMANNINGSPLAN!$B$5:$B$546,$P545))</f>
        <v/>
      </c>
      <c r="C545" s="24" t="str">
        <f>IF($P545="","",INDEX(BEMANNINGSPLAN!$C$5:$C$546,$P545))</f>
        <v/>
      </c>
      <c r="D545" s="24" t="str">
        <f>IF($P545="","",INDEX(BEMANNINGSPLAN!$D$5:$D$546,$P545))</f>
        <v/>
      </c>
      <c r="E545" s="24" t="str">
        <f>IF($P545="","",SUMIF(BEMANNINGSPLAN!$W$5:$W$546,INDEX(BEMANNINGSPLAN!$W$5:$W$546,$P545),BEMANNINGSPLAN!$X$5:$X$546))</f>
        <v/>
      </c>
      <c r="F545" s="24" t="str">
        <f>IF($P545="","",INDEX(BEMANNINGSPLAN!$J$5:$J$546,$P545))</f>
        <v/>
      </c>
      <c r="G545" s="24" t="str">
        <f>IF($P545="","",INDEX(BEMANNINGSPLAN!$AD$5:$AD$546,$P545))</f>
        <v/>
      </c>
      <c r="H545" s="24" t="str">
        <f>IF($P545="","",IF(AND(INDEX(BEMANNINGSPLAN!$Y$5:$Y$546,$P545)=1,G545&lt;&gt;"Minicafé"),"X",""))</f>
        <v/>
      </c>
      <c r="I545" s="24" t="str">
        <f>IF($P545="","",IF(INDEX(BEMANNINGSPLAN!$Y$5:$Y$546,$P545)=1,"X",""))</f>
        <v/>
      </c>
      <c r="J545" s="24" t="str">
        <f>IF($P545="","",IF(SUMIF(BEMANNINGSPLAN!$W$5:$W$546,INDEX(BEMANNINGSPLAN!$W$5:$W$546,$P545),BEMANNINGSPLAN!$Z$5:$Z$546)=1,"X",""))</f>
        <v/>
      </c>
      <c r="K545" s="24" t="str">
        <f>IF($P545="","",IFERROR(LOOKUP(2,1/((BEMANNINGSPLAN!$W$5:$W$546=INDEX(BEMANNINGSPLAN!$W$5:$W$546,$P545))*(BEMANNINGSPLAN!$L$5:$L$546&lt;&gt;"")),BEMANNINGSPLAN!$L$5:$L$546),""))</f>
        <v/>
      </c>
      <c r="L545" s="24" t="str">
        <f>IF($P545="","",INDEX(BEMANNINGSPLAN!$AE$5:$AE$546,$P545))</f>
        <v/>
      </c>
      <c r="O545" s="136" t="str">
        <f>IF(AND(BEMANNINGSPLAN!U543=1,OR($B$4="Alla lag",BEMANNINGSPLAN!J543=$B$4),OR($E$4="Alla datum",BEMANNINGSPLAN!A543=$E$4)),COUNT($O$6:O544)+1,"")</f>
        <v/>
      </c>
      <c r="P545" s="136" t="str">
        <f t="shared" si="8"/>
        <v/>
      </c>
    </row>
    <row r="546" spans="1:16" ht="27.75" customHeight="1">
      <c r="A546" s="24" t="str">
        <f>IF($P546="","",INDEX(BEMANNINGSPLAN!$A$5:$A$546,$P546))</f>
        <v/>
      </c>
      <c r="B546" s="24" t="str">
        <f>IF($P546="","",INDEX(BEMANNINGSPLAN!$B$5:$B$546,$P546))</f>
        <v/>
      </c>
      <c r="C546" s="24" t="str">
        <f>IF($P546="","",INDEX(BEMANNINGSPLAN!$C$5:$C$546,$P546))</f>
        <v/>
      </c>
      <c r="D546" s="24" t="str">
        <f>IF($P546="","",INDEX(BEMANNINGSPLAN!$D$5:$D$546,$P546))</f>
        <v/>
      </c>
      <c r="E546" s="24" t="str">
        <f>IF($P546="","",SUMIF(BEMANNINGSPLAN!$W$5:$W$546,INDEX(BEMANNINGSPLAN!$W$5:$W$546,$P546),BEMANNINGSPLAN!$X$5:$X$546))</f>
        <v/>
      </c>
      <c r="F546" s="24" t="str">
        <f>IF($P546="","",INDEX(BEMANNINGSPLAN!$J$5:$J$546,$P546))</f>
        <v/>
      </c>
      <c r="G546" s="24" t="str">
        <f>IF($P546="","",INDEX(BEMANNINGSPLAN!$AD$5:$AD$546,$P546))</f>
        <v/>
      </c>
      <c r="H546" s="24" t="str">
        <f>IF($P546="","",IF(AND(INDEX(BEMANNINGSPLAN!$Y$5:$Y$546,$P546)=1,G546&lt;&gt;"Minicafé"),"X",""))</f>
        <v/>
      </c>
      <c r="I546" s="24" t="str">
        <f>IF($P546="","",IF(INDEX(BEMANNINGSPLAN!$Y$5:$Y$546,$P546)=1,"X",""))</f>
        <v/>
      </c>
      <c r="J546" s="24" t="str">
        <f>IF($P546="","",IF(SUMIF(BEMANNINGSPLAN!$W$5:$W$546,INDEX(BEMANNINGSPLAN!$W$5:$W$546,$P546),BEMANNINGSPLAN!$Z$5:$Z$546)=1,"X",""))</f>
        <v/>
      </c>
      <c r="K546" s="24" t="str">
        <f>IF($P546="","",IFERROR(LOOKUP(2,1/((BEMANNINGSPLAN!$W$5:$W$546=INDEX(BEMANNINGSPLAN!$W$5:$W$546,$P546))*(BEMANNINGSPLAN!$L$5:$L$546&lt;&gt;"")),BEMANNINGSPLAN!$L$5:$L$546),""))</f>
        <v/>
      </c>
      <c r="L546" s="24" t="str">
        <f>IF($P546="","",INDEX(BEMANNINGSPLAN!$AE$5:$AE$546,$P546))</f>
        <v/>
      </c>
      <c r="O546" s="136" t="str">
        <f>IF(AND(BEMANNINGSPLAN!U544=1,OR($B$4="Alla lag",BEMANNINGSPLAN!J544=$B$4),OR($E$4="Alla datum",BEMANNINGSPLAN!A544=$E$4)),COUNT($O$6:O545)+1,"")</f>
        <v/>
      </c>
      <c r="P546" s="136" t="str">
        <f t="shared" si="8"/>
        <v/>
      </c>
    </row>
    <row r="547" spans="1:16" ht="27.75" customHeight="1">
      <c r="A547" s="24" t="str">
        <f>IF($P547="","",INDEX(BEMANNINGSPLAN!$A$5:$A$546,$P547))</f>
        <v/>
      </c>
      <c r="B547" s="24" t="str">
        <f>IF($P547="","",INDEX(BEMANNINGSPLAN!$B$5:$B$546,$P547))</f>
        <v/>
      </c>
      <c r="C547" s="24" t="str">
        <f>IF($P547="","",INDEX(BEMANNINGSPLAN!$C$5:$C$546,$P547))</f>
        <v/>
      </c>
      <c r="D547" s="24" t="str">
        <f>IF($P547="","",INDEX(BEMANNINGSPLAN!$D$5:$D$546,$P547))</f>
        <v/>
      </c>
      <c r="E547" s="24" t="str">
        <f>IF($P547="","",SUMIF(BEMANNINGSPLAN!$W$5:$W$546,INDEX(BEMANNINGSPLAN!$W$5:$W$546,$P547),BEMANNINGSPLAN!$X$5:$X$546))</f>
        <v/>
      </c>
      <c r="F547" s="24" t="str">
        <f>IF($P547="","",INDEX(BEMANNINGSPLAN!$J$5:$J$546,$P547))</f>
        <v/>
      </c>
      <c r="G547" s="24" t="str">
        <f>IF($P547="","",INDEX(BEMANNINGSPLAN!$AD$5:$AD$546,$P547))</f>
        <v/>
      </c>
      <c r="H547" s="24" t="str">
        <f>IF($P547="","",IF(AND(INDEX(BEMANNINGSPLAN!$Y$5:$Y$546,$P547)=1,G547&lt;&gt;"Minicafé"),"X",""))</f>
        <v/>
      </c>
      <c r="I547" s="24" t="str">
        <f>IF($P547="","",IF(INDEX(BEMANNINGSPLAN!$Y$5:$Y$546,$P547)=1,"X",""))</f>
        <v/>
      </c>
      <c r="J547" s="24" t="str">
        <f>IF($P547="","",IF(SUMIF(BEMANNINGSPLAN!$W$5:$W$546,INDEX(BEMANNINGSPLAN!$W$5:$W$546,$P547),BEMANNINGSPLAN!$Z$5:$Z$546)=1,"X",""))</f>
        <v/>
      </c>
      <c r="K547" s="24" t="str">
        <f>IF($P547="","",IFERROR(LOOKUP(2,1/((BEMANNINGSPLAN!$W$5:$W$546=INDEX(BEMANNINGSPLAN!$W$5:$W$546,$P547))*(BEMANNINGSPLAN!$L$5:$L$546&lt;&gt;"")),BEMANNINGSPLAN!$L$5:$L$546),""))</f>
        <v/>
      </c>
      <c r="L547" s="24" t="str">
        <f>IF($P547="","",INDEX(BEMANNINGSPLAN!$AE$5:$AE$546,$P547))</f>
        <v/>
      </c>
      <c r="O547" s="136" t="str">
        <f>IF(AND(BEMANNINGSPLAN!U545=1,OR($B$4="Alla lag",BEMANNINGSPLAN!J545=$B$4),OR($E$4="Alla datum",BEMANNINGSPLAN!A545=$E$4)),COUNT($O$6:O546)+1,"")</f>
        <v/>
      </c>
      <c r="P547" s="136" t="str">
        <f t="shared" si="8"/>
        <v/>
      </c>
    </row>
    <row r="548" spans="1:16" ht="27.75" customHeight="1">
      <c r="A548" s="24" t="str">
        <f>IF($P548="","",INDEX(BEMANNINGSPLAN!$A$5:$A$546,$P548))</f>
        <v/>
      </c>
      <c r="B548" s="24" t="str">
        <f>IF($P548="","",INDEX(BEMANNINGSPLAN!$B$5:$B$546,$P548))</f>
        <v/>
      </c>
      <c r="C548" s="24" t="str">
        <f>IF($P548="","",INDEX(BEMANNINGSPLAN!$C$5:$C$546,$P548))</f>
        <v/>
      </c>
      <c r="D548" s="24" t="str">
        <f>IF($P548="","",INDEX(BEMANNINGSPLAN!$D$5:$D$546,$P548))</f>
        <v/>
      </c>
      <c r="E548" s="24" t="str">
        <f>IF($P548="","",SUMIF(BEMANNINGSPLAN!$W$5:$W$546,INDEX(BEMANNINGSPLAN!$W$5:$W$546,$P548),BEMANNINGSPLAN!$X$5:$X$546))</f>
        <v/>
      </c>
      <c r="F548" s="24" t="str">
        <f>IF($P548="","",INDEX(BEMANNINGSPLAN!$J$5:$J$546,$P548))</f>
        <v/>
      </c>
      <c r="G548" s="24" t="str">
        <f>IF($P548="","",INDEX(BEMANNINGSPLAN!$AD$5:$AD$546,$P548))</f>
        <v/>
      </c>
      <c r="H548" s="24" t="str">
        <f>IF($P548="","",IF(AND(INDEX(BEMANNINGSPLAN!$Y$5:$Y$546,$P548)=1,G548&lt;&gt;"Minicafé"),"X",""))</f>
        <v/>
      </c>
      <c r="I548" s="24" t="str">
        <f>IF($P548="","",IF(INDEX(BEMANNINGSPLAN!$Y$5:$Y$546,$P548)=1,"X",""))</f>
        <v/>
      </c>
      <c r="J548" s="24" t="str">
        <f>IF($P548="","",IF(SUMIF(BEMANNINGSPLAN!$W$5:$W$546,INDEX(BEMANNINGSPLAN!$W$5:$W$546,$P548),BEMANNINGSPLAN!$Z$5:$Z$546)=1,"X",""))</f>
        <v/>
      </c>
      <c r="K548" s="24" t="str">
        <f>IF($P548="","",IFERROR(LOOKUP(2,1/((BEMANNINGSPLAN!$W$5:$W$546=INDEX(BEMANNINGSPLAN!$W$5:$W$546,$P548))*(BEMANNINGSPLAN!$L$5:$L$546&lt;&gt;"")),BEMANNINGSPLAN!$L$5:$L$546),""))</f>
        <v/>
      </c>
      <c r="L548" s="24" t="str">
        <f>IF($P548="","",INDEX(BEMANNINGSPLAN!$AE$5:$AE$546,$P548))</f>
        <v/>
      </c>
      <c r="O548" s="136" t="str">
        <f>IF(AND(BEMANNINGSPLAN!U546=1,OR($B$4="Alla lag",BEMANNINGSPLAN!J546=$B$4),OR($E$4="Alla datum",BEMANNINGSPLAN!A546=$E$4)),COUNT($O$6:O547)+1,"")</f>
        <v/>
      </c>
      <c r="P548" s="136" t="str">
        <f t="shared" si="8"/>
        <v/>
      </c>
    </row>
    <row r="549" spans="1:16">
      <c r="A549" s="25"/>
      <c r="B549" s="25"/>
      <c r="C549" s="25"/>
      <c r="D549" s="25"/>
      <c r="E549" s="25"/>
      <c r="F549" s="25"/>
      <c r="G549" s="25"/>
      <c r="H549" s="25"/>
      <c r="I549" s="25"/>
      <c r="J549" s="25"/>
      <c r="K549" s="26"/>
      <c r="L549" s="25"/>
      <c r="P549" s="136" t="str">
        <f t="shared" si="8"/>
        <v/>
      </c>
    </row>
    <row r="550" spans="1:16">
      <c r="A550" s="25"/>
      <c r="B550" s="25"/>
      <c r="C550" s="25"/>
      <c r="D550" s="25"/>
      <c r="E550" s="25"/>
      <c r="F550" s="25"/>
      <c r="G550" s="25"/>
      <c r="H550" s="25"/>
      <c r="I550" s="25"/>
      <c r="J550" s="25"/>
      <c r="K550" s="26"/>
      <c r="L550" s="25"/>
      <c r="P550" s="136" t="str">
        <f t="shared" si="8"/>
        <v/>
      </c>
    </row>
    <row r="551" spans="1:16">
      <c r="A551" s="25"/>
      <c r="B551" s="25"/>
      <c r="C551" s="25"/>
      <c r="D551" s="25"/>
      <c r="E551" s="25"/>
      <c r="F551" s="25"/>
      <c r="G551" s="25"/>
      <c r="H551" s="25"/>
      <c r="I551" s="25"/>
      <c r="J551" s="25"/>
      <c r="K551" s="26"/>
      <c r="L551" s="25"/>
      <c r="P551" s="136" t="str">
        <f t="shared" si="8"/>
        <v/>
      </c>
    </row>
    <row r="552" spans="1:16">
      <c r="A552" s="25"/>
      <c r="B552" s="25"/>
      <c r="C552" s="25"/>
      <c r="D552" s="25"/>
      <c r="E552" s="25"/>
      <c r="F552" s="25"/>
      <c r="G552" s="25"/>
      <c r="H552" s="25"/>
      <c r="I552" s="25"/>
      <c r="J552" s="25"/>
      <c r="K552" s="26"/>
      <c r="L552" s="25"/>
      <c r="P552" s="136" t="str">
        <f t="shared" si="8"/>
        <v/>
      </c>
    </row>
    <row r="553" spans="1:16">
      <c r="A553" s="25"/>
      <c r="B553" s="25"/>
      <c r="C553" s="25"/>
      <c r="D553" s="25"/>
      <c r="E553" s="25"/>
      <c r="F553" s="25"/>
      <c r="G553" s="25"/>
      <c r="H553" s="25"/>
      <c r="I553" s="25"/>
      <c r="J553" s="25"/>
      <c r="K553" s="26"/>
      <c r="L553" s="25"/>
      <c r="P553" s="136" t="str">
        <f t="shared" si="8"/>
        <v/>
      </c>
    </row>
    <row r="554" spans="1:16">
      <c r="A554" s="25"/>
      <c r="B554" s="25"/>
      <c r="C554" s="25"/>
      <c r="D554" s="25"/>
      <c r="E554" s="25"/>
      <c r="F554" s="25"/>
      <c r="G554" s="25"/>
      <c r="H554" s="25"/>
      <c r="I554" s="25"/>
      <c r="J554" s="25"/>
      <c r="K554" s="26"/>
      <c r="L554" s="25"/>
      <c r="P554" s="136" t="str">
        <f t="shared" si="8"/>
        <v/>
      </c>
    </row>
    <row r="555" spans="1:16">
      <c r="A555" s="25"/>
      <c r="B555" s="25"/>
      <c r="C555" s="25"/>
      <c r="D555" s="25"/>
      <c r="E555" s="25"/>
      <c r="F555" s="25"/>
      <c r="G555" s="25"/>
      <c r="H555" s="25"/>
      <c r="I555" s="25"/>
      <c r="J555" s="25"/>
      <c r="K555" s="26"/>
      <c r="L555" s="25"/>
      <c r="P555" s="136" t="str">
        <f t="shared" si="8"/>
        <v/>
      </c>
    </row>
    <row r="556" spans="1:16">
      <c r="A556" s="25"/>
      <c r="B556" s="25"/>
      <c r="C556" s="25"/>
      <c r="D556" s="25"/>
      <c r="E556" s="25"/>
      <c r="F556" s="25"/>
      <c r="G556" s="25"/>
      <c r="H556" s="25"/>
      <c r="I556" s="25"/>
      <c r="J556" s="25"/>
      <c r="K556" s="26"/>
      <c r="L556" s="25"/>
      <c r="P556" s="136" t="str">
        <f t="shared" si="8"/>
        <v/>
      </c>
    </row>
    <row r="557" spans="1:16">
      <c r="A557" s="25"/>
      <c r="B557" s="25"/>
      <c r="C557" s="25"/>
      <c r="D557" s="25"/>
      <c r="E557" s="25"/>
      <c r="F557" s="25"/>
      <c r="G557" s="25"/>
      <c r="H557" s="25"/>
      <c r="I557" s="25"/>
      <c r="J557" s="25"/>
      <c r="K557" s="26"/>
      <c r="L557" s="25"/>
      <c r="P557" s="136" t="str">
        <f t="shared" si="8"/>
        <v/>
      </c>
    </row>
    <row r="558" spans="1:16">
      <c r="A558" s="25"/>
      <c r="B558" s="25"/>
      <c r="C558" s="25"/>
      <c r="D558" s="25"/>
      <c r="E558" s="25"/>
      <c r="F558" s="25"/>
      <c r="G558" s="25"/>
      <c r="H558" s="25"/>
      <c r="I558" s="25"/>
      <c r="J558" s="25"/>
      <c r="K558" s="26"/>
      <c r="L558" s="25"/>
      <c r="P558" s="136" t="str">
        <f t="shared" si="8"/>
        <v/>
      </c>
    </row>
    <row r="559" spans="1:16">
      <c r="A559" s="25"/>
      <c r="B559" s="25"/>
      <c r="C559" s="25"/>
      <c r="D559" s="25"/>
      <c r="E559" s="25"/>
      <c r="F559" s="25"/>
      <c r="G559" s="25"/>
      <c r="H559" s="25"/>
      <c r="I559" s="25"/>
      <c r="J559" s="25"/>
      <c r="K559" s="26"/>
      <c r="L559" s="25"/>
      <c r="P559" s="136" t="str">
        <f t="shared" si="8"/>
        <v/>
      </c>
    </row>
    <row r="560" spans="1:16">
      <c r="A560" s="27"/>
      <c r="B560" s="27"/>
      <c r="C560" s="27"/>
      <c r="D560" s="27"/>
      <c r="E560" s="27"/>
      <c r="F560" s="27"/>
      <c r="G560" s="27"/>
      <c r="H560" s="27"/>
      <c r="I560" s="27"/>
      <c r="J560" s="27"/>
      <c r="K560" s="28"/>
      <c r="L560" s="27"/>
      <c r="P560" s="136" t="str">
        <f t="shared" si="8"/>
        <v/>
      </c>
    </row>
  </sheetData>
  <sheetProtection sheet="1" objects="1" scenarios="1" autoFilter="0"/>
  <mergeCells count="2">
    <mergeCell ref="A1:L1"/>
    <mergeCell ref="A2:L2"/>
  </mergeCell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2">
        <x14:dataValidation type="list" xr:uid="{00000000-0002-0000-0100-000000000000}">
          <x14:formula1>
            <xm:f>REGLER!$M$5:$M$26</xm:f>
          </x14:formula1>
          <x14:formula2>
            <xm:f>0</xm:f>
          </x14:formula2>
          <xm:sqref>B4</xm:sqref>
        </x14:dataValidation>
        <x14:dataValidation type="list" xr:uid="{00000000-0002-0000-0100-000001000000}">
          <x14:formula1>
            <xm:f>REGLER!$K$5:$K$41</xm:f>
          </x14:formula1>
          <x14:formula2>
            <xm:f>0</xm:f>
          </x14:formula2>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F2D0"/>
  </sheetPr>
  <dimension ref="A1:P504"/>
  <sheetViews>
    <sheetView showGridLines="0" zoomScaleNormal="100" workbookViewId="0">
      <pane ySplit="4" topLeftCell="A5" activePane="bottomLeft" state="frozen"/>
      <selection pane="bottomLeft" sqref="A1:N1"/>
    </sheetView>
  </sheetViews>
  <sheetFormatPr defaultColWidth="8.54296875" defaultRowHeight="12.5"/>
  <cols>
    <col min="1" max="1" width="13.453125" style="136" customWidth="1"/>
    <col min="2" max="2" width="10.453125" style="136" customWidth="1"/>
    <col min="3" max="3" width="5.81640625" style="136" customWidth="1"/>
    <col min="4" max="4" width="13.7265625" style="136" customWidth="1"/>
    <col min="5" max="5" width="59.54296875" style="136" customWidth="1"/>
    <col min="6" max="6" width="9.54296875" style="136" customWidth="1"/>
    <col min="7" max="7" width="15" style="136" customWidth="1"/>
    <col min="8" max="8" width="19.81640625" style="136" customWidth="1"/>
    <col min="9" max="9" width="26.1796875" style="136" customWidth="1"/>
    <col min="10" max="10" width="18.54296875" style="136" customWidth="1"/>
    <col min="11" max="11" width="13.1796875" style="136" customWidth="1"/>
    <col min="12" max="12" width="15.1796875" style="136" customWidth="1"/>
    <col min="13" max="13" width="14.81640625" style="136" customWidth="1"/>
    <col min="14" max="14" width="17.7265625" style="136" customWidth="1"/>
    <col min="15" max="15" width="0.81640625" style="136" customWidth="1"/>
    <col min="16" max="16" width="2" style="136" customWidth="1"/>
    <col min="17" max="16384" width="8.54296875" style="136"/>
  </cols>
  <sheetData>
    <row r="1" spans="1:16" ht="22">
      <c r="A1" s="185" t="s">
        <v>43</v>
      </c>
      <c r="B1" s="185" t="s">
        <v>43</v>
      </c>
      <c r="C1" s="185" t="s">
        <v>43</v>
      </c>
      <c r="D1" s="185" t="s">
        <v>43</v>
      </c>
      <c r="E1" s="185" t="s">
        <v>43</v>
      </c>
      <c r="F1" s="185" t="s">
        <v>43</v>
      </c>
      <c r="G1" s="185" t="s">
        <v>43</v>
      </c>
      <c r="H1" s="185" t="s">
        <v>43</v>
      </c>
      <c r="I1" s="185" t="s">
        <v>43</v>
      </c>
      <c r="J1" s="185" t="s">
        <v>43</v>
      </c>
      <c r="K1" s="185" t="s">
        <v>43</v>
      </c>
      <c r="L1" s="185" t="s">
        <v>43</v>
      </c>
      <c r="M1" s="185" t="s">
        <v>43</v>
      </c>
      <c r="N1" s="185" t="s">
        <v>43</v>
      </c>
      <c r="O1" s="1"/>
      <c r="P1" s="1"/>
    </row>
    <row r="2" spans="1:16" ht="14.9" customHeight="1">
      <c r="A2" s="186" t="s">
        <v>864</v>
      </c>
      <c r="B2" s="186" t="s">
        <v>44</v>
      </c>
      <c r="C2" s="186" t="s">
        <v>44</v>
      </c>
      <c r="D2" s="186" t="s">
        <v>44</v>
      </c>
      <c r="E2" s="186" t="s">
        <v>44</v>
      </c>
      <c r="F2" s="186" t="s">
        <v>44</v>
      </c>
      <c r="G2" s="186" t="s">
        <v>44</v>
      </c>
      <c r="H2" s="186" t="s">
        <v>44</v>
      </c>
      <c r="I2" s="186" t="s">
        <v>44</v>
      </c>
      <c r="J2" s="186" t="s">
        <v>44</v>
      </c>
      <c r="K2" s="186" t="s">
        <v>44</v>
      </c>
      <c r="L2" s="186" t="s">
        <v>44</v>
      </c>
      <c r="M2" s="186" t="s">
        <v>44</v>
      </c>
      <c r="N2" s="186" t="s">
        <v>44</v>
      </c>
      <c r="O2" s="1"/>
      <c r="P2" s="1"/>
    </row>
    <row r="3" spans="1:16" ht="13">
      <c r="A3" s="1"/>
      <c r="B3" s="1"/>
      <c r="C3" s="1"/>
      <c r="D3" s="1"/>
      <c r="E3" s="1"/>
      <c r="F3" s="1"/>
      <c r="G3" s="1"/>
      <c r="H3" s="1"/>
      <c r="I3" s="1"/>
      <c r="J3" s="1"/>
      <c r="K3" s="1"/>
      <c r="L3" s="1"/>
      <c r="M3" s="1"/>
      <c r="N3" s="1"/>
      <c r="O3" s="1"/>
      <c r="P3" s="1"/>
    </row>
    <row r="4" spans="1:16" ht="13">
      <c r="A4" s="166" t="s">
        <v>45</v>
      </c>
      <c r="B4" s="166" t="s">
        <v>32</v>
      </c>
      <c r="C4" s="166" t="s">
        <v>46</v>
      </c>
      <c r="D4" s="166" t="s">
        <v>34</v>
      </c>
      <c r="E4" s="166" t="s">
        <v>47</v>
      </c>
      <c r="F4" s="166" t="s">
        <v>48</v>
      </c>
      <c r="G4" s="166" t="s">
        <v>49</v>
      </c>
      <c r="H4" s="166" t="s">
        <v>50</v>
      </c>
      <c r="I4" s="166" t="s">
        <v>51</v>
      </c>
      <c r="J4" s="166" t="s">
        <v>52</v>
      </c>
      <c r="K4" s="166" t="s">
        <v>53</v>
      </c>
      <c r="L4" s="166" t="s">
        <v>54</v>
      </c>
      <c r="M4" s="166" t="s">
        <v>55</v>
      </c>
      <c r="N4" s="166" t="s">
        <v>56</v>
      </c>
      <c r="O4" s="138"/>
      <c r="P4" s="138"/>
    </row>
    <row r="5" spans="1:16" ht="13">
      <c r="A5" s="31" t="str">
        <f>IF('IMPORT PROFIXIO'!A5="","",'IMPORT PROFIXIO'!A5)</f>
        <v>26 -1 48113 01</v>
      </c>
      <c r="B5" s="32">
        <f>IF(A5="","",IF(ISNUMBER('IMPORT PROFIXIO'!D5),'IMPORT PROFIXIO'!D5,DATEVALUE('IMPORT PROFIXIO'!D5)))</f>
        <v>46284</v>
      </c>
      <c r="C5" s="33">
        <f>IF(A5="","",IF(ISNUMBER('IMPORT PROFIXIO'!E5),'IMPORT PROFIXIO'!E5,(VALUE(LEFT('IMPORT PROFIXIO'!E5,FIND(":",'IMPORT PROFIXIO'!E5)-1))*60+VALUE(MID('IMPORT PROFIXIO'!E5,FIND(":",'IMPORT PROFIXIO'!E5)+1,2)))/1440))</f>
        <v>0.625</v>
      </c>
      <c r="D5" s="31" t="str">
        <f>IF(A5="","",'IMPORT PROFIXIO'!F5)</f>
        <v>Ulriksdalshallen</v>
      </c>
      <c r="E5" s="31" t="str">
        <f>IF(A5="","",'IMPORT PROFIXIO'!K5)</f>
        <v>USM F18 - Steg 1</v>
      </c>
      <c r="F5" s="34" t="str">
        <f>IF(A5="","",IFERROR(VLOOKUP(E5,KLASSNING!$A$5:$F$74,2,FALSE()),"SAKNAS"))</f>
        <v>F19</v>
      </c>
      <c r="G5" s="34" t="str">
        <f>IF(A5="","",IFERROR(VLOOKUP(E5,KLASSNING!$A$5:$F$74,3,FALSE()),"SAKNAS"))</f>
        <v>USM</v>
      </c>
      <c r="H5" s="34" t="str">
        <f>IF(A5="","",'IMPORT PROFIXIO'!H5)</f>
        <v>AIK</v>
      </c>
      <c r="I5" s="34" t="str">
        <f>IF(A5="","",'IMPORT PROFIXIO'!I5)</f>
        <v>Eslövs HK</v>
      </c>
      <c r="J5" s="34" t="str">
        <f t="shared" ref="J5:J68" si="0">IF(A5="","",IF(LEFT(H5,3)="AIK",IF(H5="AIK 2",F5&amp;" 2",F5),IF(LEFT(I5,3)="AIK",IF(I5="AIK 2",F5&amp;" 2",F5),"")))</f>
        <v>F19</v>
      </c>
      <c r="K5" s="34" t="str">
        <f t="shared" ref="K5:K68" si="1">IF(A5="","",IF(D5="Solnahallen","Nej","Ja"))</f>
        <v>Ja</v>
      </c>
      <c r="L5" s="34">
        <f>IF(A5="","",IFERROR(VLOOKUP(E5,KLASSNING!$A$5:$F$74,5,FALSE()),0))</f>
        <v>55</v>
      </c>
      <c r="M5" s="35">
        <f t="shared" ref="M5:M68" si="2">IF(OR(A5="",K5&lt;&gt;"Ja"),"",C5+L5/1440)</f>
        <v>0.66319444444444442</v>
      </c>
      <c r="N5" s="34" t="str">
        <f>IF(A5="","",IF(K5&lt;&gt;"Ja","Ej aktuell",IF(L5&lt;=0,"KONTROLLERA MATCHTID",IF(AND(COUNTIFS(BEMANNINGSPLAN!$A$5:$A$546,B5,BEMANNINGSPLAN!$C$5:$C$546,D5,BEMANNINGSPLAN!$D$5:$D$546,"&lt;="&amp;C5,BEMANNINGSPLAN!$E$5:$E$546,"&gt;"&amp;C5)&gt;0,COUNTIFS(BEMANNINGSPLAN!$A$5:$A$546,B5,BEMANNINGSPLAN!$C$5:$C$546,D5,BEMANNINGSPLAN!$D$5:$D$546,"&lt;"&amp;M5,BEMANNINGSPLAN!$E$5:$E$546,"&gt;="&amp;M5)&gt;0),"Ja","SAKNAS TIDSRADER"))))</f>
        <v>Ja</v>
      </c>
      <c r="O5" s="137">
        <f>IF(OR(B5="",K5&lt;&gt;"Ja"),"",COUNTIFS($B$5:B5,B5,$K$5:K5,"Ja"))</f>
        <v>1</v>
      </c>
      <c r="P5" s="137" t="str">
        <f t="shared" ref="P5:P68" si="3">IF(O5="","",TEXT(B5,"yyyy-mm-dd")&amp;"|"&amp;O5)</f>
        <v>yyyy-00-19|1</v>
      </c>
    </row>
    <row r="6" spans="1:16" ht="13">
      <c r="A6" s="31" t="str">
        <f>IF('IMPORT PROFIXIO'!A6="","",'IMPORT PROFIXIO'!A6)</f>
        <v>26 -1 48113 02</v>
      </c>
      <c r="B6" s="32">
        <f>IF(A6="","",IF(ISNUMBER('IMPORT PROFIXIO'!D6),'IMPORT PROFIXIO'!D6,DATEVALUE('IMPORT PROFIXIO'!D6)))</f>
        <v>46284</v>
      </c>
      <c r="C6" s="33">
        <f>IF(A6="","",IF(ISNUMBER('IMPORT PROFIXIO'!E6),'IMPORT PROFIXIO'!E6,(VALUE(LEFT('IMPORT PROFIXIO'!E6,FIND(":",'IMPORT PROFIXIO'!E6)-1))*60+VALUE(MID('IMPORT PROFIXIO'!E6,FIND(":",'IMPORT PROFIXIO'!E6)+1,2)))/1440))</f>
        <v>0.6875</v>
      </c>
      <c r="D6" s="31" t="str">
        <f>IF(A6="","",'IMPORT PROFIXIO'!F6)</f>
        <v>Ulriksdalshallen</v>
      </c>
      <c r="E6" s="31" t="str">
        <f>IF(A6="","",'IMPORT PROFIXIO'!K6)</f>
        <v>USM F18 - Steg 1</v>
      </c>
      <c r="F6" s="34" t="str">
        <f>IF(A6="","",IFERROR(VLOOKUP(E6,KLASSNING!$A$5:$F$74,2,FALSE()),"SAKNAS"))</f>
        <v>F19</v>
      </c>
      <c r="G6" s="34" t="str">
        <f>IF(A6="","",IFERROR(VLOOKUP(E6,KLASSNING!$A$5:$F$74,3,FALSE()),"SAKNAS"))</f>
        <v>USM</v>
      </c>
      <c r="H6" s="34" t="str">
        <f>IF(A6="","",'IMPORT PROFIXIO'!H6)</f>
        <v>HK Aranäs</v>
      </c>
      <c r="I6" s="34" t="str">
        <f>IF(A6="","",'IMPORT PROFIXIO'!I6)</f>
        <v>Kiruna HK</v>
      </c>
      <c r="J6" s="34" t="str">
        <f t="shared" si="0"/>
        <v/>
      </c>
      <c r="K6" s="34" t="str">
        <f t="shared" si="1"/>
        <v>Ja</v>
      </c>
      <c r="L6" s="34">
        <f>IF(A6="","",IFERROR(VLOOKUP(E6,KLASSNING!$A$5:$F$74,5,FALSE()),0))</f>
        <v>55</v>
      </c>
      <c r="M6" s="35">
        <f t="shared" si="2"/>
        <v>0.72569444444444442</v>
      </c>
      <c r="N6" s="34" t="str">
        <f>IF(A6="","",IF(K6&lt;&gt;"Ja","Ej aktuell",IF(L6&lt;=0,"KONTROLLERA MATCHTID",IF(AND(COUNTIFS(BEMANNINGSPLAN!$A$5:$A$546,B6,BEMANNINGSPLAN!$C$5:$C$546,D6,BEMANNINGSPLAN!$D$5:$D$546,"&lt;="&amp;C6,BEMANNINGSPLAN!$E$5:$E$546,"&gt;"&amp;C6)&gt;0,COUNTIFS(BEMANNINGSPLAN!$A$5:$A$546,B6,BEMANNINGSPLAN!$C$5:$C$546,D6,BEMANNINGSPLAN!$D$5:$D$546,"&lt;"&amp;M6,BEMANNINGSPLAN!$E$5:$E$546,"&gt;="&amp;M6)&gt;0),"Ja","SAKNAS TIDSRADER"))))</f>
        <v>Ja</v>
      </c>
      <c r="O6" s="137">
        <f>IF(OR(B6="",K6&lt;&gt;"Ja"),"",COUNTIFS($B$5:B6,B6,$K$5:K6,"Ja"))</f>
        <v>2</v>
      </c>
      <c r="P6" s="137" t="str">
        <f t="shared" si="3"/>
        <v>yyyy-00-19|2</v>
      </c>
    </row>
    <row r="7" spans="1:16" ht="13">
      <c r="A7" s="31" t="str">
        <f>IF('IMPORT PROFIXIO'!A7="","",'IMPORT PROFIXIO'!A7)</f>
        <v>26 -1 48113 03</v>
      </c>
      <c r="B7" s="32">
        <f>IF(A7="","",IF(ISNUMBER('IMPORT PROFIXIO'!D7),'IMPORT PROFIXIO'!D7,DATEVALUE('IMPORT PROFIXIO'!D7)))</f>
        <v>46285</v>
      </c>
      <c r="C7" s="33">
        <f>IF(A7="","",IF(ISNUMBER('IMPORT PROFIXIO'!E7),'IMPORT PROFIXIO'!E7,(VALUE(LEFT('IMPORT PROFIXIO'!E7,FIND(":",'IMPORT PROFIXIO'!E7)-1))*60+VALUE(MID('IMPORT PROFIXIO'!E7,FIND(":",'IMPORT PROFIXIO'!E7)+1,2)))/1440))</f>
        <v>0.39583333333333331</v>
      </c>
      <c r="D7" s="31" t="str">
        <f>IF(A7="","",'IMPORT PROFIXIO'!F7)</f>
        <v>Ulriksdalshallen</v>
      </c>
      <c r="E7" s="31" t="str">
        <f>IF(A7="","",'IMPORT PROFIXIO'!K7)</f>
        <v>USM F18 - Steg 1</v>
      </c>
      <c r="F7" s="34" t="str">
        <f>IF(A7="","",IFERROR(VLOOKUP(E7,KLASSNING!$A$5:$F$74,2,FALSE()),"SAKNAS"))</f>
        <v>F19</v>
      </c>
      <c r="G7" s="34" t="str">
        <f>IF(A7="","",IFERROR(VLOOKUP(E7,KLASSNING!$A$5:$F$74,3,FALSE()),"SAKNAS"))</f>
        <v>USM</v>
      </c>
      <c r="H7" s="34" t="str">
        <f>IF(A7="","",'IMPORT PROFIXIO'!H7)</f>
        <v>AIK</v>
      </c>
      <c r="I7" s="34" t="str">
        <f>IF(A7="","",'IMPORT PROFIXIO'!I7)</f>
        <v>HK Aranäs</v>
      </c>
      <c r="J7" s="34" t="str">
        <f t="shared" si="0"/>
        <v>F19</v>
      </c>
      <c r="K7" s="34" t="str">
        <f t="shared" si="1"/>
        <v>Ja</v>
      </c>
      <c r="L7" s="34">
        <f>IF(A7="","",IFERROR(VLOOKUP(E7,KLASSNING!$A$5:$F$74,5,FALSE()),0))</f>
        <v>55</v>
      </c>
      <c r="M7" s="35">
        <f t="shared" si="2"/>
        <v>0.43402777777777779</v>
      </c>
      <c r="N7" s="34" t="str">
        <f>IF(A7="","",IF(K7&lt;&gt;"Ja","Ej aktuell",IF(L7&lt;=0,"KONTROLLERA MATCHTID",IF(AND(COUNTIFS(BEMANNINGSPLAN!$A$5:$A$546,B7,BEMANNINGSPLAN!$C$5:$C$546,D7,BEMANNINGSPLAN!$D$5:$D$546,"&lt;="&amp;C7,BEMANNINGSPLAN!$E$5:$E$546,"&gt;"&amp;C7)&gt;0,COUNTIFS(BEMANNINGSPLAN!$A$5:$A$546,B7,BEMANNINGSPLAN!$C$5:$C$546,D7,BEMANNINGSPLAN!$D$5:$D$546,"&lt;"&amp;M7,BEMANNINGSPLAN!$E$5:$E$546,"&gt;="&amp;M7)&gt;0),"Ja","SAKNAS TIDSRADER"))))</f>
        <v>Ja</v>
      </c>
      <c r="O7" s="137">
        <f>IF(OR(B7="",K7&lt;&gt;"Ja"),"",COUNTIFS($B$5:B7,B7,$K$5:K7,"Ja"))</f>
        <v>1</v>
      </c>
      <c r="P7" s="137" t="str">
        <f t="shared" si="3"/>
        <v>yyyy-00-20|1</v>
      </c>
    </row>
    <row r="8" spans="1:16" ht="13">
      <c r="A8" s="31" t="str">
        <f>IF('IMPORT PROFIXIO'!A8="","",'IMPORT PROFIXIO'!A8)</f>
        <v>26 -1 48113 04</v>
      </c>
      <c r="B8" s="32">
        <f>IF(A8="","",IF(ISNUMBER('IMPORT PROFIXIO'!D8),'IMPORT PROFIXIO'!D8,DATEVALUE('IMPORT PROFIXIO'!D8)))</f>
        <v>46285</v>
      </c>
      <c r="C8" s="33">
        <f>IF(A8="","",IF(ISNUMBER('IMPORT PROFIXIO'!E8),'IMPORT PROFIXIO'!E8,(VALUE(LEFT('IMPORT PROFIXIO'!E8,FIND(":",'IMPORT PROFIXIO'!E8)-1))*60+VALUE(MID('IMPORT PROFIXIO'!E8,FIND(":",'IMPORT PROFIXIO'!E8)+1,2)))/1440))</f>
        <v>0.45833333333333331</v>
      </c>
      <c r="D8" s="31" t="str">
        <f>IF(A8="","",'IMPORT PROFIXIO'!F8)</f>
        <v>Ulriksdalshallen</v>
      </c>
      <c r="E8" s="31" t="str">
        <f>IF(A8="","",'IMPORT PROFIXIO'!K8)</f>
        <v>USM F18 - Steg 1</v>
      </c>
      <c r="F8" s="34" t="str">
        <f>IF(A8="","",IFERROR(VLOOKUP(E8,KLASSNING!$A$5:$F$74,2,FALSE()),"SAKNAS"))</f>
        <v>F19</v>
      </c>
      <c r="G8" s="34" t="str">
        <f>IF(A8="","",IFERROR(VLOOKUP(E8,KLASSNING!$A$5:$F$74,3,FALSE()),"SAKNAS"))</f>
        <v>USM</v>
      </c>
      <c r="H8" s="34" t="str">
        <f>IF(A8="","",'IMPORT PROFIXIO'!H8)</f>
        <v>Kiruna HK</v>
      </c>
      <c r="I8" s="34" t="str">
        <f>IF(A8="","",'IMPORT PROFIXIO'!I8)</f>
        <v>Eslövs HK</v>
      </c>
      <c r="J8" s="34" t="str">
        <f t="shared" si="0"/>
        <v/>
      </c>
      <c r="K8" s="34" t="str">
        <f t="shared" si="1"/>
        <v>Ja</v>
      </c>
      <c r="L8" s="34">
        <f>IF(A8="","",IFERROR(VLOOKUP(E8,KLASSNING!$A$5:$F$74,5,FALSE()),0))</f>
        <v>55</v>
      </c>
      <c r="M8" s="35">
        <f t="shared" si="2"/>
        <v>0.49652777777777779</v>
      </c>
      <c r="N8" s="34" t="str">
        <f>IF(A8="","",IF(K8&lt;&gt;"Ja","Ej aktuell",IF(L8&lt;=0,"KONTROLLERA MATCHTID",IF(AND(COUNTIFS(BEMANNINGSPLAN!$A$5:$A$546,B8,BEMANNINGSPLAN!$C$5:$C$546,D8,BEMANNINGSPLAN!$D$5:$D$546,"&lt;="&amp;C8,BEMANNINGSPLAN!$E$5:$E$546,"&gt;"&amp;C8)&gt;0,COUNTIFS(BEMANNINGSPLAN!$A$5:$A$546,B8,BEMANNINGSPLAN!$C$5:$C$546,D8,BEMANNINGSPLAN!$D$5:$D$546,"&lt;"&amp;M8,BEMANNINGSPLAN!$E$5:$E$546,"&gt;="&amp;M8)&gt;0),"Ja","SAKNAS TIDSRADER"))))</f>
        <v>Ja</v>
      </c>
      <c r="O8" s="137">
        <f>IF(OR(B8="",K8&lt;&gt;"Ja"),"",COUNTIFS($B$5:B8,B8,$K$5:K8,"Ja"))</f>
        <v>2</v>
      </c>
      <c r="P8" s="137" t="str">
        <f t="shared" si="3"/>
        <v>yyyy-00-20|2</v>
      </c>
    </row>
    <row r="9" spans="1:16" ht="13">
      <c r="A9" s="31" t="str">
        <f>IF('IMPORT PROFIXIO'!A9="","",'IMPORT PROFIXIO'!A9)</f>
        <v>26 -1 48113 05</v>
      </c>
      <c r="B9" s="32">
        <f>IF(A9="","",IF(ISNUMBER('IMPORT PROFIXIO'!D9),'IMPORT PROFIXIO'!D9,DATEVALUE('IMPORT PROFIXIO'!D9)))</f>
        <v>46285</v>
      </c>
      <c r="C9" s="33">
        <f>IF(A9="","",IF(ISNUMBER('IMPORT PROFIXIO'!E9),'IMPORT PROFIXIO'!E9,(VALUE(LEFT('IMPORT PROFIXIO'!E9,FIND(":",'IMPORT PROFIXIO'!E9)-1))*60+VALUE(MID('IMPORT PROFIXIO'!E9,FIND(":",'IMPORT PROFIXIO'!E9)+1,2)))/1440))</f>
        <v>0.5625</v>
      </c>
      <c r="D9" s="31" t="str">
        <f>IF(A9="","",'IMPORT PROFIXIO'!F9)</f>
        <v>Ulriksdalshallen</v>
      </c>
      <c r="E9" s="31" t="str">
        <f>IF(A9="","",'IMPORT PROFIXIO'!K9)</f>
        <v>USM F18 - Steg 1</v>
      </c>
      <c r="F9" s="34" t="str">
        <f>IF(A9="","",IFERROR(VLOOKUP(E9,KLASSNING!$A$5:$F$74,2,FALSE()),"SAKNAS"))</f>
        <v>F19</v>
      </c>
      <c r="G9" s="34" t="str">
        <f>IF(A9="","",IFERROR(VLOOKUP(E9,KLASSNING!$A$5:$F$74,3,FALSE()),"SAKNAS"))</f>
        <v>USM</v>
      </c>
      <c r="H9" s="34" t="str">
        <f>IF(A9="","",'IMPORT PROFIXIO'!H9)</f>
        <v>Eslövs HK</v>
      </c>
      <c r="I9" s="34" t="str">
        <f>IF(A9="","",'IMPORT PROFIXIO'!I9)</f>
        <v>HK Aranäs</v>
      </c>
      <c r="J9" s="34" t="str">
        <f t="shared" si="0"/>
        <v/>
      </c>
      <c r="K9" s="34" t="str">
        <f t="shared" si="1"/>
        <v>Ja</v>
      </c>
      <c r="L9" s="34">
        <f>IF(A9="","",IFERROR(VLOOKUP(E9,KLASSNING!$A$5:$F$74,5,FALSE()),0))</f>
        <v>55</v>
      </c>
      <c r="M9" s="35">
        <f t="shared" si="2"/>
        <v>0.60069444444444442</v>
      </c>
      <c r="N9" s="34" t="str">
        <f>IF(A9="","",IF(K9&lt;&gt;"Ja","Ej aktuell",IF(L9&lt;=0,"KONTROLLERA MATCHTID",IF(AND(COUNTIFS(BEMANNINGSPLAN!$A$5:$A$546,B9,BEMANNINGSPLAN!$C$5:$C$546,D9,BEMANNINGSPLAN!$D$5:$D$546,"&lt;="&amp;C9,BEMANNINGSPLAN!$E$5:$E$546,"&gt;"&amp;C9)&gt;0,COUNTIFS(BEMANNINGSPLAN!$A$5:$A$546,B9,BEMANNINGSPLAN!$C$5:$C$546,D9,BEMANNINGSPLAN!$D$5:$D$546,"&lt;"&amp;M9,BEMANNINGSPLAN!$E$5:$E$546,"&gt;="&amp;M9)&gt;0),"Ja","SAKNAS TIDSRADER"))))</f>
        <v>Ja</v>
      </c>
      <c r="O9" s="137">
        <f>IF(OR(B9="",K9&lt;&gt;"Ja"),"",COUNTIFS($B$5:B9,B9,$K$5:K9,"Ja"))</f>
        <v>3</v>
      </c>
      <c r="P9" s="137" t="str">
        <f t="shared" si="3"/>
        <v>yyyy-00-20|3</v>
      </c>
    </row>
    <row r="10" spans="1:16" ht="13">
      <c r="A10" s="31" t="str">
        <f>IF('IMPORT PROFIXIO'!A10="","",'IMPORT PROFIXIO'!A10)</f>
        <v>26 -1 48113 06</v>
      </c>
      <c r="B10" s="32">
        <f>IF(A10="","",IF(ISNUMBER('IMPORT PROFIXIO'!D10),'IMPORT PROFIXIO'!D10,DATEVALUE('IMPORT PROFIXIO'!D10)))</f>
        <v>46285</v>
      </c>
      <c r="C10" s="33">
        <f>IF(A10="","",IF(ISNUMBER('IMPORT PROFIXIO'!E10),'IMPORT PROFIXIO'!E10,(VALUE(LEFT('IMPORT PROFIXIO'!E10,FIND(":",'IMPORT PROFIXIO'!E10)-1))*60+VALUE(MID('IMPORT PROFIXIO'!E10,FIND(":",'IMPORT PROFIXIO'!E10)+1,2)))/1440))</f>
        <v>0.625</v>
      </c>
      <c r="D10" s="31" t="str">
        <f>IF(A10="","",'IMPORT PROFIXIO'!F10)</f>
        <v>Ulriksdalshallen</v>
      </c>
      <c r="E10" s="31" t="str">
        <f>IF(A10="","",'IMPORT PROFIXIO'!K10)</f>
        <v>USM F18 - Steg 1</v>
      </c>
      <c r="F10" s="34" t="str">
        <f>IF(A10="","",IFERROR(VLOOKUP(E10,KLASSNING!$A$5:$F$74,2,FALSE()),"SAKNAS"))</f>
        <v>F19</v>
      </c>
      <c r="G10" s="34" t="str">
        <f>IF(A10="","",IFERROR(VLOOKUP(E10,KLASSNING!$A$5:$F$74,3,FALSE()),"SAKNAS"))</f>
        <v>USM</v>
      </c>
      <c r="H10" s="34" t="str">
        <f>IF(A10="","",'IMPORT PROFIXIO'!H10)</f>
        <v>AIK</v>
      </c>
      <c r="I10" s="34" t="str">
        <f>IF(A10="","",'IMPORT PROFIXIO'!I10)</f>
        <v>Kiruna HK</v>
      </c>
      <c r="J10" s="34" t="str">
        <f t="shared" si="0"/>
        <v>F19</v>
      </c>
      <c r="K10" s="34" t="str">
        <f t="shared" si="1"/>
        <v>Ja</v>
      </c>
      <c r="L10" s="34">
        <f>IF(A10="","",IFERROR(VLOOKUP(E10,KLASSNING!$A$5:$F$74,5,FALSE()),0))</f>
        <v>55</v>
      </c>
      <c r="M10" s="35">
        <f t="shared" si="2"/>
        <v>0.66319444444444442</v>
      </c>
      <c r="N10" s="34" t="str">
        <f>IF(A10="","",IF(K10&lt;&gt;"Ja","Ej aktuell",IF(L10&lt;=0,"KONTROLLERA MATCHTID",IF(AND(COUNTIFS(BEMANNINGSPLAN!$A$5:$A$546,B10,BEMANNINGSPLAN!$C$5:$C$546,D10,BEMANNINGSPLAN!$D$5:$D$546,"&lt;="&amp;C10,BEMANNINGSPLAN!$E$5:$E$546,"&gt;"&amp;C10)&gt;0,COUNTIFS(BEMANNINGSPLAN!$A$5:$A$546,B10,BEMANNINGSPLAN!$C$5:$C$546,D10,BEMANNINGSPLAN!$D$5:$D$546,"&lt;"&amp;M10,BEMANNINGSPLAN!$E$5:$E$546,"&gt;="&amp;M10)&gt;0),"Ja","SAKNAS TIDSRADER"))))</f>
        <v>Ja</v>
      </c>
      <c r="O10" s="137">
        <f>IF(OR(B10="",K10&lt;&gt;"Ja"),"",COUNTIFS($B$5:B10,B10,$K$5:K10,"Ja"))</f>
        <v>4</v>
      </c>
      <c r="P10" s="137" t="str">
        <f t="shared" si="3"/>
        <v>yyyy-00-20|4</v>
      </c>
    </row>
    <row r="11" spans="1:16" ht="13">
      <c r="A11" s="31" t="str">
        <f>IF('IMPORT PROFIXIO'!A11="","",'IMPORT PROFIXIO'!A11)</f>
        <v>26 6 1311 002</v>
      </c>
      <c r="B11" s="32">
        <f>IF(A11="","",IF(ISNUMBER('IMPORT PROFIXIO'!D11),'IMPORT PROFIXIO'!D11,DATEVALUE('IMPORT PROFIXIO'!D11)))</f>
        <v>46288</v>
      </c>
      <c r="C11" s="33">
        <f>IF(A11="","",IF(ISNUMBER('IMPORT PROFIXIO'!E11),'IMPORT PROFIXIO'!E11,(VALUE(LEFT('IMPORT PROFIXIO'!E11,FIND(":",'IMPORT PROFIXIO'!E11)-1))*60+VALUE(MID('IMPORT PROFIXIO'!E11,FIND(":",'IMPORT PROFIXIO'!E11)+1,2)))/1440))</f>
        <v>0.86458333333333337</v>
      </c>
      <c r="D11" s="31" t="str">
        <f>IF(A11="","",'IMPORT PROFIXIO'!F11)</f>
        <v>Solnahallen</v>
      </c>
      <c r="E11" s="31" t="str">
        <f>IF(A11="","",'IMPORT PROFIXIO'!K11)</f>
        <v>Flickor - F19 Öst - F19 Nivå 1 Öst</v>
      </c>
      <c r="F11" s="34" t="str">
        <f>IF(A11="","",IFERROR(VLOOKUP(E11,KLASSNING!$A$5:$F$74,2,FALSE()),"SAKNAS"))</f>
        <v>F19</v>
      </c>
      <c r="G11" s="34" t="str">
        <f>IF(A11="","",IFERROR(VLOOKUP(E11,KLASSNING!$A$5:$F$74,3,FALSE()),"SAKNAS"))</f>
        <v>Seriespel</v>
      </c>
      <c r="H11" s="34" t="str">
        <f>IF(A11="","",'IMPORT PROFIXIO'!H11)</f>
        <v>AIK</v>
      </c>
      <c r="I11" s="34" t="str">
        <f>IF(A11="","",'IMPORT PROFIXIO'!I11)</f>
        <v>IK Bolton 1</v>
      </c>
      <c r="J11" s="34" t="str">
        <f t="shared" si="0"/>
        <v>F19</v>
      </c>
      <c r="K11" s="34" t="str">
        <f t="shared" si="1"/>
        <v>Nej</v>
      </c>
      <c r="L11" s="34">
        <f>IF(A11="","",IFERROR(VLOOKUP(E11,KLASSNING!$A$5:$F$74,5,FALSE()),0))</f>
        <v>55</v>
      </c>
      <c r="M11" s="35" t="str">
        <f t="shared" si="2"/>
        <v/>
      </c>
      <c r="N11" s="34" t="str">
        <f>IF(A11="","",IF(K11&lt;&gt;"Ja","Ej aktuell",IF(L11&lt;=0,"KONTROLLERA MATCHTID",IF(AND(COUNTIFS(BEMANNINGSPLAN!$A$5:$A$546,B11,BEMANNINGSPLAN!$C$5:$C$546,D11,BEMANNINGSPLAN!$D$5:$D$546,"&lt;="&amp;C11,BEMANNINGSPLAN!$E$5:$E$546,"&gt;"&amp;C11)&gt;0,COUNTIFS(BEMANNINGSPLAN!$A$5:$A$546,B11,BEMANNINGSPLAN!$C$5:$C$546,D11,BEMANNINGSPLAN!$D$5:$D$546,"&lt;"&amp;M11,BEMANNINGSPLAN!$E$5:$E$546,"&gt;="&amp;M11)&gt;0),"Ja","SAKNAS TIDSRADER"))))</f>
        <v>Ej aktuell</v>
      </c>
      <c r="O11" s="137" t="str">
        <f>IF(OR(B11="",K11&lt;&gt;"Ja"),"",COUNTIFS($B$5:B11,B11,$K$5:K11,"Ja"))</f>
        <v/>
      </c>
      <c r="P11" s="137" t="str">
        <f t="shared" si="3"/>
        <v/>
      </c>
    </row>
    <row r="12" spans="1:16" ht="13">
      <c r="A12" s="31" t="str">
        <f>IF('IMPORT PROFIXIO'!A12="","",'IMPORT PROFIXIO'!A12)</f>
        <v>26 6 1373 004</v>
      </c>
      <c r="B12" s="32">
        <f>IF(A12="","",IF(ISNUMBER('IMPORT PROFIXIO'!D12),'IMPORT PROFIXIO'!D12,DATEVALUE('IMPORT PROFIXIO'!D12)))</f>
        <v>46291</v>
      </c>
      <c r="C12" s="33">
        <f>IF(A12="","",IF(ISNUMBER('IMPORT PROFIXIO'!E12),'IMPORT PROFIXIO'!E12,(VALUE(LEFT('IMPORT PROFIXIO'!E12,FIND(":",'IMPORT PROFIXIO'!E12)-1))*60+VALUE(MID('IMPORT PROFIXIO'!E12,FIND(":",'IMPORT PROFIXIO'!E12)+1,2)))/1440))</f>
        <v>0.375</v>
      </c>
      <c r="D12" s="31" t="str">
        <f>IF(A12="","",'IMPORT PROFIXIO'!F12)</f>
        <v>Råsta Park</v>
      </c>
      <c r="E12" s="31" t="str">
        <f>IF(A12="","",'IMPORT PROFIXIO'!K12)</f>
        <v>Flickor - F11 Öst - F11 Nivå 2 Öst City</v>
      </c>
      <c r="F12" s="34" t="str">
        <f>IF(A12="","",IFERROR(VLOOKUP(E12,KLASSNING!$A$5:$F$74,2,FALSE()),"SAKNAS"))</f>
        <v>F11</v>
      </c>
      <c r="G12" s="34" t="str">
        <f>IF(A12="","",IFERROR(VLOOKUP(E12,KLASSNING!$A$5:$F$74,3,FALSE()),"SAKNAS"))</f>
        <v>Seriespel</v>
      </c>
      <c r="H12" s="34" t="str">
        <f>IF(A12="","",'IMPORT PROFIXIO'!H12)</f>
        <v>AIK</v>
      </c>
      <c r="I12" s="34" t="str">
        <f>IF(A12="","",'IMPORT PROFIXIO'!I12)</f>
        <v>Spånga HK 2</v>
      </c>
      <c r="J12" s="34" t="str">
        <f t="shared" si="0"/>
        <v>F11</v>
      </c>
      <c r="K12" s="34" t="str">
        <f t="shared" si="1"/>
        <v>Ja</v>
      </c>
      <c r="L12" s="34">
        <f>IF(A12="","",IFERROR(VLOOKUP(E12,KLASSNING!$A$5:$F$74,5,FALSE()),0))</f>
        <v>35</v>
      </c>
      <c r="M12" s="35">
        <f t="shared" si="2"/>
        <v>0.39930555555555558</v>
      </c>
      <c r="N12" s="34" t="str">
        <f>IF(A12="","",IF(K12&lt;&gt;"Ja","Ej aktuell",IF(L12&lt;=0,"KONTROLLERA MATCHTID",IF(AND(COUNTIFS(BEMANNINGSPLAN!$A$5:$A$546,B12,BEMANNINGSPLAN!$C$5:$C$546,D12,BEMANNINGSPLAN!$D$5:$D$546,"&lt;="&amp;C12,BEMANNINGSPLAN!$E$5:$E$546,"&gt;"&amp;C12)&gt;0,COUNTIFS(BEMANNINGSPLAN!$A$5:$A$546,B12,BEMANNINGSPLAN!$C$5:$C$546,D12,BEMANNINGSPLAN!$D$5:$D$546,"&lt;"&amp;M12,BEMANNINGSPLAN!$E$5:$E$546,"&gt;="&amp;M12)&gt;0),"Ja","SAKNAS TIDSRADER"))))</f>
        <v>Ja</v>
      </c>
      <c r="O12" s="137">
        <f>IF(OR(B12="",K12&lt;&gt;"Ja"),"",COUNTIFS($B$5:B12,B12,$K$5:K12,"Ja"))</f>
        <v>1</v>
      </c>
      <c r="P12" s="137" t="str">
        <f t="shared" si="3"/>
        <v>yyyy-00-26|1</v>
      </c>
    </row>
    <row r="13" spans="1:16" ht="13">
      <c r="A13" s="31" t="str">
        <f>IF('IMPORT PROFIXIO'!A13="","",'IMPORT PROFIXIO'!A13)</f>
        <v>26 6 1373 005</v>
      </c>
      <c r="B13" s="32">
        <f>IF(A13="","",IF(ISNUMBER('IMPORT PROFIXIO'!D13),'IMPORT PROFIXIO'!D13,DATEVALUE('IMPORT PROFIXIO'!D13)))</f>
        <v>46291</v>
      </c>
      <c r="C13" s="33">
        <f>IF(A13="","",IF(ISNUMBER('IMPORT PROFIXIO'!E13),'IMPORT PROFIXIO'!E13,(VALUE(LEFT('IMPORT PROFIXIO'!E13,FIND(":",'IMPORT PROFIXIO'!E13)-1))*60+VALUE(MID('IMPORT PROFIXIO'!E13,FIND(":",'IMPORT PROFIXIO'!E13)+1,2)))/1440))</f>
        <v>0.4236111111111111</v>
      </c>
      <c r="D13" s="31" t="str">
        <f>IF(A13="","",'IMPORT PROFIXIO'!F13)</f>
        <v>Råsta Park</v>
      </c>
      <c r="E13" s="31" t="str">
        <f>IF(A13="","",'IMPORT PROFIXIO'!K13)</f>
        <v>Flickor - F11 Öst - F11 Nivå 2 Öst City</v>
      </c>
      <c r="F13" s="34" t="str">
        <f>IF(A13="","",IFERROR(VLOOKUP(E13,KLASSNING!$A$5:$F$74,2,FALSE()),"SAKNAS"))</f>
        <v>F11</v>
      </c>
      <c r="G13" s="34" t="str">
        <f>IF(A13="","",IFERROR(VLOOKUP(E13,KLASSNING!$A$5:$F$74,3,FALSE()),"SAKNAS"))</f>
        <v>Seriespel</v>
      </c>
      <c r="H13" s="34" t="str">
        <f>IF(A13="","",'IMPORT PROFIXIO'!H13)</f>
        <v>Spånga HK 2</v>
      </c>
      <c r="I13" s="34" t="str">
        <f>IF(A13="","",'IMPORT PROFIXIO'!I13)</f>
        <v>Sannadals SK</v>
      </c>
      <c r="J13" s="34" t="str">
        <f t="shared" si="0"/>
        <v/>
      </c>
      <c r="K13" s="34" t="str">
        <f t="shared" si="1"/>
        <v>Ja</v>
      </c>
      <c r="L13" s="34">
        <f>IF(A13="","",IFERROR(VLOOKUP(E13,KLASSNING!$A$5:$F$74,5,FALSE()),0))</f>
        <v>35</v>
      </c>
      <c r="M13" s="35">
        <f t="shared" si="2"/>
        <v>0.44791666666666669</v>
      </c>
      <c r="N13" s="34" t="str">
        <f>IF(A13="","",IF(K13&lt;&gt;"Ja","Ej aktuell",IF(L13&lt;=0,"KONTROLLERA MATCHTID",IF(AND(COUNTIFS(BEMANNINGSPLAN!$A$5:$A$546,B13,BEMANNINGSPLAN!$C$5:$C$546,D13,BEMANNINGSPLAN!$D$5:$D$546,"&lt;="&amp;C13,BEMANNINGSPLAN!$E$5:$E$546,"&gt;"&amp;C13)&gt;0,COUNTIFS(BEMANNINGSPLAN!$A$5:$A$546,B13,BEMANNINGSPLAN!$C$5:$C$546,D13,BEMANNINGSPLAN!$D$5:$D$546,"&lt;"&amp;M13,BEMANNINGSPLAN!$E$5:$E$546,"&gt;="&amp;M13)&gt;0),"Ja","SAKNAS TIDSRADER"))))</f>
        <v>Ja</v>
      </c>
      <c r="O13" s="137">
        <f>IF(OR(B13="",K13&lt;&gt;"Ja"),"",COUNTIFS($B$5:B13,B13,$K$5:K13,"Ja"))</f>
        <v>2</v>
      </c>
      <c r="P13" s="137" t="str">
        <f t="shared" si="3"/>
        <v>yyyy-00-26|2</v>
      </c>
    </row>
    <row r="14" spans="1:16" ht="13">
      <c r="A14" s="31" t="str">
        <f>IF('IMPORT PROFIXIO'!A14="","",'IMPORT PROFIXIO'!A14)</f>
        <v>26 6 1373 006</v>
      </c>
      <c r="B14" s="32">
        <f>IF(A14="","",IF(ISNUMBER('IMPORT PROFIXIO'!D14),'IMPORT PROFIXIO'!D14,DATEVALUE('IMPORT PROFIXIO'!D14)))</f>
        <v>46291</v>
      </c>
      <c r="C14" s="33">
        <f>IF(A14="","",IF(ISNUMBER('IMPORT PROFIXIO'!E14),'IMPORT PROFIXIO'!E14,(VALUE(LEFT('IMPORT PROFIXIO'!E14,FIND(":",'IMPORT PROFIXIO'!E14)-1))*60+VALUE(MID('IMPORT PROFIXIO'!E14,FIND(":",'IMPORT PROFIXIO'!E14)+1,2)))/1440))</f>
        <v>0.47222222222222221</v>
      </c>
      <c r="D14" s="31" t="str">
        <f>IF(A14="","",'IMPORT PROFIXIO'!F14)</f>
        <v>Råsta Park</v>
      </c>
      <c r="E14" s="31" t="str">
        <f>IF(A14="","",'IMPORT PROFIXIO'!K14)</f>
        <v>Flickor - F11 Öst - F11 Nivå 2 Öst City</v>
      </c>
      <c r="F14" s="34" t="str">
        <f>IF(A14="","",IFERROR(VLOOKUP(E14,KLASSNING!$A$5:$F$74,2,FALSE()),"SAKNAS"))</f>
        <v>F11</v>
      </c>
      <c r="G14" s="34" t="str">
        <f>IF(A14="","",IFERROR(VLOOKUP(E14,KLASSNING!$A$5:$F$74,3,FALSE()),"SAKNAS"))</f>
        <v>Seriespel</v>
      </c>
      <c r="H14" s="34" t="str">
        <f>IF(A14="","",'IMPORT PROFIXIO'!H14)</f>
        <v>AIK</v>
      </c>
      <c r="I14" s="34" t="str">
        <f>IF(A14="","",'IMPORT PROFIXIO'!I14)</f>
        <v>Sannadals SK</v>
      </c>
      <c r="J14" s="34" t="str">
        <f t="shared" si="0"/>
        <v>F11</v>
      </c>
      <c r="K14" s="34" t="str">
        <f t="shared" si="1"/>
        <v>Ja</v>
      </c>
      <c r="L14" s="34">
        <f>IF(A14="","",IFERROR(VLOOKUP(E14,KLASSNING!$A$5:$F$74,5,FALSE()),0))</f>
        <v>35</v>
      </c>
      <c r="M14" s="35">
        <f t="shared" si="2"/>
        <v>0.49652777777777779</v>
      </c>
      <c r="N14" s="34" t="str">
        <f>IF(A14="","",IF(K14&lt;&gt;"Ja","Ej aktuell",IF(L14&lt;=0,"KONTROLLERA MATCHTID",IF(AND(COUNTIFS(BEMANNINGSPLAN!$A$5:$A$546,B14,BEMANNINGSPLAN!$C$5:$C$546,D14,BEMANNINGSPLAN!$D$5:$D$546,"&lt;="&amp;C14,BEMANNINGSPLAN!$E$5:$E$546,"&gt;"&amp;C14)&gt;0,COUNTIFS(BEMANNINGSPLAN!$A$5:$A$546,B14,BEMANNINGSPLAN!$C$5:$C$546,D14,BEMANNINGSPLAN!$D$5:$D$546,"&lt;"&amp;M14,BEMANNINGSPLAN!$E$5:$E$546,"&gt;="&amp;M14)&gt;0),"Ja","SAKNAS TIDSRADER"))))</f>
        <v>Ja</v>
      </c>
      <c r="O14" s="137">
        <f>IF(OR(B14="",K14&lt;&gt;"Ja"),"",COUNTIFS($B$5:B14,B14,$K$5:K14,"Ja"))</f>
        <v>3</v>
      </c>
      <c r="P14" s="137" t="str">
        <f t="shared" si="3"/>
        <v>yyyy-00-26|3</v>
      </c>
    </row>
    <row r="15" spans="1:16" ht="13">
      <c r="A15" s="31" t="str">
        <f>IF('IMPORT PROFIXIO'!A15="","",'IMPORT PROFIXIO'!A15)</f>
        <v>26 6 1351 003</v>
      </c>
      <c r="B15" s="32">
        <f>IF(A15="","",IF(ISNUMBER('IMPORT PROFIXIO'!D15),'IMPORT PROFIXIO'!D15,DATEVALUE('IMPORT PROFIXIO'!D15)))</f>
        <v>46291</v>
      </c>
      <c r="C15" s="33">
        <f>IF(A15="","",IF(ISNUMBER('IMPORT PROFIXIO'!E15),'IMPORT PROFIXIO'!E15,(VALUE(LEFT('IMPORT PROFIXIO'!E15,FIND(":",'IMPORT PROFIXIO'!E15)-1))*60+VALUE(MID('IMPORT PROFIXIO'!E15,FIND(":",'IMPORT PROFIXIO'!E15)+1,2)))/1440))</f>
        <v>0.51388888888888884</v>
      </c>
      <c r="D15" s="31" t="str">
        <f>IF(A15="","",'IMPORT PROFIXIO'!F15)</f>
        <v>Råsta Park</v>
      </c>
      <c r="E15" s="31" t="str">
        <f>IF(A15="","",'IMPORT PROFIXIO'!K15)</f>
        <v>Flickor - F13 Öst - F13 Nivå 1 Öst</v>
      </c>
      <c r="F15" s="34" t="str">
        <f>IF(A15="","",IFERROR(VLOOKUP(E15,KLASSNING!$A$5:$F$74,2,FALSE()),"SAKNAS"))</f>
        <v>F13</v>
      </c>
      <c r="G15" s="34" t="str">
        <f>IF(A15="","",IFERROR(VLOOKUP(E15,KLASSNING!$A$5:$F$74,3,FALSE()),"SAKNAS"))</f>
        <v>Seriespel</v>
      </c>
      <c r="H15" s="34" t="str">
        <f>IF(A15="","",'IMPORT PROFIXIO'!H15)</f>
        <v>AIK</v>
      </c>
      <c r="I15" s="34" t="str">
        <f>IF(A15="","",'IMPORT PROFIXIO'!I15)</f>
        <v>IK Bolton 1</v>
      </c>
      <c r="J15" s="34" t="str">
        <f t="shared" si="0"/>
        <v>F13</v>
      </c>
      <c r="K15" s="34" t="str">
        <f t="shared" si="1"/>
        <v>Ja</v>
      </c>
      <c r="L15" s="34">
        <f>IF(A15="","",IFERROR(VLOOKUP(E15,KLASSNING!$A$5:$F$74,5,FALSE()),0))</f>
        <v>45</v>
      </c>
      <c r="M15" s="35">
        <f t="shared" si="2"/>
        <v>0.54513888888888884</v>
      </c>
      <c r="N15" s="34" t="str">
        <f>IF(A15="","",IF(K15&lt;&gt;"Ja","Ej aktuell",IF(L15&lt;=0,"KONTROLLERA MATCHTID",IF(AND(COUNTIFS(BEMANNINGSPLAN!$A$5:$A$546,B15,BEMANNINGSPLAN!$C$5:$C$546,D15,BEMANNINGSPLAN!$D$5:$D$546,"&lt;="&amp;C15,BEMANNINGSPLAN!$E$5:$E$546,"&gt;"&amp;C15)&gt;0,COUNTIFS(BEMANNINGSPLAN!$A$5:$A$546,B15,BEMANNINGSPLAN!$C$5:$C$546,D15,BEMANNINGSPLAN!$D$5:$D$546,"&lt;"&amp;M15,BEMANNINGSPLAN!$E$5:$E$546,"&gt;="&amp;M15)&gt;0),"Ja","SAKNAS TIDSRADER"))))</f>
        <v>Ja</v>
      </c>
      <c r="O15" s="137">
        <f>IF(OR(B15="",K15&lt;&gt;"Ja"),"",COUNTIFS($B$5:B15,B15,$K$5:K15,"Ja"))</f>
        <v>4</v>
      </c>
      <c r="P15" s="137" t="str">
        <f t="shared" si="3"/>
        <v>yyyy-00-26|4</v>
      </c>
    </row>
    <row r="16" spans="1:16" ht="13">
      <c r="A16" s="31" t="str">
        <f>IF('IMPORT PROFIXIO'!A16="","",'IMPORT PROFIXIO'!A16)</f>
        <v>26 6 1352 004</v>
      </c>
      <c r="B16" s="32">
        <f>IF(A16="","",IF(ISNUMBER('IMPORT PROFIXIO'!D16),'IMPORT PROFIXIO'!D16,DATEVALUE('IMPORT PROFIXIO'!D16)))</f>
        <v>46291</v>
      </c>
      <c r="C16" s="33">
        <f>IF(A16="","",IF(ISNUMBER('IMPORT PROFIXIO'!E16),'IMPORT PROFIXIO'!E16,(VALUE(LEFT('IMPORT PROFIXIO'!E16,FIND(":",'IMPORT PROFIXIO'!E16)-1))*60+VALUE(MID('IMPORT PROFIXIO'!E16,FIND(":",'IMPORT PROFIXIO'!E16)+1,2)))/1440))</f>
        <v>0.5625</v>
      </c>
      <c r="D16" s="31" t="str">
        <f>IF(A16="","",'IMPORT PROFIXIO'!F16)</f>
        <v>Råsta Park</v>
      </c>
      <c r="E16" s="31" t="str">
        <f>IF(A16="","",'IMPORT PROFIXIO'!K16)</f>
        <v>Flickor - F13 Öst - F13 Nivå 2 Öst Norra</v>
      </c>
      <c r="F16" s="34" t="str">
        <f>IF(A16="","",IFERROR(VLOOKUP(E16,KLASSNING!$A$5:$F$74,2,FALSE()),"SAKNAS"))</f>
        <v>F13</v>
      </c>
      <c r="G16" s="34" t="str">
        <f>IF(A16="","",IFERROR(VLOOKUP(E16,KLASSNING!$A$5:$F$74,3,FALSE()),"SAKNAS"))</f>
        <v>Seriespel</v>
      </c>
      <c r="H16" s="34" t="str">
        <f>IF(A16="","",'IMPORT PROFIXIO'!H16)</f>
        <v>AIK 2</v>
      </c>
      <c r="I16" s="34" t="str">
        <f>IF(A16="","",'IMPORT PROFIXIO'!I16)</f>
        <v>Uppsala HK 1</v>
      </c>
      <c r="J16" s="34" t="str">
        <f t="shared" si="0"/>
        <v>F13 2</v>
      </c>
      <c r="K16" s="34" t="str">
        <f t="shared" si="1"/>
        <v>Ja</v>
      </c>
      <c r="L16" s="34">
        <f>IF(A16="","",IFERROR(VLOOKUP(E16,KLASSNING!$A$5:$F$74,5,FALSE()),0))</f>
        <v>45</v>
      </c>
      <c r="M16" s="35">
        <f t="shared" si="2"/>
        <v>0.59375</v>
      </c>
      <c r="N16" s="34" t="str">
        <f>IF(A16="","",IF(K16&lt;&gt;"Ja","Ej aktuell",IF(L16&lt;=0,"KONTROLLERA MATCHTID",IF(AND(COUNTIFS(BEMANNINGSPLAN!$A$5:$A$546,B16,BEMANNINGSPLAN!$C$5:$C$546,D16,BEMANNINGSPLAN!$D$5:$D$546,"&lt;="&amp;C16,BEMANNINGSPLAN!$E$5:$E$546,"&gt;"&amp;C16)&gt;0,COUNTIFS(BEMANNINGSPLAN!$A$5:$A$546,B16,BEMANNINGSPLAN!$C$5:$C$546,D16,BEMANNINGSPLAN!$D$5:$D$546,"&lt;"&amp;M16,BEMANNINGSPLAN!$E$5:$E$546,"&gt;="&amp;M16)&gt;0),"Ja","SAKNAS TIDSRADER"))))</f>
        <v>Ja</v>
      </c>
      <c r="O16" s="137">
        <f>IF(OR(B16="",K16&lt;&gt;"Ja"),"",COUNTIFS($B$5:B16,B16,$K$5:K16,"Ja"))</f>
        <v>5</v>
      </c>
      <c r="P16" s="137" t="str">
        <f t="shared" si="3"/>
        <v>yyyy-00-26|5</v>
      </c>
    </row>
    <row r="17" spans="1:16" ht="13">
      <c r="A17" s="31" t="str">
        <f>IF('IMPORT PROFIXIO'!A17="","",'IMPORT PROFIXIO'!A17)</f>
        <v>26 6 1524 003</v>
      </c>
      <c r="B17" s="32">
        <f>IF(A17="","",IF(ISNUMBER('IMPORT PROFIXIO'!D17),'IMPORT PROFIXIO'!D17,DATEVALUE('IMPORT PROFIXIO'!D17)))</f>
        <v>46298</v>
      </c>
      <c r="C17" s="33">
        <f>IF(A17="","",IF(ISNUMBER('IMPORT PROFIXIO'!E17),'IMPORT PROFIXIO'!E17,(VALUE(LEFT('IMPORT PROFIXIO'!E17,FIND(":",'IMPORT PROFIXIO'!E17)-1))*60+VALUE(MID('IMPORT PROFIXIO'!E17,FIND(":",'IMPORT PROFIXIO'!E17)+1,2)))/1440))</f>
        <v>0.56944444444444442</v>
      </c>
      <c r="D17" s="31" t="str">
        <f>IF(A17="","",'IMPORT PROFIXIO'!F17)</f>
        <v>Råsta Park</v>
      </c>
      <c r="E17" s="31" t="str">
        <f>IF(A17="","",'IMPORT PROFIXIO'!K17)</f>
        <v>Pojkar - P16 Öst - P16 Nivå 3 Öst</v>
      </c>
      <c r="F17" s="34" t="str">
        <f>IF(A17="","",IFERROR(VLOOKUP(E17,KLASSNING!$A$5:$F$74,2,FALSE()),"SAKNAS"))</f>
        <v>P16</v>
      </c>
      <c r="G17" s="34" t="str">
        <f>IF(A17="","",IFERROR(VLOOKUP(E17,KLASSNING!$A$5:$F$74,3,FALSE()),"SAKNAS"))</f>
        <v>Seriespel</v>
      </c>
      <c r="H17" s="34" t="str">
        <f>IF(A17="","",'IMPORT PROFIXIO'!H17)</f>
        <v>AIK 2</v>
      </c>
      <c r="I17" s="34" t="str">
        <f>IF(A17="","",'IMPORT PROFIXIO'!I17)</f>
        <v>Täby HBK 4</v>
      </c>
      <c r="J17" s="34" t="str">
        <f t="shared" si="0"/>
        <v>P16 2</v>
      </c>
      <c r="K17" s="34" t="str">
        <f t="shared" si="1"/>
        <v>Ja</v>
      </c>
      <c r="L17" s="34">
        <f>IF(A17="","",IFERROR(VLOOKUP(E17,KLASSNING!$A$5:$F$74,5,FALSE()),0))</f>
        <v>55</v>
      </c>
      <c r="M17" s="35">
        <f t="shared" si="2"/>
        <v>0.60763888888888884</v>
      </c>
      <c r="N17" s="34" t="str">
        <f>IF(A17="","",IF(K17&lt;&gt;"Ja","Ej aktuell",IF(L17&lt;=0,"KONTROLLERA MATCHTID",IF(AND(COUNTIFS(BEMANNINGSPLAN!$A$5:$A$546,B17,BEMANNINGSPLAN!$C$5:$C$546,D17,BEMANNINGSPLAN!$D$5:$D$546,"&lt;="&amp;C17,BEMANNINGSPLAN!$E$5:$E$546,"&gt;"&amp;C17)&gt;0,COUNTIFS(BEMANNINGSPLAN!$A$5:$A$546,B17,BEMANNINGSPLAN!$C$5:$C$546,D17,BEMANNINGSPLAN!$D$5:$D$546,"&lt;"&amp;M17,BEMANNINGSPLAN!$E$5:$E$546,"&gt;="&amp;M17)&gt;0),"Ja","SAKNAS TIDSRADER"))))</f>
        <v>Ja</v>
      </c>
      <c r="O17" s="137">
        <f>IF(OR(B17="",K17&lt;&gt;"Ja"),"",COUNTIFS($B$5:B17,B17,$K$5:K17,"Ja"))</f>
        <v>1</v>
      </c>
      <c r="P17" s="137" t="str">
        <f t="shared" si="3"/>
        <v>yyyy-00-03|1</v>
      </c>
    </row>
    <row r="18" spans="1:16" ht="13">
      <c r="A18" s="31" t="str">
        <f>IF('IMPORT PROFIXIO'!A18="","",'IMPORT PROFIXIO'!A18)</f>
        <v>26 6 1363 003</v>
      </c>
      <c r="B18" s="32">
        <f>IF(A18="","",IF(ISNUMBER('IMPORT PROFIXIO'!D18),'IMPORT PROFIXIO'!D18,DATEVALUE('IMPORT PROFIXIO'!D18)))</f>
        <v>46298</v>
      </c>
      <c r="C18" s="33">
        <f>IF(A18="","",IF(ISNUMBER('IMPORT PROFIXIO'!E18),'IMPORT PROFIXIO'!E18,(VALUE(LEFT('IMPORT PROFIXIO'!E18,FIND(":",'IMPORT PROFIXIO'!E18)-1))*60+VALUE(MID('IMPORT PROFIXIO'!E18,FIND(":",'IMPORT PROFIXIO'!E18)+1,2)))/1440))</f>
        <v>0.375</v>
      </c>
      <c r="D18" s="31" t="str">
        <f>IF(A18="","",'IMPORT PROFIXIO'!F18)</f>
        <v>Ulriksdalshallen</v>
      </c>
      <c r="E18" s="31" t="str">
        <f>IF(A18="","",'IMPORT PROFIXIO'!K18)</f>
        <v>Flickor - F12 Öst - F12 Nivå 2 Öst Norra</v>
      </c>
      <c r="F18" s="34" t="str">
        <f>IF(A18="","",IFERROR(VLOOKUP(E18,KLASSNING!$A$5:$F$74,2,FALSE()),"SAKNAS"))</f>
        <v>F12</v>
      </c>
      <c r="G18" s="34" t="str">
        <f>IF(A18="","",IFERROR(VLOOKUP(E18,KLASSNING!$A$5:$F$74,3,FALSE()),"SAKNAS"))</f>
        <v>Seriespel</v>
      </c>
      <c r="H18" s="34" t="str">
        <f>IF(A18="","",'IMPORT PROFIXIO'!H18)</f>
        <v>AIK</v>
      </c>
      <c r="I18" s="34" t="str">
        <f>IF(A18="","",'IMPORT PROFIXIO'!I18)</f>
        <v>Sollentuna HK 1</v>
      </c>
      <c r="J18" s="34" t="str">
        <f t="shared" si="0"/>
        <v>F12</v>
      </c>
      <c r="K18" s="34" t="str">
        <f t="shared" si="1"/>
        <v>Ja</v>
      </c>
      <c r="L18" s="34">
        <f>IF(A18="","",IFERROR(VLOOKUP(E18,KLASSNING!$A$5:$F$74,5,FALSE()),0))</f>
        <v>35</v>
      </c>
      <c r="M18" s="35">
        <f t="shared" si="2"/>
        <v>0.39930555555555558</v>
      </c>
      <c r="N18" s="34" t="str">
        <f>IF(A18="","",IF(K18&lt;&gt;"Ja","Ej aktuell",IF(L18&lt;=0,"KONTROLLERA MATCHTID",IF(AND(COUNTIFS(BEMANNINGSPLAN!$A$5:$A$546,B18,BEMANNINGSPLAN!$C$5:$C$546,D18,BEMANNINGSPLAN!$D$5:$D$546,"&lt;="&amp;C18,BEMANNINGSPLAN!$E$5:$E$546,"&gt;"&amp;C18)&gt;0,COUNTIFS(BEMANNINGSPLAN!$A$5:$A$546,B18,BEMANNINGSPLAN!$C$5:$C$546,D18,BEMANNINGSPLAN!$D$5:$D$546,"&lt;"&amp;M18,BEMANNINGSPLAN!$E$5:$E$546,"&gt;="&amp;M18)&gt;0),"Ja","SAKNAS TIDSRADER"))))</f>
        <v>Ja</v>
      </c>
      <c r="O18" s="137">
        <f>IF(OR(B18="",K18&lt;&gt;"Ja"),"",COUNTIFS($B$5:B18,B18,$K$5:K18,"Ja"))</f>
        <v>2</v>
      </c>
      <c r="P18" s="137" t="str">
        <f t="shared" si="3"/>
        <v>yyyy-00-03|2</v>
      </c>
    </row>
    <row r="19" spans="1:16" ht="13">
      <c r="A19" s="31" t="str">
        <f>IF('IMPORT PROFIXIO'!A19="","",'IMPORT PROFIXIO'!A19)</f>
        <v>26 6 1363 002</v>
      </c>
      <c r="B19" s="32">
        <f>IF(A19="","",IF(ISNUMBER('IMPORT PROFIXIO'!D19),'IMPORT PROFIXIO'!D19,DATEVALUE('IMPORT PROFIXIO'!D19)))</f>
        <v>46298</v>
      </c>
      <c r="C19" s="33">
        <f>IF(A19="","",IF(ISNUMBER('IMPORT PROFIXIO'!E19),'IMPORT PROFIXIO'!E19,(VALUE(LEFT('IMPORT PROFIXIO'!E19,FIND(":",'IMPORT PROFIXIO'!E19)-1))*60+VALUE(MID('IMPORT PROFIXIO'!E19,FIND(":",'IMPORT PROFIXIO'!E19)+1,2)))/1440))</f>
        <v>0.4236111111111111</v>
      </c>
      <c r="D19" s="31" t="str">
        <f>IF(A19="","",'IMPORT PROFIXIO'!F19)</f>
        <v>Ulriksdalshallen</v>
      </c>
      <c r="E19" s="31" t="str">
        <f>IF(A19="","",'IMPORT PROFIXIO'!K19)</f>
        <v>Flickor - F12 Öst - F12 Nivå 2 Öst Norra</v>
      </c>
      <c r="F19" s="34" t="str">
        <f>IF(A19="","",IFERROR(VLOOKUP(E19,KLASSNING!$A$5:$F$74,2,FALSE()),"SAKNAS"))</f>
        <v>F12</v>
      </c>
      <c r="G19" s="34" t="str">
        <f>IF(A19="","",IFERROR(VLOOKUP(E19,KLASSNING!$A$5:$F$74,3,FALSE()),"SAKNAS"))</f>
        <v>Seriespel</v>
      </c>
      <c r="H19" s="34" t="str">
        <f>IF(A19="","",'IMPORT PROFIXIO'!H19)</f>
        <v>Skånela IF 1</v>
      </c>
      <c r="I19" s="34" t="str">
        <f>IF(A19="","",'IMPORT PROFIXIO'!I19)</f>
        <v>Sollentuna HK 1</v>
      </c>
      <c r="J19" s="34" t="str">
        <f t="shared" si="0"/>
        <v/>
      </c>
      <c r="K19" s="34" t="str">
        <f t="shared" si="1"/>
        <v>Ja</v>
      </c>
      <c r="L19" s="34">
        <f>IF(A19="","",IFERROR(VLOOKUP(E19,KLASSNING!$A$5:$F$74,5,FALSE()),0))</f>
        <v>35</v>
      </c>
      <c r="M19" s="35">
        <f t="shared" si="2"/>
        <v>0.44791666666666669</v>
      </c>
      <c r="N19" s="34" t="str">
        <f>IF(A19="","",IF(K19&lt;&gt;"Ja","Ej aktuell",IF(L19&lt;=0,"KONTROLLERA MATCHTID",IF(AND(COUNTIFS(BEMANNINGSPLAN!$A$5:$A$546,B19,BEMANNINGSPLAN!$C$5:$C$546,D19,BEMANNINGSPLAN!$D$5:$D$546,"&lt;="&amp;C19,BEMANNINGSPLAN!$E$5:$E$546,"&gt;"&amp;C19)&gt;0,COUNTIFS(BEMANNINGSPLAN!$A$5:$A$546,B19,BEMANNINGSPLAN!$C$5:$C$546,D19,BEMANNINGSPLAN!$D$5:$D$546,"&lt;"&amp;M19,BEMANNINGSPLAN!$E$5:$E$546,"&gt;="&amp;M19)&gt;0),"Ja","SAKNAS TIDSRADER"))))</f>
        <v>Ja</v>
      </c>
      <c r="O19" s="137">
        <f>IF(OR(B19="",K19&lt;&gt;"Ja"),"",COUNTIFS($B$5:B19,B19,$K$5:K19,"Ja"))</f>
        <v>3</v>
      </c>
      <c r="P19" s="137" t="str">
        <f t="shared" si="3"/>
        <v>yyyy-00-03|3</v>
      </c>
    </row>
    <row r="20" spans="1:16" ht="13">
      <c r="A20" s="31" t="str">
        <f>IF('IMPORT PROFIXIO'!A20="","",'IMPORT PROFIXIO'!A20)</f>
        <v>26 6 1363 001</v>
      </c>
      <c r="B20" s="32">
        <f>IF(A20="","",IF(ISNUMBER('IMPORT PROFIXIO'!D20),'IMPORT PROFIXIO'!D20,DATEVALUE('IMPORT PROFIXIO'!D20)))</f>
        <v>46298</v>
      </c>
      <c r="C20" s="33">
        <f>IF(A20="","",IF(ISNUMBER('IMPORT PROFIXIO'!E20),'IMPORT PROFIXIO'!E20,(VALUE(LEFT('IMPORT PROFIXIO'!E20,FIND(":",'IMPORT PROFIXIO'!E20)-1))*60+VALUE(MID('IMPORT PROFIXIO'!E20,FIND(":",'IMPORT PROFIXIO'!E20)+1,2)))/1440))</f>
        <v>0.47222222222222221</v>
      </c>
      <c r="D20" s="31" t="str">
        <f>IF(A20="","",'IMPORT PROFIXIO'!F20)</f>
        <v>Ulriksdalshallen</v>
      </c>
      <c r="E20" s="31" t="str">
        <f>IF(A20="","",'IMPORT PROFIXIO'!K20)</f>
        <v>Flickor - F12 Öst - F12 Nivå 2 Öst Norra</v>
      </c>
      <c r="F20" s="34" t="str">
        <f>IF(A20="","",IFERROR(VLOOKUP(E20,KLASSNING!$A$5:$F$74,2,FALSE()),"SAKNAS"))</f>
        <v>F12</v>
      </c>
      <c r="G20" s="34" t="str">
        <f>IF(A20="","",IFERROR(VLOOKUP(E20,KLASSNING!$A$5:$F$74,3,FALSE()),"SAKNAS"))</f>
        <v>Seriespel</v>
      </c>
      <c r="H20" s="34" t="str">
        <f>IF(A20="","",'IMPORT PROFIXIO'!H20)</f>
        <v>AIK</v>
      </c>
      <c r="I20" s="34" t="str">
        <f>IF(A20="","",'IMPORT PROFIXIO'!I20)</f>
        <v>Skånela IF 1</v>
      </c>
      <c r="J20" s="34" t="str">
        <f t="shared" si="0"/>
        <v>F12</v>
      </c>
      <c r="K20" s="34" t="str">
        <f t="shared" si="1"/>
        <v>Ja</v>
      </c>
      <c r="L20" s="34">
        <f>IF(A20="","",IFERROR(VLOOKUP(E20,KLASSNING!$A$5:$F$74,5,FALSE()),0))</f>
        <v>35</v>
      </c>
      <c r="M20" s="35">
        <f t="shared" si="2"/>
        <v>0.49652777777777779</v>
      </c>
      <c r="N20" s="34" t="str">
        <f>IF(A20="","",IF(K20&lt;&gt;"Ja","Ej aktuell",IF(L20&lt;=0,"KONTROLLERA MATCHTID",IF(AND(COUNTIFS(BEMANNINGSPLAN!$A$5:$A$546,B20,BEMANNINGSPLAN!$C$5:$C$546,D20,BEMANNINGSPLAN!$D$5:$D$546,"&lt;="&amp;C20,BEMANNINGSPLAN!$E$5:$E$546,"&gt;"&amp;C20)&gt;0,COUNTIFS(BEMANNINGSPLAN!$A$5:$A$546,B20,BEMANNINGSPLAN!$C$5:$C$546,D20,BEMANNINGSPLAN!$D$5:$D$546,"&lt;"&amp;M20,BEMANNINGSPLAN!$E$5:$E$546,"&gt;="&amp;M20)&gt;0),"Ja","SAKNAS TIDSRADER"))))</f>
        <v>Ja</v>
      </c>
      <c r="O20" s="137">
        <f>IF(OR(B20="",K20&lt;&gt;"Ja"),"",COUNTIFS($B$5:B20,B20,$K$5:K20,"Ja"))</f>
        <v>4</v>
      </c>
      <c r="P20" s="137" t="str">
        <f t="shared" si="3"/>
        <v>yyyy-00-03|4</v>
      </c>
    </row>
    <row r="21" spans="1:16" ht="13">
      <c r="A21" s="31" t="str">
        <f>IF('IMPORT PROFIXIO'!A21="","",'IMPORT PROFIXIO'!A21)</f>
        <v>26 6 1343 003</v>
      </c>
      <c r="B21" s="32">
        <f>IF(A21="","",IF(ISNUMBER('IMPORT PROFIXIO'!D21),'IMPORT PROFIXIO'!D21,DATEVALUE('IMPORT PROFIXIO'!D21)))</f>
        <v>46298</v>
      </c>
      <c r="C21" s="33">
        <f>IF(A21="","",IF(ISNUMBER('IMPORT PROFIXIO'!E21),'IMPORT PROFIXIO'!E21,(VALUE(LEFT('IMPORT PROFIXIO'!E21,FIND(":",'IMPORT PROFIXIO'!E21)-1))*60+VALUE(MID('IMPORT PROFIXIO'!E21,FIND(":",'IMPORT PROFIXIO'!E21)+1,2)))/1440))</f>
        <v>0.51388888888888884</v>
      </c>
      <c r="D21" s="31" t="str">
        <f>IF(A21="","",'IMPORT PROFIXIO'!F21)</f>
        <v>Ulriksdalshallen</v>
      </c>
      <c r="E21" s="31" t="str">
        <f>IF(A21="","",'IMPORT PROFIXIO'!K21)</f>
        <v>Flickor - F14 Öst - F14 Nivå 2 Öst Norra</v>
      </c>
      <c r="F21" s="34" t="str">
        <f>IF(A21="","",IFERROR(VLOOKUP(E21,KLASSNING!$A$5:$F$74,2,FALSE()),"SAKNAS"))</f>
        <v>F14</v>
      </c>
      <c r="G21" s="34" t="str">
        <f>IF(A21="","",IFERROR(VLOOKUP(E21,KLASSNING!$A$5:$F$74,3,FALSE()),"SAKNAS"))</f>
        <v>Seriespel</v>
      </c>
      <c r="H21" s="34" t="str">
        <f>IF(A21="","",'IMPORT PROFIXIO'!H21)</f>
        <v>AIK</v>
      </c>
      <c r="I21" s="34" t="str">
        <f>IF(A21="","",'IMPORT PROFIXIO'!I21)</f>
        <v>Bollstanäs SK 1</v>
      </c>
      <c r="J21" s="34" t="str">
        <f t="shared" si="0"/>
        <v>F14</v>
      </c>
      <c r="K21" s="34" t="str">
        <f t="shared" si="1"/>
        <v>Ja</v>
      </c>
      <c r="L21" s="34">
        <f>IF(A21="","",IFERROR(VLOOKUP(E21,KLASSNING!$A$5:$F$74,5,FALSE()),0))</f>
        <v>45</v>
      </c>
      <c r="M21" s="35">
        <f t="shared" si="2"/>
        <v>0.54513888888888884</v>
      </c>
      <c r="N21" s="34" t="str">
        <f>IF(A21="","",IF(K21&lt;&gt;"Ja","Ej aktuell",IF(L21&lt;=0,"KONTROLLERA MATCHTID",IF(AND(COUNTIFS(BEMANNINGSPLAN!$A$5:$A$546,B21,BEMANNINGSPLAN!$C$5:$C$546,D21,BEMANNINGSPLAN!$D$5:$D$546,"&lt;="&amp;C21,BEMANNINGSPLAN!$E$5:$E$546,"&gt;"&amp;C21)&gt;0,COUNTIFS(BEMANNINGSPLAN!$A$5:$A$546,B21,BEMANNINGSPLAN!$C$5:$C$546,D21,BEMANNINGSPLAN!$D$5:$D$546,"&lt;"&amp;M21,BEMANNINGSPLAN!$E$5:$E$546,"&gt;="&amp;M21)&gt;0),"Ja","SAKNAS TIDSRADER"))))</f>
        <v>Ja</v>
      </c>
      <c r="O21" s="137">
        <f>IF(OR(B21="",K21&lt;&gt;"Ja"),"",COUNTIFS($B$5:B21,B21,$K$5:K21,"Ja"))</f>
        <v>5</v>
      </c>
      <c r="P21" s="137" t="str">
        <f t="shared" si="3"/>
        <v>yyyy-00-03|5</v>
      </c>
    </row>
    <row r="22" spans="1:16" ht="13">
      <c r="A22" s="31" t="str">
        <f>IF('IMPORT PROFIXIO'!A22="","",'IMPORT PROFIXIO'!A22)</f>
        <v>26 -1 1121 009</v>
      </c>
      <c r="B22" s="32">
        <f>IF(A22="","",IF(ISNUMBER('IMPORT PROFIXIO'!D22),'IMPORT PROFIXIO'!D22,DATEVALUE('IMPORT PROFIXIO'!D22)))</f>
        <v>46299</v>
      </c>
      <c r="C22" s="33">
        <f>IF(A22="","",IF(ISNUMBER('IMPORT PROFIXIO'!E22),'IMPORT PROFIXIO'!E22,(VALUE(LEFT('IMPORT PROFIXIO'!E22,FIND(":",'IMPORT PROFIXIO'!E22)-1))*60+VALUE(MID('IMPORT PROFIXIO'!E22,FIND(":",'IMPORT PROFIXIO'!E22)+1,2)))/1440))</f>
        <v>0.66666666666666663</v>
      </c>
      <c r="D22" s="31" t="str">
        <f>IF(A22="","",'IMPORT PROFIXIO'!F22)</f>
        <v>Solnahallen</v>
      </c>
      <c r="E22" s="31" t="str">
        <f>IF(A22="","",'IMPORT PROFIXIO'!K22)</f>
        <v>Damer - Damallsvenskan</v>
      </c>
      <c r="F22" s="34" t="str">
        <f>IF(A22="","",IFERROR(VLOOKUP(E22,KLASSNING!$A$5:$F$74,2,FALSE()),"SAKNAS"))</f>
        <v>Dam</v>
      </c>
      <c r="G22" s="34" t="str">
        <f>IF(A22="","",IFERROR(VLOOKUP(E22,KLASSNING!$A$5:$F$74,3,FALSE()),"SAKNAS"))</f>
        <v>Seriespel</v>
      </c>
      <c r="H22" s="34" t="str">
        <f>IF(A22="","",'IMPORT PROFIXIO'!H22)</f>
        <v>AIK</v>
      </c>
      <c r="I22" s="34" t="str">
        <f>IF(A22="","",'IMPORT PROFIXIO'!I22)</f>
        <v>HK Aranäs</v>
      </c>
      <c r="J22" s="34" t="str">
        <f t="shared" si="0"/>
        <v>Dam</v>
      </c>
      <c r="K22" s="34" t="str">
        <f t="shared" si="1"/>
        <v>Nej</v>
      </c>
      <c r="L22" s="34">
        <f>IF(A22="","",IFERROR(VLOOKUP(E22,KLASSNING!$A$5:$F$74,5,FALSE()),0))</f>
        <v>70</v>
      </c>
      <c r="M22" s="35" t="str">
        <f t="shared" si="2"/>
        <v/>
      </c>
      <c r="N22" s="34" t="str">
        <f>IF(A22="","",IF(K22&lt;&gt;"Ja","Ej aktuell",IF(L22&lt;=0,"KONTROLLERA MATCHTID",IF(AND(COUNTIFS(BEMANNINGSPLAN!$A$5:$A$546,B22,BEMANNINGSPLAN!$C$5:$C$546,D22,BEMANNINGSPLAN!$D$5:$D$546,"&lt;="&amp;C22,BEMANNINGSPLAN!$E$5:$E$546,"&gt;"&amp;C22)&gt;0,COUNTIFS(BEMANNINGSPLAN!$A$5:$A$546,B22,BEMANNINGSPLAN!$C$5:$C$546,D22,BEMANNINGSPLAN!$D$5:$D$546,"&lt;"&amp;M22,BEMANNINGSPLAN!$E$5:$E$546,"&gt;="&amp;M22)&gt;0),"Ja","SAKNAS TIDSRADER"))))</f>
        <v>Ej aktuell</v>
      </c>
      <c r="O22" s="137" t="str">
        <f>IF(OR(B22="",K22&lt;&gt;"Ja"),"",COUNTIFS($B$5:B22,B22,$K$5:K22,"Ja"))</f>
        <v/>
      </c>
      <c r="P22" s="137" t="str">
        <f t="shared" si="3"/>
        <v/>
      </c>
    </row>
    <row r="23" spans="1:16" ht="13">
      <c r="A23" s="31" t="str">
        <f>IF('IMPORT PROFIXIO'!A23="","",'IMPORT PROFIXIO'!A23)</f>
        <v>26 6 1311 011</v>
      </c>
      <c r="B23" s="32">
        <f>IF(A23="","",IF(ISNUMBER('IMPORT PROFIXIO'!D23),'IMPORT PROFIXIO'!D23,DATEVALUE('IMPORT PROFIXIO'!D23)))</f>
        <v>46301</v>
      </c>
      <c r="C23" s="33">
        <f>IF(A23="","",IF(ISNUMBER('IMPORT PROFIXIO'!E23),'IMPORT PROFIXIO'!E23,(VALUE(LEFT('IMPORT PROFIXIO'!E23,FIND(":",'IMPORT PROFIXIO'!E23)-1))*60+VALUE(MID('IMPORT PROFIXIO'!E23,FIND(":",'IMPORT PROFIXIO'!E23)+1,2)))/1440))</f>
        <v>0.86458333333333337</v>
      </c>
      <c r="D23" s="31" t="str">
        <f>IF(A23="","",'IMPORT PROFIXIO'!F23)</f>
        <v>Råsta Park</v>
      </c>
      <c r="E23" s="31" t="str">
        <f>IF(A23="","",'IMPORT PROFIXIO'!K23)</f>
        <v>Flickor - F19 Öst - F19 Nivå 1 Öst</v>
      </c>
      <c r="F23" s="34" t="str">
        <f>IF(A23="","",IFERROR(VLOOKUP(E23,KLASSNING!$A$5:$F$74,2,FALSE()),"SAKNAS"))</f>
        <v>F19</v>
      </c>
      <c r="G23" s="34" t="str">
        <f>IF(A23="","",IFERROR(VLOOKUP(E23,KLASSNING!$A$5:$F$74,3,FALSE()),"SAKNAS"))</f>
        <v>Seriespel</v>
      </c>
      <c r="H23" s="34" t="str">
        <f>IF(A23="","",'IMPORT PROFIXIO'!H23)</f>
        <v>AIK</v>
      </c>
      <c r="I23" s="34" t="str">
        <f>IF(A23="","",'IMPORT PROFIXIO'!I23)</f>
        <v>GT Söder HK Blå</v>
      </c>
      <c r="J23" s="34" t="str">
        <f t="shared" si="0"/>
        <v>F19</v>
      </c>
      <c r="K23" s="34" t="str">
        <f t="shared" si="1"/>
        <v>Ja</v>
      </c>
      <c r="L23" s="34">
        <f>IF(A23="","",IFERROR(VLOOKUP(E23,KLASSNING!$A$5:$F$74,5,FALSE()),0))</f>
        <v>55</v>
      </c>
      <c r="M23" s="35">
        <f t="shared" si="2"/>
        <v>0.90277777777777779</v>
      </c>
      <c r="N23" s="34" t="str">
        <f>IF(A23="","",IF(K23&lt;&gt;"Ja","Ej aktuell",IF(L23&lt;=0,"KONTROLLERA MATCHTID",IF(AND(COUNTIFS(BEMANNINGSPLAN!$A$5:$A$546,B23,BEMANNINGSPLAN!$C$5:$C$546,D23,BEMANNINGSPLAN!$D$5:$D$546,"&lt;="&amp;C23,BEMANNINGSPLAN!$E$5:$E$546,"&gt;"&amp;C23)&gt;0,COUNTIFS(BEMANNINGSPLAN!$A$5:$A$546,B23,BEMANNINGSPLAN!$C$5:$C$546,D23,BEMANNINGSPLAN!$D$5:$D$546,"&lt;"&amp;M23,BEMANNINGSPLAN!$E$5:$E$546,"&gt;="&amp;M23)&gt;0),"Ja","SAKNAS TIDSRADER"))))</f>
        <v>Ja</v>
      </c>
      <c r="O23" s="137">
        <f>IF(OR(B23="",K23&lt;&gt;"Ja"),"",COUNTIFS($B$5:B23,B23,$K$5:K23,"Ja"))</f>
        <v>1</v>
      </c>
      <c r="P23" s="137" t="str">
        <f t="shared" si="3"/>
        <v>yyyy-00-06|1</v>
      </c>
    </row>
    <row r="24" spans="1:16" ht="13">
      <c r="A24" s="31" t="str">
        <f>IF('IMPORT PROFIXIO'!A24="","",'IMPORT PROFIXIO'!A24)</f>
        <v>26 6 1221 013</v>
      </c>
      <c r="B24" s="32">
        <f>IF(A24="","",IF(ISNUMBER('IMPORT PROFIXIO'!D24),'IMPORT PROFIXIO'!D24,DATEVALUE('IMPORT PROFIXIO'!D24)))</f>
        <v>46305</v>
      </c>
      <c r="C24" s="33">
        <f>IF(A24="","",IF(ISNUMBER('IMPORT PROFIXIO'!E24),'IMPORT PROFIXIO'!E24,(VALUE(LEFT('IMPORT PROFIXIO'!E24,FIND(":",'IMPORT PROFIXIO'!E24)-1))*60+VALUE(MID('IMPORT PROFIXIO'!E24,FIND(":",'IMPORT PROFIXIO'!E24)+1,2)))/1440))</f>
        <v>0.5625</v>
      </c>
      <c r="D24" s="31" t="str">
        <f>IF(A24="","",'IMPORT PROFIXIO'!F24)</f>
        <v>Råsta Park</v>
      </c>
      <c r="E24" s="31" t="str">
        <f>IF(A24="","",'IMPORT PROFIXIO'!K24)</f>
        <v>Herrar - Herr 2 Öst</v>
      </c>
      <c r="F24" s="34" t="str">
        <f>IF(A24="","",IFERROR(VLOOKUP(E24,KLASSNING!$A$5:$F$74,2,FALSE()),"SAKNAS"))</f>
        <v>Herr</v>
      </c>
      <c r="G24" s="34" t="str">
        <f>IF(A24="","",IFERROR(VLOOKUP(E24,KLASSNING!$A$5:$F$74,3,FALSE()),"SAKNAS"))</f>
        <v>Seriespel</v>
      </c>
      <c r="H24" s="34" t="str">
        <f>IF(A24="","",'IMPORT PROFIXIO'!H24)</f>
        <v>AIK</v>
      </c>
      <c r="I24" s="34" t="str">
        <f>IF(A24="","",'IMPORT PROFIXIO'!I24)</f>
        <v>Djurgårdens HF</v>
      </c>
      <c r="J24" s="34" t="str">
        <f t="shared" si="0"/>
        <v>Herr</v>
      </c>
      <c r="K24" s="34" t="str">
        <f t="shared" si="1"/>
        <v>Ja</v>
      </c>
      <c r="L24" s="34">
        <f>IF(A24="","",IFERROR(VLOOKUP(E24,KLASSNING!$A$5:$F$74,5,FALSE()),0))</f>
        <v>70</v>
      </c>
      <c r="M24" s="35">
        <f t="shared" si="2"/>
        <v>0.61111111111111116</v>
      </c>
      <c r="N24" s="34" t="str">
        <f>IF(A24="","",IF(K24&lt;&gt;"Ja","Ej aktuell",IF(L24&lt;=0,"KONTROLLERA MATCHTID",IF(AND(COUNTIFS(BEMANNINGSPLAN!$A$5:$A$546,B24,BEMANNINGSPLAN!$C$5:$C$546,D24,BEMANNINGSPLAN!$D$5:$D$546,"&lt;="&amp;C24,BEMANNINGSPLAN!$E$5:$E$546,"&gt;"&amp;C24)&gt;0,COUNTIFS(BEMANNINGSPLAN!$A$5:$A$546,B24,BEMANNINGSPLAN!$C$5:$C$546,D24,BEMANNINGSPLAN!$D$5:$D$546,"&lt;"&amp;M24,BEMANNINGSPLAN!$E$5:$E$546,"&gt;="&amp;M24)&gt;0),"Ja","SAKNAS TIDSRADER"))))</f>
        <v>Ja</v>
      </c>
      <c r="O24" s="137">
        <f>IF(OR(B24="",K24&lt;&gt;"Ja"),"",COUNTIFS($B$5:B24,B24,$K$5:K24,"Ja"))</f>
        <v>1</v>
      </c>
      <c r="P24" s="137" t="str">
        <f t="shared" si="3"/>
        <v>yyyy-00-10|1</v>
      </c>
    </row>
    <row r="25" spans="1:16" ht="13">
      <c r="A25" s="31" t="str">
        <f>IF('IMPORT PROFIXIO'!A25="","",'IMPORT PROFIXIO'!A25)</f>
        <v>26 6 14101 01</v>
      </c>
      <c r="B25" s="32">
        <f>IF(A25="","",IF(ISNUMBER('IMPORT PROFIXIO'!D25),'IMPORT PROFIXIO'!D25,DATEVALUE('IMPORT PROFIXIO'!D25)))</f>
        <v>46305</v>
      </c>
      <c r="C25" s="33">
        <f>IF(A25="","",IF(ISNUMBER('IMPORT PROFIXIO'!E25),'IMPORT PROFIXIO'!E25,(VALUE(LEFT('IMPORT PROFIXIO'!E25,FIND(":",'IMPORT PROFIXIO'!E25)-1))*60+VALUE(MID('IMPORT PROFIXIO'!E25,FIND(":",'IMPORT PROFIXIO'!E25)+1,2)))/1440))</f>
        <v>0.46875</v>
      </c>
      <c r="D25" s="31" t="str">
        <f>IF(A25="","",'IMPORT PROFIXIO'!F25)</f>
        <v>Ulriksdalshallen</v>
      </c>
      <c r="E25" s="31" t="str">
        <f>IF(A25="","",'IMPORT PROFIXIO'!K25)</f>
        <v>Höstens Spel - F10 kortplan Öst - Omgång 1</v>
      </c>
      <c r="F25" s="34" t="str">
        <f>IF(A25="","",IFERROR(VLOOKUP(E25,KLASSNING!$A$5:$F$74,2,FALSE()),"SAKNAS"))</f>
        <v>F10</v>
      </c>
      <c r="G25" s="34" t="str">
        <f>IF(A25="","",IFERROR(VLOOKUP(E25,KLASSNING!$A$5:$F$74,3,FALSE()),"SAKNAS"))</f>
        <v>Kortplan/miniplan</v>
      </c>
      <c r="H25" s="34" t="str">
        <f>IF(A25="","",'IMPORT PROFIXIO'!H25)</f>
        <v>Skå IK Grön</v>
      </c>
      <c r="I25" s="34" t="str">
        <f>IF(A25="","",'IMPORT PROFIXIO'!I25)</f>
        <v>Täby HBK F10 - 4</v>
      </c>
      <c r="J25" s="34" t="str">
        <f t="shared" si="0"/>
        <v/>
      </c>
      <c r="K25" s="34" t="str">
        <f t="shared" si="1"/>
        <v>Ja</v>
      </c>
      <c r="L25" s="34">
        <f>IF(A25="","",IFERROR(VLOOKUP(E25,KLASSNING!$A$5:$F$74,5,FALSE()),0))</f>
        <v>20</v>
      </c>
      <c r="M25" s="35">
        <f t="shared" si="2"/>
        <v>0.4826388888888889</v>
      </c>
      <c r="N25" s="34" t="str">
        <f>IF(A25="","",IF(K25&lt;&gt;"Ja","Ej aktuell",IF(L25&lt;=0,"KONTROLLERA MATCHTID",IF(AND(COUNTIFS(BEMANNINGSPLAN!$A$5:$A$546,B25,BEMANNINGSPLAN!$C$5:$C$546,D25,BEMANNINGSPLAN!$D$5:$D$546,"&lt;="&amp;C25,BEMANNINGSPLAN!$E$5:$E$546,"&gt;"&amp;C25)&gt;0,COUNTIFS(BEMANNINGSPLAN!$A$5:$A$546,B25,BEMANNINGSPLAN!$C$5:$C$546,D25,BEMANNINGSPLAN!$D$5:$D$546,"&lt;"&amp;M25,BEMANNINGSPLAN!$E$5:$E$546,"&gt;="&amp;M25)&gt;0),"Ja","SAKNAS TIDSRADER"))))</f>
        <v>Ja</v>
      </c>
      <c r="O25" s="137">
        <f>IF(OR(B25="",K25&lt;&gt;"Ja"),"",COUNTIFS($B$5:B25,B25,$K$5:K25,"Ja"))</f>
        <v>2</v>
      </c>
      <c r="P25" s="137" t="str">
        <f t="shared" si="3"/>
        <v>yyyy-00-10|2</v>
      </c>
    </row>
    <row r="26" spans="1:16" ht="13">
      <c r="A26" s="31" t="str">
        <f>IF('IMPORT PROFIXIO'!A26="","",'IMPORT PROFIXIO'!A26)</f>
        <v>26 6 14101 02</v>
      </c>
      <c r="B26" s="32">
        <f>IF(A26="","",IF(ISNUMBER('IMPORT PROFIXIO'!D26),'IMPORT PROFIXIO'!D26,DATEVALUE('IMPORT PROFIXIO'!D26)))</f>
        <v>46305</v>
      </c>
      <c r="C26" s="33">
        <f>IF(A26="","",IF(ISNUMBER('IMPORT PROFIXIO'!E26),'IMPORT PROFIXIO'!E26,(VALUE(LEFT('IMPORT PROFIXIO'!E26,FIND(":",'IMPORT PROFIXIO'!E26)-1))*60+VALUE(MID('IMPORT PROFIXIO'!E26,FIND(":",'IMPORT PROFIXIO'!E26)+1,2)))/1440))</f>
        <v>0.5</v>
      </c>
      <c r="D26" s="31" t="str">
        <f>IF(A26="","",'IMPORT PROFIXIO'!F26)</f>
        <v>Ulriksdalshallen</v>
      </c>
      <c r="E26" s="31" t="str">
        <f>IF(A26="","",'IMPORT PROFIXIO'!K26)</f>
        <v>Höstens Spel - F10 kortplan Öst - Omgång 1</v>
      </c>
      <c r="F26" s="34" t="str">
        <f>IF(A26="","",IFERROR(VLOOKUP(E26,KLASSNING!$A$5:$F$74,2,FALSE()),"SAKNAS"))</f>
        <v>F10</v>
      </c>
      <c r="G26" s="34" t="str">
        <f>IF(A26="","",IFERROR(VLOOKUP(E26,KLASSNING!$A$5:$F$74,3,FALSE()),"SAKNAS"))</f>
        <v>Kortplan/miniplan</v>
      </c>
      <c r="H26" s="34" t="str">
        <f>IF(A26="","",'IMPORT PROFIXIO'!H26)</f>
        <v>Skå IK Gul</v>
      </c>
      <c r="I26" s="34" t="str">
        <f>IF(A26="","",'IMPORT PROFIXIO'!I26)</f>
        <v>Täby HBK F10-3</v>
      </c>
      <c r="J26" s="34" t="str">
        <f t="shared" si="0"/>
        <v/>
      </c>
      <c r="K26" s="34" t="str">
        <f t="shared" si="1"/>
        <v>Ja</v>
      </c>
      <c r="L26" s="34">
        <f>IF(A26="","",IFERROR(VLOOKUP(E26,KLASSNING!$A$5:$F$74,5,FALSE()),0))</f>
        <v>20</v>
      </c>
      <c r="M26" s="35">
        <f t="shared" si="2"/>
        <v>0.51388888888888884</v>
      </c>
      <c r="N26" s="34" t="str">
        <f>IF(A26="","",IF(K26&lt;&gt;"Ja","Ej aktuell",IF(L26&lt;=0,"KONTROLLERA MATCHTID",IF(AND(COUNTIFS(BEMANNINGSPLAN!$A$5:$A$546,B26,BEMANNINGSPLAN!$C$5:$C$546,D26,BEMANNINGSPLAN!$D$5:$D$546,"&lt;="&amp;C26,BEMANNINGSPLAN!$E$5:$E$546,"&gt;"&amp;C26)&gt;0,COUNTIFS(BEMANNINGSPLAN!$A$5:$A$546,B26,BEMANNINGSPLAN!$C$5:$C$546,D26,BEMANNINGSPLAN!$D$5:$D$546,"&lt;"&amp;M26,BEMANNINGSPLAN!$E$5:$E$546,"&gt;="&amp;M26)&gt;0),"Ja","SAKNAS TIDSRADER"))))</f>
        <v>Ja</v>
      </c>
      <c r="O26" s="137">
        <f>IF(OR(B26="",K26&lt;&gt;"Ja"),"",COUNTIFS($B$5:B26,B26,$K$5:K26,"Ja"))</f>
        <v>3</v>
      </c>
      <c r="P26" s="137" t="str">
        <f t="shared" si="3"/>
        <v>yyyy-00-10|3</v>
      </c>
    </row>
    <row r="27" spans="1:16" ht="13">
      <c r="A27" s="31" t="str">
        <f>IF('IMPORT PROFIXIO'!A27="","",'IMPORT PROFIXIO'!A27)</f>
        <v>26 6 14101 03</v>
      </c>
      <c r="B27" s="32">
        <f>IF(A27="","",IF(ISNUMBER('IMPORT PROFIXIO'!D27),'IMPORT PROFIXIO'!D27,DATEVALUE('IMPORT PROFIXIO'!D27)))</f>
        <v>46305</v>
      </c>
      <c r="C27" s="33">
        <f>IF(A27="","",IF(ISNUMBER('IMPORT PROFIXIO'!E27),'IMPORT PROFIXIO'!E27,(VALUE(LEFT('IMPORT PROFIXIO'!E27,FIND(":",'IMPORT PROFIXIO'!E27)-1))*60+VALUE(MID('IMPORT PROFIXIO'!E27,FIND(":",'IMPORT PROFIXIO'!E27)+1,2)))/1440))</f>
        <v>0.53125</v>
      </c>
      <c r="D27" s="31" t="str">
        <f>IF(A27="","",'IMPORT PROFIXIO'!F27)</f>
        <v>Ulriksdalshallen</v>
      </c>
      <c r="E27" s="31" t="str">
        <f>IF(A27="","",'IMPORT PROFIXIO'!K27)</f>
        <v>Höstens Spel - F10 kortplan Öst - Omgång 1</v>
      </c>
      <c r="F27" s="34" t="str">
        <f>IF(A27="","",IFERROR(VLOOKUP(E27,KLASSNING!$A$5:$F$74,2,FALSE()),"SAKNAS"))</f>
        <v>F10</v>
      </c>
      <c r="G27" s="34" t="str">
        <f>IF(A27="","",IFERROR(VLOOKUP(E27,KLASSNING!$A$5:$F$74,3,FALSE()),"SAKNAS"))</f>
        <v>Kortplan/miniplan</v>
      </c>
      <c r="H27" s="34" t="str">
        <f>IF(A27="","",'IMPORT PROFIXIO'!H27)</f>
        <v>AIK</v>
      </c>
      <c r="I27" s="34" t="str">
        <f>IF(A27="","",'IMPORT PROFIXIO'!I27)</f>
        <v>Täby HBK F10 - 4</v>
      </c>
      <c r="J27" s="34" t="str">
        <f t="shared" si="0"/>
        <v>F10</v>
      </c>
      <c r="K27" s="34" t="str">
        <f t="shared" si="1"/>
        <v>Ja</v>
      </c>
      <c r="L27" s="34">
        <f>IF(A27="","",IFERROR(VLOOKUP(E27,KLASSNING!$A$5:$F$74,5,FALSE()),0))</f>
        <v>20</v>
      </c>
      <c r="M27" s="35">
        <f t="shared" si="2"/>
        <v>0.54513888888888884</v>
      </c>
      <c r="N27" s="34" t="str">
        <f>IF(A27="","",IF(K27&lt;&gt;"Ja","Ej aktuell",IF(L27&lt;=0,"KONTROLLERA MATCHTID",IF(AND(COUNTIFS(BEMANNINGSPLAN!$A$5:$A$546,B27,BEMANNINGSPLAN!$C$5:$C$546,D27,BEMANNINGSPLAN!$D$5:$D$546,"&lt;="&amp;C27,BEMANNINGSPLAN!$E$5:$E$546,"&gt;"&amp;C27)&gt;0,COUNTIFS(BEMANNINGSPLAN!$A$5:$A$546,B27,BEMANNINGSPLAN!$C$5:$C$546,D27,BEMANNINGSPLAN!$D$5:$D$546,"&lt;"&amp;M27,BEMANNINGSPLAN!$E$5:$E$546,"&gt;="&amp;M27)&gt;0),"Ja","SAKNAS TIDSRADER"))))</f>
        <v>Ja</v>
      </c>
      <c r="O27" s="137">
        <f>IF(OR(B27="",K27&lt;&gt;"Ja"),"",COUNTIFS($B$5:B27,B27,$K$5:K27,"Ja"))</f>
        <v>4</v>
      </c>
      <c r="P27" s="137" t="str">
        <f t="shared" si="3"/>
        <v>yyyy-00-10|4</v>
      </c>
    </row>
    <row r="28" spans="1:16" ht="13">
      <c r="A28" s="31" t="str">
        <f>IF('IMPORT PROFIXIO'!A28="","",'IMPORT PROFIXIO'!A28)</f>
        <v>26 6 14101 04</v>
      </c>
      <c r="B28" s="32">
        <f>IF(A28="","",IF(ISNUMBER('IMPORT PROFIXIO'!D28),'IMPORT PROFIXIO'!D28,DATEVALUE('IMPORT PROFIXIO'!D28)))</f>
        <v>46305</v>
      </c>
      <c r="C28" s="33">
        <f>IF(A28="","",IF(ISNUMBER('IMPORT PROFIXIO'!E28),'IMPORT PROFIXIO'!E28,(VALUE(LEFT('IMPORT PROFIXIO'!E28,FIND(":",'IMPORT PROFIXIO'!E28)-1))*60+VALUE(MID('IMPORT PROFIXIO'!E28,FIND(":",'IMPORT PROFIXIO'!E28)+1,2)))/1440))</f>
        <v>0.5625</v>
      </c>
      <c r="D28" s="31" t="str">
        <f>IF(A28="","",'IMPORT PROFIXIO'!F28)</f>
        <v>Ulriksdalshallen</v>
      </c>
      <c r="E28" s="31" t="str">
        <f>IF(A28="","",'IMPORT PROFIXIO'!K28)</f>
        <v>Höstens Spel - F10 kortplan Öst - Omgång 1</v>
      </c>
      <c r="F28" s="34" t="str">
        <f>IF(A28="","",IFERROR(VLOOKUP(E28,KLASSNING!$A$5:$F$74,2,FALSE()),"SAKNAS"))</f>
        <v>F10</v>
      </c>
      <c r="G28" s="34" t="str">
        <f>IF(A28="","",IFERROR(VLOOKUP(E28,KLASSNING!$A$5:$F$74,3,FALSE()),"SAKNAS"))</f>
        <v>Kortplan/miniplan</v>
      </c>
      <c r="H28" s="34" t="str">
        <f>IF(A28="","",'IMPORT PROFIXIO'!H28)</f>
        <v>Skå IK Grön</v>
      </c>
      <c r="I28" s="34" t="str">
        <f>IF(A28="","",'IMPORT PROFIXIO'!I28)</f>
        <v>Täby HBK F10-3</v>
      </c>
      <c r="J28" s="34" t="str">
        <f t="shared" si="0"/>
        <v/>
      </c>
      <c r="K28" s="34" t="str">
        <f t="shared" si="1"/>
        <v>Ja</v>
      </c>
      <c r="L28" s="34">
        <f>IF(A28="","",IFERROR(VLOOKUP(E28,KLASSNING!$A$5:$F$74,5,FALSE()),0))</f>
        <v>20</v>
      </c>
      <c r="M28" s="35">
        <f t="shared" si="2"/>
        <v>0.57638888888888884</v>
      </c>
      <c r="N28" s="34" t="str">
        <f>IF(A28="","",IF(K28&lt;&gt;"Ja","Ej aktuell",IF(L28&lt;=0,"KONTROLLERA MATCHTID",IF(AND(COUNTIFS(BEMANNINGSPLAN!$A$5:$A$546,B28,BEMANNINGSPLAN!$C$5:$C$546,D28,BEMANNINGSPLAN!$D$5:$D$546,"&lt;="&amp;C28,BEMANNINGSPLAN!$E$5:$E$546,"&gt;"&amp;C28)&gt;0,COUNTIFS(BEMANNINGSPLAN!$A$5:$A$546,B28,BEMANNINGSPLAN!$C$5:$C$546,D28,BEMANNINGSPLAN!$D$5:$D$546,"&lt;"&amp;M28,BEMANNINGSPLAN!$E$5:$E$546,"&gt;="&amp;M28)&gt;0),"Ja","SAKNAS TIDSRADER"))))</f>
        <v>Ja</v>
      </c>
      <c r="O28" s="137">
        <f>IF(OR(B28="",K28&lt;&gt;"Ja"),"",COUNTIFS($B$5:B28,B28,$K$5:K28,"Ja"))</f>
        <v>5</v>
      </c>
      <c r="P28" s="137" t="str">
        <f t="shared" si="3"/>
        <v>yyyy-00-10|5</v>
      </c>
    </row>
    <row r="29" spans="1:16" ht="13">
      <c r="A29" s="31" t="str">
        <f>IF('IMPORT PROFIXIO'!A29="","",'IMPORT PROFIXIO'!A29)</f>
        <v>26 6 14101 05</v>
      </c>
      <c r="B29" s="32">
        <f>IF(A29="","",IF(ISNUMBER('IMPORT PROFIXIO'!D29),'IMPORT PROFIXIO'!D29,DATEVALUE('IMPORT PROFIXIO'!D29)))</f>
        <v>46305</v>
      </c>
      <c r="C29" s="33">
        <f>IF(A29="","",IF(ISNUMBER('IMPORT PROFIXIO'!E29),'IMPORT PROFIXIO'!E29,(VALUE(LEFT('IMPORT PROFIXIO'!E29,FIND(":",'IMPORT PROFIXIO'!E29)-1))*60+VALUE(MID('IMPORT PROFIXIO'!E29,FIND(":",'IMPORT PROFIXIO'!E29)+1,2)))/1440))</f>
        <v>0.59375</v>
      </c>
      <c r="D29" s="31" t="str">
        <f>IF(A29="","",'IMPORT PROFIXIO'!F29)</f>
        <v>Ulriksdalshallen</v>
      </c>
      <c r="E29" s="31" t="str">
        <f>IF(A29="","",'IMPORT PROFIXIO'!K29)</f>
        <v>Höstens Spel - F10 kortplan Öst - Omgång 1</v>
      </c>
      <c r="F29" s="34" t="str">
        <f>IF(A29="","",IFERROR(VLOOKUP(E29,KLASSNING!$A$5:$F$74,2,FALSE()),"SAKNAS"))</f>
        <v>F10</v>
      </c>
      <c r="G29" s="34" t="str">
        <f>IF(A29="","",IFERROR(VLOOKUP(E29,KLASSNING!$A$5:$F$74,3,FALSE()),"SAKNAS"))</f>
        <v>Kortplan/miniplan</v>
      </c>
      <c r="H29" s="34" t="str">
        <f>IF(A29="","",'IMPORT PROFIXIO'!H29)</f>
        <v>Skå IK Gul</v>
      </c>
      <c r="I29" s="34" t="str">
        <f>IF(A29="","",'IMPORT PROFIXIO'!I29)</f>
        <v>AIK</v>
      </c>
      <c r="J29" s="34" t="str">
        <f t="shared" si="0"/>
        <v>F10</v>
      </c>
      <c r="K29" s="34" t="str">
        <f t="shared" si="1"/>
        <v>Ja</v>
      </c>
      <c r="L29" s="34">
        <f>IF(A29="","",IFERROR(VLOOKUP(E29,KLASSNING!$A$5:$F$74,5,FALSE()),0))</f>
        <v>20</v>
      </c>
      <c r="M29" s="35">
        <f t="shared" si="2"/>
        <v>0.60763888888888884</v>
      </c>
      <c r="N29" s="34" t="str">
        <f>IF(A29="","",IF(K29&lt;&gt;"Ja","Ej aktuell",IF(L29&lt;=0,"KONTROLLERA MATCHTID",IF(AND(COUNTIFS(BEMANNINGSPLAN!$A$5:$A$546,B29,BEMANNINGSPLAN!$C$5:$C$546,D29,BEMANNINGSPLAN!$D$5:$D$546,"&lt;="&amp;C29,BEMANNINGSPLAN!$E$5:$E$546,"&gt;"&amp;C29)&gt;0,COUNTIFS(BEMANNINGSPLAN!$A$5:$A$546,B29,BEMANNINGSPLAN!$C$5:$C$546,D29,BEMANNINGSPLAN!$D$5:$D$546,"&lt;"&amp;M29,BEMANNINGSPLAN!$E$5:$E$546,"&gt;="&amp;M29)&gt;0),"Ja","SAKNAS TIDSRADER"))))</f>
        <v>Ja</v>
      </c>
      <c r="O29" s="137">
        <f>IF(OR(B29="",K29&lt;&gt;"Ja"),"",COUNTIFS($B$5:B29,B29,$K$5:K29,"Ja"))</f>
        <v>6</v>
      </c>
      <c r="P29" s="137" t="str">
        <f t="shared" si="3"/>
        <v>yyyy-00-10|6</v>
      </c>
    </row>
    <row r="30" spans="1:16" ht="13">
      <c r="A30" s="31" t="str">
        <f>IF('IMPORT PROFIXIO'!A30="","",'IMPORT PROFIXIO'!A30)</f>
        <v>26 6 1573 015</v>
      </c>
      <c r="B30" s="32">
        <f>IF(A30="","",IF(ISNUMBER('IMPORT PROFIXIO'!D30),'IMPORT PROFIXIO'!D30,DATEVALUE('IMPORT PROFIXIO'!D30)))</f>
        <v>46305</v>
      </c>
      <c r="C30" s="33">
        <f>IF(A30="","",IF(ISNUMBER('IMPORT PROFIXIO'!E30),'IMPORT PROFIXIO'!E30,(VALUE(LEFT('IMPORT PROFIXIO'!E30,FIND(":",'IMPORT PROFIXIO'!E30)-1))*60+VALUE(MID('IMPORT PROFIXIO'!E30,FIND(":",'IMPORT PROFIXIO'!E30)+1,2)))/1440))</f>
        <v>0.67708333333333337</v>
      </c>
      <c r="D30" s="31" t="str">
        <f>IF(A30="","",'IMPORT PROFIXIO'!F30)</f>
        <v>Ulriksdalshallen</v>
      </c>
      <c r="E30" s="31" t="str">
        <f>IF(A30="","",'IMPORT PROFIXIO'!K30)</f>
        <v>Pojkar - P11 Öst - P11 Nivå 2 Öst City</v>
      </c>
      <c r="F30" s="34" t="str">
        <f>IF(A30="","",IFERROR(VLOOKUP(E30,KLASSNING!$A$5:$F$74,2,FALSE()),"SAKNAS"))</f>
        <v>P11</v>
      </c>
      <c r="G30" s="34" t="str">
        <f>IF(A30="","",IFERROR(VLOOKUP(E30,KLASSNING!$A$5:$F$74,3,FALSE()),"SAKNAS"))</f>
        <v>Seriespel</v>
      </c>
      <c r="H30" s="34" t="str">
        <f>IF(A30="","",'IMPORT PROFIXIO'!H30)</f>
        <v>Uppsala HK Eriksberg</v>
      </c>
      <c r="I30" s="34" t="str">
        <f>IF(A30="","",'IMPORT PROFIXIO'!I30)</f>
        <v>Hammarby IF HF 2</v>
      </c>
      <c r="J30" s="34" t="str">
        <f t="shared" si="0"/>
        <v/>
      </c>
      <c r="K30" s="34" t="str">
        <f t="shared" si="1"/>
        <v>Ja</v>
      </c>
      <c r="L30" s="34">
        <f>IF(A30="","",IFERROR(VLOOKUP(E30,KLASSNING!$A$5:$F$74,5,FALSE()),0))</f>
        <v>35</v>
      </c>
      <c r="M30" s="35">
        <f t="shared" si="2"/>
        <v>0.70138888888888895</v>
      </c>
      <c r="N30" s="34" t="str">
        <f>IF(A30="","",IF(K30&lt;&gt;"Ja","Ej aktuell",IF(L30&lt;=0,"KONTROLLERA MATCHTID",IF(AND(COUNTIFS(BEMANNINGSPLAN!$A$5:$A$546,B30,BEMANNINGSPLAN!$C$5:$C$546,D30,BEMANNINGSPLAN!$D$5:$D$546,"&lt;="&amp;C30,BEMANNINGSPLAN!$E$5:$E$546,"&gt;"&amp;C30)&gt;0,COUNTIFS(BEMANNINGSPLAN!$A$5:$A$546,B30,BEMANNINGSPLAN!$C$5:$C$546,D30,BEMANNINGSPLAN!$D$5:$D$546,"&lt;"&amp;M30,BEMANNINGSPLAN!$E$5:$E$546,"&gt;="&amp;M30)&gt;0),"Ja","SAKNAS TIDSRADER"))))</f>
        <v>Ja</v>
      </c>
      <c r="O30" s="137">
        <f>IF(OR(B30="",K30&lt;&gt;"Ja"),"",COUNTIFS($B$5:B30,B30,$K$5:K30,"Ja"))</f>
        <v>7</v>
      </c>
      <c r="P30" s="137" t="str">
        <f t="shared" si="3"/>
        <v>yyyy-00-10|7</v>
      </c>
    </row>
    <row r="31" spans="1:16" ht="13">
      <c r="A31" s="31" t="str">
        <f>IF('IMPORT PROFIXIO'!A31="","",'IMPORT PROFIXIO'!A31)</f>
        <v>26 -1 1121 014</v>
      </c>
      <c r="B31" s="32">
        <f>IF(A31="","",IF(ISNUMBER('IMPORT PROFIXIO'!D31),'IMPORT PROFIXIO'!D31,DATEVALUE('IMPORT PROFIXIO'!D31)))</f>
        <v>46306</v>
      </c>
      <c r="C31" s="33">
        <f>IF(A31="","",IF(ISNUMBER('IMPORT PROFIXIO'!E31),'IMPORT PROFIXIO'!E31,(VALUE(LEFT('IMPORT PROFIXIO'!E31,FIND(":",'IMPORT PROFIXIO'!E31)-1))*60+VALUE(MID('IMPORT PROFIXIO'!E31,FIND(":",'IMPORT PROFIXIO'!E31)+1,2)))/1440))</f>
        <v>0.625</v>
      </c>
      <c r="D31" s="31" t="str">
        <f>IF(A31="","",'IMPORT PROFIXIO'!F31)</f>
        <v>Solnahallen</v>
      </c>
      <c r="E31" s="31" t="str">
        <f>IF(A31="","",'IMPORT PROFIXIO'!K31)</f>
        <v>Damer - Damallsvenskan</v>
      </c>
      <c r="F31" s="34" t="str">
        <f>IF(A31="","",IFERROR(VLOOKUP(E31,KLASSNING!$A$5:$F$74,2,FALSE()),"SAKNAS"))</f>
        <v>Dam</v>
      </c>
      <c r="G31" s="34" t="str">
        <f>IF(A31="","",IFERROR(VLOOKUP(E31,KLASSNING!$A$5:$F$74,3,FALSE()),"SAKNAS"))</f>
        <v>Seriespel</v>
      </c>
      <c r="H31" s="34" t="str">
        <f>IF(A31="","",'IMPORT PROFIXIO'!H31)</f>
        <v>AIK</v>
      </c>
      <c r="I31" s="34" t="str">
        <f>IF(A31="","",'IMPORT PROFIXIO'!I31)</f>
        <v>GF Kroppskultur</v>
      </c>
      <c r="J31" s="34" t="str">
        <f t="shared" si="0"/>
        <v>Dam</v>
      </c>
      <c r="K31" s="34" t="str">
        <f t="shared" si="1"/>
        <v>Nej</v>
      </c>
      <c r="L31" s="34">
        <f>IF(A31="","",IFERROR(VLOOKUP(E31,KLASSNING!$A$5:$F$74,5,FALSE()),0))</f>
        <v>70</v>
      </c>
      <c r="M31" s="35" t="str">
        <f t="shared" si="2"/>
        <v/>
      </c>
      <c r="N31" s="34" t="str">
        <f>IF(A31="","",IF(K31&lt;&gt;"Ja","Ej aktuell",IF(L31&lt;=0,"KONTROLLERA MATCHTID",IF(AND(COUNTIFS(BEMANNINGSPLAN!$A$5:$A$546,B31,BEMANNINGSPLAN!$C$5:$C$546,D31,BEMANNINGSPLAN!$D$5:$D$546,"&lt;="&amp;C31,BEMANNINGSPLAN!$E$5:$E$546,"&gt;"&amp;C31)&gt;0,COUNTIFS(BEMANNINGSPLAN!$A$5:$A$546,B31,BEMANNINGSPLAN!$C$5:$C$546,D31,BEMANNINGSPLAN!$D$5:$D$546,"&lt;"&amp;M31,BEMANNINGSPLAN!$E$5:$E$546,"&gt;="&amp;M31)&gt;0),"Ja","SAKNAS TIDSRADER"))))</f>
        <v>Ej aktuell</v>
      </c>
      <c r="O31" s="137" t="str">
        <f>IF(OR(B31="",K31&lt;&gt;"Ja"),"",COUNTIFS($B$5:B31,B31,$K$5:K31,"Ja"))</f>
        <v/>
      </c>
      <c r="P31" s="137" t="str">
        <f t="shared" si="3"/>
        <v/>
      </c>
    </row>
    <row r="32" spans="1:16" ht="13">
      <c r="A32" s="31" t="str">
        <f>IF('IMPORT PROFIXIO'!A32="","",'IMPORT PROFIXIO'!A32)</f>
        <v>26 6 1524 012</v>
      </c>
      <c r="B32" s="32">
        <f>IF(A32="","",IF(ISNUMBER('IMPORT PROFIXIO'!D32),'IMPORT PROFIXIO'!D32,DATEVALUE('IMPORT PROFIXIO'!D32)))</f>
        <v>46312</v>
      </c>
      <c r="C32" s="33">
        <f>IF(A32="","",IF(ISNUMBER('IMPORT PROFIXIO'!E32),'IMPORT PROFIXIO'!E32,(VALUE(LEFT('IMPORT PROFIXIO'!E32,FIND(":",'IMPORT PROFIXIO'!E32)-1))*60+VALUE(MID('IMPORT PROFIXIO'!E32,FIND(":",'IMPORT PROFIXIO'!E32)+1,2)))/1440))</f>
        <v>0.48958333333333331</v>
      </c>
      <c r="D32" s="31" t="str">
        <f>IF(A32="","",'IMPORT PROFIXIO'!F32)</f>
        <v>Råsta Park</v>
      </c>
      <c r="E32" s="31" t="str">
        <f>IF(A32="","",'IMPORT PROFIXIO'!K32)</f>
        <v>Pojkar - P16 Öst - P16 Nivå 3 Öst</v>
      </c>
      <c r="F32" s="34" t="str">
        <f>IF(A32="","",IFERROR(VLOOKUP(E32,KLASSNING!$A$5:$F$74,2,FALSE()),"SAKNAS"))</f>
        <v>P16</v>
      </c>
      <c r="G32" s="34" t="str">
        <f>IF(A32="","",IFERROR(VLOOKUP(E32,KLASSNING!$A$5:$F$74,3,FALSE()),"SAKNAS"))</f>
        <v>Seriespel</v>
      </c>
      <c r="H32" s="34" t="str">
        <f>IF(A32="","",'IMPORT PROFIXIO'!H32)</f>
        <v>AIK 2</v>
      </c>
      <c r="I32" s="34" t="str">
        <f>IF(A32="","",'IMPORT PROFIXIO'!I32)</f>
        <v>Kista SC KFUM</v>
      </c>
      <c r="J32" s="34" t="str">
        <f t="shared" si="0"/>
        <v>P16 2</v>
      </c>
      <c r="K32" s="34" t="str">
        <f t="shared" si="1"/>
        <v>Ja</v>
      </c>
      <c r="L32" s="34">
        <f>IF(A32="","",IFERROR(VLOOKUP(E32,KLASSNING!$A$5:$F$74,5,FALSE()),0))</f>
        <v>55</v>
      </c>
      <c r="M32" s="35">
        <f t="shared" si="2"/>
        <v>0.52777777777777779</v>
      </c>
      <c r="N32" s="34" t="str">
        <f>IF(A32="","",IF(K32&lt;&gt;"Ja","Ej aktuell",IF(L32&lt;=0,"KONTROLLERA MATCHTID",IF(AND(COUNTIFS(BEMANNINGSPLAN!$A$5:$A$546,B32,BEMANNINGSPLAN!$C$5:$C$546,D32,BEMANNINGSPLAN!$D$5:$D$546,"&lt;="&amp;C32,BEMANNINGSPLAN!$E$5:$E$546,"&gt;"&amp;C32)&gt;0,COUNTIFS(BEMANNINGSPLAN!$A$5:$A$546,B32,BEMANNINGSPLAN!$C$5:$C$546,D32,BEMANNINGSPLAN!$D$5:$D$546,"&lt;"&amp;M32,BEMANNINGSPLAN!$E$5:$E$546,"&gt;="&amp;M32)&gt;0),"Ja","SAKNAS TIDSRADER"))))</f>
        <v>Ja</v>
      </c>
      <c r="O32" s="137">
        <f>IF(OR(B32="",K32&lt;&gt;"Ja"),"",COUNTIFS($B$5:B32,B32,$K$5:K32,"Ja"))</f>
        <v>1</v>
      </c>
      <c r="P32" s="137" t="str">
        <f t="shared" si="3"/>
        <v>yyyy-00-17|1</v>
      </c>
    </row>
    <row r="33" spans="1:16" ht="13">
      <c r="A33" s="31" t="str">
        <f>IF('IMPORT PROFIXIO'!A33="","",'IMPORT PROFIXIO'!A33)</f>
        <v>26 6 1141 016</v>
      </c>
      <c r="B33" s="32">
        <f>IF(A33="","",IF(ISNUMBER('IMPORT PROFIXIO'!D33),'IMPORT PROFIXIO'!D33,DATEVALUE('IMPORT PROFIXIO'!D33)))</f>
        <v>46312</v>
      </c>
      <c r="C33" s="33">
        <f>IF(A33="","",IF(ISNUMBER('IMPORT PROFIXIO'!E33),'IMPORT PROFIXIO'!E33,(VALUE(LEFT('IMPORT PROFIXIO'!E33,FIND(":",'IMPORT PROFIXIO'!E33)-1))*60+VALUE(MID('IMPORT PROFIXIO'!E33,FIND(":",'IMPORT PROFIXIO'!E33)+1,2)))/1440))</f>
        <v>0.5625</v>
      </c>
      <c r="D33" s="31" t="str">
        <f>IF(A33="","",'IMPORT PROFIXIO'!F33)</f>
        <v>Råsta Park</v>
      </c>
      <c r="E33" s="31" t="str">
        <f>IF(A33="","",'IMPORT PROFIXIO'!K33)</f>
        <v>Damer - Dam 4 Öst - Dam 4 Öst Norra</v>
      </c>
      <c r="F33" s="34" t="str">
        <f>IF(A33="","",IFERROR(VLOOKUP(E33,KLASSNING!$A$5:$F$74,2,FALSE()),"SAKNAS"))</f>
        <v>Dam</v>
      </c>
      <c r="G33" s="34" t="str">
        <f>IF(A33="","",IFERROR(VLOOKUP(E33,KLASSNING!$A$5:$F$74,3,FALSE()),"SAKNAS"))</f>
        <v>Seriespel</v>
      </c>
      <c r="H33" s="34" t="str">
        <f>IF(A33="","",'IMPORT PROFIXIO'!H33)</f>
        <v>AIK 2</v>
      </c>
      <c r="I33" s="34" t="str">
        <f>IF(A33="","",'IMPORT PROFIXIO'!I33)</f>
        <v>HK Ceres Norrtälje</v>
      </c>
      <c r="J33" s="34" t="str">
        <f t="shared" si="0"/>
        <v>Dam 2</v>
      </c>
      <c r="K33" s="34" t="str">
        <f t="shared" si="1"/>
        <v>Ja</v>
      </c>
      <c r="L33" s="34">
        <f>IF(A33="","",IFERROR(VLOOKUP(E33,KLASSNING!$A$5:$F$74,5,FALSE()),0))</f>
        <v>70</v>
      </c>
      <c r="M33" s="35">
        <f t="shared" si="2"/>
        <v>0.61111111111111116</v>
      </c>
      <c r="N33" s="34" t="str">
        <f>IF(A33="","",IF(K33&lt;&gt;"Ja","Ej aktuell",IF(L33&lt;=0,"KONTROLLERA MATCHTID",IF(AND(COUNTIFS(BEMANNINGSPLAN!$A$5:$A$546,B33,BEMANNINGSPLAN!$C$5:$C$546,D33,BEMANNINGSPLAN!$D$5:$D$546,"&lt;="&amp;C33,BEMANNINGSPLAN!$E$5:$E$546,"&gt;"&amp;C33)&gt;0,COUNTIFS(BEMANNINGSPLAN!$A$5:$A$546,B33,BEMANNINGSPLAN!$C$5:$C$546,D33,BEMANNINGSPLAN!$D$5:$D$546,"&lt;"&amp;M33,BEMANNINGSPLAN!$E$5:$E$546,"&gt;="&amp;M33)&gt;0),"Ja","SAKNAS TIDSRADER"))))</f>
        <v>Ja</v>
      </c>
      <c r="O33" s="137">
        <f>IF(OR(B33="",K33&lt;&gt;"Ja"),"",COUNTIFS($B$5:B33,B33,$K$5:K33,"Ja"))</f>
        <v>2</v>
      </c>
      <c r="P33" s="137" t="str">
        <f t="shared" si="3"/>
        <v>yyyy-00-17|2</v>
      </c>
    </row>
    <row r="34" spans="1:16" ht="13">
      <c r="A34" s="31" t="str">
        <f>IF('IMPORT PROFIXIO'!A34="","",'IMPORT PROFIXIO'!A34)</f>
        <v>26 6 16101 13</v>
      </c>
      <c r="B34" s="32">
        <f>IF(A34="","",IF(ISNUMBER('IMPORT PROFIXIO'!D34),'IMPORT PROFIXIO'!D34,DATEVALUE('IMPORT PROFIXIO'!D34)))</f>
        <v>46312</v>
      </c>
      <c r="C34" s="33">
        <f>IF(A34="","",IF(ISNUMBER('IMPORT PROFIXIO'!E34),'IMPORT PROFIXIO'!E34,(VALUE(LEFT('IMPORT PROFIXIO'!E34,FIND(":",'IMPORT PROFIXIO'!E34)-1))*60+VALUE(MID('IMPORT PROFIXIO'!E34,FIND(":",'IMPORT PROFIXIO'!E34)+1,2)))/1440))</f>
        <v>0.375</v>
      </c>
      <c r="D34" s="31" t="str">
        <f>IF(A34="","",'IMPORT PROFIXIO'!F34)</f>
        <v>Tallbackaskolan</v>
      </c>
      <c r="E34" s="31" t="str">
        <f>IF(A34="","",'IMPORT PROFIXIO'!K34)</f>
        <v>Höstens Spel - P10 Kortplan Öst - Omgång 1</v>
      </c>
      <c r="F34" s="34" t="str">
        <f>IF(A34="","",IFERROR(VLOOKUP(E34,KLASSNING!$A$5:$F$74,2,FALSE()),"SAKNAS"))</f>
        <v>P10</v>
      </c>
      <c r="G34" s="34" t="str">
        <f>IF(A34="","",IFERROR(VLOOKUP(E34,KLASSNING!$A$5:$F$74,3,FALSE()),"SAKNAS"))</f>
        <v>Kortplan/miniplan</v>
      </c>
      <c r="H34" s="34" t="str">
        <f>IF(A34="","",'IMPORT PROFIXIO'!H34)</f>
        <v>HK Cliff Blå</v>
      </c>
      <c r="I34" s="34" t="str">
        <f>IF(A34="","",'IMPORT PROFIXIO'!I34)</f>
        <v>Spånga HK 1</v>
      </c>
      <c r="J34" s="34" t="str">
        <f t="shared" si="0"/>
        <v/>
      </c>
      <c r="K34" s="34" t="str">
        <f t="shared" si="1"/>
        <v>Ja</v>
      </c>
      <c r="L34" s="34">
        <f>IF(A34="","",IFERROR(VLOOKUP(E34,KLASSNING!$A$5:$F$74,5,FALSE()),0))</f>
        <v>20</v>
      </c>
      <c r="M34" s="35">
        <f t="shared" si="2"/>
        <v>0.3888888888888889</v>
      </c>
      <c r="N34" s="34" t="str">
        <f>IF(A34="","",IF(K34&lt;&gt;"Ja","Ej aktuell",IF(L34&lt;=0,"KONTROLLERA MATCHTID",IF(AND(COUNTIFS(BEMANNINGSPLAN!$A$5:$A$546,B34,BEMANNINGSPLAN!$C$5:$C$546,D34,BEMANNINGSPLAN!$D$5:$D$546,"&lt;="&amp;C34,BEMANNINGSPLAN!$E$5:$E$546,"&gt;"&amp;C34)&gt;0,COUNTIFS(BEMANNINGSPLAN!$A$5:$A$546,B34,BEMANNINGSPLAN!$C$5:$C$546,D34,BEMANNINGSPLAN!$D$5:$D$546,"&lt;"&amp;M34,BEMANNINGSPLAN!$E$5:$E$546,"&gt;="&amp;M34)&gt;0),"Ja","SAKNAS TIDSRADER"))))</f>
        <v>Ja</v>
      </c>
      <c r="O34" s="137">
        <f>IF(OR(B34="",K34&lt;&gt;"Ja"),"",COUNTIFS($B$5:B34,B34,$K$5:K34,"Ja"))</f>
        <v>3</v>
      </c>
      <c r="P34" s="137" t="str">
        <f t="shared" si="3"/>
        <v>yyyy-00-17|3</v>
      </c>
    </row>
    <row r="35" spans="1:16" ht="13">
      <c r="A35" s="31" t="str">
        <f>IF('IMPORT PROFIXIO'!A35="","",'IMPORT PROFIXIO'!A35)</f>
        <v>26 6 16101 14</v>
      </c>
      <c r="B35" s="32">
        <f>IF(A35="","",IF(ISNUMBER('IMPORT PROFIXIO'!D35),'IMPORT PROFIXIO'!D35,DATEVALUE('IMPORT PROFIXIO'!D35)))</f>
        <v>46312</v>
      </c>
      <c r="C35" s="33">
        <f>IF(A35="","",IF(ISNUMBER('IMPORT PROFIXIO'!E35),'IMPORT PROFIXIO'!E35,(VALUE(LEFT('IMPORT PROFIXIO'!E35,FIND(":",'IMPORT PROFIXIO'!E35)-1))*60+VALUE(MID('IMPORT PROFIXIO'!E35,FIND(":",'IMPORT PROFIXIO'!E35)+1,2)))/1440))</f>
        <v>0.40625</v>
      </c>
      <c r="D35" s="31" t="str">
        <f>IF(A35="","",'IMPORT PROFIXIO'!F35)</f>
        <v>Tallbackaskolan</v>
      </c>
      <c r="E35" s="31" t="str">
        <f>IF(A35="","",'IMPORT PROFIXIO'!K35)</f>
        <v>Höstens Spel - P10 Kortplan Öst - Omgång 1</v>
      </c>
      <c r="F35" s="34" t="str">
        <f>IF(A35="","",IFERROR(VLOOKUP(E35,KLASSNING!$A$5:$F$74,2,FALSE()),"SAKNAS"))</f>
        <v>P10</v>
      </c>
      <c r="G35" s="34" t="str">
        <f>IF(A35="","",IFERROR(VLOOKUP(E35,KLASSNING!$A$5:$F$74,3,FALSE()),"SAKNAS"))</f>
        <v>Kortplan/miniplan</v>
      </c>
      <c r="H35" s="34" t="str">
        <f>IF(A35="","",'IMPORT PROFIXIO'!H35)</f>
        <v>HK Cliff Gul</v>
      </c>
      <c r="I35" s="34" t="str">
        <f>IF(A35="","",'IMPORT PROFIXIO'!I35)</f>
        <v>Spånga HK 2</v>
      </c>
      <c r="J35" s="34" t="str">
        <f t="shared" si="0"/>
        <v/>
      </c>
      <c r="K35" s="34" t="str">
        <f t="shared" si="1"/>
        <v>Ja</v>
      </c>
      <c r="L35" s="34">
        <f>IF(A35="","",IFERROR(VLOOKUP(E35,KLASSNING!$A$5:$F$74,5,FALSE()),0))</f>
        <v>20</v>
      </c>
      <c r="M35" s="35">
        <f t="shared" si="2"/>
        <v>0.4201388888888889</v>
      </c>
      <c r="N35" s="34" t="str">
        <f>IF(A35="","",IF(K35&lt;&gt;"Ja","Ej aktuell",IF(L35&lt;=0,"KONTROLLERA MATCHTID",IF(AND(COUNTIFS(BEMANNINGSPLAN!$A$5:$A$546,B35,BEMANNINGSPLAN!$C$5:$C$546,D35,BEMANNINGSPLAN!$D$5:$D$546,"&lt;="&amp;C35,BEMANNINGSPLAN!$E$5:$E$546,"&gt;"&amp;C35)&gt;0,COUNTIFS(BEMANNINGSPLAN!$A$5:$A$546,B35,BEMANNINGSPLAN!$C$5:$C$546,D35,BEMANNINGSPLAN!$D$5:$D$546,"&lt;"&amp;M35,BEMANNINGSPLAN!$E$5:$E$546,"&gt;="&amp;M35)&gt;0),"Ja","SAKNAS TIDSRADER"))))</f>
        <v>Ja</v>
      </c>
      <c r="O35" s="137">
        <f>IF(OR(B35="",K35&lt;&gt;"Ja"),"",COUNTIFS($B$5:B35,B35,$K$5:K35,"Ja"))</f>
        <v>4</v>
      </c>
      <c r="P35" s="137" t="str">
        <f t="shared" si="3"/>
        <v>yyyy-00-17|4</v>
      </c>
    </row>
    <row r="36" spans="1:16" ht="13">
      <c r="A36" s="31" t="str">
        <f>IF('IMPORT PROFIXIO'!A36="","",'IMPORT PROFIXIO'!A36)</f>
        <v>26 6 16101 15</v>
      </c>
      <c r="B36" s="32">
        <f>IF(A36="","",IF(ISNUMBER('IMPORT PROFIXIO'!D36),'IMPORT PROFIXIO'!D36,DATEVALUE('IMPORT PROFIXIO'!D36)))</f>
        <v>46312</v>
      </c>
      <c r="C36" s="33">
        <f>IF(A36="","",IF(ISNUMBER('IMPORT PROFIXIO'!E36),'IMPORT PROFIXIO'!E36,(VALUE(LEFT('IMPORT PROFIXIO'!E36,FIND(":",'IMPORT PROFIXIO'!E36)-1))*60+VALUE(MID('IMPORT PROFIXIO'!E36,FIND(":",'IMPORT PROFIXIO'!E36)+1,2)))/1440))</f>
        <v>0.4375</v>
      </c>
      <c r="D36" s="31" t="str">
        <f>IF(A36="","",'IMPORT PROFIXIO'!F36)</f>
        <v>Tallbackaskolan</v>
      </c>
      <c r="E36" s="31" t="str">
        <f>IF(A36="","",'IMPORT PROFIXIO'!K36)</f>
        <v>Höstens Spel - P10 Kortplan Öst - Omgång 1</v>
      </c>
      <c r="F36" s="34" t="str">
        <f>IF(A36="","",IFERROR(VLOOKUP(E36,KLASSNING!$A$5:$F$74,2,FALSE()),"SAKNAS"))</f>
        <v>P10</v>
      </c>
      <c r="G36" s="34" t="str">
        <f>IF(A36="","",IFERROR(VLOOKUP(E36,KLASSNING!$A$5:$F$74,3,FALSE()),"SAKNAS"))</f>
        <v>Kortplan/miniplan</v>
      </c>
      <c r="H36" s="34" t="str">
        <f>IF(A36="","",'IMPORT PROFIXIO'!H36)</f>
        <v>AIK</v>
      </c>
      <c r="I36" s="34" t="str">
        <f>IF(A36="","",'IMPORT PROFIXIO'!I36)</f>
        <v>Spånga HK 1</v>
      </c>
      <c r="J36" s="34" t="str">
        <f t="shared" si="0"/>
        <v>P10</v>
      </c>
      <c r="K36" s="34" t="str">
        <f t="shared" si="1"/>
        <v>Ja</v>
      </c>
      <c r="L36" s="34">
        <f>IF(A36="","",IFERROR(VLOOKUP(E36,KLASSNING!$A$5:$F$74,5,FALSE()),0))</f>
        <v>20</v>
      </c>
      <c r="M36" s="35">
        <f t="shared" si="2"/>
        <v>0.4513888888888889</v>
      </c>
      <c r="N36" s="34" t="str">
        <f>IF(A36="","",IF(K36&lt;&gt;"Ja","Ej aktuell",IF(L36&lt;=0,"KONTROLLERA MATCHTID",IF(AND(COUNTIFS(BEMANNINGSPLAN!$A$5:$A$546,B36,BEMANNINGSPLAN!$C$5:$C$546,D36,BEMANNINGSPLAN!$D$5:$D$546,"&lt;="&amp;C36,BEMANNINGSPLAN!$E$5:$E$546,"&gt;"&amp;C36)&gt;0,COUNTIFS(BEMANNINGSPLAN!$A$5:$A$546,B36,BEMANNINGSPLAN!$C$5:$C$546,D36,BEMANNINGSPLAN!$D$5:$D$546,"&lt;"&amp;M36,BEMANNINGSPLAN!$E$5:$E$546,"&gt;="&amp;M36)&gt;0),"Ja","SAKNAS TIDSRADER"))))</f>
        <v>Ja</v>
      </c>
      <c r="O36" s="137">
        <f>IF(OR(B36="",K36&lt;&gt;"Ja"),"",COUNTIFS($B$5:B36,B36,$K$5:K36,"Ja"))</f>
        <v>5</v>
      </c>
      <c r="P36" s="137" t="str">
        <f t="shared" si="3"/>
        <v>yyyy-00-17|5</v>
      </c>
    </row>
    <row r="37" spans="1:16" ht="13">
      <c r="A37" s="31" t="str">
        <f>IF('IMPORT PROFIXIO'!A37="","",'IMPORT PROFIXIO'!A37)</f>
        <v>26 6 16101 16</v>
      </c>
      <c r="B37" s="32">
        <f>IF(A37="","",IF(ISNUMBER('IMPORT PROFIXIO'!D37),'IMPORT PROFIXIO'!D37,DATEVALUE('IMPORT PROFIXIO'!D37)))</f>
        <v>46312</v>
      </c>
      <c r="C37" s="33">
        <f>IF(A37="","",IF(ISNUMBER('IMPORT PROFIXIO'!E37),'IMPORT PROFIXIO'!E37,(VALUE(LEFT('IMPORT PROFIXIO'!E37,FIND(":",'IMPORT PROFIXIO'!E37)-1))*60+VALUE(MID('IMPORT PROFIXIO'!E37,FIND(":",'IMPORT PROFIXIO'!E37)+1,2)))/1440))</f>
        <v>0.46875</v>
      </c>
      <c r="D37" s="31" t="str">
        <f>IF(A37="","",'IMPORT PROFIXIO'!F37)</f>
        <v>Tallbackaskolan</v>
      </c>
      <c r="E37" s="31" t="str">
        <f>IF(A37="","",'IMPORT PROFIXIO'!K37)</f>
        <v>Höstens Spel - P10 Kortplan Öst - Omgång 1</v>
      </c>
      <c r="F37" s="34" t="str">
        <f>IF(A37="","",IFERROR(VLOOKUP(E37,KLASSNING!$A$5:$F$74,2,FALSE()),"SAKNAS"))</f>
        <v>P10</v>
      </c>
      <c r="G37" s="34" t="str">
        <f>IF(A37="","",IFERROR(VLOOKUP(E37,KLASSNING!$A$5:$F$74,3,FALSE()),"SAKNAS"))</f>
        <v>Kortplan/miniplan</v>
      </c>
      <c r="H37" s="34" t="str">
        <f>IF(A37="","",'IMPORT PROFIXIO'!H37)</f>
        <v>HK Cliff Blå</v>
      </c>
      <c r="I37" s="34" t="str">
        <f>IF(A37="","",'IMPORT PROFIXIO'!I37)</f>
        <v>Spånga HK 2</v>
      </c>
      <c r="J37" s="34" t="str">
        <f t="shared" si="0"/>
        <v/>
      </c>
      <c r="K37" s="34" t="str">
        <f t="shared" si="1"/>
        <v>Ja</v>
      </c>
      <c r="L37" s="34">
        <f>IF(A37="","",IFERROR(VLOOKUP(E37,KLASSNING!$A$5:$F$74,5,FALSE()),0))</f>
        <v>20</v>
      </c>
      <c r="M37" s="35">
        <f t="shared" si="2"/>
        <v>0.4826388888888889</v>
      </c>
      <c r="N37" s="34" t="str">
        <f>IF(A37="","",IF(K37&lt;&gt;"Ja","Ej aktuell",IF(L37&lt;=0,"KONTROLLERA MATCHTID",IF(AND(COUNTIFS(BEMANNINGSPLAN!$A$5:$A$546,B37,BEMANNINGSPLAN!$C$5:$C$546,D37,BEMANNINGSPLAN!$D$5:$D$546,"&lt;="&amp;C37,BEMANNINGSPLAN!$E$5:$E$546,"&gt;"&amp;C37)&gt;0,COUNTIFS(BEMANNINGSPLAN!$A$5:$A$546,B37,BEMANNINGSPLAN!$C$5:$C$546,D37,BEMANNINGSPLAN!$D$5:$D$546,"&lt;"&amp;M37,BEMANNINGSPLAN!$E$5:$E$546,"&gt;="&amp;M37)&gt;0),"Ja","SAKNAS TIDSRADER"))))</f>
        <v>Ja</v>
      </c>
      <c r="O37" s="137">
        <f>IF(OR(B37="",K37&lt;&gt;"Ja"),"",COUNTIFS($B$5:B37,B37,$K$5:K37,"Ja"))</f>
        <v>6</v>
      </c>
      <c r="P37" s="137" t="str">
        <f t="shared" si="3"/>
        <v>yyyy-00-17|6</v>
      </c>
    </row>
    <row r="38" spans="1:16" ht="13">
      <c r="A38" s="31" t="str">
        <f>IF('IMPORT PROFIXIO'!A38="","",'IMPORT PROFIXIO'!A38)</f>
        <v>26 6 16101 17</v>
      </c>
      <c r="B38" s="32">
        <f>IF(A38="","",IF(ISNUMBER('IMPORT PROFIXIO'!D38),'IMPORT PROFIXIO'!D38,DATEVALUE('IMPORT PROFIXIO'!D38)))</f>
        <v>46312</v>
      </c>
      <c r="C38" s="33">
        <f>IF(A38="","",IF(ISNUMBER('IMPORT PROFIXIO'!E38),'IMPORT PROFIXIO'!E38,(VALUE(LEFT('IMPORT PROFIXIO'!E38,FIND(":",'IMPORT PROFIXIO'!E38)-1))*60+VALUE(MID('IMPORT PROFIXIO'!E38,FIND(":",'IMPORT PROFIXIO'!E38)+1,2)))/1440))</f>
        <v>0.5</v>
      </c>
      <c r="D38" s="31" t="str">
        <f>IF(A38="","",'IMPORT PROFIXIO'!F38)</f>
        <v>Tallbackaskolan</v>
      </c>
      <c r="E38" s="31" t="str">
        <f>IF(A38="","",'IMPORT PROFIXIO'!K38)</f>
        <v>Höstens Spel - P10 Kortplan Öst - Omgång 1</v>
      </c>
      <c r="F38" s="34" t="str">
        <f>IF(A38="","",IFERROR(VLOOKUP(E38,KLASSNING!$A$5:$F$74,2,FALSE()),"SAKNAS"))</f>
        <v>P10</v>
      </c>
      <c r="G38" s="34" t="str">
        <f>IF(A38="","",IFERROR(VLOOKUP(E38,KLASSNING!$A$5:$F$74,3,FALSE()),"SAKNAS"))</f>
        <v>Kortplan/miniplan</v>
      </c>
      <c r="H38" s="34" t="str">
        <f>IF(A38="","",'IMPORT PROFIXIO'!H38)</f>
        <v>HK Cliff Gul</v>
      </c>
      <c r="I38" s="34" t="str">
        <f>IF(A38="","",'IMPORT PROFIXIO'!I38)</f>
        <v>AIK</v>
      </c>
      <c r="J38" s="34" t="str">
        <f t="shared" si="0"/>
        <v>P10</v>
      </c>
      <c r="K38" s="34" t="str">
        <f t="shared" si="1"/>
        <v>Ja</v>
      </c>
      <c r="L38" s="34">
        <f>IF(A38="","",IFERROR(VLOOKUP(E38,KLASSNING!$A$5:$F$74,5,FALSE()),0))</f>
        <v>20</v>
      </c>
      <c r="M38" s="35">
        <f t="shared" si="2"/>
        <v>0.51388888888888884</v>
      </c>
      <c r="N38" s="34" t="str">
        <f>IF(A38="","",IF(K38&lt;&gt;"Ja","Ej aktuell",IF(L38&lt;=0,"KONTROLLERA MATCHTID",IF(AND(COUNTIFS(BEMANNINGSPLAN!$A$5:$A$546,B38,BEMANNINGSPLAN!$C$5:$C$546,D38,BEMANNINGSPLAN!$D$5:$D$546,"&lt;="&amp;C38,BEMANNINGSPLAN!$E$5:$E$546,"&gt;"&amp;C38)&gt;0,COUNTIFS(BEMANNINGSPLAN!$A$5:$A$546,B38,BEMANNINGSPLAN!$C$5:$C$546,D38,BEMANNINGSPLAN!$D$5:$D$546,"&lt;"&amp;M38,BEMANNINGSPLAN!$E$5:$E$546,"&gt;="&amp;M38)&gt;0),"Ja","SAKNAS TIDSRADER"))))</f>
        <v>Ja</v>
      </c>
      <c r="O38" s="137">
        <f>IF(OR(B38="",K38&lt;&gt;"Ja"),"",COUNTIFS($B$5:B38,B38,$K$5:K38,"Ja"))</f>
        <v>7</v>
      </c>
      <c r="P38" s="137" t="str">
        <f t="shared" si="3"/>
        <v>yyyy-00-17|7</v>
      </c>
    </row>
    <row r="39" spans="1:16" ht="13">
      <c r="A39" s="31" t="str">
        <f>IF('IMPORT PROFIXIO'!A39="","",'IMPORT PROFIXIO'!A39)</f>
        <v>26 6 6415 002</v>
      </c>
      <c r="B39" s="32">
        <f>IF(A39="","",IF(ISNUMBER('IMPORT PROFIXIO'!D39),'IMPORT PROFIXIO'!D39,DATEVALUE('IMPORT PROFIXIO'!D39)))</f>
        <v>46312</v>
      </c>
      <c r="C39" s="33">
        <f>IF(A39="","",IF(ISNUMBER('IMPORT PROFIXIO'!E39),'IMPORT PROFIXIO'!E39,(VALUE(LEFT('IMPORT PROFIXIO'!E39,FIND(":",'IMPORT PROFIXIO'!E39)-1))*60+VALUE(MID('IMPORT PROFIXIO'!E39,FIND(":",'IMPORT PROFIXIO'!E39)+1,2)))/1440))</f>
        <v>0.375</v>
      </c>
      <c r="D39" s="31" t="str">
        <f>IF(A39="","",'IMPORT PROFIXIO'!F39)</f>
        <v>Ulriksdalshallen</v>
      </c>
      <c r="E39" s="31" t="str">
        <f>IF(A39="","",'IMPORT PROFIXIO'!K39)</f>
        <v>Östbollen - F12 Öst - Omgång 1</v>
      </c>
      <c r="F39" s="34" t="str">
        <f>IF(A39="","",IFERROR(VLOOKUP(E39,KLASSNING!$A$5:$F$74,2,FALSE()),"SAKNAS"))</f>
        <v>F12</v>
      </c>
      <c r="G39" s="34" t="str">
        <f>IF(A39="","",IFERROR(VLOOKUP(E39,KLASSNING!$A$5:$F$74,3,FALSE()),"SAKNAS"))</f>
        <v>Östbollen</v>
      </c>
      <c r="H39" s="34" t="str">
        <f>IF(A39="","",'IMPORT PROFIXIO'!H39)</f>
        <v>AIK</v>
      </c>
      <c r="I39" s="34" t="str">
        <f>IF(A39="","",'IMPORT PROFIXIO'!I39)</f>
        <v>Täby HBK</v>
      </c>
      <c r="J39" s="34" t="str">
        <f t="shared" si="0"/>
        <v>F12</v>
      </c>
      <c r="K39" s="34" t="str">
        <f t="shared" si="1"/>
        <v>Ja</v>
      </c>
      <c r="L39" s="34">
        <f>IF(A39="","",IFERROR(VLOOKUP(E39,KLASSNING!$A$5:$F$74,5,FALSE()),0))</f>
        <v>35</v>
      </c>
      <c r="M39" s="35">
        <f t="shared" si="2"/>
        <v>0.39930555555555558</v>
      </c>
      <c r="N39" s="34" t="str">
        <f>IF(A39="","",IF(K39&lt;&gt;"Ja","Ej aktuell",IF(L39&lt;=0,"KONTROLLERA MATCHTID",IF(AND(COUNTIFS(BEMANNINGSPLAN!$A$5:$A$546,B39,BEMANNINGSPLAN!$C$5:$C$546,D39,BEMANNINGSPLAN!$D$5:$D$546,"&lt;="&amp;C39,BEMANNINGSPLAN!$E$5:$E$546,"&gt;"&amp;C39)&gt;0,COUNTIFS(BEMANNINGSPLAN!$A$5:$A$546,B39,BEMANNINGSPLAN!$C$5:$C$546,D39,BEMANNINGSPLAN!$D$5:$D$546,"&lt;"&amp;M39,BEMANNINGSPLAN!$E$5:$E$546,"&gt;="&amp;M39)&gt;0),"Ja","SAKNAS TIDSRADER"))))</f>
        <v>Ja</v>
      </c>
      <c r="O39" s="137">
        <f>IF(OR(B39="",K39&lt;&gt;"Ja"),"",COUNTIFS($B$5:B39,B39,$K$5:K39,"Ja"))</f>
        <v>8</v>
      </c>
      <c r="P39" s="137" t="str">
        <f t="shared" si="3"/>
        <v>yyyy-00-17|8</v>
      </c>
    </row>
    <row r="40" spans="1:16" ht="13">
      <c r="A40" s="31" t="str">
        <f>IF('IMPORT PROFIXIO'!A40="","",'IMPORT PROFIXIO'!A40)</f>
        <v>26 6 6415 001</v>
      </c>
      <c r="B40" s="32">
        <f>IF(A40="","",IF(ISNUMBER('IMPORT PROFIXIO'!D40),'IMPORT PROFIXIO'!D40,DATEVALUE('IMPORT PROFIXIO'!D40)))</f>
        <v>46312</v>
      </c>
      <c r="C40" s="33">
        <f>IF(A40="","",IF(ISNUMBER('IMPORT PROFIXIO'!E40),'IMPORT PROFIXIO'!E40,(VALUE(LEFT('IMPORT PROFIXIO'!E40,FIND(":",'IMPORT PROFIXIO'!E40)-1))*60+VALUE(MID('IMPORT PROFIXIO'!E40,FIND(":",'IMPORT PROFIXIO'!E40)+1,2)))/1440))</f>
        <v>0.40625</v>
      </c>
      <c r="D40" s="31" t="str">
        <f>IF(A40="","",'IMPORT PROFIXIO'!F40)</f>
        <v>Ulriksdalshallen</v>
      </c>
      <c r="E40" s="31" t="str">
        <f>IF(A40="","",'IMPORT PROFIXIO'!K40)</f>
        <v>Östbollen - F12 Öst - Omgång 1</v>
      </c>
      <c r="F40" s="34" t="str">
        <f>IF(A40="","",IFERROR(VLOOKUP(E40,KLASSNING!$A$5:$F$74,2,FALSE()),"SAKNAS"))</f>
        <v>F12</v>
      </c>
      <c r="G40" s="34" t="str">
        <f>IF(A40="","",IFERROR(VLOOKUP(E40,KLASSNING!$A$5:$F$74,3,FALSE()),"SAKNAS"))</f>
        <v>Östbollen</v>
      </c>
      <c r="H40" s="34" t="str">
        <f>IF(A40="","",'IMPORT PROFIXIO'!H40)</f>
        <v>Sollentuna HK</v>
      </c>
      <c r="I40" s="34" t="str">
        <f>IF(A40="","",'IMPORT PROFIXIO'!I40)</f>
        <v>Bålsta IF</v>
      </c>
      <c r="J40" s="34" t="str">
        <f t="shared" si="0"/>
        <v/>
      </c>
      <c r="K40" s="34" t="str">
        <f t="shared" si="1"/>
        <v>Ja</v>
      </c>
      <c r="L40" s="34">
        <f>IF(A40="","",IFERROR(VLOOKUP(E40,KLASSNING!$A$5:$F$74,5,FALSE()),0))</f>
        <v>35</v>
      </c>
      <c r="M40" s="35">
        <f t="shared" si="2"/>
        <v>0.43055555555555558</v>
      </c>
      <c r="N40" s="34" t="str">
        <f>IF(A40="","",IF(K40&lt;&gt;"Ja","Ej aktuell",IF(L40&lt;=0,"KONTROLLERA MATCHTID",IF(AND(COUNTIFS(BEMANNINGSPLAN!$A$5:$A$546,B40,BEMANNINGSPLAN!$C$5:$C$546,D40,BEMANNINGSPLAN!$D$5:$D$546,"&lt;="&amp;C40,BEMANNINGSPLAN!$E$5:$E$546,"&gt;"&amp;C40)&gt;0,COUNTIFS(BEMANNINGSPLAN!$A$5:$A$546,B40,BEMANNINGSPLAN!$C$5:$C$546,D40,BEMANNINGSPLAN!$D$5:$D$546,"&lt;"&amp;M40,BEMANNINGSPLAN!$E$5:$E$546,"&gt;="&amp;M40)&gt;0),"Ja","SAKNAS TIDSRADER"))))</f>
        <v>Ja</v>
      </c>
      <c r="O40" s="137">
        <f>IF(OR(B40="",K40&lt;&gt;"Ja"),"",COUNTIFS($B$5:B40,B40,$K$5:K40,"Ja"))</f>
        <v>9</v>
      </c>
      <c r="P40" s="137" t="str">
        <f t="shared" si="3"/>
        <v>yyyy-00-17|9</v>
      </c>
    </row>
    <row r="41" spans="1:16" ht="13">
      <c r="A41" s="31" t="str">
        <f>IF('IMPORT PROFIXIO'!A41="","",'IMPORT PROFIXIO'!A41)</f>
        <v>26 6 6415 003</v>
      </c>
      <c r="B41" s="32">
        <f>IF(A41="","",IF(ISNUMBER('IMPORT PROFIXIO'!D41),'IMPORT PROFIXIO'!D41,DATEVALUE('IMPORT PROFIXIO'!D41)))</f>
        <v>46312</v>
      </c>
      <c r="C41" s="33">
        <f>IF(A41="","",IF(ISNUMBER('IMPORT PROFIXIO'!E41),'IMPORT PROFIXIO'!E41,(VALUE(LEFT('IMPORT PROFIXIO'!E41,FIND(":",'IMPORT PROFIXIO'!E41)-1))*60+VALUE(MID('IMPORT PROFIXIO'!E41,FIND(":",'IMPORT PROFIXIO'!E41)+1,2)))/1440))</f>
        <v>0.45833333333333331</v>
      </c>
      <c r="D41" s="31" t="str">
        <f>IF(A41="","",'IMPORT PROFIXIO'!F41)</f>
        <v>Ulriksdalshallen</v>
      </c>
      <c r="E41" s="31" t="str">
        <f>IF(A41="","",'IMPORT PROFIXIO'!K41)</f>
        <v>Östbollen - F12 Öst - Omgång 1</v>
      </c>
      <c r="F41" s="34" t="str">
        <f>IF(A41="","",IFERROR(VLOOKUP(E41,KLASSNING!$A$5:$F$74,2,FALSE()),"SAKNAS"))</f>
        <v>F12</v>
      </c>
      <c r="G41" s="34" t="str">
        <f>IF(A41="","",IFERROR(VLOOKUP(E41,KLASSNING!$A$5:$F$74,3,FALSE()),"SAKNAS"))</f>
        <v>Östbollen</v>
      </c>
      <c r="H41" s="34" t="str">
        <f>IF(A41="","",'IMPORT PROFIXIO'!H41)</f>
        <v>AIK</v>
      </c>
      <c r="I41" s="34" t="str">
        <f>IF(A41="","",'IMPORT PROFIXIO'!I41)</f>
        <v>Sollentuna HK</v>
      </c>
      <c r="J41" s="34" t="str">
        <f t="shared" si="0"/>
        <v>F12</v>
      </c>
      <c r="K41" s="34" t="str">
        <f t="shared" si="1"/>
        <v>Ja</v>
      </c>
      <c r="L41" s="34">
        <f>IF(A41="","",IFERROR(VLOOKUP(E41,KLASSNING!$A$5:$F$74,5,FALSE()),0))</f>
        <v>35</v>
      </c>
      <c r="M41" s="35">
        <f t="shared" si="2"/>
        <v>0.4826388888888889</v>
      </c>
      <c r="N41" s="34" t="str">
        <f>IF(A41="","",IF(K41&lt;&gt;"Ja","Ej aktuell",IF(L41&lt;=0,"KONTROLLERA MATCHTID",IF(AND(COUNTIFS(BEMANNINGSPLAN!$A$5:$A$546,B41,BEMANNINGSPLAN!$C$5:$C$546,D41,BEMANNINGSPLAN!$D$5:$D$546,"&lt;="&amp;C41,BEMANNINGSPLAN!$E$5:$E$546,"&gt;"&amp;C41)&gt;0,COUNTIFS(BEMANNINGSPLAN!$A$5:$A$546,B41,BEMANNINGSPLAN!$C$5:$C$546,D41,BEMANNINGSPLAN!$D$5:$D$546,"&lt;"&amp;M41,BEMANNINGSPLAN!$E$5:$E$546,"&gt;="&amp;M41)&gt;0),"Ja","SAKNAS TIDSRADER"))))</f>
        <v>Ja</v>
      </c>
      <c r="O41" s="137">
        <f>IF(OR(B41="",K41&lt;&gt;"Ja"),"",COUNTIFS($B$5:B41,B41,$K$5:K41,"Ja"))</f>
        <v>10</v>
      </c>
      <c r="P41" s="137" t="str">
        <f t="shared" si="3"/>
        <v>yyyy-00-17|10</v>
      </c>
    </row>
    <row r="42" spans="1:16" ht="13">
      <c r="A42" s="31" t="str">
        <f>IF('IMPORT PROFIXIO'!A42="","",'IMPORT PROFIXIO'!A42)</f>
        <v>26 6 6415 004</v>
      </c>
      <c r="B42" s="32">
        <f>IF(A42="","",IF(ISNUMBER('IMPORT PROFIXIO'!D42),'IMPORT PROFIXIO'!D42,DATEVALUE('IMPORT PROFIXIO'!D42)))</f>
        <v>46312</v>
      </c>
      <c r="C42" s="33">
        <f>IF(A42="","",IF(ISNUMBER('IMPORT PROFIXIO'!E42),'IMPORT PROFIXIO'!E42,(VALUE(LEFT('IMPORT PROFIXIO'!E42,FIND(":",'IMPORT PROFIXIO'!E42)-1))*60+VALUE(MID('IMPORT PROFIXIO'!E42,FIND(":",'IMPORT PROFIXIO'!E42)+1,2)))/1440))</f>
        <v>0.48958333333333331</v>
      </c>
      <c r="D42" s="31" t="str">
        <f>IF(A42="","",'IMPORT PROFIXIO'!F42)</f>
        <v>Ulriksdalshallen</v>
      </c>
      <c r="E42" s="31" t="str">
        <f>IF(A42="","",'IMPORT PROFIXIO'!K42)</f>
        <v>Östbollen - F12 Öst - Omgång 1</v>
      </c>
      <c r="F42" s="34" t="str">
        <f>IF(A42="","",IFERROR(VLOOKUP(E42,KLASSNING!$A$5:$F$74,2,FALSE()),"SAKNAS"))</f>
        <v>F12</v>
      </c>
      <c r="G42" s="34" t="str">
        <f>IF(A42="","",IFERROR(VLOOKUP(E42,KLASSNING!$A$5:$F$74,3,FALSE()),"SAKNAS"))</f>
        <v>Östbollen</v>
      </c>
      <c r="H42" s="34" t="str">
        <f>IF(A42="","",'IMPORT PROFIXIO'!H42)</f>
        <v>Täby HBK</v>
      </c>
      <c r="I42" s="34" t="str">
        <f>IF(A42="","",'IMPORT PROFIXIO'!I42)</f>
        <v>Bålsta IF</v>
      </c>
      <c r="J42" s="34" t="str">
        <f t="shared" si="0"/>
        <v/>
      </c>
      <c r="K42" s="34" t="str">
        <f t="shared" si="1"/>
        <v>Ja</v>
      </c>
      <c r="L42" s="34">
        <f>IF(A42="","",IFERROR(VLOOKUP(E42,KLASSNING!$A$5:$F$74,5,FALSE()),0))</f>
        <v>35</v>
      </c>
      <c r="M42" s="35">
        <f t="shared" si="2"/>
        <v>0.51388888888888884</v>
      </c>
      <c r="N42" s="34" t="str">
        <f>IF(A42="","",IF(K42&lt;&gt;"Ja","Ej aktuell",IF(L42&lt;=0,"KONTROLLERA MATCHTID",IF(AND(COUNTIFS(BEMANNINGSPLAN!$A$5:$A$546,B42,BEMANNINGSPLAN!$C$5:$C$546,D42,BEMANNINGSPLAN!$D$5:$D$546,"&lt;="&amp;C42,BEMANNINGSPLAN!$E$5:$E$546,"&gt;"&amp;C42)&gt;0,COUNTIFS(BEMANNINGSPLAN!$A$5:$A$546,B42,BEMANNINGSPLAN!$C$5:$C$546,D42,BEMANNINGSPLAN!$D$5:$D$546,"&lt;"&amp;M42,BEMANNINGSPLAN!$E$5:$E$546,"&gt;="&amp;M42)&gt;0),"Ja","SAKNAS TIDSRADER"))))</f>
        <v>Ja</v>
      </c>
      <c r="O42" s="137">
        <f>IF(OR(B42="",K42&lt;&gt;"Ja"),"",COUNTIFS($B$5:B42,B42,$K$5:K42,"Ja"))</f>
        <v>11</v>
      </c>
      <c r="P42" s="137" t="str">
        <f t="shared" si="3"/>
        <v>yyyy-00-17|11</v>
      </c>
    </row>
    <row r="43" spans="1:16" ht="13">
      <c r="A43" s="31" t="str">
        <f>IF('IMPORT PROFIXIO'!A43="","",'IMPORT PROFIXIO'!A43)</f>
        <v>26 6 6415 005</v>
      </c>
      <c r="B43" s="32">
        <f>IF(A43="","",IF(ISNUMBER('IMPORT PROFIXIO'!D43),'IMPORT PROFIXIO'!D43,DATEVALUE('IMPORT PROFIXIO'!D43)))</f>
        <v>46312</v>
      </c>
      <c r="C43" s="33">
        <f>IF(A43="","",IF(ISNUMBER('IMPORT PROFIXIO'!E43),'IMPORT PROFIXIO'!E43,(VALUE(LEFT('IMPORT PROFIXIO'!E43,FIND(":",'IMPORT PROFIXIO'!E43)-1))*60+VALUE(MID('IMPORT PROFIXIO'!E43,FIND(":",'IMPORT PROFIXIO'!E43)+1,2)))/1440))</f>
        <v>0.54166666666666663</v>
      </c>
      <c r="D43" s="31" t="str">
        <f>IF(A43="","",'IMPORT PROFIXIO'!F43)</f>
        <v>Ulriksdalshallen</v>
      </c>
      <c r="E43" s="31" t="str">
        <f>IF(A43="","",'IMPORT PROFIXIO'!K43)</f>
        <v>Östbollen - F12 Öst - Omgång 1</v>
      </c>
      <c r="F43" s="34" t="str">
        <f>IF(A43="","",IFERROR(VLOOKUP(E43,KLASSNING!$A$5:$F$74,2,FALSE()),"SAKNAS"))</f>
        <v>F12</v>
      </c>
      <c r="G43" s="34" t="str">
        <f>IF(A43="","",IFERROR(VLOOKUP(E43,KLASSNING!$A$5:$F$74,3,FALSE()),"SAKNAS"))</f>
        <v>Östbollen</v>
      </c>
      <c r="H43" s="34" t="str">
        <f>IF(A43="","",'IMPORT PROFIXIO'!H43)</f>
        <v>AIK</v>
      </c>
      <c r="I43" s="34" t="str">
        <f>IF(A43="","",'IMPORT PROFIXIO'!I43)</f>
        <v>Bålsta IF</v>
      </c>
      <c r="J43" s="34" t="str">
        <f t="shared" si="0"/>
        <v>F12</v>
      </c>
      <c r="K43" s="34" t="str">
        <f t="shared" si="1"/>
        <v>Ja</v>
      </c>
      <c r="L43" s="34">
        <f>IF(A43="","",IFERROR(VLOOKUP(E43,KLASSNING!$A$5:$F$74,5,FALSE()),0))</f>
        <v>35</v>
      </c>
      <c r="M43" s="35">
        <f t="shared" si="2"/>
        <v>0.56597222222222221</v>
      </c>
      <c r="N43" s="34" t="str">
        <f>IF(A43="","",IF(K43&lt;&gt;"Ja","Ej aktuell",IF(L43&lt;=0,"KONTROLLERA MATCHTID",IF(AND(COUNTIFS(BEMANNINGSPLAN!$A$5:$A$546,B43,BEMANNINGSPLAN!$C$5:$C$546,D43,BEMANNINGSPLAN!$D$5:$D$546,"&lt;="&amp;C43,BEMANNINGSPLAN!$E$5:$E$546,"&gt;"&amp;C43)&gt;0,COUNTIFS(BEMANNINGSPLAN!$A$5:$A$546,B43,BEMANNINGSPLAN!$C$5:$C$546,D43,BEMANNINGSPLAN!$D$5:$D$546,"&lt;"&amp;M43,BEMANNINGSPLAN!$E$5:$E$546,"&gt;="&amp;M43)&gt;0),"Ja","SAKNAS TIDSRADER"))))</f>
        <v>Ja</v>
      </c>
      <c r="O43" s="137">
        <f>IF(OR(B43="",K43&lt;&gt;"Ja"),"",COUNTIFS($B$5:B43,B43,$K$5:K43,"Ja"))</f>
        <v>12</v>
      </c>
      <c r="P43" s="137" t="str">
        <f t="shared" si="3"/>
        <v>yyyy-00-17|12</v>
      </c>
    </row>
    <row r="44" spans="1:16" ht="13">
      <c r="A44" s="31" t="str">
        <f>IF('IMPORT PROFIXIO'!A44="","",'IMPORT PROFIXIO'!A44)</f>
        <v>26 6 6415 006</v>
      </c>
      <c r="B44" s="32">
        <f>IF(A44="","",IF(ISNUMBER('IMPORT PROFIXIO'!D44),'IMPORT PROFIXIO'!D44,DATEVALUE('IMPORT PROFIXIO'!D44)))</f>
        <v>46312</v>
      </c>
      <c r="C44" s="33">
        <f>IF(A44="","",IF(ISNUMBER('IMPORT PROFIXIO'!E44),'IMPORT PROFIXIO'!E44,(VALUE(LEFT('IMPORT PROFIXIO'!E44,FIND(":",'IMPORT PROFIXIO'!E44)-1))*60+VALUE(MID('IMPORT PROFIXIO'!E44,FIND(":",'IMPORT PROFIXIO'!E44)+1,2)))/1440))</f>
        <v>0.57291666666666663</v>
      </c>
      <c r="D44" s="31" t="str">
        <f>IF(A44="","",'IMPORT PROFIXIO'!F44)</f>
        <v>Ulriksdalshallen</v>
      </c>
      <c r="E44" s="31" t="str">
        <f>IF(A44="","",'IMPORT PROFIXIO'!K44)</f>
        <v>Östbollen - F12 Öst - Omgång 1</v>
      </c>
      <c r="F44" s="34" t="str">
        <f>IF(A44="","",IFERROR(VLOOKUP(E44,KLASSNING!$A$5:$F$74,2,FALSE()),"SAKNAS"))</f>
        <v>F12</v>
      </c>
      <c r="G44" s="34" t="str">
        <f>IF(A44="","",IFERROR(VLOOKUP(E44,KLASSNING!$A$5:$F$74,3,FALSE()),"SAKNAS"))</f>
        <v>Östbollen</v>
      </c>
      <c r="H44" s="34" t="str">
        <f>IF(A44="","",'IMPORT PROFIXIO'!H44)</f>
        <v>Sollentuna HK</v>
      </c>
      <c r="I44" s="34" t="str">
        <f>IF(A44="","",'IMPORT PROFIXIO'!I44)</f>
        <v>Täby HBK</v>
      </c>
      <c r="J44" s="34" t="str">
        <f t="shared" si="0"/>
        <v/>
      </c>
      <c r="K44" s="34" t="str">
        <f t="shared" si="1"/>
        <v>Ja</v>
      </c>
      <c r="L44" s="34">
        <f>IF(A44="","",IFERROR(VLOOKUP(E44,KLASSNING!$A$5:$F$74,5,FALSE()),0))</f>
        <v>35</v>
      </c>
      <c r="M44" s="35">
        <f t="shared" si="2"/>
        <v>0.59722222222222221</v>
      </c>
      <c r="N44" s="34" t="str">
        <f>IF(A44="","",IF(K44&lt;&gt;"Ja","Ej aktuell",IF(L44&lt;=0,"KONTROLLERA MATCHTID",IF(AND(COUNTIFS(BEMANNINGSPLAN!$A$5:$A$546,B44,BEMANNINGSPLAN!$C$5:$C$546,D44,BEMANNINGSPLAN!$D$5:$D$546,"&lt;="&amp;C44,BEMANNINGSPLAN!$E$5:$E$546,"&gt;"&amp;C44)&gt;0,COUNTIFS(BEMANNINGSPLAN!$A$5:$A$546,B44,BEMANNINGSPLAN!$C$5:$C$546,D44,BEMANNINGSPLAN!$D$5:$D$546,"&lt;"&amp;M44,BEMANNINGSPLAN!$E$5:$E$546,"&gt;="&amp;M44)&gt;0),"Ja","SAKNAS TIDSRADER"))))</f>
        <v>Ja</v>
      </c>
      <c r="O44" s="137">
        <f>IF(OR(B44="",K44&lt;&gt;"Ja"),"",COUNTIFS($B$5:B44,B44,$K$5:K44,"Ja"))</f>
        <v>13</v>
      </c>
      <c r="P44" s="137" t="str">
        <f t="shared" si="3"/>
        <v>yyyy-00-17|13</v>
      </c>
    </row>
    <row r="45" spans="1:16" ht="13">
      <c r="A45" s="31" t="str">
        <f>IF('IMPORT PROFIXIO'!A45="","",'IMPORT PROFIXIO'!A45)</f>
        <v>26 6 1352 015</v>
      </c>
      <c r="B45" s="32">
        <f>IF(A45="","",IF(ISNUMBER('IMPORT PROFIXIO'!D45),'IMPORT PROFIXIO'!D45,DATEVALUE('IMPORT PROFIXIO'!D45)))</f>
        <v>46312</v>
      </c>
      <c r="C45" s="33">
        <f>IF(A45="","",IF(ISNUMBER('IMPORT PROFIXIO'!E45),'IMPORT PROFIXIO'!E45,(VALUE(LEFT('IMPORT PROFIXIO'!E45,FIND(":",'IMPORT PROFIXIO'!E45)-1))*60+VALUE(MID('IMPORT PROFIXIO'!E45,FIND(":",'IMPORT PROFIXIO'!E45)+1,2)))/1440))</f>
        <v>0.61458333333333337</v>
      </c>
      <c r="D45" s="31" t="str">
        <f>IF(A45="","",'IMPORT PROFIXIO'!F45)</f>
        <v>Ulriksdalshallen</v>
      </c>
      <c r="E45" s="31" t="str">
        <f>IF(A45="","",'IMPORT PROFIXIO'!K45)</f>
        <v>Flickor - F13 Öst - F13 Nivå 2 Öst Norra</v>
      </c>
      <c r="F45" s="34" t="str">
        <f>IF(A45="","",IFERROR(VLOOKUP(E45,KLASSNING!$A$5:$F$74,2,FALSE()),"SAKNAS"))</f>
        <v>F13</v>
      </c>
      <c r="G45" s="34" t="str">
        <f>IF(A45="","",IFERROR(VLOOKUP(E45,KLASSNING!$A$5:$F$74,3,FALSE()),"SAKNAS"))</f>
        <v>Seriespel</v>
      </c>
      <c r="H45" s="34" t="str">
        <f>IF(A45="","",'IMPORT PROFIXIO'!H45)</f>
        <v>AIK 2</v>
      </c>
      <c r="I45" s="34" t="str">
        <f>IF(A45="","",'IMPORT PROFIXIO'!I45)</f>
        <v>Bålsta IF</v>
      </c>
      <c r="J45" s="34" t="str">
        <f t="shared" si="0"/>
        <v>F13 2</v>
      </c>
      <c r="K45" s="34" t="str">
        <f t="shared" si="1"/>
        <v>Ja</v>
      </c>
      <c r="L45" s="34">
        <f>IF(A45="","",IFERROR(VLOOKUP(E45,KLASSNING!$A$5:$F$74,5,FALSE()),0))</f>
        <v>45</v>
      </c>
      <c r="M45" s="35">
        <f t="shared" si="2"/>
        <v>0.64583333333333337</v>
      </c>
      <c r="N45" s="34" t="str">
        <f>IF(A45="","",IF(K45&lt;&gt;"Ja","Ej aktuell",IF(L45&lt;=0,"KONTROLLERA MATCHTID",IF(AND(COUNTIFS(BEMANNINGSPLAN!$A$5:$A$546,B45,BEMANNINGSPLAN!$C$5:$C$546,D45,BEMANNINGSPLAN!$D$5:$D$546,"&lt;="&amp;C45,BEMANNINGSPLAN!$E$5:$E$546,"&gt;"&amp;C45)&gt;0,COUNTIFS(BEMANNINGSPLAN!$A$5:$A$546,B45,BEMANNINGSPLAN!$C$5:$C$546,D45,BEMANNINGSPLAN!$D$5:$D$546,"&lt;"&amp;M45,BEMANNINGSPLAN!$E$5:$E$546,"&gt;="&amp;M45)&gt;0),"Ja","SAKNAS TIDSRADER"))))</f>
        <v>Ja</v>
      </c>
      <c r="O45" s="137">
        <f>IF(OR(B45="",K45&lt;&gt;"Ja"),"",COUNTIFS($B$5:B45,B45,$K$5:K45,"Ja"))</f>
        <v>14</v>
      </c>
      <c r="P45" s="137" t="str">
        <f t="shared" si="3"/>
        <v>yyyy-00-17|14</v>
      </c>
    </row>
    <row r="46" spans="1:16" ht="13">
      <c r="A46" s="31" t="str">
        <f>IF('IMPORT PROFIXIO'!A46="","",'IMPORT PROFIXIO'!A46)</f>
        <v>26 6 1351 012</v>
      </c>
      <c r="B46" s="32">
        <f>IF(A46="","",IF(ISNUMBER('IMPORT PROFIXIO'!D46),'IMPORT PROFIXIO'!D46,DATEVALUE('IMPORT PROFIXIO'!D46)))</f>
        <v>46312</v>
      </c>
      <c r="C46" s="33">
        <f>IF(A46="","",IF(ISNUMBER('IMPORT PROFIXIO'!E46),'IMPORT PROFIXIO'!E46,(VALUE(LEFT('IMPORT PROFIXIO'!E46,FIND(":",'IMPORT PROFIXIO'!E46)-1))*60+VALUE(MID('IMPORT PROFIXIO'!E46,FIND(":",'IMPORT PROFIXIO'!E46)+1,2)))/1440))</f>
        <v>0.66666666666666663</v>
      </c>
      <c r="D46" s="31" t="str">
        <f>IF(A46="","",'IMPORT PROFIXIO'!F46)</f>
        <v>Ulriksdalshallen</v>
      </c>
      <c r="E46" s="31" t="str">
        <f>IF(A46="","",'IMPORT PROFIXIO'!K46)</f>
        <v>Flickor - F13 Öst - F13 Nivå 1 Öst</v>
      </c>
      <c r="F46" s="34" t="str">
        <f>IF(A46="","",IFERROR(VLOOKUP(E46,KLASSNING!$A$5:$F$74,2,FALSE()),"SAKNAS"))</f>
        <v>F13</v>
      </c>
      <c r="G46" s="34" t="str">
        <f>IF(A46="","",IFERROR(VLOOKUP(E46,KLASSNING!$A$5:$F$74,3,FALSE()),"SAKNAS"))</f>
        <v>Seriespel</v>
      </c>
      <c r="H46" s="34" t="str">
        <f>IF(A46="","",'IMPORT PROFIXIO'!H46)</f>
        <v>AIK</v>
      </c>
      <c r="I46" s="34" t="str">
        <f>IF(A46="","",'IMPORT PROFIXIO'!I46)</f>
        <v>Rimbo HK Roslagen</v>
      </c>
      <c r="J46" s="34" t="str">
        <f t="shared" si="0"/>
        <v>F13</v>
      </c>
      <c r="K46" s="34" t="str">
        <f t="shared" si="1"/>
        <v>Ja</v>
      </c>
      <c r="L46" s="34">
        <f>IF(A46="","",IFERROR(VLOOKUP(E46,KLASSNING!$A$5:$F$74,5,FALSE()),0))</f>
        <v>45</v>
      </c>
      <c r="M46" s="35">
        <f t="shared" si="2"/>
        <v>0.69791666666666663</v>
      </c>
      <c r="N46" s="34" t="str">
        <f>IF(A46="","",IF(K46&lt;&gt;"Ja","Ej aktuell",IF(L46&lt;=0,"KONTROLLERA MATCHTID",IF(AND(COUNTIFS(BEMANNINGSPLAN!$A$5:$A$546,B46,BEMANNINGSPLAN!$C$5:$C$546,D46,BEMANNINGSPLAN!$D$5:$D$546,"&lt;="&amp;C46,BEMANNINGSPLAN!$E$5:$E$546,"&gt;"&amp;C46)&gt;0,COUNTIFS(BEMANNINGSPLAN!$A$5:$A$546,B46,BEMANNINGSPLAN!$C$5:$C$546,D46,BEMANNINGSPLAN!$D$5:$D$546,"&lt;"&amp;M46,BEMANNINGSPLAN!$E$5:$E$546,"&gt;="&amp;M46)&gt;0),"Ja","SAKNAS TIDSRADER"))))</f>
        <v>Ja</v>
      </c>
      <c r="O46" s="137">
        <f>IF(OR(B46="",K46&lt;&gt;"Ja"),"",COUNTIFS($B$5:B46,B46,$K$5:K46,"Ja"))</f>
        <v>15</v>
      </c>
      <c r="P46" s="137" t="str">
        <f t="shared" si="3"/>
        <v>yyyy-00-17|15</v>
      </c>
    </row>
    <row r="47" spans="1:16" ht="13">
      <c r="A47" s="31" t="str">
        <f>IF('IMPORT PROFIXIO'!A47="","",'IMPORT PROFIXIO'!A47)</f>
        <v>26 6 1151 004</v>
      </c>
      <c r="B47" s="32">
        <f>IF(A47="","",IF(ISNUMBER('IMPORT PROFIXIO'!D47),'IMPORT PROFIXIO'!D47,DATEVALUE('IMPORT PROFIXIO'!D47)))</f>
        <v>46315</v>
      </c>
      <c r="C47" s="33">
        <f>IF(A47="","",IF(ISNUMBER('IMPORT PROFIXIO'!E47),'IMPORT PROFIXIO'!E47,(VALUE(LEFT('IMPORT PROFIXIO'!E47,FIND(":",'IMPORT PROFIXIO'!E47)-1))*60+VALUE(MID('IMPORT PROFIXIO'!E47,FIND(":",'IMPORT PROFIXIO'!E47)+1,2)))/1440))</f>
        <v>0.875</v>
      </c>
      <c r="D47" s="31" t="str">
        <f>IF(A47="","",'IMPORT PROFIXIO'!F47)</f>
        <v>Tallbackaskolan</v>
      </c>
      <c r="E47" s="31" t="str">
        <f>IF(A47="","",'IMPORT PROFIXIO'!K47)</f>
        <v>Damer - Dam trim Öst</v>
      </c>
      <c r="F47" s="34" t="str">
        <f>IF(A47="","",IFERROR(VLOOKUP(E47,KLASSNING!$A$5:$F$74,2,FALSE()),"SAKNAS"))</f>
        <v>Dam</v>
      </c>
      <c r="G47" s="34" t="str">
        <f>IF(A47="","",IFERROR(VLOOKUP(E47,KLASSNING!$A$5:$F$74,3,FALSE()),"SAKNAS"))</f>
        <v>Seriespel</v>
      </c>
      <c r="H47" s="34" t="str">
        <f>IF(A47="","",'IMPORT PROFIXIO'!H47)</f>
        <v>AIK</v>
      </c>
      <c r="I47" s="34" t="str">
        <f>IF(A47="","",'IMPORT PROFIXIO'!I47)</f>
        <v>Huddinge HK</v>
      </c>
      <c r="J47" s="34" t="str">
        <f t="shared" si="0"/>
        <v>Dam</v>
      </c>
      <c r="K47" s="34" t="str">
        <f t="shared" si="1"/>
        <v>Ja</v>
      </c>
      <c r="L47" s="34">
        <f>IF(A47="","",IFERROR(VLOOKUP(E47,KLASSNING!$A$5:$F$74,5,FALSE()),0))</f>
        <v>70</v>
      </c>
      <c r="M47" s="35">
        <f t="shared" si="2"/>
        <v>0.92361111111111116</v>
      </c>
      <c r="N47" s="34" t="str">
        <f>IF(A47="","",IF(K47&lt;&gt;"Ja","Ej aktuell",IF(L47&lt;=0,"KONTROLLERA MATCHTID",IF(AND(COUNTIFS(BEMANNINGSPLAN!$A$5:$A$546,B47,BEMANNINGSPLAN!$C$5:$C$546,D47,BEMANNINGSPLAN!$D$5:$D$546,"&lt;="&amp;C47,BEMANNINGSPLAN!$E$5:$E$546,"&gt;"&amp;C47)&gt;0,COUNTIFS(BEMANNINGSPLAN!$A$5:$A$546,B47,BEMANNINGSPLAN!$C$5:$C$546,D47,BEMANNINGSPLAN!$D$5:$D$546,"&lt;"&amp;M47,BEMANNINGSPLAN!$E$5:$E$546,"&gt;="&amp;M47)&gt;0),"Ja","SAKNAS TIDSRADER"))))</f>
        <v>Ja</v>
      </c>
      <c r="O47" s="137">
        <f>IF(OR(B47="",K47&lt;&gt;"Ja"),"",COUNTIFS($B$5:B47,B47,$K$5:K47,"Ja"))</f>
        <v>1</v>
      </c>
      <c r="P47" s="137" t="str">
        <f t="shared" si="3"/>
        <v>yyyy-00-20|1</v>
      </c>
    </row>
    <row r="48" spans="1:16" ht="13">
      <c r="A48" s="31" t="str">
        <f>IF('IMPORT PROFIXIO'!A48="","",'IMPORT PROFIXIO'!A48)</f>
        <v>26 6 1221 026</v>
      </c>
      <c r="B48" s="32">
        <f>IF(A48="","",IF(ISNUMBER('IMPORT PROFIXIO'!D48),'IMPORT PROFIXIO'!D48,DATEVALUE('IMPORT PROFIXIO'!D48)))</f>
        <v>46319</v>
      </c>
      <c r="C48" s="33">
        <f>IF(A48="","",IF(ISNUMBER('IMPORT PROFIXIO'!E48),'IMPORT PROFIXIO'!E48,(VALUE(LEFT('IMPORT PROFIXIO'!E48,FIND(":",'IMPORT PROFIXIO'!E48)-1))*60+VALUE(MID('IMPORT PROFIXIO'!E48,FIND(":",'IMPORT PROFIXIO'!E48)+1,2)))/1440))</f>
        <v>0.5625</v>
      </c>
      <c r="D48" s="31" t="str">
        <f>IF(A48="","",'IMPORT PROFIXIO'!F48)</f>
        <v>Råsta Park</v>
      </c>
      <c r="E48" s="31" t="str">
        <f>IF(A48="","",'IMPORT PROFIXIO'!K48)</f>
        <v>Herrar - Herr 2 Öst</v>
      </c>
      <c r="F48" s="34" t="str">
        <f>IF(A48="","",IFERROR(VLOOKUP(E48,KLASSNING!$A$5:$F$74,2,FALSE()),"SAKNAS"))</f>
        <v>Herr</v>
      </c>
      <c r="G48" s="34" t="str">
        <f>IF(A48="","",IFERROR(VLOOKUP(E48,KLASSNING!$A$5:$F$74,3,FALSE()),"SAKNAS"))</f>
        <v>Seriespel</v>
      </c>
      <c r="H48" s="34" t="str">
        <f>IF(A48="","",'IMPORT PROFIXIO'!H48)</f>
        <v>AIK</v>
      </c>
      <c r="I48" s="34" t="str">
        <f>IF(A48="","",'IMPORT PROFIXIO'!I48)</f>
        <v>Tumba HK 2</v>
      </c>
      <c r="J48" s="34" t="str">
        <f t="shared" si="0"/>
        <v>Herr</v>
      </c>
      <c r="K48" s="34" t="str">
        <f t="shared" si="1"/>
        <v>Ja</v>
      </c>
      <c r="L48" s="34">
        <f>IF(A48="","",IFERROR(VLOOKUP(E48,KLASSNING!$A$5:$F$74,5,FALSE()),0))</f>
        <v>70</v>
      </c>
      <c r="M48" s="35">
        <f t="shared" si="2"/>
        <v>0.61111111111111116</v>
      </c>
      <c r="N48" s="34" t="str">
        <f>IF(A48="","",IF(K48&lt;&gt;"Ja","Ej aktuell",IF(L48&lt;=0,"KONTROLLERA MATCHTID",IF(AND(COUNTIFS(BEMANNINGSPLAN!$A$5:$A$546,B48,BEMANNINGSPLAN!$C$5:$C$546,D48,BEMANNINGSPLAN!$D$5:$D$546,"&lt;="&amp;C48,BEMANNINGSPLAN!$E$5:$E$546,"&gt;"&amp;C48)&gt;0,COUNTIFS(BEMANNINGSPLAN!$A$5:$A$546,B48,BEMANNINGSPLAN!$C$5:$C$546,D48,BEMANNINGSPLAN!$D$5:$D$546,"&lt;"&amp;M48,BEMANNINGSPLAN!$E$5:$E$546,"&gt;="&amp;M48)&gt;0),"Ja","SAKNAS TIDSRADER"))))</f>
        <v>Ja</v>
      </c>
      <c r="O48" s="137">
        <f>IF(OR(B48="",K48&lt;&gt;"Ja"),"",COUNTIFS($B$5:B48,B48,$K$5:K48,"Ja"))</f>
        <v>1</v>
      </c>
      <c r="P48" s="137" t="str">
        <f t="shared" si="3"/>
        <v>yyyy-00-24|1</v>
      </c>
    </row>
    <row r="49" spans="1:16" ht="13">
      <c r="A49" s="31" t="str">
        <f>IF('IMPORT PROFIXIO'!A49="","",'IMPORT PROFIXIO'!A49)</f>
        <v>26 -1 1121 028</v>
      </c>
      <c r="B49" s="32">
        <f>IF(A49="","",IF(ISNUMBER('IMPORT PROFIXIO'!D49),'IMPORT PROFIXIO'!D49,DATEVALUE('IMPORT PROFIXIO'!D49)))</f>
        <v>46323</v>
      </c>
      <c r="C49" s="33">
        <f>IF(A49="","",IF(ISNUMBER('IMPORT PROFIXIO'!E49),'IMPORT PROFIXIO'!E49,(VALUE(LEFT('IMPORT PROFIXIO'!E49,FIND(":",'IMPORT PROFIXIO'!E49)-1))*60+VALUE(MID('IMPORT PROFIXIO'!E49,FIND(":",'IMPORT PROFIXIO'!E49)+1,2)))/1440))</f>
        <v>0.79166666666666663</v>
      </c>
      <c r="D49" s="31" t="str">
        <f>IF(A49="","",'IMPORT PROFIXIO'!F49)</f>
        <v>Solnahallen</v>
      </c>
      <c r="E49" s="31" t="str">
        <f>IF(A49="","",'IMPORT PROFIXIO'!K49)</f>
        <v>Damer - Damallsvenskan</v>
      </c>
      <c r="F49" s="34" t="str">
        <f>IF(A49="","",IFERROR(VLOOKUP(E49,KLASSNING!$A$5:$F$74,2,FALSE()),"SAKNAS"))</f>
        <v>Dam</v>
      </c>
      <c r="G49" s="34" t="str">
        <f>IF(A49="","",IFERROR(VLOOKUP(E49,KLASSNING!$A$5:$F$74,3,FALSE()),"SAKNAS"))</f>
        <v>Seriespel</v>
      </c>
      <c r="H49" s="34" t="str">
        <f>IF(A49="","",'IMPORT PROFIXIO'!H49)</f>
        <v>AIK</v>
      </c>
      <c r="I49" s="34" t="str">
        <f>IF(A49="","",'IMPORT PROFIXIO'!I49)</f>
        <v>Tumba HBK</v>
      </c>
      <c r="J49" s="34" t="str">
        <f t="shared" si="0"/>
        <v>Dam</v>
      </c>
      <c r="K49" s="34" t="str">
        <f t="shared" si="1"/>
        <v>Nej</v>
      </c>
      <c r="L49" s="34">
        <f>IF(A49="","",IFERROR(VLOOKUP(E49,KLASSNING!$A$5:$F$74,5,FALSE()),0))</f>
        <v>70</v>
      </c>
      <c r="M49" s="35" t="str">
        <f t="shared" si="2"/>
        <v/>
      </c>
      <c r="N49" s="34" t="str">
        <f>IF(A49="","",IF(K49&lt;&gt;"Ja","Ej aktuell",IF(L49&lt;=0,"KONTROLLERA MATCHTID",IF(AND(COUNTIFS(BEMANNINGSPLAN!$A$5:$A$546,B49,BEMANNINGSPLAN!$C$5:$C$546,D49,BEMANNINGSPLAN!$D$5:$D$546,"&lt;="&amp;C49,BEMANNINGSPLAN!$E$5:$E$546,"&gt;"&amp;C49)&gt;0,COUNTIFS(BEMANNINGSPLAN!$A$5:$A$546,B49,BEMANNINGSPLAN!$C$5:$C$546,D49,BEMANNINGSPLAN!$D$5:$D$546,"&lt;"&amp;M49,BEMANNINGSPLAN!$E$5:$E$546,"&gt;="&amp;M49)&gt;0),"Ja","SAKNAS TIDSRADER"))))</f>
        <v>Ej aktuell</v>
      </c>
      <c r="O49" s="137" t="str">
        <f>IF(OR(B49="",K49&lt;&gt;"Ja"),"",COUNTIFS($B$5:B49,B49,$K$5:K49,"Ja"))</f>
        <v/>
      </c>
      <c r="P49" s="137" t="str">
        <f t="shared" si="3"/>
        <v/>
      </c>
    </row>
    <row r="50" spans="1:16" ht="13">
      <c r="A50" s="31" t="str">
        <f>IF('IMPORT PROFIXIO'!A50="","",'IMPORT PROFIXIO'!A50)</f>
        <v>26 6 1311 030</v>
      </c>
      <c r="B50" s="32">
        <f>IF(A50="","",IF(ISNUMBER('IMPORT PROFIXIO'!D50),'IMPORT PROFIXIO'!D50,DATEVALUE('IMPORT PROFIXIO'!D50)))</f>
        <v>46329</v>
      </c>
      <c r="C50" s="33">
        <f>IF(A50="","",IF(ISNUMBER('IMPORT PROFIXIO'!E50),'IMPORT PROFIXIO'!E50,(VALUE(LEFT('IMPORT PROFIXIO'!E50,FIND(":",'IMPORT PROFIXIO'!E50)-1))*60+VALUE(MID('IMPORT PROFIXIO'!E50,FIND(":",'IMPORT PROFIXIO'!E50)+1,2)))/1440))</f>
        <v>0.86458333333333337</v>
      </c>
      <c r="D50" s="31" t="str">
        <f>IF(A50="","",'IMPORT PROFIXIO'!F50)</f>
        <v>Råsta Park</v>
      </c>
      <c r="E50" s="31" t="str">
        <f>IF(A50="","",'IMPORT PROFIXIO'!K50)</f>
        <v>Flickor - F19 Öst - F19 Nivå 1 Öst</v>
      </c>
      <c r="F50" s="34" t="str">
        <f>IF(A50="","",IFERROR(VLOOKUP(E50,KLASSNING!$A$5:$F$74,2,FALSE()),"SAKNAS"))</f>
        <v>F19</v>
      </c>
      <c r="G50" s="34" t="str">
        <f>IF(A50="","",IFERROR(VLOOKUP(E50,KLASSNING!$A$5:$F$74,3,FALSE()),"SAKNAS"))</f>
        <v>Seriespel</v>
      </c>
      <c r="H50" s="34" t="str">
        <f>IF(A50="","",'IMPORT PROFIXIO'!H50)</f>
        <v>AIK</v>
      </c>
      <c r="I50" s="34" t="str">
        <f>IF(A50="","",'IMPORT PROFIXIO'!I50)</f>
        <v>Täby HBK 1</v>
      </c>
      <c r="J50" s="34" t="str">
        <f t="shared" si="0"/>
        <v>F19</v>
      </c>
      <c r="K50" s="34" t="str">
        <f t="shared" si="1"/>
        <v>Ja</v>
      </c>
      <c r="L50" s="34">
        <f>IF(A50="","",IFERROR(VLOOKUP(E50,KLASSNING!$A$5:$F$74,5,FALSE()),0))</f>
        <v>55</v>
      </c>
      <c r="M50" s="35">
        <f t="shared" si="2"/>
        <v>0.90277777777777779</v>
      </c>
      <c r="N50" s="34" t="str">
        <f>IF(A50="","",IF(K50&lt;&gt;"Ja","Ej aktuell",IF(L50&lt;=0,"KONTROLLERA MATCHTID",IF(AND(COUNTIFS(BEMANNINGSPLAN!$A$5:$A$546,B50,BEMANNINGSPLAN!$C$5:$C$546,D50,BEMANNINGSPLAN!$D$5:$D$546,"&lt;="&amp;C50,BEMANNINGSPLAN!$E$5:$E$546,"&gt;"&amp;C50)&gt;0,COUNTIFS(BEMANNINGSPLAN!$A$5:$A$546,B50,BEMANNINGSPLAN!$C$5:$C$546,D50,BEMANNINGSPLAN!$D$5:$D$546,"&lt;"&amp;M50,BEMANNINGSPLAN!$E$5:$E$546,"&gt;="&amp;M50)&gt;0),"Ja","SAKNAS TIDSRADER"))))</f>
        <v>Ja</v>
      </c>
      <c r="O50" s="137">
        <f>IF(OR(B50="",K50&lt;&gt;"Ja"),"",COUNTIFS($B$5:B50,B50,$K$5:K50,"Ja"))</f>
        <v>1</v>
      </c>
      <c r="P50" s="137" t="str">
        <f t="shared" si="3"/>
        <v>yyyy-00-03|1</v>
      </c>
    </row>
    <row r="51" spans="1:16" ht="13">
      <c r="A51" s="31" t="str">
        <f>IF('IMPORT PROFIXIO'!A51="","",'IMPORT PROFIXIO'!A51)</f>
        <v>26 6 1562 021</v>
      </c>
      <c r="B51" s="32">
        <f>IF(A51="","",IF(ISNUMBER('IMPORT PROFIXIO'!D51),'IMPORT PROFIXIO'!D51,DATEVALUE('IMPORT PROFIXIO'!D51)))</f>
        <v>46333</v>
      </c>
      <c r="C51" s="33">
        <f>IF(A51="","",IF(ISNUMBER('IMPORT PROFIXIO'!E51),'IMPORT PROFIXIO'!E51,(VALUE(LEFT('IMPORT PROFIXIO'!E51,FIND(":",'IMPORT PROFIXIO'!E51)-1))*60+VALUE(MID('IMPORT PROFIXIO'!E51,FIND(":",'IMPORT PROFIXIO'!E51)+1,2)))/1440))</f>
        <v>0.375</v>
      </c>
      <c r="D51" s="31" t="str">
        <f>IF(A51="","",'IMPORT PROFIXIO'!F51)</f>
        <v>Tallbackaskolan</v>
      </c>
      <c r="E51" s="31" t="str">
        <f>IF(A51="","",'IMPORT PROFIXIO'!K51)</f>
        <v>Pojkar - P12 Öst - P12 Nivå 2 Öst Norra</v>
      </c>
      <c r="F51" s="34" t="str">
        <f>IF(A51="","",IFERROR(VLOOKUP(E51,KLASSNING!$A$5:$F$74,2,FALSE()),"SAKNAS"))</f>
        <v>P12</v>
      </c>
      <c r="G51" s="34" t="str">
        <f>IF(A51="","",IFERROR(VLOOKUP(E51,KLASSNING!$A$5:$F$74,3,FALSE()),"SAKNAS"))</f>
        <v>Seriespel</v>
      </c>
      <c r="H51" s="34" t="str">
        <f>IF(A51="","",'IMPORT PROFIXIO'!H51)</f>
        <v>AIK</v>
      </c>
      <c r="I51" s="34" t="str">
        <f>IF(A51="","",'IMPORT PROFIXIO'!I51)</f>
        <v>Täby HBK</v>
      </c>
      <c r="J51" s="34" t="str">
        <f t="shared" si="0"/>
        <v>P12</v>
      </c>
      <c r="K51" s="34" t="str">
        <f t="shared" si="1"/>
        <v>Ja</v>
      </c>
      <c r="L51" s="34">
        <f>IF(A51="","",IFERROR(VLOOKUP(E51,KLASSNING!$A$5:$F$74,5,FALSE()),0))</f>
        <v>35</v>
      </c>
      <c r="M51" s="35">
        <f t="shared" si="2"/>
        <v>0.39930555555555558</v>
      </c>
      <c r="N51" s="34" t="str">
        <f>IF(A51="","",IF(K51&lt;&gt;"Ja","Ej aktuell",IF(L51&lt;=0,"KONTROLLERA MATCHTID",IF(AND(COUNTIFS(BEMANNINGSPLAN!$A$5:$A$546,B51,BEMANNINGSPLAN!$C$5:$C$546,D51,BEMANNINGSPLAN!$D$5:$D$546,"&lt;="&amp;C51,BEMANNINGSPLAN!$E$5:$E$546,"&gt;"&amp;C51)&gt;0,COUNTIFS(BEMANNINGSPLAN!$A$5:$A$546,B51,BEMANNINGSPLAN!$C$5:$C$546,D51,BEMANNINGSPLAN!$D$5:$D$546,"&lt;"&amp;M51,BEMANNINGSPLAN!$E$5:$E$546,"&gt;="&amp;M51)&gt;0),"Ja","SAKNAS TIDSRADER"))))</f>
        <v>Ja</v>
      </c>
      <c r="O51" s="137">
        <f>IF(OR(B51="",K51&lt;&gt;"Ja"),"",COUNTIFS($B$5:B51,B51,$K$5:K51,"Ja"))</f>
        <v>1</v>
      </c>
      <c r="P51" s="137" t="str">
        <f t="shared" si="3"/>
        <v>yyyy-00-07|1</v>
      </c>
    </row>
    <row r="52" spans="1:16" ht="13">
      <c r="A52" s="31" t="str">
        <f>IF('IMPORT PROFIXIO'!A52="","",'IMPORT PROFIXIO'!A52)</f>
        <v>26 6 1562 022</v>
      </c>
      <c r="B52" s="32">
        <f>IF(A52="","",IF(ISNUMBER('IMPORT PROFIXIO'!D52),'IMPORT PROFIXIO'!D52,DATEVALUE('IMPORT PROFIXIO'!D52)))</f>
        <v>46333</v>
      </c>
      <c r="C52" s="33">
        <f>IF(A52="","",IF(ISNUMBER('IMPORT PROFIXIO'!E52),'IMPORT PROFIXIO'!E52,(VALUE(LEFT('IMPORT PROFIXIO'!E52,FIND(":",'IMPORT PROFIXIO'!E52)-1))*60+VALUE(MID('IMPORT PROFIXIO'!E52,FIND(":",'IMPORT PROFIXIO'!E52)+1,2)))/1440))</f>
        <v>0.41666666666666669</v>
      </c>
      <c r="D52" s="31" t="str">
        <f>IF(A52="","",'IMPORT PROFIXIO'!F52)</f>
        <v>Tallbackaskolan</v>
      </c>
      <c r="E52" s="31" t="str">
        <f>IF(A52="","",'IMPORT PROFIXIO'!K52)</f>
        <v>Pojkar - P12 Öst - P12 Nivå 2 Öst Norra</v>
      </c>
      <c r="F52" s="34" t="str">
        <f>IF(A52="","",IFERROR(VLOOKUP(E52,KLASSNING!$A$5:$F$74,2,FALSE()),"SAKNAS"))</f>
        <v>P12</v>
      </c>
      <c r="G52" s="34" t="str">
        <f>IF(A52="","",IFERROR(VLOOKUP(E52,KLASSNING!$A$5:$F$74,3,FALSE()),"SAKNAS"))</f>
        <v>Seriespel</v>
      </c>
      <c r="H52" s="34" t="str">
        <f>IF(A52="","",'IMPORT PROFIXIO'!H52)</f>
        <v>Vallentuna HK</v>
      </c>
      <c r="I52" s="34" t="str">
        <f>IF(A52="","",'IMPORT PROFIXIO'!I52)</f>
        <v>IK Bolton 1</v>
      </c>
      <c r="J52" s="34" t="str">
        <f t="shared" si="0"/>
        <v/>
      </c>
      <c r="K52" s="34" t="str">
        <f t="shared" si="1"/>
        <v>Ja</v>
      </c>
      <c r="L52" s="34">
        <f>IF(A52="","",IFERROR(VLOOKUP(E52,KLASSNING!$A$5:$F$74,5,FALSE()),0))</f>
        <v>35</v>
      </c>
      <c r="M52" s="35">
        <f t="shared" si="2"/>
        <v>0.44097222222222227</v>
      </c>
      <c r="N52" s="34" t="str">
        <f>IF(A52="","",IF(K52&lt;&gt;"Ja","Ej aktuell",IF(L52&lt;=0,"KONTROLLERA MATCHTID",IF(AND(COUNTIFS(BEMANNINGSPLAN!$A$5:$A$546,B52,BEMANNINGSPLAN!$C$5:$C$546,D52,BEMANNINGSPLAN!$D$5:$D$546,"&lt;="&amp;C52,BEMANNINGSPLAN!$E$5:$E$546,"&gt;"&amp;C52)&gt;0,COUNTIFS(BEMANNINGSPLAN!$A$5:$A$546,B52,BEMANNINGSPLAN!$C$5:$C$546,D52,BEMANNINGSPLAN!$D$5:$D$546,"&lt;"&amp;M52,BEMANNINGSPLAN!$E$5:$E$546,"&gt;="&amp;M52)&gt;0),"Ja","SAKNAS TIDSRADER"))))</f>
        <v>Ja</v>
      </c>
      <c r="O52" s="137">
        <f>IF(OR(B52="",K52&lt;&gt;"Ja"),"",COUNTIFS($B$5:B52,B52,$K$5:K52,"Ja"))</f>
        <v>2</v>
      </c>
      <c r="P52" s="137" t="str">
        <f t="shared" si="3"/>
        <v>yyyy-00-07|2</v>
      </c>
    </row>
    <row r="53" spans="1:16" ht="13">
      <c r="A53" s="31" t="str">
        <f>IF('IMPORT PROFIXIO'!A53="","",'IMPORT PROFIXIO'!A53)</f>
        <v>26 6 1562 023</v>
      </c>
      <c r="B53" s="32">
        <f>IF(A53="","",IF(ISNUMBER('IMPORT PROFIXIO'!D53),'IMPORT PROFIXIO'!D53,DATEVALUE('IMPORT PROFIXIO'!D53)))</f>
        <v>46333</v>
      </c>
      <c r="C53" s="33">
        <f>IF(A53="","",IF(ISNUMBER('IMPORT PROFIXIO'!E53),'IMPORT PROFIXIO'!E53,(VALUE(LEFT('IMPORT PROFIXIO'!E53,FIND(":",'IMPORT PROFIXIO'!E53)-1))*60+VALUE(MID('IMPORT PROFIXIO'!E53,FIND(":",'IMPORT PROFIXIO'!E53)+1,2)))/1440))</f>
        <v>0.46875</v>
      </c>
      <c r="D53" s="31" t="str">
        <f>IF(A53="","",'IMPORT PROFIXIO'!F53)</f>
        <v>Tallbackaskolan</v>
      </c>
      <c r="E53" s="31" t="str">
        <f>IF(A53="","",'IMPORT PROFIXIO'!K53)</f>
        <v>Pojkar - P12 Öst - P12 Nivå 2 Öst Norra</v>
      </c>
      <c r="F53" s="34" t="str">
        <f>IF(A53="","",IFERROR(VLOOKUP(E53,KLASSNING!$A$5:$F$74,2,FALSE()),"SAKNAS"))</f>
        <v>P12</v>
      </c>
      <c r="G53" s="34" t="str">
        <f>IF(A53="","",IFERROR(VLOOKUP(E53,KLASSNING!$A$5:$F$74,3,FALSE()),"SAKNAS"))</f>
        <v>Seriespel</v>
      </c>
      <c r="H53" s="34" t="str">
        <f>IF(A53="","",'IMPORT PROFIXIO'!H53)</f>
        <v>Täby HBK</v>
      </c>
      <c r="I53" s="34" t="str">
        <f>IF(A53="","",'IMPORT PROFIXIO'!I53)</f>
        <v>Vallentuna HK</v>
      </c>
      <c r="J53" s="34" t="str">
        <f t="shared" si="0"/>
        <v/>
      </c>
      <c r="K53" s="34" t="str">
        <f t="shared" si="1"/>
        <v>Ja</v>
      </c>
      <c r="L53" s="34">
        <f>IF(A53="","",IFERROR(VLOOKUP(E53,KLASSNING!$A$5:$F$74,5,FALSE()),0))</f>
        <v>35</v>
      </c>
      <c r="M53" s="35">
        <f t="shared" si="2"/>
        <v>0.49305555555555558</v>
      </c>
      <c r="N53" s="34" t="str">
        <f>IF(A53="","",IF(K53&lt;&gt;"Ja","Ej aktuell",IF(L53&lt;=0,"KONTROLLERA MATCHTID",IF(AND(COUNTIFS(BEMANNINGSPLAN!$A$5:$A$546,B53,BEMANNINGSPLAN!$C$5:$C$546,D53,BEMANNINGSPLAN!$D$5:$D$546,"&lt;="&amp;C53,BEMANNINGSPLAN!$E$5:$E$546,"&gt;"&amp;C53)&gt;0,COUNTIFS(BEMANNINGSPLAN!$A$5:$A$546,B53,BEMANNINGSPLAN!$C$5:$C$546,D53,BEMANNINGSPLAN!$D$5:$D$546,"&lt;"&amp;M53,BEMANNINGSPLAN!$E$5:$E$546,"&gt;="&amp;M53)&gt;0),"Ja","SAKNAS TIDSRADER"))))</f>
        <v>Ja</v>
      </c>
      <c r="O53" s="137">
        <f>IF(OR(B53="",K53&lt;&gt;"Ja"),"",COUNTIFS($B$5:B53,B53,$K$5:K53,"Ja"))</f>
        <v>3</v>
      </c>
      <c r="P53" s="137" t="str">
        <f t="shared" si="3"/>
        <v>yyyy-00-07|3</v>
      </c>
    </row>
    <row r="54" spans="1:16" ht="13">
      <c r="A54" s="31" t="str">
        <f>IF('IMPORT PROFIXIO'!A54="","",'IMPORT PROFIXIO'!A54)</f>
        <v>26 6 1562 024</v>
      </c>
      <c r="B54" s="32">
        <f>IF(A54="","",IF(ISNUMBER('IMPORT PROFIXIO'!D54),'IMPORT PROFIXIO'!D54,DATEVALUE('IMPORT PROFIXIO'!D54)))</f>
        <v>46333</v>
      </c>
      <c r="C54" s="33">
        <f>IF(A54="","",IF(ISNUMBER('IMPORT PROFIXIO'!E54),'IMPORT PROFIXIO'!E54,(VALUE(LEFT('IMPORT PROFIXIO'!E54,FIND(":",'IMPORT PROFIXIO'!E54)-1))*60+VALUE(MID('IMPORT PROFIXIO'!E54,FIND(":",'IMPORT PROFIXIO'!E54)+1,2)))/1440))</f>
        <v>0.51041666666666663</v>
      </c>
      <c r="D54" s="31" t="str">
        <f>IF(A54="","",'IMPORT PROFIXIO'!F54)</f>
        <v>Tallbackaskolan</v>
      </c>
      <c r="E54" s="31" t="str">
        <f>IF(A54="","",'IMPORT PROFIXIO'!K54)</f>
        <v>Pojkar - P12 Öst - P12 Nivå 2 Öst Norra</v>
      </c>
      <c r="F54" s="34" t="str">
        <f>IF(A54="","",IFERROR(VLOOKUP(E54,KLASSNING!$A$5:$F$74,2,FALSE()),"SAKNAS"))</f>
        <v>P12</v>
      </c>
      <c r="G54" s="34" t="str">
        <f>IF(A54="","",IFERROR(VLOOKUP(E54,KLASSNING!$A$5:$F$74,3,FALSE()),"SAKNAS"))</f>
        <v>Seriespel</v>
      </c>
      <c r="H54" s="34" t="str">
        <f>IF(A54="","",'IMPORT PROFIXIO'!H54)</f>
        <v>AIK</v>
      </c>
      <c r="I54" s="34" t="str">
        <f>IF(A54="","",'IMPORT PROFIXIO'!I54)</f>
        <v>IK Bolton 1</v>
      </c>
      <c r="J54" s="34" t="str">
        <f t="shared" si="0"/>
        <v>P12</v>
      </c>
      <c r="K54" s="34" t="str">
        <f t="shared" si="1"/>
        <v>Ja</v>
      </c>
      <c r="L54" s="34">
        <f>IF(A54="","",IFERROR(VLOOKUP(E54,KLASSNING!$A$5:$F$74,5,FALSE()),0))</f>
        <v>35</v>
      </c>
      <c r="M54" s="35">
        <f t="shared" si="2"/>
        <v>0.53472222222222221</v>
      </c>
      <c r="N54" s="34" t="str">
        <f>IF(A54="","",IF(K54&lt;&gt;"Ja","Ej aktuell",IF(L54&lt;=0,"KONTROLLERA MATCHTID",IF(AND(COUNTIFS(BEMANNINGSPLAN!$A$5:$A$546,B54,BEMANNINGSPLAN!$C$5:$C$546,D54,BEMANNINGSPLAN!$D$5:$D$546,"&lt;="&amp;C54,BEMANNINGSPLAN!$E$5:$E$546,"&gt;"&amp;C54)&gt;0,COUNTIFS(BEMANNINGSPLAN!$A$5:$A$546,B54,BEMANNINGSPLAN!$C$5:$C$546,D54,BEMANNINGSPLAN!$D$5:$D$546,"&lt;"&amp;M54,BEMANNINGSPLAN!$E$5:$E$546,"&gt;="&amp;M54)&gt;0),"Ja","SAKNAS TIDSRADER"))))</f>
        <v>Ja</v>
      </c>
      <c r="O54" s="137">
        <f>IF(OR(B54="",K54&lt;&gt;"Ja"),"",COUNTIFS($B$5:B54,B54,$K$5:K54,"Ja"))</f>
        <v>4</v>
      </c>
      <c r="P54" s="137" t="str">
        <f t="shared" si="3"/>
        <v>yyyy-00-07|4</v>
      </c>
    </row>
    <row r="55" spans="1:16" ht="13">
      <c r="A55" s="31" t="str">
        <f>IF('IMPORT PROFIXIO'!A55="","",'IMPORT PROFIXIO'!A55)</f>
        <v>26 6 18126 01</v>
      </c>
      <c r="B55" s="32">
        <f>IF(A55="","",IF(ISNUMBER('IMPORT PROFIXIO'!D55),'IMPORT PROFIXIO'!D55,DATEVALUE('IMPORT PROFIXIO'!D55)))</f>
        <v>46333</v>
      </c>
      <c r="C55" s="33">
        <f>IF(A55="","",IF(ISNUMBER('IMPORT PROFIXIO'!E55),'IMPORT PROFIXIO'!E55,(VALUE(LEFT('IMPORT PROFIXIO'!E55,FIND(":",'IMPORT PROFIXIO'!E55)-1))*60+VALUE(MID('IMPORT PROFIXIO'!E55,FIND(":",'IMPORT PROFIXIO'!E55)+1,2)))/1440))</f>
        <v>0.375</v>
      </c>
      <c r="D55" s="31" t="str">
        <f>IF(A55="","",'IMPORT PROFIXIO'!F55)</f>
        <v>Ulriksdalshallen</v>
      </c>
      <c r="E55" s="31" t="str">
        <f>IF(A55="","",'IMPORT PROFIXIO'!K55)</f>
        <v>Handbollfestival - U8 höst Öst - Omgång 2</v>
      </c>
      <c r="F55" s="34" t="str">
        <f>IF(A55="","",IFERROR(VLOOKUP(E55,KLASSNING!$A$5:$F$74,2,FALSE()),"SAKNAS"))</f>
        <v>U8</v>
      </c>
      <c r="G55" s="34" t="str">
        <f>IF(A55="","",IFERROR(VLOOKUP(E55,KLASSNING!$A$5:$F$74,3,FALSE()),"SAKNAS"))</f>
        <v>Handbollfestival</v>
      </c>
      <c r="H55" s="34" t="str">
        <f>IF(A55="","",'IMPORT PROFIXIO'!H55)</f>
        <v>AIK F8</v>
      </c>
      <c r="I55" s="34" t="str">
        <f>IF(A55="","",'IMPORT PROFIXIO'!I55)</f>
        <v>IK Bolton F8 1</v>
      </c>
      <c r="J55" s="34" t="str">
        <f t="shared" si="0"/>
        <v>U8</v>
      </c>
      <c r="K55" s="34" t="str">
        <f t="shared" si="1"/>
        <v>Ja</v>
      </c>
      <c r="L55" s="34">
        <f>IF(A55="","",IFERROR(VLOOKUP(E55,KLASSNING!$A$5:$F$74,5,FALSE()),0))</f>
        <v>10</v>
      </c>
      <c r="M55" s="35">
        <f t="shared" si="2"/>
        <v>0.38194444444444442</v>
      </c>
      <c r="N55" s="34" t="str">
        <f>IF(A55="","",IF(K55&lt;&gt;"Ja","Ej aktuell",IF(L55&lt;=0,"KONTROLLERA MATCHTID",IF(AND(COUNTIFS(BEMANNINGSPLAN!$A$5:$A$546,B55,BEMANNINGSPLAN!$C$5:$C$546,D55,BEMANNINGSPLAN!$D$5:$D$546,"&lt;="&amp;C55,BEMANNINGSPLAN!$E$5:$E$546,"&gt;"&amp;C55)&gt;0,COUNTIFS(BEMANNINGSPLAN!$A$5:$A$546,B55,BEMANNINGSPLAN!$C$5:$C$546,D55,BEMANNINGSPLAN!$D$5:$D$546,"&lt;"&amp;M55,BEMANNINGSPLAN!$E$5:$E$546,"&gt;="&amp;M55)&gt;0),"Ja","SAKNAS TIDSRADER"))))</f>
        <v>Ja</v>
      </c>
      <c r="O55" s="137">
        <f>IF(OR(B55="",K55&lt;&gt;"Ja"),"",COUNTIFS($B$5:B55,B55,$K$5:K55,"Ja"))</f>
        <v>5</v>
      </c>
      <c r="P55" s="137" t="str">
        <f t="shared" si="3"/>
        <v>yyyy-00-07|5</v>
      </c>
    </row>
    <row r="56" spans="1:16" ht="13">
      <c r="A56" s="31" t="str">
        <f>IF('IMPORT PROFIXIO'!A56="","",'IMPORT PROFIXIO'!A56)</f>
        <v>26 6 18126 03</v>
      </c>
      <c r="B56" s="32">
        <f>IF(A56="","",IF(ISNUMBER('IMPORT PROFIXIO'!D56),'IMPORT PROFIXIO'!D56,DATEVALUE('IMPORT PROFIXIO'!D56)))</f>
        <v>46333</v>
      </c>
      <c r="C56" s="33">
        <f>IF(A56="","",IF(ISNUMBER('IMPORT PROFIXIO'!E56),'IMPORT PROFIXIO'!E56,(VALUE(LEFT('IMPORT PROFIXIO'!E56,FIND(":",'IMPORT PROFIXIO'!E56)-1))*60+VALUE(MID('IMPORT PROFIXIO'!E56,FIND(":",'IMPORT PROFIXIO'!E56)+1,2)))/1440))</f>
        <v>0.375</v>
      </c>
      <c r="D56" s="31" t="str">
        <f>IF(A56="","",'IMPORT PROFIXIO'!F56)</f>
        <v>Ulriksdalshallen</v>
      </c>
      <c r="E56" s="31" t="str">
        <f>IF(A56="","",'IMPORT PROFIXIO'!K56)</f>
        <v>Handbollfestival - U8 höst Öst - Omgång 2</v>
      </c>
      <c r="F56" s="34" t="str">
        <f>IF(A56="","",IFERROR(VLOOKUP(E56,KLASSNING!$A$5:$F$74,2,FALSE()),"SAKNAS"))</f>
        <v>U8</v>
      </c>
      <c r="G56" s="34" t="str">
        <f>IF(A56="","",IFERROR(VLOOKUP(E56,KLASSNING!$A$5:$F$74,3,FALSE()),"SAKNAS"))</f>
        <v>Handbollfestival</v>
      </c>
      <c r="H56" s="34" t="str">
        <f>IF(A56="","",'IMPORT PROFIXIO'!H56)</f>
        <v>Skånela IF Röd Flick</v>
      </c>
      <c r="I56" s="34" t="str">
        <f>IF(A56="","",'IMPORT PROFIXIO'!I56)</f>
        <v>Skånela IF vit Flick</v>
      </c>
      <c r="J56" s="34" t="str">
        <f t="shared" si="0"/>
        <v/>
      </c>
      <c r="K56" s="34" t="str">
        <f t="shared" si="1"/>
        <v>Ja</v>
      </c>
      <c r="L56" s="34">
        <f>IF(A56="","",IFERROR(VLOOKUP(E56,KLASSNING!$A$5:$F$74,5,FALSE()),0))</f>
        <v>10</v>
      </c>
      <c r="M56" s="35">
        <f t="shared" si="2"/>
        <v>0.38194444444444442</v>
      </c>
      <c r="N56" s="34" t="str">
        <f>IF(A56="","",IF(K56&lt;&gt;"Ja","Ej aktuell",IF(L56&lt;=0,"KONTROLLERA MATCHTID",IF(AND(COUNTIFS(BEMANNINGSPLAN!$A$5:$A$546,B56,BEMANNINGSPLAN!$C$5:$C$546,D56,BEMANNINGSPLAN!$D$5:$D$546,"&lt;="&amp;C56,BEMANNINGSPLAN!$E$5:$E$546,"&gt;"&amp;C56)&gt;0,COUNTIFS(BEMANNINGSPLAN!$A$5:$A$546,B56,BEMANNINGSPLAN!$C$5:$C$546,D56,BEMANNINGSPLAN!$D$5:$D$546,"&lt;"&amp;M56,BEMANNINGSPLAN!$E$5:$E$546,"&gt;="&amp;M56)&gt;0),"Ja","SAKNAS TIDSRADER"))))</f>
        <v>Ja</v>
      </c>
      <c r="O56" s="137">
        <f>IF(OR(B56="",K56&lt;&gt;"Ja"),"",COUNTIFS($B$5:B56,B56,$K$5:K56,"Ja"))</f>
        <v>6</v>
      </c>
      <c r="P56" s="137" t="str">
        <f t="shared" si="3"/>
        <v>yyyy-00-07|6</v>
      </c>
    </row>
    <row r="57" spans="1:16" ht="13">
      <c r="A57" s="31" t="str">
        <f>IF('IMPORT PROFIXIO'!A57="","",'IMPORT PROFIXIO'!A57)</f>
        <v>26 6 18126 04</v>
      </c>
      <c r="B57" s="32">
        <f>IF(A57="","",IF(ISNUMBER('IMPORT PROFIXIO'!D57),'IMPORT PROFIXIO'!D57,DATEVALUE('IMPORT PROFIXIO'!D57)))</f>
        <v>46333</v>
      </c>
      <c r="C57" s="33">
        <f>IF(A57="","",IF(ISNUMBER('IMPORT PROFIXIO'!E57),'IMPORT PROFIXIO'!E57,(VALUE(LEFT('IMPORT PROFIXIO'!E57,FIND(":",'IMPORT PROFIXIO'!E57)-1))*60+VALUE(MID('IMPORT PROFIXIO'!E57,FIND(":",'IMPORT PROFIXIO'!E57)+1,2)))/1440))</f>
        <v>0.375</v>
      </c>
      <c r="D57" s="31" t="str">
        <f>IF(A57="","",'IMPORT PROFIXIO'!F57)</f>
        <v>Ulriksdalshallen</v>
      </c>
      <c r="E57" s="31" t="str">
        <f>IF(A57="","",'IMPORT PROFIXIO'!K57)</f>
        <v>Handbollfestival - U8 höst Öst - Omgång 2</v>
      </c>
      <c r="F57" s="34" t="str">
        <f>IF(A57="","",IFERROR(VLOOKUP(E57,KLASSNING!$A$5:$F$74,2,FALSE()),"SAKNAS"))</f>
        <v>U8</v>
      </c>
      <c r="G57" s="34" t="str">
        <f>IF(A57="","",IFERROR(VLOOKUP(E57,KLASSNING!$A$5:$F$74,3,FALSE()),"SAKNAS"))</f>
        <v>Handbollfestival</v>
      </c>
      <c r="H57" s="34" t="str">
        <f>IF(A57="","",'IMPORT PROFIXIO'!H57)</f>
        <v>Spånga HK 1</v>
      </c>
      <c r="I57" s="34" t="str">
        <f>IF(A57="","",'IMPORT PROFIXIO'!I57)</f>
        <v>AIK F8</v>
      </c>
      <c r="J57" s="34" t="str">
        <f t="shared" si="0"/>
        <v>U8</v>
      </c>
      <c r="K57" s="34" t="str">
        <f t="shared" si="1"/>
        <v>Ja</v>
      </c>
      <c r="L57" s="34">
        <f>IF(A57="","",IFERROR(VLOOKUP(E57,KLASSNING!$A$5:$F$74,5,FALSE()),0))</f>
        <v>10</v>
      </c>
      <c r="M57" s="35">
        <f t="shared" si="2"/>
        <v>0.38194444444444442</v>
      </c>
      <c r="N57" s="34" t="str">
        <f>IF(A57="","",IF(K57&lt;&gt;"Ja","Ej aktuell",IF(L57&lt;=0,"KONTROLLERA MATCHTID",IF(AND(COUNTIFS(BEMANNINGSPLAN!$A$5:$A$546,B57,BEMANNINGSPLAN!$C$5:$C$546,D57,BEMANNINGSPLAN!$D$5:$D$546,"&lt;="&amp;C57,BEMANNINGSPLAN!$E$5:$E$546,"&gt;"&amp;C57)&gt;0,COUNTIFS(BEMANNINGSPLAN!$A$5:$A$546,B57,BEMANNINGSPLAN!$C$5:$C$546,D57,BEMANNINGSPLAN!$D$5:$D$546,"&lt;"&amp;M57,BEMANNINGSPLAN!$E$5:$E$546,"&gt;="&amp;M57)&gt;0),"Ja","SAKNAS TIDSRADER"))))</f>
        <v>Ja</v>
      </c>
      <c r="O57" s="137">
        <f>IF(OR(B57="",K57&lt;&gt;"Ja"),"",COUNTIFS($B$5:B57,B57,$K$5:K57,"Ja"))</f>
        <v>7</v>
      </c>
      <c r="P57" s="137" t="str">
        <f t="shared" si="3"/>
        <v>yyyy-00-07|7</v>
      </c>
    </row>
    <row r="58" spans="1:16" ht="13">
      <c r="A58" s="31" t="str">
        <f>IF('IMPORT PROFIXIO'!A58="","",'IMPORT PROFIXIO'!A58)</f>
        <v>26 6 1352 026</v>
      </c>
      <c r="B58" s="32">
        <f>IF(A58="","",IF(ISNUMBER('IMPORT PROFIXIO'!D58),'IMPORT PROFIXIO'!D58,DATEVALUE('IMPORT PROFIXIO'!D58)))</f>
        <v>46333</v>
      </c>
      <c r="C58" s="33">
        <f>IF(A58="","",IF(ISNUMBER('IMPORT PROFIXIO'!E58),'IMPORT PROFIXIO'!E58,(VALUE(LEFT('IMPORT PROFIXIO'!E58,FIND(":",'IMPORT PROFIXIO'!E58)-1))*60+VALUE(MID('IMPORT PROFIXIO'!E58,FIND(":",'IMPORT PROFIXIO'!E58)+1,2)))/1440))</f>
        <v>0.52083333333333337</v>
      </c>
      <c r="D58" s="31" t="str">
        <f>IF(A58="","",'IMPORT PROFIXIO'!F58)</f>
        <v>Ulriksdalshallen</v>
      </c>
      <c r="E58" s="31" t="str">
        <f>IF(A58="","",'IMPORT PROFIXIO'!K58)</f>
        <v>Flickor - F13 Öst - F13 Nivå 2 Öst Norra</v>
      </c>
      <c r="F58" s="34" t="str">
        <f>IF(A58="","",IFERROR(VLOOKUP(E58,KLASSNING!$A$5:$F$74,2,FALSE()),"SAKNAS"))</f>
        <v>F13</v>
      </c>
      <c r="G58" s="34" t="str">
        <f>IF(A58="","",IFERROR(VLOOKUP(E58,KLASSNING!$A$5:$F$74,3,FALSE()),"SAKNAS"))</f>
        <v>Seriespel</v>
      </c>
      <c r="H58" s="34" t="str">
        <f>IF(A58="","",'IMPORT PROFIXIO'!H58)</f>
        <v>AIK 2</v>
      </c>
      <c r="I58" s="34" t="str">
        <f>IF(A58="","",'IMPORT PROFIXIO'!I58)</f>
        <v>Åkersberga HK</v>
      </c>
      <c r="J58" s="34" t="str">
        <f t="shared" si="0"/>
        <v>F13 2</v>
      </c>
      <c r="K58" s="34" t="str">
        <f t="shared" si="1"/>
        <v>Ja</v>
      </c>
      <c r="L58" s="34">
        <f>IF(A58="","",IFERROR(VLOOKUP(E58,KLASSNING!$A$5:$F$74,5,FALSE()),0))</f>
        <v>45</v>
      </c>
      <c r="M58" s="35">
        <f t="shared" si="2"/>
        <v>0.55208333333333337</v>
      </c>
      <c r="N58" s="34" t="str">
        <f>IF(A58="","",IF(K58&lt;&gt;"Ja","Ej aktuell",IF(L58&lt;=0,"KONTROLLERA MATCHTID",IF(AND(COUNTIFS(BEMANNINGSPLAN!$A$5:$A$546,B58,BEMANNINGSPLAN!$C$5:$C$546,D58,BEMANNINGSPLAN!$D$5:$D$546,"&lt;="&amp;C58,BEMANNINGSPLAN!$E$5:$E$546,"&gt;"&amp;C58)&gt;0,COUNTIFS(BEMANNINGSPLAN!$A$5:$A$546,B58,BEMANNINGSPLAN!$C$5:$C$546,D58,BEMANNINGSPLAN!$D$5:$D$546,"&lt;"&amp;M58,BEMANNINGSPLAN!$E$5:$E$546,"&gt;="&amp;M58)&gt;0),"Ja","SAKNAS TIDSRADER"))))</f>
        <v>Ja</v>
      </c>
      <c r="O58" s="137">
        <f>IF(OR(B58="",K58&lt;&gt;"Ja"),"",COUNTIFS($B$5:B58,B58,$K$5:K58,"Ja"))</f>
        <v>8</v>
      </c>
      <c r="P58" s="137" t="str">
        <f t="shared" si="3"/>
        <v>yyyy-00-07|8</v>
      </c>
    </row>
    <row r="59" spans="1:16" ht="13">
      <c r="A59" s="31" t="str">
        <f>IF('IMPORT PROFIXIO'!A59="","",'IMPORT PROFIXIO'!A59)</f>
        <v>26 6 1343 010</v>
      </c>
      <c r="B59" s="32">
        <f>IF(A59="","",IF(ISNUMBER('IMPORT PROFIXIO'!D59),'IMPORT PROFIXIO'!D59,DATEVALUE('IMPORT PROFIXIO'!D59)))</f>
        <v>46333</v>
      </c>
      <c r="C59" s="33">
        <f>IF(A59="","",IF(ISNUMBER('IMPORT PROFIXIO'!E59),'IMPORT PROFIXIO'!E59,(VALUE(LEFT('IMPORT PROFIXIO'!E59,FIND(":",'IMPORT PROFIXIO'!E59)-1))*60+VALUE(MID('IMPORT PROFIXIO'!E59,FIND(":",'IMPORT PROFIXIO'!E59)+1,2)))/1440))</f>
        <v>0.57291666666666663</v>
      </c>
      <c r="D59" s="31" t="str">
        <f>IF(A59="","",'IMPORT PROFIXIO'!F59)</f>
        <v>Ulriksdalshallen</v>
      </c>
      <c r="E59" s="31" t="str">
        <f>IF(A59="","",'IMPORT PROFIXIO'!K59)</f>
        <v>Flickor - F14 Öst - F14 Nivå 2 Öst Norra</v>
      </c>
      <c r="F59" s="34" t="str">
        <f>IF(A59="","",IFERROR(VLOOKUP(E59,KLASSNING!$A$5:$F$74,2,FALSE()),"SAKNAS"))</f>
        <v>F14</v>
      </c>
      <c r="G59" s="34" t="str">
        <f>IF(A59="","",IFERROR(VLOOKUP(E59,KLASSNING!$A$5:$F$74,3,FALSE()),"SAKNAS"))</f>
        <v>Seriespel</v>
      </c>
      <c r="H59" s="34" t="str">
        <f>IF(A59="","",'IMPORT PROFIXIO'!H59)</f>
        <v>AIK</v>
      </c>
      <c r="I59" s="34" t="str">
        <f>IF(A59="","",'IMPORT PROFIXIO'!I59)</f>
        <v>Åkersberga HK</v>
      </c>
      <c r="J59" s="34" t="str">
        <f t="shared" si="0"/>
        <v>F14</v>
      </c>
      <c r="K59" s="34" t="str">
        <f t="shared" si="1"/>
        <v>Ja</v>
      </c>
      <c r="L59" s="34">
        <f>IF(A59="","",IFERROR(VLOOKUP(E59,KLASSNING!$A$5:$F$74,5,FALSE()),0))</f>
        <v>45</v>
      </c>
      <c r="M59" s="35">
        <f t="shared" si="2"/>
        <v>0.60416666666666663</v>
      </c>
      <c r="N59" s="34" t="str">
        <f>IF(A59="","",IF(K59&lt;&gt;"Ja","Ej aktuell",IF(L59&lt;=0,"KONTROLLERA MATCHTID",IF(AND(COUNTIFS(BEMANNINGSPLAN!$A$5:$A$546,B59,BEMANNINGSPLAN!$C$5:$C$546,D59,BEMANNINGSPLAN!$D$5:$D$546,"&lt;="&amp;C59,BEMANNINGSPLAN!$E$5:$E$546,"&gt;"&amp;C59)&gt;0,COUNTIFS(BEMANNINGSPLAN!$A$5:$A$546,B59,BEMANNINGSPLAN!$C$5:$C$546,D59,BEMANNINGSPLAN!$D$5:$D$546,"&lt;"&amp;M59,BEMANNINGSPLAN!$E$5:$E$546,"&gt;="&amp;M59)&gt;0),"Ja","SAKNAS TIDSRADER"))))</f>
        <v>Ja</v>
      </c>
      <c r="O59" s="137">
        <f>IF(OR(B59="",K59&lt;&gt;"Ja"),"",COUNTIFS($B$5:B59,B59,$K$5:K59,"Ja"))</f>
        <v>9</v>
      </c>
      <c r="P59" s="137" t="str">
        <f t="shared" si="3"/>
        <v>yyyy-00-07|9</v>
      </c>
    </row>
    <row r="60" spans="1:16" ht="13">
      <c r="A60" s="31" t="str">
        <f>IF('IMPORT PROFIXIO'!A60="","",'IMPORT PROFIXIO'!A60)</f>
        <v>26 6 1151 005</v>
      </c>
      <c r="B60" s="32">
        <f>IF(A60="","",IF(ISNUMBER('IMPORT PROFIXIO'!D60),'IMPORT PROFIXIO'!D60,DATEVALUE('IMPORT PROFIXIO'!D60)))</f>
        <v>46336</v>
      </c>
      <c r="C60" s="33">
        <f>IF(A60="","",IF(ISNUMBER('IMPORT PROFIXIO'!E60),'IMPORT PROFIXIO'!E60,(VALUE(LEFT('IMPORT PROFIXIO'!E60,FIND(":",'IMPORT PROFIXIO'!E60)-1))*60+VALUE(MID('IMPORT PROFIXIO'!E60,FIND(":",'IMPORT PROFIXIO'!E60)+1,2)))/1440))</f>
        <v>0.875</v>
      </c>
      <c r="D60" s="31" t="str">
        <f>IF(A60="","",'IMPORT PROFIXIO'!F60)</f>
        <v>Tallbackaskolan</v>
      </c>
      <c r="E60" s="31" t="str">
        <f>IF(A60="","",'IMPORT PROFIXIO'!K60)</f>
        <v>Damer - Dam trim Öst</v>
      </c>
      <c r="F60" s="34" t="str">
        <f>IF(A60="","",IFERROR(VLOOKUP(E60,KLASSNING!$A$5:$F$74,2,FALSE()),"SAKNAS"))</f>
        <v>Dam</v>
      </c>
      <c r="G60" s="34" t="str">
        <f>IF(A60="","",IFERROR(VLOOKUP(E60,KLASSNING!$A$5:$F$74,3,FALSE()),"SAKNAS"))</f>
        <v>Seriespel</v>
      </c>
      <c r="H60" s="34" t="str">
        <f>IF(A60="","",'IMPORT PROFIXIO'!H60)</f>
        <v>AIK</v>
      </c>
      <c r="I60" s="34" t="str">
        <f>IF(A60="","",'IMPORT PROFIXIO'!I60)</f>
        <v>Sollentuna HK</v>
      </c>
      <c r="J60" s="34" t="str">
        <f t="shared" si="0"/>
        <v>Dam</v>
      </c>
      <c r="K60" s="34" t="str">
        <f t="shared" si="1"/>
        <v>Ja</v>
      </c>
      <c r="L60" s="34">
        <f>IF(A60="","",IFERROR(VLOOKUP(E60,KLASSNING!$A$5:$F$74,5,FALSE()),0))</f>
        <v>70</v>
      </c>
      <c r="M60" s="35">
        <f t="shared" si="2"/>
        <v>0.92361111111111116</v>
      </c>
      <c r="N60" s="34" t="str">
        <f>IF(A60="","",IF(K60&lt;&gt;"Ja","Ej aktuell",IF(L60&lt;=0,"KONTROLLERA MATCHTID",IF(AND(COUNTIFS(BEMANNINGSPLAN!$A$5:$A$546,B60,BEMANNINGSPLAN!$C$5:$C$546,D60,BEMANNINGSPLAN!$D$5:$D$546,"&lt;="&amp;C60,BEMANNINGSPLAN!$E$5:$E$546,"&gt;"&amp;C60)&gt;0,COUNTIFS(BEMANNINGSPLAN!$A$5:$A$546,B60,BEMANNINGSPLAN!$C$5:$C$546,D60,BEMANNINGSPLAN!$D$5:$D$546,"&lt;"&amp;M60,BEMANNINGSPLAN!$E$5:$E$546,"&gt;="&amp;M60)&gt;0),"Ja","SAKNAS TIDSRADER"))))</f>
        <v>Ja</v>
      </c>
      <c r="O60" s="137">
        <f>IF(OR(B60="",K60&lt;&gt;"Ja"),"",COUNTIFS($B$5:B60,B60,$K$5:K60,"Ja"))</f>
        <v>1</v>
      </c>
      <c r="P60" s="137" t="str">
        <f t="shared" si="3"/>
        <v>yyyy-00-10|1</v>
      </c>
    </row>
    <row r="61" spans="1:16" ht="13">
      <c r="A61" s="31" t="str">
        <f>IF('IMPORT PROFIXIO'!A61="","",'IMPORT PROFIXIO'!A61)</f>
        <v>26 6 1324 022</v>
      </c>
      <c r="B61" s="32">
        <f>IF(A61="","",IF(ISNUMBER('IMPORT PROFIXIO'!D61),'IMPORT PROFIXIO'!D61,DATEVALUE('IMPORT PROFIXIO'!D61)))</f>
        <v>46340</v>
      </c>
      <c r="C61" s="33">
        <f>IF(A61="","",IF(ISNUMBER('IMPORT PROFIXIO'!E61),'IMPORT PROFIXIO'!E61,(VALUE(LEFT('IMPORT PROFIXIO'!E61,FIND(":",'IMPORT PROFIXIO'!E61)-1))*60+VALUE(MID('IMPORT PROFIXIO'!E61,FIND(":",'IMPORT PROFIXIO'!E61)+1,2)))/1440))</f>
        <v>0.51388888888888884</v>
      </c>
      <c r="D61" s="31" t="str">
        <f>IF(A61="","",'IMPORT PROFIXIO'!F61)</f>
        <v>Råsta Park</v>
      </c>
      <c r="E61" s="31" t="str">
        <f>IF(A61="","",'IMPORT PROFIXIO'!K61)</f>
        <v>Flickor - F16 Öst - F16 Nivå 3 Öst</v>
      </c>
      <c r="F61" s="34" t="str">
        <f>IF(A61="","",IFERROR(VLOOKUP(E61,KLASSNING!$A$5:$F$74,2,FALSE()),"SAKNAS"))</f>
        <v>F16</v>
      </c>
      <c r="G61" s="34" t="str">
        <f>IF(A61="","",IFERROR(VLOOKUP(E61,KLASSNING!$A$5:$F$74,3,FALSE()),"SAKNAS"))</f>
        <v>Seriespel</v>
      </c>
      <c r="H61" s="34" t="str">
        <f>IF(A61="","",'IMPORT PROFIXIO'!H61)</f>
        <v>AIK 2</v>
      </c>
      <c r="I61" s="34" t="str">
        <f>IF(A61="","",'IMPORT PROFIXIO'!I61)</f>
        <v>Åkersberga HK</v>
      </c>
      <c r="J61" s="34" t="str">
        <f t="shared" si="0"/>
        <v>F16 2</v>
      </c>
      <c r="K61" s="34" t="str">
        <f t="shared" si="1"/>
        <v>Ja</v>
      </c>
      <c r="L61" s="34">
        <f>IF(A61="","",IFERROR(VLOOKUP(E61,KLASSNING!$A$5:$F$74,5,FALSE()),0))</f>
        <v>55</v>
      </c>
      <c r="M61" s="35">
        <f t="shared" si="2"/>
        <v>0.55208333333333326</v>
      </c>
      <c r="N61" s="34" t="str">
        <f>IF(A61="","",IF(K61&lt;&gt;"Ja","Ej aktuell",IF(L61&lt;=0,"KONTROLLERA MATCHTID",IF(AND(COUNTIFS(BEMANNINGSPLAN!$A$5:$A$546,B61,BEMANNINGSPLAN!$C$5:$C$546,D61,BEMANNINGSPLAN!$D$5:$D$546,"&lt;="&amp;C61,BEMANNINGSPLAN!$E$5:$E$546,"&gt;"&amp;C61)&gt;0,COUNTIFS(BEMANNINGSPLAN!$A$5:$A$546,B61,BEMANNINGSPLAN!$C$5:$C$546,D61,BEMANNINGSPLAN!$D$5:$D$546,"&lt;"&amp;M61,BEMANNINGSPLAN!$E$5:$E$546,"&gt;="&amp;M61)&gt;0),"Ja","SAKNAS TIDSRADER"))))</f>
        <v>Ja</v>
      </c>
      <c r="O61" s="137">
        <f>IF(OR(B61="",K61&lt;&gt;"Ja"),"",COUNTIFS($B$5:B61,B61,$K$5:K61,"Ja"))</f>
        <v>1</v>
      </c>
      <c r="P61" s="137" t="str">
        <f t="shared" si="3"/>
        <v>yyyy-00-14|1</v>
      </c>
    </row>
    <row r="62" spans="1:16" ht="13">
      <c r="A62" s="31" t="str">
        <f>IF('IMPORT PROFIXIO'!A62="","",'IMPORT PROFIXIO'!A62)</f>
        <v>26 6 1524 021</v>
      </c>
      <c r="B62" s="32">
        <f>IF(A62="","",IF(ISNUMBER('IMPORT PROFIXIO'!D62),'IMPORT PROFIXIO'!D62,DATEVALUE('IMPORT PROFIXIO'!D62)))</f>
        <v>46340</v>
      </c>
      <c r="C62" s="33">
        <f>IF(A62="","",IF(ISNUMBER('IMPORT PROFIXIO'!E62),'IMPORT PROFIXIO'!E62,(VALUE(LEFT('IMPORT PROFIXIO'!E62,FIND(":",'IMPORT PROFIXIO'!E62)-1))*60+VALUE(MID('IMPORT PROFIXIO'!E62,FIND(":",'IMPORT PROFIXIO'!E62)+1,2)))/1440))</f>
        <v>0.56944444444444442</v>
      </c>
      <c r="D62" s="31" t="str">
        <f>IF(A62="","",'IMPORT PROFIXIO'!F62)</f>
        <v>Råsta Park</v>
      </c>
      <c r="E62" s="31" t="str">
        <f>IF(A62="","",'IMPORT PROFIXIO'!K62)</f>
        <v>Pojkar - P16 Öst - P16 Nivå 3 Öst</v>
      </c>
      <c r="F62" s="34" t="str">
        <f>IF(A62="","",IFERROR(VLOOKUP(E62,KLASSNING!$A$5:$F$74,2,FALSE()),"SAKNAS"))</f>
        <v>P16</v>
      </c>
      <c r="G62" s="34" t="str">
        <f>IF(A62="","",IFERROR(VLOOKUP(E62,KLASSNING!$A$5:$F$74,3,FALSE()),"SAKNAS"))</f>
        <v>Seriespel</v>
      </c>
      <c r="H62" s="34" t="str">
        <f>IF(A62="","",'IMPORT PROFIXIO'!H62)</f>
        <v>AIK 2</v>
      </c>
      <c r="I62" s="34" t="str">
        <f>IF(A62="","",'IMPORT PROFIXIO'!I62)</f>
        <v>Sannadals SK 2</v>
      </c>
      <c r="J62" s="34" t="str">
        <f t="shared" si="0"/>
        <v>P16 2</v>
      </c>
      <c r="K62" s="34" t="str">
        <f t="shared" si="1"/>
        <v>Ja</v>
      </c>
      <c r="L62" s="34">
        <f>IF(A62="","",IFERROR(VLOOKUP(E62,KLASSNING!$A$5:$F$74,5,FALSE()),0))</f>
        <v>55</v>
      </c>
      <c r="M62" s="35">
        <f t="shared" si="2"/>
        <v>0.60763888888888884</v>
      </c>
      <c r="N62" s="34" t="str">
        <f>IF(A62="","",IF(K62&lt;&gt;"Ja","Ej aktuell",IF(L62&lt;=0,"KONTROLLERA MATCHTID",IF(AND(COUNTIFS(BEMANNINGSPLAN!$A$5:$A$546,B62,BEMANNINGSPLAN!$C$5:$C$546,D62,BEMANNINGSPLAN!$D$5:$D$546,"&lt;="&amp;C62,BEMANNINGSPLAN!$E$5:$E$546,"&gt;"&amp;C62)&gt;0,COUNTIFS(BEMANNINGSPLAN!$A$5:$A$546,B62,BEMANNINGSPLAN!$C$5:$C$546,D62,BEMANNINGSPLAN!$D$5:$D$546,"&lt;"&amp;M62,BEMANNINGSPLAN!$E$5:$E$546,"&gt;="&amp;M62)&gt;0),"Ja","SAKNAS TIDSRADER"))))</f>
        <v>Ja</v>
      </c>
      <c r="O62" s="137">
        <f>IF(OR(B62="",K62&lt;&gt;"Ja"),"",COUNTIFS($B$5:B62,B62,$K$5:K62,"Ja"))</f>
        <v>2</v>
      </c>
      <c r="P62" s="137" t="str">
        <f t="shared" si="3"/>
        <v>yyyy-00-14|2</v>
      </c>
    </row>
    <row r="63" spans="1:16" ht="13">
      <c r="A63" s="31" t="str">
        <f>IF('IMPORT PROFIXIO'!A63="","",'IMPORT PROFIXIO'!A63)</f>
        <v>26 6 1563 021</v>
      </c>
      <c r="B63" s="32">
        <f>IF(A63="","",IF(ISNUMBER('IMPORT PROFIXIO'!D63),'IMPORT PROFIXIO'!D63,DATEVALUE('IMPORT PROFIXIO'!D63)))</f>
        <v>46340</v>
      </c>
      <c r="C63" s="33">
        <f>IF(A63="","",IF(ISNUMBER('IMPORT PROFIXIO'!E63),'IMPORT PROFIXIO'!E63,(VALUE(LEFT('IMPORT PROFIXIO'!E63,FIND(":",'IMPORT PROFIXIO'!E63)-1))*60+VALUE(MID('IMPORT PROFIXIO'!E63,FIND(":",'IMPORT PROFIXIO'!E63)+1,2)))/1440))</f>
        <v>0.375</v>
      </c>
      <c r="D63" s="31" t="str">
        <f>IF(A63="","",'IMPORT PROFIXIO'!F63)</f>
        <v>Tallbackaskolan</v>
      </c>
      <c r="E63" s="31" t="str">
        <f>IF(A63="","",'IMPORT PROFIXIO'!K63)</f>
        <v>Pojkar - P12 Öst - P12 Nivå 2 Öst Södra</v>
      </c>
      <c r="F63" s="34" t="str">
        <f>IF(A63="","",IFERROR(VLOOKUP(E63,KLASSNING!$A$5:$F$74,2,FALSE()),"SAKNAS"))</f>
        <v>P12</v>
      </c>
      <c r="G63" s="34" t="str">
        <f>IF(A63="","",IFERROR(VLOOKUP(E63,KLASSNING!$A$5:$F$74,3,FALSE()),"SAKNAS"))</f>
        <v>Seriespel</v>
      </c>
      <c r="H63" s="34" t="str">
        <f>IF(A63="","",'IMPORT PROFIXIO'!H63)</f>
        <v>AIK 2</v>
      </c>
      <c r="I63" s="34" t="str">
        <f>IF(A63="","",'IMPORT PROFIXIO'!I63)</f>
        <v>Sannadals SK Vit</v>
      </c>
      <c r="J63" s="34" t="str">
        <f t="shared" si="0"/>
        <v>P12 2</v>
      </c>
      <c r="K63" s="34" t="str">
        <f t="shared" si="1"/>
        <v>Ja</v>
      </c>
      <c r="L63" s="34">
        <f>IF(A63="","",IFERROR(VLOOKUP(E63,KLASSNING!$A$5:$F$74,5,FALSE()),0))</f>
        <v>35</v>
      </c>
      <c r="M63" s="35">
        <f t="shared" si="2"/>
        <v>0.39930555555555558</v>
      </c>
      <c r="N63" s="34" t="str">
        <f>IF(A63="","",IF(K63&lt;&gt;"Ja","Ej aktuell",IF(L63&lt;=0,"KONTROLLERA MATCHTID",IF(AND(COUNTIFS(BEMANNINGSPLAN!$A$5:$A$546,B63,BEMANNINGSPLAN!$C$5:$C$546,D63,BEMANNINGSPLAN!$D$5:$D$546,"&lt;="&amp;C63,BEMANNINGSPLAN!$E$5:$E$546,"&gt;"&amp;C63)&gt;0,COUNTIFS(BEMANNINGSPLAN!$A$5:$A$546,B63,BEMANNINGSPLAN!$C$5:$C$546,D63,BEMANNINGSPLAN!$D$5:$D$546,"&lt;"&amp;M63,BEMANNINGSPLAN!$E$5:$E$546,"&gt;="&amp;M63)&gt;0),"Ja","SAKNAS TIDSRADER"))))</f>
        <v>Ja</v>
      </c>
      <c r="O63" s="137">
        <f>IF(OR(B63="",K63&lt;&gt;"Ja"),"",COUNTIFS($B$5:B63,B63,$K$5:K63,"Ja"))</f>
        <v>3</v>
      </c>
      <c r="P63" s="137" t="str">
        <f t="shared" si="3"/>
        <v>yyyy-00-14|3</v>
      </c>
    </row>
    <row r="64" spans="1:16" ht="13">
      <c r="A64" s="31" t="str">
        <f>IF('IMPORT PROFIXIO'!A64="","",'IMPORT PROFIXIO'!A64)</f>
        <v>26 6 1563 022</v>
      </c>
      <c r="B64" s="32">
        <f>IF(A64="","",IF(ISNUMBER('IMPORT PROFIXIO'!D64),'IMPORT PROFIXIO'!D64,DATEVALUE('IMPORT PROFIXIO'!D64)))</f>
        <v>46340</v>
      </c>
      <c r="C64" s="33">
        <f>IF(A64="","",IF(ISNUMBER('IMPORT PROFIXIO'!E64),'IMPORT PROFIXIO'!E64,(VALUE(LEFT('IMPORT PROFIXIO'!E64,FIND(":",'IMPORT PROFIXIO'!E64)-1))*60+VALUE(MID('IMPORT PROFIXIO'!E64,FIND(":",'IMPORT PROFIXIO'!E64)+1,2)))/1440))</f>
        <v>0.41666666666666669</v>
      </c>
      <c r="D64" s="31" t="str">
        <f>IF(A64="","",'IMPORT PROFIXIO'!F64)</f>
        <v>Tallbackaskolan</v>
      </c>
      <c r="E64" s="31" t="str">
        <f>IF(A64="","",'IMPORT PROFIXIO'!K64)</f>
        <v>Pojkar - P12 Öst - P12 Nivå 2 Öst Södra</v>
      </c>
      <c r="F64" s="34" t="str">
        <f>IF(A64="","",IFERROR(VLOOKUP(E64,KLASSNING!$A$5:$F$74,2,FALSE()),"SAKNAS"))</f>
        <v>P12</v>
      </c>
      <c r="G64" s="34" t="str">
        <f>IF(A64="","",IFERROR(VLOOKUP(E64,KLASSNING!$A$5:$F$74,3,FALSE()),"SAKNAS"))</f>
        <v>Seriespel</v>
      </c>
      <c r="H64" s="34" t="str">
        <f>IF(A64="","",'IMPORT PROFIXIO'!H64)</f>
        <v>Skuru IK 2</v>
      </c>
      <c r="I64" s="34" t="str">
        <f>IF(A64="","",'IMPORT PROFIXIO'!I64)</f>
        <v>Tyresö Handboll 2</v>
      </c>
      <c r="J64" s="34" t="str">
        <f t="shared" si="0"/>
        <v/>
      </c>
      <c r="K64" s="34" t="str">
        <f t="shared" si="1"/>
        <v>Ja</v>
      </c>
      <c r="L64" s="34">
        <f>IF(A64="","",IFERROR(VLOOKUP(E64,KLASSNING!$A$5:$F$74,5,FALSE()),0))</f>
        <v>35</v>
      </c>
      <c r="M64" s="35">
        <f t="shared" si="2"/>
        <v>0.44097222222222227</v>
      </c>
      <c r="N64" s="34" t="str">
        <f>IF(A64="","",IF(K64&lt;&gt;"Ja","Ej aktuell",IF(L64&lt;=0,"KONTROLLERA MATCHTID",IF(AND(COUNTIFS(BEMANNINGSPLAN!$A$5:$A$546,B64,BEMANNINGSPLAN!$C$5:$C$546,D64,BEMANNINGSPLAN!$D$5:$D$546,"&lt;="&amp;C64,BEMANNINGSPLAN!$E$5:$E$546,"&gt;"&amp;C64)&gt;0,COUNTIFS(BEMANNINGSPLAN!$A$5:$A$546,B64,BEMANNINGSPLAN!$C$5:$C$546,D64,BEMANNINGSPLAN!$D$5:$D$546,"&lt;"&amp;M64,BEMANNINGSPLAN!$E$5:$E$546,"&gt;="&amp;M64)&gt;0),"Ja","SAKNAS TIDSRADER"))))</f>
        <v>Ja</v>
      </c>
      <c r="O64" s="137">
        <f>IF(OR(B64="",K64&lt;&gt;"Ja"),"",COUNTIFS($B$5:B64,B64,$K$5:K64,"Ja"))</f>
        <v>4</v>
      </c>
      <c r="P64" s="137" t="str">
        <f t="shared" si="3"/>
        <v>yyyy-00-14|4</v>
      </c>
    </row>
    <row r="65" spans="1:16" ht="13">
      <c r="A65" s="31" t="str">
        <f>IF('IMPORT PROFIXIO'!A65="","",'IMPORT PROFIXIO'!A65)</f>
        <v>26 6 1563 024</v>
      </c>
      <c r="B65" s="32">
        <f>IF(A65="","",IF(ISNUMBER('IMPORT PROFIXIO'!D65),'IMPORT PROFIXIO'!D65,DATEVALUE('IMPORT PROFIXIO'!D65)))</f>
        <v>46340</v>
      </c>
      <c r="C65" s="33">
        <f>IF(A65="","",IF(ISNUMBER('IMPORT PROFIXIO'!E65),'IMPORT PROFIXIO'!E65,(VALUE(LEFT('IMPORT PROFIXIO'!E65,FIND(":",'IMPORT PROFIXIO'!E65)-1))*60+VALUE(MID('IMPORT PROFIXIO'!E65,FIND(":",'IMPORT PROFIXIO'!E65)+1,2)))/1440))</f>
        <v>0.46875</v>
      </c>
      <c r="D65" s="31" t="str">
        <f>IF(A65="","",'IMPORT PROFIXIO'!F65)</f>
        <v>Tallbackaskolan</v>
      </c>
      <c r="E65" s="31" t="str">
        <f>IF(A65="","",'IMPORT PROFIXIO'!K65)</f>
        <v>Pojkar - P12 Öst - P12 Nivå 2 Öst Södra</v>
      </c>
      <c r="F65" s="34" t="str">
        <f>IF(A65="","",IFERROR(VLOOKUP(E65,KLASSNING!$A$5:$F$74,2,FALSE()),"SAKNAS"))</f>
        <v>P12</v>
      </c>
      <c r="G65" s="34" t="str">
        <f>IF(A65="","",IFERROR(VLOOKUP(E65,KLASSNING!$A$5:$F$74,3,FALSE()),"SAKNAS"))</f>
        <v>Seriespel</v>
      </c>
      <c r="H65" s="34" t="str">
        <f>IF(A65="","",'IMPORT PROFIXIO'!H65)</f>
        <v>AIK 2</v>
      </c>
      <c r="I65" s="34" t="str">
        <f>IF(A65="","",'IMPORT PROFIXIO'!I65)</f>
        <v>Tyresö Handboll 2</v>
      </c>
      <c r="J65" s="34" t="str">
        <f t="shared" si="0"/>
        <v>P12 2</v>
      </c>
      <c r="K65" s="34" t="str">
        <f t="shared" si="1"/>
        <v>Ja</v>
      </c>
      <c r="L65" s="34">
        <f>IF(A65="","",IFERROR(VLOOKUP(E65,KLASSNING!$A$5:$F$74,5,FALSE()),0))</f>
        <v>35</v>
      </c>
      <c r="M65" s="35">
        <f t="shared" si="2"/>
        <v>0.49305555555555558</v>
      </c>
      <c r="N65" s="34" t="str">
        <f>IF(A65="","",IF(K65&lt;&gt;"Ja","Ej aktuell",IF(L65&lt;=0,"KONTROLLERA MATCHTID",IF(AND(COUNTIFS(BEMANNINGSPLAN!$A$5:$A$546,B65,BEMANNINGSPLAN!$C$5:$C$546,D65,BEMANNINGSPLAN!$D$5:$D$546,"&lt;="&amp;C65,BEMANNINGSPLAN!$E$5:$E$546,"&gt;"&amp;C65)&gt;0,COUNTIFS(BEMANNINGSPLAN!$A$5:$A$546,B65,BEMANNINGSPLAN!$C$5:$C$546,D65,BEMANNINGSPLAN!$D$5:$D$546,"&lt;"&amp;M65,BEMANNINGSPLAN!$E$5:$E$546,"&gt;="&amp;M65)&gt;0),"Ja","SAKNAS TIDSRADER"))))</f>
        <v>Ja</v>
      </c>
      <c r="O65" s="137">
        <f>IF(OR(B65="",K65&lt;&gt;"Ja"),"",COUNTIFS($B$5:B65,B65,$K$5:K65,"Ja"))</f>
        <v>5</v>
      </c>
      <c r="P65" s="137" t="str">
        <f t="shared" si="3"/>
        <v>yyyy-00-14|5</v>
      </c>
    </row>
    <row r="66" spans="1:16" ht="13">
      <c r="A66" s="31" t="str">
        <f>IF('IMPORT PROFIXIO'!A66="","",'IMPORT PROFIXIO'!A66)</f>
        <v>26 6 1563 023</v>
      </c>
      <c r="B66" s="32">
        <f>IF(A66="","",IF(ISNUMBER('IMPORT PROFIXIO'!D66),'IMPORT PROFIXIO'!D66,DATEVALUE('IMPORT PROFIXIO'!D66)))</f>
        <v>46340</v>
      </c>
      <c r="C66" s="33">
        <f>IF(A66="","",IF(ISNUMBER('IMPORT PROFIXIO'!E66),'IMPORT PROFIXIO'!E66,(VALUE(LEFT('IMPORT PROFIXIO'!E66,FIND(":",'IMPORT PROFIXIO'!E66)-1))*60+VALUE(MID('IMPORT PROFIXIO'!E66,FIND(":",'IMPORT PROFIXIO'!E66)+1,2)))/1440))</f>
        <v>0.51041666666666663</v>
      </c>
      <c r="D66" s="31" t="str">
        <f>IF(A66="","",'IMPORT PROFIXIO'!F66)</f>
        <v>Tallbackaskolan</v>
      </c>
      <c r="E66" s="31" t="str">
        <f>IF(A66="","",'IMPORT PROFIXIO'!K66)</f>
        <v>Pojkar - P12 Öst - P12 Nivå 2 Öst Södra</v>
      </c>
      <c r="F66" s="34" t="str">
        <f>IF(A66="","",IFERROR(VLOOKUP(E66,KLASSNING!$A$5:$F$74,2,FALSE()),"SAKNAS"))</f>
        <v>P12</v>
      </c>
      <c r="G66" s="34" t="str">
        <f>IF(A66="","",IFERROR(VLOOKUP(E66,KLASSNING!$A$5:$F$74,3,FALSE()),"SAKNAS"))</f>
        <v>Seriespel</v>
      </c>
      <c r="H66" s="34" t="str">
        <f>IF(A66="","",'IMPORT PROFIXIO'!H66)</f>
        <v>Sannadals SK Vit</v>
      </c>
      <c r="I66" s="34" t="str">
        <f>IF(A66="","",'IMPORT PROFIXIO'!I66)</f>
        <v>Skuru IK 2</v>
      </c>
      <c r="J66" s="34" t="str">
        <f t="shared" si="0"/>
        <v/>
      </c>
      <c r="K66" s="34" t="str">
        <f t="shared" si="1"/>
        <v>Ja</v>
      </c>
      <c r="L66" s="34">
        <f>IF(A66="","",IFERROR(VLOOKUP(E66,KLASSNING!$A$5:$F$74,5,FALSE()),0))</f>
        <v>35</v>
      </c>
      <c r="M66" s="35">
        <f t="shared" si="2"/>
        <v>0.53472222222222221</v>
      </c>
      <c r="N66" s="34" t="str">
        <f>IF(A66="","",IF(K66&lt;&gt;"Ja","Ej aktuell",IF(L66&lt;=0,"KONTROLLERA MATCHTID",IF(AND(COUNTIFS(BEMANNINGSPLAN!$A$5:$A$546,B66,BEMANNINGSPLAN!$C$5:$C$546,D66,BEMANNINGSPLAN!$D$5:$D$546,"&lt;="&amp;C66,BEMANNINGSPLAN!$E$5:$E$546,"&gt;"&amp;C66)&gt;0,COUNTIFS(BEMANNINGSPLAN!$A$5:$A$546,B66,BEMANNINGSPLAN!$C$5:$C$546,D66,BEMANNINGSPLAN!$D$5:$D$546,"&lt;"&amp;M66,BEMANNINGSPLAN!$E$5:$E$546,"&gt;="&amp;M66)&gt;0),"Ja","SAKNAS TIDSRADER"))))</f>
        <v>Ja</v>
      </c>
      <c r="O66" s="137">
        <f>IF(OR(B66="",K66&lt;&gt;"Ja"),"",COUNTIFS($B$5:B66,B66,$K$5:K66,"Ja"))</f>
        <v>6</v>
      </c>
      <c r="P66" s="137" t="str">
        <f t="shared" si="3"/>
        <v>yyyy-00-14|6</v>
      </c>
    </row>
    <row r="67" spans="1:16" ht="13">
      <c r="A67" s="31" t="str">
        <f>IF('IMPORT PROFIXIO'!A67="","",'IMPORT PROFIXIO'!A67)</f>
        <v>26 6 6325 001</v>
      </c>
      <c r="B67" s="32">
        <f>IF(A67="","",IF(ISNUMBER('IMPORT PROFIXIO'!D67),'IMPORT PROFIXIO'!D67,DATEVALUE('IMPORT PROFIXIO'!D67)))</f>
        <v>46340</v>
      </c>
      <c r="C67" s="33">
        <f>IF(A67="","",IF(ISNUMBER('IMPORT PROFIXIO'!E67),'IMPORT PROFIXIO'!E67,(VALUE(LEFT('IMPORT PROFIXIO'!E67,FIND(":",'IMPORT PROFIXIO'!E67)-1))*60+VALUE(MID('IMPORT PROFIXIO'!E67,FIND(":",'IMPORT PROFIXIO'!E67)+1,2)))/1440))</f>
        <v>0.375</v>
      </c>
      <c r="D67" s="31" t="str">
        <f>IF(A67="","",'IMPORT PROFIXIO'!F67)</f>
        <v>Ulriksdalshallen</v>
      </c>
      <c r="E67" s="31" t="str">
        <f>IF(A67="","",'IMPORT PROFIXIO'!K67)</f>
        <v>Östbollen - F13 Öst - Omgång 2</v>
      </c>
      <c r="F67" s="34" t="str">
        <f>IF(A67="","",IFERROR(VLOOKUP(E67,KLASSNING!$A$5:$F$74,2,FALSE()),"SAKNAS"))</f>
        <v>F13</v>
      </c>
      <c r="G67" s="34" t="str">
        <f>IF(A67="","",IFERROR(VLOOKUP(E67,KLASSNING!$A$5:$F$74,3,FALSE()),"SAKNAS"))</f>
        <v>Östbollen</v>
      </c>
      <c r="H67" s="34" t="str">
        <f>IF(A67="","",'IMPORT PROFIXIO'!H67)</f>
        <v>AIK</v>
      </c>
      <c r="I67" s="34" t="str">
        <f>IF(A67="","",'IMPORT PROFIXIO'!I67)</f>
        <v>Vacant- 37</v>
      </c>
      <c r="J67" s="34" t="str">
        <f t="shared" si="0"/>
        <v>F13</v>
      </c>
      <c r="K67" s="34" t="str">
        <f t="shared" si="1"/>
        <v>Ja</v>
      </c>
      <c r="L67" s="34">
        <f>IF(A67="","",IFERROR(VLOOKUP(E67,KLASSNING!$A$5:$F$74,5,FALSE()),0))</f>
        <v>35</v>
      </c>
      <c r="M67" s="35">
        <f t="shared" si="2"/>
        <v>0.39930555555555558</v>
      </c>
      <c r="N67" s="34" t="str">
        <f>IF(A67="","",IF(K67&lt;&gt;"Ja","Ej aktuell",IF(L67&lt;=0,"KONTROLLERA MATCHTID",IF(AND(COUNTIFS(BEMANNINGSPLAN!$A$5:$A$546,B67,BEMANNINGSPLAN!$C$5:$C$546,D67,BEMANNINGSPLAN!$D$5:$D$546,"&lt;="&amp;C67,BEMANNINGSPLAN!$E$5:$E$546,"&gt;"&amp;C67)&gt;0,COUNTIFS(BEMANNINGSPLAN!$A$5:$A$546,B67,BEMANNINGSPLAN!$C$5:$C$546,D67,BEMANNINGSPLAN!$D$5:$D$546,"&lt;"&amp;M67,BEMANNINGSPLAN!$E$5:$E$546,"&gt;="&amp;M67)&gt;0),"Ja","SAKNAS TIDSRADER"))))</f>
        <v>Ja</v>
      </c>
      <c r="O67" s="137">
        <f>IF(OR(B67="",K67&lt;&gt;"Ja"),"",COUNTIFS($B$5:B67,B67,$K$5:K67,"Ja"))</f>
        <v>7</v>
      </c>
      <c r="P67" s="137" t="str">
        <f t="shared" si="3"/>
        <v>yyyy-00-14|7</v>
      </c>
    </row>
    <row r="68" spans="1:16" ht="13">
      <c r="A68" s="31" t="str">
        <f>IF('IMPORT PROFIXIO'!A68="","",'IMPORT PROFIXIO'!A68)</f>
        <v>26 6 6325 002</v>
      </c>
      <c r="B68" s="32">
        <f>IF(A68="","",IF(ISNUMBER('IMPORT PROFIXIO'!D68),'IMPORT PROFIXIO'!D68,DATEVALUE('IMPORT PROFIXIO'!D68)))</f>
        <v>46340</v>
      </c>
      <c r="C68" s="33">
        <f>IF(A68="","",IF(ISNUMBER('IMPORT PROFIXIO'!E68),'IMPORT PROFIXIO'!E68,(VALUE(LEFT('IMPORT PROFIXIO'!E68,FIND(":",'IMPORT PROFIXIO'!E68)-1))*60+VALUE(MID('IMPORT PROFIXIO'!E68,FIND(":",'IMPORT PROFIXIO'!E68)+1,2)))/1440))</f>
        <v>0.40972222222222221</v>
      </c>
      <c r="D68" s="31" t="str">
        <f>IF(A68="","",'IMPORT PROFIXIO'!F68)</f>
        <v>Ulriksdalshallen</v>
      </c>
      <c r="E68" s="31" t="str">
        <f>IF(A68="","",'IMPORT PROFIXIO'!K68)</f>
        <v>Östbollen - F13 Öst - Omgång 2</v>
      </c>
      <c r="F68" s="34" t="str">
        <f>IF(A68="","",IFERROR(VLOOKUP(E68,KLASSNING!$A$5:$F$74,2,FALSE()),"SAKNAS"))</f>
        <v>F13</v>
      </c>
      <c r="G68" s="34" t="str">
        <f>IF(A68="","",IFERROR(VLOOKUP(E68,KLASSNING!$A$5:$F$74,3,FALSE()),"SAKNAS"))</f>
        <v>Östbollen</v>
      </c>
      <c r="H68" s="34" t="str">
        <f>IF(A68="","",'IMPORT PROFIXIO'!H68)</f>
        <v>Vacant- 37</v>
      </c>
      <c r="I68" s="34" t="str">
        <f>IF(A68="","",'IMPORT PROFIXIO'!I68)</f>
        <v>Vacant- 37</v>
      </c>
      <c r="J68" s="34" t="str">
        <f t="shared" si="0"/>
        <v/>
      </c>
      <c r="K68" s="34" t="str">
        <f t="shared" si="1"/>
        <v>Ja</v>
      </c>
      <c r="L68" s="34">
        <f>IF(A68="","",IFERROR(VLOOKUP(E68,KLASSNING!$A$5:$F$74,5,FALSE()),0))</f>
        <v>35</v>
      </c>
      <c r="M68" s="35">
        <f t="shared" si="2"/>
        <v>0.43402777777777779</v>
      </c>
      <c r="N68" s="34" t="str">
        <f>IF(A68="","",IF(K68&lt;&gt;"Ja","Ej aktuell",IF(L68&lt;=0,"KONTROLLERA MATCHTID",IF(AND(COUNTIFS(BEMANNINGSPLAN!$A$5:$A$546,B68,BEMANNINGSPLAN!$C$5:$C$546,D68,BEMANNINGSPLAN!$D$5:$D$546,"&lt;="&amp;C68,BEMANNINGSPLAN!$E$5:$E$546,"&gt;"&amp;C68)&gt;0,COUNTIFS(BEMANNINGSPLAN!$A$5:$A$546,B68,BEMANNINGSPLAN!$C$5:$C$546,D68,BEMANNINGSPLAN!$D$5:$D$546,"&lt;"&amp;M68,BEMANNINGSPLAN!$E$5:$E$546,"&gt;="&amp;M68)&gt;0),"Ja","SAKNAS TIDSRADER"))))</f>
        <v>Ja</v>
      </c>
      <c r="O68" s="137">
        <f>IF(OR(B68="",K68&lt;&gt;"Ja"),"",COUNTIFS($B$5:B68,B68,$K$5:K68,"Ja"))</f>
        <v>8</v>
      </c>
      <c r="P68" s="137" t="str">
        <f t="shared" si="3"/>
        <v>yyyy-00-14|8</v>
      </c>
    </row>
    <row r="69" spans="1:16" ht="13">
      <c r="A69" s="31" t="str">
        <f>IF('IMPORT PROFIXIO'!A69="","",'IMPORT PROFIXIO'!A69)</f>
        <v>26 6 6325 003</v>
      </c>
      <c r="B69" s="32">
        <f>IF(A69="","",IF(ISNUMBER('IMPORT PROFIXIO'!D69),'IMPORT PROFIXIO'!D69,DATEVALUE('IMPORT PROFIXIO'!D69)))</f>
        <v>46340</v>
      </c>
      <c r="C69" s="33">
        <f>IF(A69="","",IF(ISNUMBER('IMPORT PROFIXIO'!E69),'IMPORT PROFIXIO'!E69,(VALUE(LEFT('IMPORT PROFIXIO'!E69,FIND(":",'IMPORT PROFIXIO'!E69)-1))*60+VALUE(MID('IMPORT PROFIXIO'!E69,FIND(":",'IMPORT PROFIXIO'!E69)+1,2)))/1440))</f>
        <v>0.46527777777777779</v>
      </c>
      <c r="D69" s="31" t="str">
        <f>IF(A69="","",'IMPORT PROFIXIO'!F69)</f>
        <v>Ulriksdalshallen</v>
      </c>
      <c r="E69" s="31" t="str">
        <f>IF(A69="","",'IMPORT PROFIXIO'!K69)</f>
        <v>Östbollen - F13 Öst - Omgång 2</v>
      </c>
      <c r="F69" s="34" t="str">
        <f>IF(A69="","",IFERROR(VLOOKUP(E69,KLASSNING!$A$5:$F$74,2,FALSE()),"SAKNAS"))</f>
        <v>F13</v>
      </c>
      <c r="G69" s="34" t="str">
        <f>IF(A69="","",IFERROR(VLOOKUP(E69,KLASSNING!$A$5:$F$74,3,FALSE()),"SAKNAS"))</f>
        <v>Östbollen</v>
      </c>
      <c r="H69" s="34" t="str">
        <f>IF(A69="","",'IMPORT PROFIXIO'!H69)</f>
        <v>AIK</v>
      </c>
      <c r="I69" s="34" t="str">
        <f>IF(A69="","",'IMPORT PROFIXIO'!I69)</f>
        <v>Vacant- 37</v>
      </c>
      <c r="J69" s="34" t="str">
        <f t="shared" ref="J69:J132" si="4">IF(A69="","",IF(LEFT(H69,3)="AIK",IF(H69="AIK 2",F69&amp;" 2",F69),IF(LEFT(I69,3)="AIK",IF(I69="AIK 2",F69&amp;" 2",F69),"")))</f>
        <v>F13</v>
      </c>
      <c r="K69" s="34" t="str">
        <f t="shared" ref="K69:K132" si="5">IF(A69="","",IF(D69="Solnahallen","Nej","Ja"))</f>
        <v>Ja</v>
      </c>
      <c r="L69" s="34">
        <f>IF(A69="","",IFERROR(VLOOKUP(E69,KLASSNING!$A$5:$F$74,5,FALSE()),0))</f>
        <v>35</v>
      </c>
      <c r="M69" s="35">
        <f t="shared" ref="M69:M132" si="6">IF(OR(A69="",K69&lt;&gt;"Ja"),"",C69+L69/1440)</f>
        <v>0.48958333333333337</v>
      </c>
      <c r="N69" s="34" t="str">
        <f>IF(A69="","",IF(K69&lt;&gt;"Ja","Ej aktuell",IF(L69&lt;=0,"KONTROLLERA MATCHTID",IF(AND(COUNTIFS(BEMANNINGSPLAN!$A$5:$A$546,B69,BEMANNINGSPLAN!$C$5:$C$546,D69,BEMANNINGSPLAN!$D$5:$D$546,"&lt;="&amp;C69,BEMANNINGSPLAN!$E$5:$E$546,"&gt;"&amp;C69)&gt;0,COUNTIFS(BEMANNINGSPLAN!$A$5:$A$546,B69,BEMANNINGSPLAN!$C$5:$C$546,D69,BEMANNINGSPLAN!$D$5:$D$546,"&lt;"&amp;M69,BEMANNINGSPLAN!$E$5:$E$546,"&gt;="&amp;M69)&gt;0),"Ja","SAKNAS TIDSRADER"))))</f>
        <v>Ja</v>
      </c>
      <c r="O69" s="137">
        <f>IF(OR(B69="",K69&lt;&gt;"Ja"),"",COUNTIFS($B$5:B69,B69,$K$5:K69,"Ja"))</f>
        <v>9</v>
      </c>
      <c r="P69" s="137" t="str">
        <f t="shared" ref="P69:P132" si="7">IF(O69="","",TEXT(B69,"yyyy-mm-dd")&amp;"|"&amp;O69)</f>
        <v>yyyy-00-14|9</v>
      </c>
    </row>
    <row r="70" spans="1:16" ht="13">
      <c r="A70" s="31" t="str">
        <f>IF('IMPORT PROFIXIO'!A70="","",'IMPORT PROFIXIO'!A70)</f>
        <v>26 6 6325 004</v>
      </c>
      <c r="B70" s="32">
        <f>IF(A70="","",IF(ISNUMBER('IMPORT PROFIXIO'!D70),'IMPORT PROFIXIO'!D70,DATEVALUE('IMPORT PROFIXIO'!D70)))</f>
        <v>46340</v>
      </c>
      <c r="C70" s="33">
        <f>IF(A70="","",IF(ISNUMBER('IMPORT PROFIXIO'!E70),'IMPORT PROFIXIO'!E70,(VALUE(LEFT('IMPORT PROFIXIO'!E70,FIND(":",'IMPORT PROFIXIO'!E70)-1))*60+VALUE(MID('IMPORT PROFIXIO'!E70,FIND(":",'IMPORT PROFIXIO'!E70)+1,2)))/1440))</f>
        <v>0.5</v>
      </c>
      <c r="D70" s="31" t="str">
        <f>IF(A70="","",'IMPORT PROFIXIO'!F70)</f>
        <v>Ulriksdalshallen</v>
      </c>
      <c r="E70" s="31" t="str">
        <f>IF(A70="","",'IMPORT PROFIXIO'!K70)</f>
        <v>Östbollen - F13 Öst - Omgång 2</v>
      </c>
      <c r="F70" s="34" t="str">
        <f>IF(A70="","",IFERROR(VLOOKUP(E70,KLASSNING!$A$5:$F$74,2,FALSE()),"SAKNAS"))</f>
        <v>F13</v>
      </c>
      <c r="G70" s="34" t="str">
        <f>IF(A70="","",IFERROR(VLOOKUP(E70,KLASSNING!$A$5:$F$74,3,FALSE()),"SAKNAS"))</f>
        <v>Östbollen</v>
      </c>
      <c r="H70" s="34" t="str">
        <f>IF(A70="","",'IMPORT PROFIXIO'!H70)</f>
        <v>Vacant- 37</v>
      </c>
      <c r="I70" s="34" t="str">
        <f>IF(A70="","",'IMPORT PROFIXIO'!I70)</f>
        <v>Vacant- 37</v>
      </c>
      <c r="J70" s="34" t="str">
        <f t="shared" si="4"/>
        <v/>
      </c>
      <c r="K70" s="34" t="str">
        <f t="shared" si="5"/>
        <v>Ja</v>
      </c>
      <c r="L70" s="34">
        <f>IF(A70="","",IFERROR(VLOOKUP(E70,KLASSNING!$A$5:$F$74,5,FALSE()),0))</f>
        <v>35</v>
      </c>
      <c r="M70" s="35">
        <f t="shared" si="6"/>
        <v>0.52430555555555558</v>
      </c>
      <c r="N70" s="34" t="str">
        <f>IF(A70="","",IF(K70&lt;&gt;"Ja","Ej aktuell",IF(L70&lt;=0,"KONTROLLERA MATCHTID",IF(AND(COUNTIFS(BEMANNINGSPLAN!$A$5:$A$546,B70,BEMANNINGSPLAN!$C$5:$C$546,D70,BEMANNINGSPLAN!$D$5:$D$546,"&lt;="&amp;C70,BEMANNINGSPLAN!$E$5:$E$546,"&gt;"&amp;C70)&gt;0,COUNTIFS(BEMANNINGSPLAN!$A$5:$A$546,B70,BEMANNINGSPLAN!$C$5:$C$546,D70,BEMANNINGSPLAN!$D$5:$D$546,"&lt;"&amp;M70,BEMANNINGSPLAN!$E$5:$E$546,"&gt;="&amp;M70)&gt;0),"Ja","SAKNAS TIDSRADER"))))</f>
        <v>Ja</v>
      </c>
      <c r="O70" s="137">
        <f>IF(OR(B70="",K70&lt;&gt;"Ja"),"",COUNTIFS($B$5:B70,B70,$K$5:K70,"Ja"))</f>
        <v>10</v>
      </c>
      <c r="P70" s="137" t="str">
        <f t="shared" si="7"/>
        <v>yyyy-00-14|10</v>
      </c>
    </row>
    <row r="71" spans="1:16" ht="13">
      <c r="A71" s="31" t="str">
        <f>IF('IMPORT PROFIXIO'!A71="","",'IMPORT PROFIXIO'!A71)</f>
        <v>26 6 6325 005</v>
      </c>
      <c r="B71" s="32">
        <f>IF(A71="","",IF(ISNUMBER('IMPORT PROFIXIO'!D71),'IMPORT PROFIXIO'!D71,DATEVALUE('IMPORT PROFIXIO'!D71)))</f>
        <v>46340</v>
      </c>
      <c r="C71" s="33">
        <f>IF(A71="","",IF(ISNUMBER('IMPORT PROFIXIO'!E71),'IMPORT PROFIXIO'!E71,(VALUE(LEFT('IMPORT PROFIXIO'!E71,FIND(":",'IMPORT PROFIXIO'!E71)-1))*60+VALUE(MID('IMPORT PROFIXIO'!E71,FIND(":",'IMPORT PROFIXIO'!E71)+1,2)))/1440))</f>
        <v>0.55555555555555558</v>
      </c>
      <c r="D71" s="31" t="str">
        <f>IF(A71="","",'IMPORT PROFIXIO'!F71)</f>
        <v>Ulriksdalshallen</v>
      </c>
      <c r="E71" s="31" t="str">
        <f>IF(A71="","",'IMPORT PROFIXIO'!K71)</f>
        <v>Östbollen - F13 Öst - Omgång 2</v>
      </c>
      <c r="F71" s="34" t="str">
        <f>IF(A71="","",IFERROR(VLOOKUP(E71,KLASSNING!$A$5:$F$74,2,FALSE()),"SAKNAS"))</f>
        <v>F13</v>
      </c>
      <c r="G71" s="34" t="str">
        <f>IF(A71="","",IFERROR(VLOOKUP(E71,KLASSNING!$A$5:$F$74,3,FALSE()),"SAKNAS"))</f>
        <v>Östbollen</v>
      </c>
      <c r="H71" s="34" t="str">
        <f>IF(A71="","",'IMPORT PROFIXIO'!H71)</f>
        <v>Vacant- 37</v>
      </c>
      <c r="I71" s="34" t="str">
        <f>IF(A71="","",'IMPORT PROFIXIO'!I71)</f>
        <v>Vacant- 37</v>
      </c>
      <c r="J71" s="34" t="str">
        <f t="shared" si="4"/>
        <v/>
      </c>
      <c r="K71" s="34" t="str">
        <f t="shared" si="5"/>
        <v>Ja</v>
      </c>
      <c r="L71" s="34">
        <f>IF(A71="","",IFERROR(VLOOKUP(E71,KLASSNING!$A$5:$F$74,5,FALSE()),0))</f>
        <v>35</v>
      </c>
      <c r="M71" s="35">
        <f t="shared" si="6"/>
        <v>0.57986111111111116</v>
      </c>
      <c r="N71" s="34" t="str">
        <f>IF(A71="","",IF(K71&lt;&gt;"Ja","Ej aktuell",IF(L71&lt;=0,"KONTROLLERA MATCHTID",IF(AND(COUNTIFS(BEMANNINGSPLAN!$A$5:$A$546,B71,BEMANNINGSPLAN!$C$5:$C$546,D71,BEMANNINGSPLAN!$D$5:$D$546,"&lt;="&amp;C71,BEMANNINGSPLAN!$E$5:$E$546,"&gt;"&amp;C71)&gt;0,COUNTIFS(BEMANNINGSPLAN!$A$5:$A$546,B71,BEMANNINGSPLAN!$C$5:$C$546,D71,BEMANNINGSPLAN!$D$5:$D$546,"&lt;"&amp;M71,BEMANNINGSPLAN!$E$5:$E$546,"&gt;="&amp;M71)&gt;0),"Ja","SAKNAS TIDSRADER"))))</f>
        <v>Ja</v>
      </c>
      <c r="O71" s="137">
        <f>IF(OR(B71="",K71&lt;&gt;"Ja"),"",COUNTIFS($B$5:B71,B71,$K$5:K71,"Ja"))</f>
        <v>11</v>
      </c>
      <c r="P71" s="137" t="str">
        <f t="shared" si="7"/>
        <v>yyyy-00-14|11</v>
      </c>
    </row>
    <row r="72" spans="1:16" ht="13">
      <c r="A72" s="31" t="str">
        <f>IF('IMPORT PROFIXIO'!A72="","",'IMPORT PROFIXIO'!A72)</f>
        <v>26 6 6325 006</v>
      </c>
      <c r="B72" s="32">
        <f>IF(A72="","",IF(ISNUMBER('IMPORT PROFIXIO'!D72),'IMPORT PROFIXIO'!D72,DATEVALUE('IMPORT PROFIXIO'!D72)))</f>
        <v>46340</v>
      </c>
      <c r="C72" s="33">
        <f>IF(A72="","",IF(ISNUMBER('IMPORT PROFIXIO'!E72),'IMPORT PROFIXIO'!E72,(VALUE(LEFT('IMPORT PROFIXIO'!E72,FIND(":",'IMPORT PROFIXIO'!E72)-1))*60+VALUE(MID('IMPORT PROFIXIO'!E72,FIND(":",'IMPORT PROFIXIO'!E72)+1,2)))/1440))</f>
        <v>0.59027777777777779</v>
      </c>
      <c r="D72" s="31" t="str">
        <f>IF(A72="","",'IMPORT PROFIXIO'!F72)</f>
        <v>Ulriksdalshallen</v>
      </c>
      <c r="E72" s="31" t="str">
        <f>IF(A72="","",'IMPORT PROFIXIO'!K72)</f>
        <v>Östbollen - F13 Öst - Omgång 2</v>
      </c>
      <c r="F72" s="34" t="str">
        <f>IF(A72="","",IFERROR(VLOOKUP(E72,KLASSNING!$A$5:$F$74,2,FALSE()),"SAKNAS"))</f>
        <v>F13</v>
      </c>
      <c r="G72" s="34" t="str">
        <f>IF(A72="","",IFERROR(VLOOKUP(E72,KLASSNING!$A$5:$F$74,3,FALSE()),"SAKNAS"))</f>
        <v>Östbollen</v>
      </c>
      <c r="H72" s="34" t="str">
        <f>IF(A72="","",'IMPORT PROFIXIO'!H72)</f>
        <v>AIK</v>
      </c>
      <c r="I72" s="34" t="str">
        <f>IF(A72="","",'IMPORT PROFIXIO'!I72)</f>
        <v>Vacant- 37</v>
      </c>
      <c r="J72" s="34" t="str">
        <f t="shared" si="4"/>
        <v>F13</v>
      </c>
      <c r="K72" s="34" t="str">
        <f t="shared" si="5"/>
        <v>Ja</v>
      </c>
      <c r="L72" s="34">
        <f>IF(A72="","",IFERROR(VLOOKUP(E72,KLASSNING!$A$5:$F$74,5,FALSE()),0))</f>
        <v>35</v>
      </c>
      <c r="M72" s="35">
        <f t="shared" si="6"/>
        <v>0.61458333333333337</v>
      </c>
      <c r="N72" s="34" t="str">
        <f>IF(A72="","",IF(K72&lt;&gt;"Ja","Ej aktuell",IF(L72&lt;=0,"KONTROLLERA MATCHTID",IF(AND(COUNTIFS(BEMANNINGSPLAN!$A$5:$A$546,B72,BEMANNINGSPLAN!$C$5:$C$546,D72,BEMANNINGSPLAN!$D$5:$D$546,"&lt;="&amp;C72,BEMANNINGSPLAN!$E$5:$E$546,"&gt;"&amp;C72)&gt;0,COUNTIFS(BEMANNINGSPLAN!$A$5:$A$546,B72,BEMANNINGSPLAN!$C$5:$C$546,D72,BEMANNINGSPLAN!$D$5:$D$546,"&lt;"&amp;M72,BEMANNINGSPLAN!$E$5:$E$546,"&gt;="&amp;M72)&gt;0),"Ja","SAKNAS TIDSRADER"))))</f>
        <v>Ja</v>
      </c>
      <c r="O72" s="137">
        <f>IF(OR(B72="",K72&lt;&gt;"Ja"),"",COUNTIFS($B$5:B72,B72,$K$5:K72,"Ja"))</f>
        <v>12</v>
      </c>
      <c r="P72" s="137" t="str">
        <f t="shared" si="7"/>
        <v>yyyy-00-14|12</v>
      </c>
    </row>
    <row r="73" spans="1:16" ht="13">
      <c r="A73" s="31" t="str">
        <f>IF('IMPORT PROFIXIO'!A73="","",'IMPORT PROFIXIO'!A73)</f>
        <v>26 6 1141 023</v>
      </c>
      <c r="B73" s="32">
        <f>IF(A73="","",IF(ISNUMBER('IMPORT PROFIXIO'!D73),'IMPORT PROFIXIO'!D73,DATEVALUE('IMPORT PROFIXIO'!D73)))</f>
        <v>46341</v>
      </c>
      <c r="C73" s="33">
        <f>IF(A73="","",IF(ISNUMBER('IMPORT PROFIXIO'!E73),'IMPORT PROFIXIO'!E73,(VALUE(LEFT('IMPORT PROFIXIO'!E73,FIND(":",'IMPORT PROFIXIO'!E73)-1))*60+VALUE(MID('IMPORT PROFIXIO'!E73,FIND(":",'IMPORT PROFIXIO'!E73)+1,2)))/1440))</f>
        <v>0.5</v>
      </c>
      <c r="D73" s="31" t="str">
        <f>IF(A73="","",'IMPORT PROFIXIO'!F73)</f>
        <v>Solnahallen</v>
      </c>
      <c r="E73" s="31" t="str">
        <f>IF(A73="","",'IMPORT PROFIXIO'!K73)</f>
        <v>Damer - Dam 4 Öst - Dam 4 Öst Norra</v>
      </c>
      <c r="F73" s="34" t="str">
        <f>IF(A73="","",IFERROR(VLOOKUP(E73,KLASSNING!$A$5:$F$74,2,FALSE()),"SAKNAS"))</f>
        <v>Dam</v>
      </c>
      <c r="G73" s="34" t="str">
        <f>IF(A73="","",IFERROR(VLOOKUP(E73,KLASSNING!$A$5:$F$74,3,FALSE()),"SAKNAS"))</f>
        <v>Seriespel</v>
      </c>
      <c r="H73" s="34" t="str">
        <f>IF(A73="","",'IMPORT PROFIXIO'!H73)</f>
        <v>AIK 2</v>
      </c>
      <c r="I73" s="34" t="str">
        <f>IF(A73="","",'IMPORT PROFIXIO'!I73)</f>
        <v>Bajen IF</v>
      </c>
      <c r="J73" s="34" t="str">
        <f t="shared" si="4"/>
        <v>Dam 2</v>
      </c>
      <c r="K73" s="34" t="str">
        <f t="shared" si="5"/>
        <v>Nej</v>
      </c>
      <c r="L73" s="34">
        <f>IF(A73="","",IFERROR(VLOOKUP(E73,KLASSNING!$A$5:$F$74,5,FALSE()),0))</f>
        <v>70</v>
      </c>
      <c r="M73" s="35" t="str">
        <f t="shared" si="6"/>
        <v/>
      </c>
      <c r="N73" s="34" t="str">
        <f>IF(A73="","",IF(K73&lt;&gt;"Ja","Ej aktuell",IF(L73&lt;=0,"KONTROLLERA MATCHTID",IF(AND(COUNTIFS(BEMANNINGSPLAN!$A$5:$A$546,B73,BEMANNINGSPLAN!$C$5:$C$546,D73,BEMANNINGSPLAN!$D$5:$D$546,"&lt;="&amp;C73,BEMANNINGSPLAN!$E$5:$E$546,"&gt;"&amp;C73)&gt;0,COUNTIFS(BEMANNINGSPLAN!$A$5:$A$546,B73,BEMANNINGSPLAN!$C$5:$C$546,D73,BEMANNINGSPLAN!$D$5:$D$546,"&lt;"&amp;M73,BEMANNINGSPLAN!$E$5:$E$546,"&gt;="&amp;M73)&gt;0),"Ja","SAKNAS TIDSRADER"))))</f>
        <v>Ej aktuell</v>
      </c>
      <c r="O73" s="137" t="str">
        <f>IF(OR(B73="",K73&lt;&gt;"Ja"),"",COUNTIFS($B$5:B73,B73,$K$5:K73,"Ja"))</f>
        <v/>
      </c>
      <c r="P73" s="137" t="str">
        <f t="shared" si="7"/>
        <v/>
      </c>
    </row>
    <row r="74" spans="1:16" ht="13">
      <c r="A74" s="31" t="str">
        <f>IF('IMPORT PROFIXIO'!A74="","",'IMPORT PROFIXIO'!A74)</f>
        <v>26 -1 1121 040</v>
      </c>
      <c r="B74" s="32">
        <f>IF(A74="","",IF(ISNUMBER('IMPORT PROFIXIO'!D74),'IMPORT PROFIXIO'!D74,DATEVALUE('IMPORT PROFIXIO'!D74)))</f>
        <v>46341</v>
      </c>
      <c r="C74" s="33">
        <f>IF(A74="","",IF(ISNUMBER('IMPORT PROFIXIO'!E74),'IMPORT PROFIXIO'!E74,(VALUE(LEFT('IMPORT PROFIXIO'!E74,FIND(":",'IMPORT PROFIXIO'!E74)-1))*60+VALUE(MID('IMPORT PROFIXIO'!E74,FIND(":",'IMPORT PROFIXIO'!E74)+1,2)))/1440))</f>
        <v>0.625</v>
      </c>
      <c r="D74" s="31" t="str">
        <f>IF(A74="","",'IMPORT PROFIXIO'!F74)</f>
        <v>Solnahallen</v>
      </c>
      <c r="E74" s="31" t="str">
        <f>IF(A74="","",'IMPORT PROFIXIO'!K74)</f>
        <v>Damer - Damallsvenskan</v>
      </c>
      <c r="F74" s="34" t="str">
        <f>IF(A74="","",IFERROR(VLOOKUP(E74,KLASSNING!$A$5:$F$74,2,FALSE()),"SAKNAS"))</f>
        <v>Dam</v>
      </c>
      <c r="G74" s="34" t="str">
        <f>IF(A74="","",IFERROR(VLOOKUP(E74,KLASSNING!$A$5:$F$74,3,FALSE()),"SAKNAS"))</f>
        <v>Seriespel</v>
      </c>
      <c r="H74" s="34" t="str">
        <f>IF(A74="","",'IMPORT PROFIXIO'!H74)</f>
        <v>AIK</v>
      </c>
      <c r="I74" s="34" t="str">
        <f>IF(A74="","",'IMPORT PROFIXIO'!I74)</f>
        <v>Kärra HF</v>
      </c>
      <c r="J74" s="34" t="str">
        <f t="shared" si="4"/>
        <v>Dam</v>
      </c>
      <c r="K74" s="34" t="str">
        <f t="shared" si="5"/>
        <v>Nej</v>
      </c>
      <c r="L74" s="34">
        <f>IF(A74="","",IFERROR(VLOOKUP(E74,KLASSNING!$A$5:$F$74,5,FALSE()),0))</f>
        <v>70</v>
      </c>
      <c r="M74" s="35" t="str">
        <f t="shared" si="6"/>
        <v/>
      </c>
      <c r="N74" s="34" t="str">
        <f>IF(A74="","",IF(K74&lt;&gt;"Ja","Ej aktuell",IF(L74&lt;=0,"KONTROLLERA MATCHTID",IF(AND(COUNTIFS(BEMANNINGSPLAN!$A$5:$A$546,B74,BEMANNINGSPLAN!$C$5:$C$546,D74,BEMANNINGSPLAN!$D$5:$D$546,"&lt;="&amp;C74,BEMANNINGSPLAN!$E$5:$E$546,"&gt;"&amp;C74)&gt;0,COUNTIFS(BEMANNINGSPLAN!$A$5:$A$546,B74,BEMANNINGSPLAN!$C$5:$C$546,D74,BEMANNINGSPLAN!$D$5:$D$546,"&lt;"&amp;M74,BEMANNINGSPLAN!$E$5:$E$546,"&gt;="&amp;M74)&gt;0),"Ja","SAKNAS TIDSRADER"))))</f>
        <v>Ej aktuell</v>
      </c>
      <c r="O74" s="137" t="str">
        <f>IF(OR(B74="",K74&lt;&gt;"Ja"),"",COUNTIFS($B$5:B74,B74,$K$5:K74,"Ja"))</f>
        <v/>
      </c>
      <c r="P74" s="137" t="str">
        <f t="shared" si="7"/>
        <v/>
      </c>
    </row>
    <row r="75" spans="1:16" ht="13">
      <c r="A75" s="31" t="str">
        <f>IF('IMPORT PROFIXIO'!A75="","",'IMPORT PROFIXIO'!A75)</f>
        <v>26 6 1221 038</v>
      </c>
      <c r="B75" s="32">
        <f>IF(A75="","",IF(ISNUMBER('IMPORT PROFIXIO'!D75),'IMPORT PROFIXIO'!D75,DATEVALUE('IMPORT PROFIXIO'!D75)))</f>
        <v>46341</v>
      </c>
      <c r="C75" s="33">
        <f>IF(A75="","",IF(ISNUMBER('IMPORT PROFIXIO'!E75),'IMPORT PROFIXIO'!E75,(VALUE(LEFT('IMPORT PROFIXIO'!E75,FIND(":",'IMPORT PROFIXIO'!E75)-1))*60+VALUE(MID('IMPORT PROFIXIO'!E75,FIND(":",'IMPORT PROFIXIO'!E75)+1,2)))/1440))</f>
        <v>0.72916666666666663</v>
      </c>
      <c r="D75" s="31" t="str">
        <f>IF(A75="","",'IMPORT PROFIXIO'!F75)</f>
        <v>Solnahallen</v>
      </c>
      <c r="E75" s="31" t="str">
        <f>IF(A75="","",'IMPORT PROFIXIO'!K75)</f>
        <v>Herrar - Herr 2 Öst</v>
      </c>
      <c r="F75" s="34" t="str">
        <f>IF(A75="","",IFERROR(VLOOKUP(E75,KLASSNING!$A$5:$F$74,2,FALSE()),"SAKNAS"))</f>
        <v>Herr</v>
      </c>
      <c r="G75" s="34" t="str">
        <f>IF(A75="","",IFERROR(VLOOKUP(E75,KLASSNING!$A$5:$F$74,3,FALSE()),"SAKNAS"))</f>
        <v>Seriespel</v>
      </c>
      <c r="H75" s="34" t="str">
        <f>IF(A75="","",'IMPORT PROFIXIO'!H75)</f>
        <v>AIK</v>
      </c>
      <c r="I75" s="34" t="str">
        <f>IF(A75="","",'IMPORT PROFIXIO'!I75)</f>
        <v>Skogås HK</v>
      </c>
      <c r="J75" s="34" t="str">
        <f t="shared" si="4"/>
        <v>Herr</v>
      </c>
      <c r="K75" s="34" t="str">
        <f t="shared" si="5"/>
        <v>Nej</v>
      </c>
      <c r="L75" s="34">
        <f>IF(A75="","",IFERROR(VLOOKUP(E75,KLASSNING!$A$5:$F$74,5,FALSE()),0))</f>
        <v>70</v>
      </c>
      <c r="M75" s="35" t="str">
        <f t="shared" si="6"/>
        <v/>
      </c>
      <c r="N75" s="34" t="str">
        <f>IF(A75="","",IF(K75&lt;&gt;"Ja","Ej aktuell",IF(L75&lt;=0,"KONTROLLERA MATCHTID",IF(AND(COUNTIFS(BEMANNINGSPLAN!$A$5:$A$546,B75,BEMANNINGSPLAN!$C$5:$C$546,D75,BEMANNINGSPLAN!$D$5:$D$546,"&lt;="&amp;C75,BEMANNINGSPLAN!$E$5:$E$546,"&gt;"&amp;C75)&gt;0,COUNTIFS(BEMANNINGSPLAN!$A$5:$A$546,B75,BEMANNINGSPLAN!$C$5:$C$546,D75,BEMANNINGSPLAN!$D$5:$D$546,"&lt;"&amp;M75,BEMANNINGSPLAN!$E$5:$E$546,"&gt;="&amp;M75)&gt;0),"Ja","SAKNAS TIDSRADER"))))</f>
        <v>Ej aktuell</v>
      </c>
      <c r="O75" s="137" t="str">
        <f>IF(OR(B75="",K75&lt;&gt;"Ja"),"",COUNTIFS($B$5:B75,B75,$K$5:K75,"Ja"))</f>
        <v/>
      </c>
      <c r="P75" s="137" t="str">
        <f t="shared" si="7"/>
        <v/>
      </c>
    </row>
    <row r="76" spans="1:16" ht="13">
      <c r="A76" s="31" t="str">
        <f>IF('IMPORT PROFIXIO'!A76="","",'IMPORT PROFIXIO'!A76)</f>
        <v>26 6 1311 039</v>
      </c>
      <c r="B76" s="32">
        <f>IF(A76="","",IF(ISNUMBER('IMPORT PROFIXIO'!D76),'IMPORT PROFIXIO'!D76,DATEVALUE('IMPORT PROFIXIO'!D76)))</f>
        <v>46343</v>
      </c>
      <c r="C76" s="33">
        <f>IF(A76="","",IF(ISNUMBER('IMPORT PROFIXIO'!E76),'IMPORT PROFIXIO'!E76,(VALUE(LEFT('IMPORT PROFIXIO'!E76,FIND(":",'IMPORT PROFIXIO'!E76)-1))*60+VALUE(MID('IMPORT PROFIXIO'!E76,FIND(":",'IMPORT PROFIXIO'!E76)+1,2)))/1440))</f>
        <v>0.86458333333333337</v>
      </c>
      <c r="D76" s="31" t="str">
        <f>IF(A76="","",'IMPORT PROFIXIO'!F76)</f>
        <v>Råsta Park</v>
      </c>
      <c r="E76" s="31" t="str">
        <f>IF(A76="","",'IMPORT PROFIXIO'!K76)</f>
        <v>Flickor - F19 Öst - F19 Nivå 1 Öst</v>
      </c>
      <c r="F76" s="34" t="str">
        <f>IF(A76="","",IFERROR(VLOOKUP(E76,KLASSNING!$A$5:$F$74,2,FALSE()),"SAKNAS"))</f>
        <v>F19</v>
      </c>
      <c r="G76" s="34" t="str">
        <f>IF(A76="","",IFERROR(VLOOKUP(E76,KLASSNING!$A$5:$F$74,3,FALSE()),"SAKNAS"))</f>
        <v>Seriespel</v>
      </c>
      <c r="H76" s="34" t="str">
        <f>IF(A76="","",'IMPORT PROFIXIO'!H76)</f>
        <v>AIK</v>
      </c>
      <c r="I76" s="34" t="str">
        <f>IF(A76="","",'IMPORT PROFIXIO'!I76)</f>
        <v>Skuru IK</v>
      </c>
      <c r="J76" s="34" t="str">
        <f t="shared" si="4"/>
        <v>F19</v>
      </c>
      <c r="K76" s="34" t="str">
        <f t="shared" si="5"/>
        <v>Ja</v>
      </c>
      <c r="L76" s="34">
        <f>IF(A76="","",IFERROR(VLOOKUP(E76,KLASSNING!$A$5:$F$74,5,FALSE()),0))</f>
        <v>55</v>
      </c>
      <c r="M76" s="35">
        <f t="shared" si="6"/>
        <v>0.90277777777777779</v>
      </c>
      <c r="N76" s="34" t="str">
        <f>IF(A76="","",IF(K76&lt;&gt;"Ja","Ej aktuell",IF(L76&lt;=0,"KONTROLLERA MATCHTID",IF(AND(COUNTIFS(BEMANNINGSPLAN!$A$5:$A$546,B76,BEMANNINGSPLAN!$C$5:$C$546,D76,BEMANNINGSPLAN!$D$5:$D$546,"&lt;="&amp;C76,BEMANNINGSPLAN!$E$5:$E$546,"&gt;"&amp;C76)&gt;0,COUNTIFS(BEMANNINGSPLAN!$A$5:$A$546,B76,BEMANNINGSPLAN!$C$5:$C$546,D76,BEMANNINGSPLAN!$D$5:$D$546,"&lt;"&amp;M76,BEMANNINGSPLAN!$E$5:$E$546,"&gt;="&amp;M76)&gt;0),"Ja","SAKNAS TIDSRADER"))))</f>
        <v>Ja</v>
      </c>
      <c r="O76" s="137">
        <f>IF(OR(B76="",K76&lt;&gt;"Ja"),"",COUNTIFS($B$5:B76,B76,$K$5:K76,"Ja"))</f>
        <v>1</v>
      </c>
      <c r="P76" s="137" t="str">
        <f t="shared" si="7"/>
        <v>yyyy-00-17|1</v>
      </c>
    </row>
    <row r="77" spans="1:16" ht="13">
      <c r="A77" s="31" t="str">
        <f>IF('IMPORT PROFIXIO'!A77="","",'IMPORT PROFIXIO'!A77)</f>
        <v>26 6 1524 030</v>
      </c>
      <c r="B77" s="32">
        <f>IF(A77="","",IF(ISNUMBER('IMPORT PROFIXIO'!D77),'IMPORT PROFIXIO'!D77,DATEVALUE('IMPORT PROFIXIO'!D77)))</f>
        <v>46347</v>
      </c>
      <c r="C77" s="33">
        <f>IF(A77="","",IF(ISNUMBER('IMPORT PROFIXIO'!E77),'IMPORT PROFIXIO'!E77,(VALUE(LEFT('IMPORT PROFIXIO'!E77,FIND(":",'IMPORT PROFIXIO'!E77)-1))*60+VALUE(MID('IMPORT PROFIXIO'!E77,FIND(":",'IMPORT PROFIXIO'!E77)+1,2)))/1440))</f>
        <v>0.56944444444444442</v>
      </c>
      <c r="D77" s="31" t="str">
        <f>IF(A77="","",'IMPORT PROFIXIO'!F77)</f>
        <v>Råsta Park</v>
      </c>
      <c r="E77" s="31" t="str">
        <f>IF(A77="","",'IMPORT PROFIXIO'!K77)</f>
        <v>Pojkar - P16 Öst - P16 Nivå 3 Öst</v>
      </c>
      <c r="F77" s="34" t="str">
        <f>IF(A77="","",IFERROR(VLOOKUP(E77,KLASSNING!$A$5:$F$74,2,FALSE()),"SAKNAS"))</f>
        <v>P16</v>
      </c>
      <c r="G77" s="34" t="str">
        <f>IF(A77="","",IFERROR(VLOOKUP(E77,KLASSNING!$A$5:$F$74,3,FALSE()),"SAKNAS"))</f>
        <v>Seriespel</v>
      </c>
      <c r="H77" s="34" t="str">
        <f>IF(A77="","",'IMPORT PROFIXIO'!H77)</f>
        <v>AIK 2</v>
      </c>
      <c r="I77" s="34" t="str">
        <f>IF(A77="","",'IMPORT PROFIXIO'!I77)</f>
        <v>Spånga HK 3</v>
      </c>
      <c r="J77" s="34" t="str">
        <f t="shared" si="4"/>
        <v>P16 2</v>
      </c>
      <c r="K77" s="34" t="str">
        <f t="shared" si="5"/>
        <v>Ja</v>
      </c>
      <c r="L77" s="34">
        <f>IF(A77="","",IFERROR(VLOOKUP(E77,KLASSNING!$A$5:$F$74,5,FALSE()),0))</f>
        <v>55</v>
      </c>
      <c r="M77" s="35">
        <f t="shared" si="6"/>
        <v>0.60763888888888884</v>
      </c>
      <c r="N77" s="34" t="str">
        <f>IF(A77="","",IF(K77&lt;&gt;"Ja","Ej aktuell",IF(L77&lt;=0,"KONTROLLERA MATCHTID",IF(AND(COUNTIFS(BEMANNINGSPLAN!$A$5:$A$546,B77,BEMANNINGSPLAN!$C$5:$C$546,D77,BEMANNINGSPLAN!$D$5:$D$546,"&lt;="&amp;C77,BEMANNINGSPLAN!$E$5:$E$546,"&gt;"&amp;C77)&gt;0,COUNTIFS(BEMANNINGSPLAN!$A$5:$A$546,B77,BEMANNINGSPLAN!$C$5:$C$546,D77,BEMANNINGSPLAN!$D$5:$D$546,"&lt;"&amp;M77,BEMANNINGSPLAN!$E$5:$E$546,"&gt;="&amp;M77)&gt;0),"Ja","SAKNAS TIDSRADER"))))</f>
        <v>Ja</v>
      </c>
      <c r="O77" s="137">
        <f>IF(OR(B77="",K77&lt;&gt;"Ja"),"",COUNTIFS($B$5:B77,B77,$K$5:K77,"Ja"))</f>
        <v>1</v>
      </c>
      <c r="P77" s="137" t="str">
        <f t="shared" si="7"/>
        <v>yyyy-00-21|1</v>
      </c>
    </row>
    <row r="78" spans="1:16" ht="13">
      <c r="A78" s="31" t="str">
        <f>IF('IMPORT PROFIXIO'!A78="","",'IMPORT PROFIXIO'!A78)</f>
        <v>26 6 1573 036</v>
      </c>
      <c r="B78" s="32">
        <f>IF(A78="","",IF(ISNUMBER('IMPORT PROFIXIO'!D78),'IMPORT PROFIXIO'!D78,DATEVALUE('IMPORT PROFIXIO'!D78)))</f>
        <v>46347</v>
      </c>
      <c r="C78" s="33">
        <f>IF(A78="","",IF(ISNUMBER('IMPORT PROFIXIO'!E78),'IMPORT PROFIXIO'!E78,(VALUE(LEFT('IMPORT PROFIXIO'!E78,FIND(":",'IMPORT PROFIXIO'!E78)-1))*60+VALUE(MID('IMPORT PROFIXIO'!E78,FIND(":",'IMPORT PROFIXIO'!E78)+1,2)))/1440))</f>
        <v>0.47916666666666669</v>
      </c>
      <c r="D78" s="31" t="str">
        <f>IF(A78="","",'IMPORT PROFIXIO'!F78)</f>
        <v>Tallbackaskolan</v>
      </c>
      <c r="E78" s="31" t="str">
        <f>IF(A78="","",'IMPORT PROFIXIO'!K78)</f>
        <v>Pojkar - P11 Öst - P11 Nivå 2 Öst City</v>
      </c>
      <c r="F78" s="34" t="str">
        <f>IF(A78="","",IFERROR(VLOOKUP(E78,KLASSNING!$A$5:$F$74,2,FALSE()),"SAKNAS"))</f>
        <v>P11</v>
      </c>
      <c r="G78" s="34" t="str">
        <f>IF(A78="","",IFERROR(VLOOKUP(E78,KLASSNING!$A$5:$F$74,3,FALSE()),"SAKNAS"))</f>
        <v>Seriespel</v>
      </c>
      <c r="H78" s="34" t="str">
        <f>IF(A78="","",'IMPORT PROFIXIO'!H78)</f>
        <v>Uppsala HK Södra</v>
      </c>
      <c r="I78" s="34" t="str">
        <f>IF(A78="","",'IMPORT PROFIXIO'!I78)</f>
        <v>Skå IK Grön</v>
      </c>
      <c r="J78" s="34" t="str">
        <f t="shared" si="4"/>
        <v/>
      </c>
      <c r="K78" s="34" t="str">
        <f t="shared" si="5"/>
        <v>Ja</v>
      </c>
      <c r="L78" s="34">
        <f>IF(A78="","",IFERROR(VLOOKUP(E78,KLASSNING!$A$5:$F$74,5,FALSE()),0))</f>
        <v>35</v>
      </c>
      <c r="M78" s="35">
        <f t="shared" si="6"/>
        <v>0.50347222222222221</v>
      </c>
      <c r="N78" s="34" t="str">
        <f>IF(A78="","",IF(K78&lt;&gt;"Ja","Ej aktuell",IF(L78&lt;=0,"KONTROLLERA MATCHTID",IF(AND(COUNTIFS(BEMANNINGSPLAN!$A$5:$A$546,B78,BEMANNINGSPLAN!$C$5:$C$546,D78,BEMANNINGSPLAN!$D$5:$D$546,"&lt;="&amp;C78,BEMANNINGSPLAN!$E$5:$E$546,"&gt;"&amp;C78)&gt;0,COUNTIFS(BEMANNINGSPLAN!$A$5:$A$546,B78,BEMANNINGSPLAN!$C$5:$C$546,D78,BEMANNINGSPLAN!$D$5:$D$546,"&lt;"&amp;M78,BEMANNINGSPLAN!$E$5:$E$546,"&gt;="&amp;M78)&gt;0),"Ja","SAKNAS TIDSRADER"))))</f>
        <v>Ja</v>
      </c>
      <c r="O78" s="137">
        <f>IF(OR(B78="",K78&lt;&gt;"Ja"),"",COUNTIFS($B$5:B78,B78,$K$5:K78,"Ja"))</f>
        <v>2</v>
      </c>
      <c r="P78" s="137" t="str">
        <f t="shared" si="7"/>
        <v>yyyy-00-21|2</v>
      </c>
    </row>
    <row r="79" spans="1:16" ht="13">
      <c r="A79" s="31" t="str">
        <f>IF('IMPORT PROFIXIO'!A79="","",'IMPORT PROFIXIO'!A79)</f>
        <v>26 6 6626 001</v>
      </c>
      <c r="B79" s="32">
        <f>IF(A79="","",IF(ISNUMBER('IMPORT PROFIXIO'!D79),'IMPORT PROFIXIO'!D79,DATEVALUE('IMPORT PROFIXIO'!D79)))</f>
        <v>46347</v>
      </c>
      <c r="C79" s="33">
        <f>IF(A79="","",IF(ISNUMBER('IMPORT PROFIXIO'!E79),'IMPORT PROFIXIO'!E79,(VALUE(LEFT('IMPORT PROFIXIO'!E79,FIND(":",'IMPORT PROFIXIO'!E79)-1))*60+VALUE(MID('IMPORT PROFIXIO'!E79,FIND(":",'IMPORT PROFIXIO'!E79)+1,2)))/1440))</f>
        <v>0.375</v>
      </c>
      <c r="D79" s="31" t="str">
        <f>IF(A79="","",'IMPORT PROFIXIO'!F79)</f>
        <v>Ulriksdalshallen</v>
      </c>
      <c r="E79" s="31" t="str">
        <f>IF(A79="","",'IMPORT PROFIXIO'!K79)</f>
        <v>Östbollen - P12 Öst - Omgång 2</v>
      </c>
      <c r="F79" s="34" t="str">
        <f>IF(A79="","",IFERROR(VLOOKUP(E79,KLASSNING!$A$5:$F$74,2,FALSE()),"SAKNAS"))</f>
        <v>P12</v>
      </c>
      <c r="G79" s="34" t="str">
        <f>IF(A79="","",IFERROR(VLOOKUP(E79,KLASSNING!$A$5:$F$74,3,FALSE()),"SAKNAS"))</f>
        <v>Östbollen</v>
      </c>
      <c r="H79" s="34" t="str">
        <f>IF(A79="","",'IMPORT PROFIXIO'!H79)</f>
        <v>IF Swithiod</v>
      </c>
      <c r="I79" s="34" t="str">
        <f>IF(A79="","",'IMPORT PROFIXIO'!I79)</f>
        <v>Vacant- 44</v>
      </c>
      <c r="J79" s="34" t="str">
        <f t="shared" si="4"/>
        <v/>
      </c>
      <c r="K79" s="34" t="str">
        <f t="shared" si="5"/>
        <v>Ja</v>
      </c>
      <c r="L79" s="34">
        <f>IF(A79="","",IFERROR(VLOOKUP(E79,KLASSNING!$A$5:$F$74,5,FALSE()),0))</f>
        <v>35</v>
      </c>
      <c r="M79" s="35">
        <f t="shared" si="6"/>
        <v>0.39930555555555558</v>
      </c>
      <c r="N79" s="34" t="str">
        <f>IF(A79="","",IF(K79&lt;&gt;"Ja","Ej aktuell",IF(L79&lt;=0,"KONTROLLERA MATCHTID",IF(AND(COUNTIFS(BEMANNINGSPLAN!$A$5:$A$546,B79,BEMANNINGSPLAN!$C$5:$C$546,D79,BEMANNINGSPLAN!$D$5:$D$546,"&lt;="&amp;C79,BEMANNINGSPLAN!$E$5:$E$546,"&gt;"&amp;C79)&gt;0,COUNTIFS(BEMANNINGSPLAN!$A$5:$A$546,B79,BEMANNINGSPLAN!$C$5:$C$546,D79,BEMANNINGSPLAN!$D$5:$D$546,"&lt;"&amp;M79,BEMANNINGSPLAN!$E$5:$E$546,"&gt;="&amp;M79)&gt;0),"Ja","SAKNAS TIDSRADER"))))</f>
        <v>Ja</v>
      </c>
      <c r="O79" s="137">
        <f>IF(OR(B79="",K79&lt;&gt;"Ja"),"",COUNTIFS($B$5:B79,B79,$K$5:K79,"Ja"))</f>
        <v>3</v>
      </c>
      <c r="P79" s="137" t="str">
        <f t="shared" si="7"/>
        <v>yyyy-00-21|3</v>
      </c>
    </row>
    <row r="80" spans="1:16" ht="13">
      <c r="A80" s="31" t="str">
        <f>IF('IMPORT PROFIXIO'!A80="","",'IMPORT PROFIXIO'!A80)</f>
        <v>26 6 6626 002</v>
      </c>
      <c r="B80" s="32">
        <f>IF(A80="","",IF(ISNUMBER('IMPORT PROFIXIO'!D80),'IMPORT PROFIXIO'!D80,DATEVALUE('IMPORT PROFIXIO'!D80)))</f>
        <v>46347</v>
      </c>
      <c r="C80" s="33">
        <f>IF(A80="","",IF(ISNUMBER('IMPORT PROFIXIO'!E80),'IMPORT PROFIXIO'!E80,(VALUE(LEFT('IMPORT PROFIXIO'!E80,FIND(":",'IMPORT PROFIXIO'!E80)-1))*60+VALUE(MID('IMPORT PROFIXIO'!E80,FIND(":",'IMPORT PROFIXIO'!E80)+1,2)))/1440))</f>
        <v>0.40625</v>
      </c>
      <c r="D80" s="31" t="str">
        <f>IF(A80="","",'IMPORT PROFIXIO'!F80)</f>
        <v>Ulriksdalshallen</v>
      </c>
      <c r="E80" s="31" t="str">
        <f>IF(A80="","",'IMPORT PROFIXIO'!K80)</f>
        <v>Östbollen - P12 Öst - Omgång 2</v>
      </c>
      <c r="F80" s="34" t="str">
        <f>IF(A80="","",IFERROR(VLOOKUP(E80,KLASSNING!$A$5:$F$74,2,FALSE()),"SAKNAS"))</f>
        <v>P12</v>
      </c>
      <c r="G80" s="34" t="str">
        <f>IF(A80="","",IFERROR(VLOOKUP(E80,KLASSNING!$A$5:$F$74,3,FALSE()),"SAKNAS"))</f>
        <v>Östbollen</v>
      </c>
      <c r="H80" s="34" t="str">
        <f>IF(A80="","",'IMPORT PROFIXIO'!H80)</f>
        <v>Vacant- 45</v>
      </c>
      <c r="I80" s="34" t="str">
        <f>IF(A80="","",'IMPORT PROFIXIO'!I80)</f>
        <v>Vacant- 46</v>
      </c>
      <c r="J80" s="34" t="str">
        <f t="shared" si="4"/>
        <v/>
      </c>
      <c r="K80" s="34" t="str">
        <f t="shared" si="5"/>
        <v>Ja</v>
      </c>
      <c r="L80" s="34">
        <f>IF(A80="","",IFERROR(VLOOKUP(E80,KLASSNING!$A$5:$F$74,5,FALSE()),0))</f>
        <v>35</v>
      </c>
      <c r="M80" s="35">
        <f t="shared" si="6"/>
        <v>0.43055555555555558</v>
      </c>
      <c r="N80" s="34" t="str">
        <f>IF(A80="","",IF(K80&lt;&gt;"Ja","Ej aktuell",IF(L80&lt;=0,"KONTROLLERA MATCHTID",IF(AND(COUNTIFS(BEMANNINGSPLAN!$A$5:$A$546,B80,BEMANNINGSPLAN!$C$5:$C$546,D80,BEMANNINGSPLAN!$D$5:$D$546,"&lt;="&amp;C80,BEMANNINGSPLAN!$E$5:$E$546,"&gt;"&amp;C80)&gt;0,COUNTIFS(BEMANNINGSPLAN!$A$5:$A$546,B80,BEMANNINGSPLAN!$C$5:$C$546,D80,BEMANNINGSPLAN!$D$5:$D$546,"&lt;"&amp;M80,BEMANNINGSPLAN!$E$5:$E$546,"&gt;="&amp;M80)&gt;0),"Ja","SAKNAS TIDSRADER"))))</f>
        <v>Ja</v>
      </c>
      <c r="O80" s="137">
        <f>IF(OR(B80="",K80&lt;&gt;"Ja"),"",COUNTIFS($B$5:B80,B80,$K$5:K80,"Ja"))</f>
        <v>4</v>
      </c>
      <c r="P80" s="137" t="str">
        <f t="shared" si="7"/>
        <v>yyyy-00-21|4</v>
      </c>
    </row>
    <row r="81" spans="1:16" ht="13">
      <c r="A81" s="31" t="str">
        <f>IF('IMPORT PROFIXIO'!A81="","",'IMPORT PROFIXIO'!A81)</f>
        <v>26 6 6626 003</v>
      </c>
      <c r="B81" s="32">
        <f>IF(A81="","",IF(ISNUMBER('IMPORT PROFIXIO'!D81),'IMPORT PROFIXIO'!D81,DATEVALUE('IMPORT PROFIXIO'!D81)))</f>
        <v>46347</v>
      </c>
      <c r="C81" s="33">
        <f>IF(A81="","",IF(ISNUMBER('IMPORT PROFIXIO'!E81),'IMPORT PROFIXIO'!E81,(VALUE(LEFT('IMPORT PROFIXIO'!E81,FIND(":",'IMPORT PROFIXIO'!E81)-1))*60+VALUE(MID('IMPORT PROFIXIO'!E81,FIND(":",'IMPORT PROFIXIO'!E81)+1,2)))/1440))</f>
        <v>0.45833333333333331</v>
      </c>
      <c r="D81" s="31" t="str">
        <f>IF(A81="","",'IMPORT PROFIXIO'!F81)</f>
        <v>Ulriksdalshallen</v>
      </c>
      <c r="E81" s="31" t="str">
        <f>IF(A81="","",'IMPORT PROFIXIO'!K81)</f>
        <v>Östbollen - P12 Öst - Omgång 2</v>
      </c>
      <c r="F81" s="34" t="str">
        <f>IF(A81="","",IFERROR(VLOOKUP(E81,KLASSNING!$A$5:$F$74,2,FALSE()),"SAKNAS"))</f>
        <v>P12</v>
      </c>
      <c r="G81" s="34" t="str">
        <f>IF(A81="","",IFERROR(VLOOKUP(E81,KLASSNING!$A$5:$F$74,3,FALSE()),"SAKNAS"))</f>
        <v>Östbollen</v>
      </c>
      <c r="H81" s="34" t="str">
        <f>IF(A81="","",'IMPORT PROFIXIO'!H81)</f>
        <v>IF Swithiod</v>
      </c>
      <c r="I81" s="34" t="str">
        <f>IF(A81="","",'IMPORT PROFIXIO'!I81)</f>
        <v>Vacant- 45</v>
      </c>
      <c r="J81" s="34" t="str">
        <f t="shared" si="4"/>
        <v/>
      </c>
      <c r="K81" s="34" t="str">
        <f t="shared" si="5"/>
        <v>Ja</v>
      </c>
      <c r="L81" s="34">
        <f>IF(A81="","",IFERROR(VLOOKUP(E81,KLASSNING!$A$5:$F$74,5,FALSE()),0))</f>
        <v>35</v>
      </c>
      <c r="M81" s="35">
        <f t="shared" si="6"/>
        <v>0.4826388888888889</v>
      </c>
      <c r="N81" s="34" t="str">
        <f>IF(A81="","",IF(K81&lt;&gt;"Ja","Ej aktuell",IF(L81&lt;=0,"KONTROLLERA MATCHTID",IF(AND(COUNTIFS(BEMANNINGSPLAN!$A$5:$A$546,B81,BEMANNINGSPLAN!$C$5:$C$546,D81,BEMANNINGSPLAN!$D$5:$D$546,"&lt;="&amp;C81,BEMANNINGSPLAN!$E$5:$E$546,"&gt;"&amp;C81)&gt;0,COUNTIFS(BEMANNINGSPLAN!$A$5:$A$546,B81,BEMANNINGSPLAN!$C$5:$C$546,D81,BEMANNINGSPLAN!$D$5:$D$546,"&lt;"&amp;M81,BEMANNINGSPLAN!$E$5:$E$546,"&gt;="&amp;M81)&gt;0),"Ja","SAKNAS TIDSRADER"))))</f>
        <v>Ja</v>
      </c>
      <c r="O81" s="137">
        <f>IF(OR(B81="",K81&lt;&gt;"Ja"),"",COUNTIFS($B$5:B81,B81,$K$5:K81,"Ja"))</f>
        <v>5</v>
      </c>
      <c r="P81" s="137" t="str">
        <f t="shared" si="7"/>
        <v>yyyy-00-21|5</v>
      </c>
    </row>
    <row r="82" spans="1:16" ht="13">
      <c r="A82" s="31" t="str">
        <f>IF('IMPORT PROFIXIO'!A82="","",'IMPORT PROFIXIO'!A82)</f>
        <v>26 6 6626 004</v>
      </c>
      <c r="B82" s="32">
        <f>IF(A82="","",IF(ISNUMBER('IMPORT PROFIXIO'!D82),'IMPORT PROFIXIO'!D82,DATEVALUE('IMPORT PROFIXIO'!D82)))</f>
        <v>46347</v>
      </c>
      <c r="C82" s="33">
        <f>IF(A82="","",IF(ISNUMBER('IMPORT PROFIXIO'!E82),'IMPORT PROFIXIO'!E82,(VALUE(LEFT('IMPORT PROFIXIO'!E82,FIND(":",'IMPORT PROFIXIO'!E82)-1))*60+VALUE(MID('IMPORT PROFIXIO'!E82,FIND(":",'IMPORT PROFIXIO'!E82)+1,2)))/1440))</f>
        <v>0.48958333333333331</v>
      </c>
      <c r="D82" s="31" t="str">
        <f>IF(A82="","",'IMPORT PROFIXIO'!F82)</f>
        <v>Ulriksdalshallen</v>
      </c>
      <c r="E82" s="31" t="str">
        <f>IF(A82="","",'IMPORT PROFIXIO'!K82)</f>
        <v>Östbollen - P12 Öst - Omgång 2</v>
      </c>
      <c r="F82" s="34" t="str">
        <f>IF(A82="","",IFERROR(VLOOKUP(E82,KLASSNING!$A$5:$F$74,2,FALSE()),"SAKNAS"))</f>
        <v>P12</v>
      </c>
      <c r="G82" s="34" t="str">
        <f>IF(A82="","",IFERROR(VLOOKUP(E82,KLASSNING!$A$5:$F$74,3,FALSE()),"SAKNAS"))</f>
        <v>Östbollen</v>
      </c>
      <c r="H82" s="34" t="str">
        <f>IF(A82="","",'IMPORT PROFIXIO'!H82)</f>
        <v>Vacant- 46</v>
      </c>
      <c r="I82" s="34" t="str">
        <f>IF(A82="","",'IMPORT PROFIXIO'!I82)</f>
        <v>Vacant- 44</v>
      </c>
      <c r="J82" s="34" t="str">
        <f t="shared" si="4"/>
        <v/>
      </c>
      <c r="K82" s="34" t="str">
        <f t="shared" si="5"/>
        <v>Ja</v>
      </c>
      <c r="L82" s="34">
        <f>IF(A82="","",IFERROR(VLOOKUP(E82,KLASSNING!$A$5:$F$74,5,FALSE()),0))</f>
        <v>35</v>
      </c>
      <c r="M82" s="35">
        <f t="shared" si="6"/>
        <v>0.51388888888888884</v>
      </c>
      <c r="N82" s="34" t="str">
        <f>IF(A82="","",IF(K82&lt;&gt;"Ja","Ej aktuell",IF(L82&lt;=0,"KONTROLLERA MATCHTID",IF(AND(COUNTIFS(BEMANNINGSPLAN!$A$5:$A$546,B82,BEMANNINGSPLAN!$C$5:$C$546,D82,BEMANNINGSPLAN!$D$5:$D$546,"&lt;="&amp;C82,BEMANNINGSPLAN!$E$5:$E$546,"&gt;"&amp;C82)&gt;0,COUNTIFS(BEMANNINGSPLAN!$A$5:$A$546,B82,BEMANNINGSPLAN!$C$5:$C$546,D82,BEMANNINGSPLAN!$D$5:$D$546,"&lt;"&amp;M82,BEMANNINGSPLAN!$E$5:$E$546,"&gt;="&amp;M82)&gt;0),"Ja","SAKNAS TIDSRADER"))))</f>
        <v>Ja</v>
      </c>
      <c r="O82" s="137">
        <f>IF(OR(B82="",K82&lt;&gt;"Ja"),"",COUNTIFS($B$5:B82,B82,$K$5:K82,"Ja"))</f>
        <v>6</v>
      </c>
      <c r="P82" s="137" t="str">
        <f t="shared" si="7"/>
        <v>yyyy-00-21|6</v>
      </c>
    </row>
    <row r="83" spans="1:16" ht="13">
      <c r="A83" s="31" t="str">
        <f>IF('IMPORT PROFIXIO'!A83="","",'IMPORT PROFIXIO'!A83)</f>
        <v>26 6 6626 005</v>
      </c>
      <c r="B83" s="32">
        <f>IF(A83="","",IF(ISNUMBER('IMPORT PROFIXIO'!D83),'IMPORT PROFIXIO'!D83,DATEVALUE('IMPORT PROFIXIO'!D83)))</f>
        <v>46347</v>
      </c>
      <c r="C83" s="33">
        <f>IF(A83="","",IF(ISNUMBER('IMPORT PROFIXIO'!E83),'IMPORT PROFIXIO'!E83,(VALUE(LEFT('IMPORT PROFIXIO'!E83,FIND(":",'IMPORT PROFIXIO'!E83)-1))*60+VALUE(MID('IMPORT PROFIXIO'!E83,FIND(":",'IMPORT PROFIXIO'!E83)+1,2)))/1440))</f>
        <v>0.54166666666666663</v>
      </c>
      <c r="D83" s="31" t="str">
        <f>IF(A83="","",'IMPORT PROFIXIO'!F83)</f>
        <v>Ulriksdalshallen</v>
      </c>
      <c r="E83" s="31" t="str">
        <f>IF(A83="","",'IMPORT PROFIXIO'!K83)</f>
        <v>Östbollen - P12 Öst - Omgång 2</v>
      </c>
      <c r="F83" s="34" t="str">
        <f>IF(A83="","",IFERROR(VLOOKUP(E83,KLASSNING!$A$5:$F$74,2,FALSE()),"SAKNAS"))</f>
        <v>P12</v>
      </c>
      <c r="G83" s="34" t="str">
        <f>IF(A83="","",IFERROR(VLOOKUP(E83,KLASSNING!$A$5:$F$74,3,FALSE()),"SAKNAS"))</f>
        <v>Östbollen</v>
      </c>
      <c r="H83" s="34" t="str">
        <f>IF(A83="","",'IMPORT PROFIXIO'!H83)</f>
        <v>Vacant- 44</v>
      </c>
      <c r="I83" s="34" t="str">
        <f>IF(A83="","",'IMPORT PROFIXIO'!I83)</f>
        <v>Vacant- 45</v>
      </c>
      <c r="J83" s="34" t="str">
        <f t="shared" si="4"/>
        <v/>
      </c>
      <c r="K83" s="34" t="str">
        <f t="shared" si="5"/>
        <v>Ja</v>
      </c>
      <c r="L83" s="34">
        <f>IF(A83="","",IFERROR(VLOOKUP(E83,KLASSNING!$A$5:$F$74,5,FALSE()),0))</f>
        <v>35</v>
      </c>
      <c r="M83" s="35">
        <f t="shared" si="6"/>
        <v>0.56597222222222221</v>
      </c>
      <c r="N83" s="34" t="str">
        <f>IF(A83="","",IF(K83&lt;&gt;"Ja","Ej aktuell",IF(L83&lt;=0,"KONTROLLERA MATCHTID",IF(AND(COUNTIFS(BEMANNINGSPLAN!$A$5:$A$546,B83,BEMANNINGSPLAN!$C$5:$C$546,D83,BEMANNINGSPLAN!$D$5:$D$546,"&lt;="&amp;C83,BEMANNINGSPLAN!$E$5:$E$546,"&gt;"&amp;C83)&gt;0,COUNTIFS(BEMANNINGSPLAN!$A$5:$A$546,B83,BEMANNINGSPLAN!$C$5:$C$546,D83,BEMANNINGSPLAN!$D$5:$D$546,"&lt;"&amp;M83,BEMANNINGSPLAN!$E$5:$E$546,"&gt;="&amp;M83)&gt;0),"Ja","SAKNAS TIDSRADER"))))</f>
        <v>Ja</v>
      </c>
      <c r="O83" s="137">
        <f>IF(OR(B83="",K83&lt;&gt;"Ja"),"",COUNTIFS($B$5:B83,B83,$K$5:K83,"Ja"))</f>
        <v>7</v>
      </c>
      <c r="P83" s="137" t="str">
        <f t="shared" si="7"/>
        <v>yyyy-00-21|7</v>
      </c>
    </row>
    <row r="84" spans="1:16" ht="13">
      <c r="A84" s="31" t="str">
        <f>IF('IMPORT PROFIXIO'!A84="","",'IMPORT PROFIXIO'!A84)</f>
        <v>26 6 6626 006</v>
      </c>
      <c r="B84" s="32">
        <f>IF(A84="","",IF(ISNUMBER('IMPORT PROFIXIO'!D84),'IMPORT PROFIXIO'!D84,DATEVALUE('IMPORT PROFIXIO'!D84)))</f>
        <v>46347</v>
      </c>
      <c r="C84" s="33">
        <f>IF(A84="","",IF(ISNUMBER('IMPORT PROFIXIO'!E84),'IMPORT PROFIXIO'!E84,(VALUE(LEFT('IMPORT PROFIXIO'!E84,FIND(":",'IMPORT PROFIXIO'!E84)-1))*60+VALUE(MID('IMPORT PROFIXIO'!E84,FIND(":",'IMPORT PROFIXIO'!E84)+1,2)))/1440))</f>
        <v>0.57291666666666663</v>
      </c>
      <c r="D84" s="31" t="str">
        <f>IF(A84="","",'IMPORT PROFIXIO'!F84)</f>
        <v>Ulriksdalshallen</v>
      </c>
      <c r="E84" s="31" t="str">
        <f>IF(A84="","",'IMPORT PROFIXIO'!K84)</f>
        <v>Östbollen - P12 Öst - Omgång 2</v>
      </c>
      <c r="F84" s="34" t="str">
        <f>IF(A84="","",IFERROR(VLOOKUP(E84,KLASSNING!$A$5:$F$74,2,FALSE()),"SAKNAS"))</f>
        <v>P12</v>
      </c>
      <c r="G84" s="34" t="str">
        <f>IF(A84="","",IFERROR(VLOOKUP(E84,KLASSNING!$A$5:$F$74,3,FALSE()),"SAKNAS"))</f>
        <v>Östbollen</v>
      </c>
      <c r="H84" s="34" t="str">
        <f>IF(A84="","",'IMPORT PROFIXIO'!H84)</f>
        <v>IF Swithiod</v>
      </c>
      <c r="I84" s="34" t="str">
        <f>IF(A84="","",'IMPORT PROFIXIO'!I84)</f>
        <v>Vacant- 46</v>
      </c>
      <c r="J84" s="34" t="str">
        <f t="shared" si="4"/>
        <v/>
      </c>
      <c r="K84" s="34" t="str">
        <f t="shared" si="5"/>
        <v>Ja</v>
      </c>
      <c r="L84" s="34">
        <f>IF(A84="","",IFERROR(VLOOKUP(E84,KLASSNING!$A$5:$F$74,5,FALSE()),0))</f>
        <v>35</v>
      </c>
      <c r="M84" s="35">
        <f t="shared" si="6"/>
        <v>0.59722222222222221</v>
      </c>
      <c r="N84" s="34" t="str">
        <f>IF(A84="","",IF(K84&lt;&gt;"Ja","Ej aktuell",IF(L84&lt;=0,"KONTROLLERA MATCHTID",IF(AND(COUNTIFS(BEMANNINGSPLAN!$A$5:$A$546,B84,BEMANNINGSPLAN!$C$5:$C$546,D84,BEMANNINGSPLAN!$D$5:$D$546,"&lt;="&amp;C84,BEMANNINGSPLAN!$E$5:$E$546,"&gt;"&amp;C84)&gt;0,COUNTIFS(BEMANNINGSPLAN!$A$5:$A$546,B84,BEMANNINGSPLAN!$C$5:$C$546,D84,BEMANNINGSPLAN!$D$5:$D$546,"&lt;"&amp;M84,BEMANNINGSPLAN!$E$5:$E$546,"&gt;="&amp;M84)&gt;0),"Ja","SAKNAS TIDSRADER"))))</f>
        <v>Ja</v>
      </c>
      <c r="O84" s="137">
        <f>IF(OR(B84="",K84&lt;&gt;"Ja"),"",COUNTIFS($B$5:B84,B84,$K$5:K84,"Ja"))</f>
        <v>8</v>
      </c>
      <c r="P84" s="137" t="str">
        <f t="shared" si="7"/>
        <v>yyyy-00-21|8</v>
      </c>
    </row>
    <row r="85" spans="1:16" ht="13">
      <c r="A85" s="31" t="str">
        <f>IF('IMPORT PROFIXIO'!A85="","",'IMPORT PROFIXIO'!A85)</f>
        <v>26 6 1351 021</v>
      </c>
      <c r="B85" s="32">
        <f>IF(A85="","",IF(ISNUMBER('IMPORT PROFIXIO'!D85),'IMPORT PROFIXIO'!D85,DATEVALUE('IMPORT PROFIXIO'!D85)))</f>
        <v>46347</v>
      </c>
      <c r="C85" s="33">
        <f>IF(A85="","",IF(ISNUMBER('IMPORT PROFIXIO'!E85),'IMPORT PROFIXIO'!E85,(VALUE(LEFT('IMPORT PROFIXIO'!E85,FIND(":",'IMPORT PROFIXIO'!E85)-1))*60+VALUE(MID('IMPORT PROFIXIO'!E85,FIND(":",'IMPORT PROFIXIO'!E85)+1,2)))/1440))</f>
        <v>0.61458333333333337</v>
      </c>
      <c r="D85" s="31" t="str">
        <f>IF(A85="","",'IMPORT PROFIXIO'!F85)</f>
        <v>Ulriksdalshallen</v>
      </c>
      <c r="E85" s="31" t="str">
        <f>IF(A85="","",'IMPORT PROFIXIO'!K85)</f>
        <v>Flickor - F13 Öst - F13 Nivå 1 Öst</v>
      </c>
      <c r="F85" s="34" t="str">
        <f>IF(A85="","",IFERROR(VLOOKUP(E85,KLASSNING!$A$5:$F$74,2,FALSE()),"SAKNAS"))</f>
        <v>F13</v>
      </c>
      <c r="G85" s="34" t="str">
        <f>IF(A85="","",IFERROR(VLOOKUP(E85,KLASSNING!$A$5:$F$74,3,FALSE()),"SAKNAS"))</f>
        <v>Seriespel</v>
      </c>
      <c r="H85" s="34" t="str">
        <f>IF(A85="","",'IMPORT PROFIXIO'!H85)</f>
        <v>AIK</v>
      </c>
      <c r="I85" s="34" t="str">
        <f>IF(A85="","",'IMPORT PROFIXIO'!I85)</f>
        <v>Gustavsbergs IF HK - Röd</v>
      </c>
      <c r="J85" s="34" t="str">
        <f t="shared" si="4"/>
        <v>F13</v>
      </c>
      <c r="K85" s="34" t="str">
        <f t="shared" si="5"/>
        <v>Ja</v>
      </c>
      <c r="L85" s="34">
        <f>IF(A85="","",IFERROR(VLOOKUP(E85,KLASSNING!$A$5:$F$74,5,FALSE()),0))</f>
        <v>45</v>
      </c>
      <c r="M85" s="35">
        <f t="shared" si="6"/>
        <v>0.64583333333333337</v>
      </c>
      <c r="N85" s="34" t="str">
        <f>IF(A85="","",IF(K85&lt;&gt;"Ja","Ej aktuell",IF(L85&lt;=0,"KONTROLLERA MATCHTID",IF(AND(COUNTIFS(BEMANNINGSPLAN!$A$5:$A$546,B85,BEMANNINGSPLAN!$C$5:$C$546,D85,BEMANNINGSPLAN!$D$5:$D$546,"&lt;="&amp;C85,BEMANNINGSPLAN!$E$5:$E$546,"&gt;"&amp;C85)&gt;0,COUNTIFS(BEMANNINGSPLAN!$A$5:$A$546,B85,BEMANNINGSPLAN!$C$5:$C$546,D85,BEMANNINGSPLAN!$D$5:$D$546,"&lt;"&amp;M85,BEMANNINGSPLAN!$E$5:$E$546,"&gt;="&amp;M85)&gt;0),"Ja","SAKNAS TIDSRADER"))))</f>
        <v>Ja</v>
      </c>
      <c r="O85" s="137">
        <f>IF(OR(B85="",K85&lt;&gt;"Ja"),"",COUNTIFS($B$5:B85,B85,$K$5:K85,"Ja"))</f>
        <v>9</v>
      </c>
      <c r="P85" s="137" t="str">
        <f t="shared" si="7"/>
        <v>yyyy-00-21|9</v>
      </c>
    </row>
    <row r="86" spans="1:16" ht="13">
      <c r="A86" s="31" t="str">
        <f>IF('IMPORT PROFIXIO'!A86="","",'IMPORT PROFIXIO'!A86)</f>
        <v>26 6 1343 017</v>
      </c>
      <c r="B86" s="32">
        <f>IF(A86="","",IF(ISNUMBER('IMPORT PROFIXIO'!D86),'IMPORT PROFIXIO'!D86,DATEVALUE('IMPORT PROFIXIO'!D86)))</f>
        <v>46347</v>
      </c>
      <c r="C86" s="33">
        <f>IF(A86="","",IF(ISNUMBER('IMPORT PROFIXIO'!E86),'IMPORT PROFIXIO'!E86,(VALUE(LEFT('IMPORT PROFIXIO'!E86,FIND(":",'IMPORT PROFIXIO'!E86)-1))*60+VALUE(MID('IMPORT PROFIXIO'!E86,FIND(":",'IMPORT PROFIXIO'!E86)+1,2)))/1440))</f>
        <v>0.66666666666666663</v>
      </c>
      <c r="D86" s="31" t="str">
        <f>IF(A86="","",'IMPORT PROFIXIO'!F86)</f>
        <v>Ulriksdalshallen</v>
      </c>
      <c r="E86" s="31" t="str">
        <f>IF(A86="","",'IMPORT PROFIXIO'!K86)</f>
        <v>Flickor - F14 Öst - F14 Nivå 2 Öst Norra</v>
      </c>
      <c r="F86" s="34" t="str">
        <f>IF(A86="","",IFERROR(VLOOKUP(E86,KLASSNING!$A$5:$F$74,2,FALSE()),"SAKNAS"))</f>
        <v>F14</v>
      </c>
      <c r="G86" s="34" t="str">
        <f>IF(A86="","",IFERROR(VLOOKUP(E86,KLASSNING!$A$5:$F$74,3,FALSE()),"SAKNAS"))</f>
        <v>Seriespel</v>
      </c>
      <c r="H86" s="34" t="str">
        <f>IF(A86="","",'IMPORT PROFIXIO'!H86)</f>
        <v>AIK</v>
      </c>
      <c r="I86" s="34" t="str">
        <f>IF(A86="","",'IMPORT PROFIXIO'!I86)</f>
        <v>Hammarby IF HF 3</v>
      </c>
      <c r="J86" s="34" t="str">
        <f t="shared" si="4"/>
        <v>F14</v>
      </c>
      <c r="K86" s="34" t="str">
        <f t="shared" si="5"/>
        <v>Ja</v>
      </c>
      <c r="L86" s="34">
        <f>IF(A86="","",IFERROR(VLOOKUP(E86,KLASSNING!$A$5:$F$74,5,FALSE()),0))</f>
        <v>45</v>
      </c>
      <c r="M86" s="35">
        <f t="shared" si="6"/>
        <v>0.69791666666666663</v>
      </c>
      <c r="N86" s="34" t="str">
        <f>IF(A86="","",IF(K86&lt;&gt;"Ja","Ej aktuell",IF(L86&lt;=0,"KONTROLLERA MATCHTID",IF(AND(COUNTIFS(BEMANNINGSPLAN!$A$5:$A$546,B86,BEMANNINGSPLAN!$C$5:$C$546,D86,BEMANNINGSPLAN!$D$5:$D$546,"&lt;="&amp;C86,BEMANNINGSPLAN!$E$5:$E$546,"&gt;"&amp;C86)&gt;0,COUNTIFS(BEMANNINGSPLAN!$A$5:$A$546,B86,BEMANNINGSPLAN!$C$5:$C$546,D86,BEMANNINGSPLAN!$D$5:$D$546,"&lt;"&amp;M86,BEMANNINGSPLAN!$E$5:$E$546,"&gt;="&amp;M86)&gt;0),"Ja","SAKNAS TIDSRADER"))))</f>
        <v>Ja</v>
      </c>
      <c r="O86" s="137">
        <f>IF(OR(B86="",K86&lt;&gt;"Ja"),"",COUNTIFS($B$5:B86,B86,$K$5:K86,"Ja"))</f>
        <v>10</v>
      </c>
      <c r="P86" s="137" t="str">
        <f t="shared" si="7"/>
        <v>yyyy-00-21|10</v>
      </c>
    </row>
    <row r="87" spans="1:16" ht="13">
      <c r="A87" s="31" t="str">
        <f>IF('IMPORT PROFIXIO'!A87="","",'IMPORT PROFIXIO'!A87)</f>
        <v>26 6 1141 026</v>
      </c>
      <c r="B87" s="32">
        <f>IF(A87="","",IF(ISNUMBER('IMPORT PROFIXIO'!D87),'IMPORT PROFIXIO'!D87,DATEVALUE('IMPORT PROFIXIO'!D87)))</f>
        <v>46348</v>
      </c>
      <c r="C87" s="33">
        <f>IF(A87="","",IF(ISNUMBER('IMPORT PROFIXIO'!E87),'IMPORT PROFIXIO'!E87,(VALUE(LEFT('IMPORT PROFIXIO'!E87,FIND(":",'IMPORT PROFIXIO'!E87)-1))*60+VALUE(MID('IMPORT PROFIXIO'!E87,FIND(":",'IMPORT PROFIXIO'!E87)+1,2)))/1440))</f>
        <v>0.41666666666666669</v>
      </c>
      <c r="D87" s="31" t="str">
        <f>IF(A87="","",'IMPORT PROFIXIO'!F87)</f>
        <v>Solnahallen</v>
      </c>
      <c r="E87" s="31" t="str">
        <f>IF(A87="","",'IMPORT PROFIXIO'!K87)</f>
        <v>Damer - Dam 4 Öst - Dam 4 Öst Norra</v>
      </c>
      <c r="F87" s="34" t="str">
        <f>IF(A87="","",IFERROR(VLOOKUP(E87,KLASSNING!$A$5:$F$74,2,FALSE()),"SAKNAS"))</f>
        <v>Dam</v>
      </c>
      <c r="G87" s="34" t="str">
        <f>IF(A87="","",IFERROR(VLOOKUP(E87,KLASSNING!$A$5:$F$74,3,FALSE()),"SAKNAS"))</f>
        <v>Seriespel</v>
      </c>
      <c r="H87" s="34" t="str">
        <f>IF(A87="","",'IMPORT PROFIXIO'!H87)</f>
        <v>AIK 2</v>
      </c>
      <c r="I87" s="34" t="str">
        <f>IF(A87="","",'IMPORT PROFIXIO'!I87)</f>
        <v>Bollstanäs SK</v>
      </c>
      <c r="J87" s="34" t="str">
        <f t="shared" si="4"/>
        <v>Dam 2</v>
      </c>
      <c r="K87" s="34" t="str">
        <f t="shared" si="5"/>
        <v>Nej</v>
      </c>
      <c r="L87" s="34">
        <f>IF(A87="","",IFERROR(VLOOKUP(E87,KLASSNING!$A$5:$F$74,5,FALSE()),0))</f>
        <v>70</v>
      </c>
      <c r="M87" s="35" t="str">
        <f t="shared" si="6"/>
        <v/>
      </c>
      <c r="N87" s="34" t="str">
        <f>IF(A87="","",IF(K87&lt;&gt;"Ja","Ej aktuell",IF(L87&lt;=0,"KONTROLLERA MATCHTID",IF(AND(COUNTIFS(BEMANNINGSPLAN!$A$5:$A$546,B87,BEMANNINGSPLAN!$C$5:$C$546,D87,BEMANNINGSPLAN!$D$5:$D$546,"&lt;="&amp;C87,BEMANNINGSPLAN!$E$5:$E$546,"&gt;"&amp;C87)&gt;0,COUNTIFS(BEMANNINGSPLAN!$A$5:$A$546,B87,BEMANNINGSPLAN!$C$5:$C$546,D87,BEMANNINGSPLAN!$D$5:$D$546,"&lt;"&amp;M87,BEMANNINGSPLAN!$E$5:$E$546,"&gt;="&amp;M87)&gt;0),"Ja","SAKNAS TIDSRADER"))))</f>
        <v>Ej aktuell</v>
      </c>
      <c r="O87" s="137" t="str">
        <f>IF(OR(B87="",K87&lt;&gt;"Ja"),"",COUNTIFS($B$5:B87,B87,$K$5:K87,"Ja"))</f>
        <v/>
      </c>
      <c r="P87" s="137" t="str">
        <f t="shared" si="7"/>
        <v/>
      </c>
    </row>
    <row r="88" spans="1:16" ht="13">
      <c r="A88" s="31" t="str">
        <f>IF('IMPORT PROFIXIO'!A88="","",'IMPORT PROFIXIO'!A88)</f>
        <v>26 6 1324 031</v>
      </c>
      <c r="B88" s="32">
        <f>IF(A88="","",IF(ISNUMBER('IMPORT PROFIXIO'!D88),'IMPORT PROFIXIO'!D88,DATEVALUE('IMPORT PROFIXIO'!D88)))</f>
        <v>46354</v>
      </c>
      <c r="C88" s="33">
        <f>IF(A88="","",IF(ISNUMBER('IMPORT PROFIXIO'!E88),'IMPORT PROFIXIO'!E88,(VALUE(LEFT('IMPORT PROFIXIO'!E88,FIND(":",'IMPORT PROFIXIO'!E88)-1))*60+VALUE(MID('IMPORT PROFIXIO'!E88,FIND(":",'IMPORT PROFIXIO'!E88)+1,2)))/1440))</f>
        <v>0.48958333333333331</v>
      </c>
      <c r="D88" s="31" t="str">
        <f>IF(A88="","",'IMPORT PROFIXIO'!F88)</f>
        <v>Råsta Park</v>
      </c>
      <c r="E88" s="31" t="str">
        <f>IF(A88="","",'IMPORT PROFIXIO'!K88)</f>
        <v>Flickor - F16 Öst - F16 Nivå 3 Öst</v>
      </c>
      <c r="F88" s="34" t="str">
        <f>IF(A88="","",IFERROR(VLOOKUP(E88,KLASSNING!$A$5:$F$74,2,FALSE()),"SAKNAS"))</f>
        <v>F16</v>
      </c>
      <c r="G88" s="34" t="str">
        <f>IF(A88="","",IFERROR(VLOOKUP(E88,KLASSNING!$A$5:$F$74,3,FALSE()),"SAKNAS"))</f>
        <v>Seriespel</v>
      </c>
      <c r="H88" s="34" t="str">
        <f>IF(A88="","",'IMPORT PROFIXIO'!H88)</f>
        <v>AIK 2</v>
      </c>
      <c r="I88" s="34" t="str">
        <f>IF(A88="","",'IMPORT PROFIXIO'!I88)</f>
        <v>Årsta AIK HF 3</v>
      </c>
      <c r="J88" s="34" t="str">
        <f t="shared" si="4"/>
        <v>F16 2</v>
      </c>
      <c r="K88" s="34" t="str">
        <f t="shared" si="5"/>
        <v>Ja</v>
      </c>
      <c r="L88" s="34">
        <f>IF(A88="","",IFERROR(VLOOKUP(E88,KLASSNING!$A$5:$F$74,5,FALSE()),0))</f>
        <v>55</v>
      </c>
      <c r="M88" s="35">
        <f t="shared" si="6"/>
        <v>0.52777777777777779</v>
      </c>
      <c r="N88" s="34" t="str">
        <f>IF(A88="","",IF(K88&lt;&gt;"Ja","Ej aktuell",IF(L88&lt;=0,"KONTROLLERA MATCHTID",IF(AND(COUNTIFS(BEMANNINGSPLAN!$A$5:$A$546,B88,BEMANNINGSPLAN!$C$5:$C$546,D88,BEMANNINGSPLAN!$D$5:$D$546,"&lt;="&amp;C88,BEMANNINGSPLAN!$E$5:$E$546,"&gt;"&amp;C88)&gt;0,COUNTIFS(BEMANNINGSPLAN!$A$5:$A$546,B88,BEMANNINGSPLAN!$C$5:$C$546,D88,BEMANNINGSPLAN!$D$5:$D$546,"&lt;"&amp;M88,BEMANNINGSPLAN!$E$5:$E$546,"&gt;="&amp;M88)&gt;0),"Ja","SAKNAS TIDSRADER"))))</f>
        <v>Ja</v>
      </c>
      <c r="O88" s="137">
        <f>IF(OR(B88="",K88&lt;&gt;"Ja"),"",COUNTIFS($B$5:B88,B88,$K$5:K88,"Ja"))</f>
        <v>1</v>
      </c>
      <c r="P88" s="137" t="str">
        <f t="shared" si="7"/>
        <v>yyyy-00-28|1</v>
      </c>
    </row>
    <row r="89" spans="1:16" ht="13">
      <c r="A89" s="31" t="str">
        <f>IF('IMPORT PROFIXIO'!A89="","",'IMPORT PROFIXIO'!A89)</f>
        <v>26 6 1221 050</v>
      </c>
      <c r="B89" s="32">
        <f>IF(A89="","",IF(ISNUMBER('IMPORT PROFIXIO'!D89),'IMPORT PROFIXIO'!D89,DATEVALUE('IMPORT PROFIXIO'!D89)))</f>
        <v>46354</v>
      </c>
      <c r="C89" s="33">
        <f>IF(A89="","",IF(ISNUMBER('IMPORT PROFIXIO'!E89),'IMPORT PROFIXIO'!E89,(VALUE(LEFT('IMPORT PROFIXIO'!E89,FIND(":",'IMPORT PROFIXIO'!E89)-1))*60+VALUE(MID('IMPORT PROFIXIO'!E89,FIND(":",'IMPORT PROFIXIO'!E89)+1,2)))/1440))</f>
        <v>0.5625</v>
      </c>
      <c r="D89" s="31" t="str">
        <f>IF(A89="","",'IMPORT PROFIXIO'!F89)</f>
        <v>Råsta Park</v>
      </c>
      <c r="E89" s="31" t="str">
        <f>IF(A89="","",'IMPORT PROFIXIO'!K89)</f>
        <v>Herrar - Herr 2 Öst</v>
      </c>
      <c r="F89" s="34" t="str">
        <f>IF(A89="","",IFERROR(VLOOKUP(E89,KLASSNING!$A$5:$F$74,2,FALSE()),"SAKNAS"))</f>
        <v>Herr</v>
      </c>
      <c r="G89" s="34" t="str">
        <f>IF(A89="","",IFERROR(VLOOKUP(E89,KLASSNING!$A$5:$F$74,3,FALSE()),"SAKNAS"))</f>
        <v>Seriespel</v>
      </c>
      <c r="H89" s="34" t="str">
        <f>IF(A89="","",'IMPORT PROFIXIO'!H89)</f>
        <v>AIK</v>
      </c>
      <c r="I89" s="34" t="str">
        <f>IF(A89="","",'IMPORT PROFIXIO'!I89)</f>
        <v>Lidingö SK</v>
      </c>
      <c r="J89" s="34" t="str">
        <f t="shared" si="4"/>
        <v>Herr</v>
      </c>
      <c r="K89" s="34" t="str">
        <f t="shared" si="5"/>
        <v>Ja</v>
      </c>
      <c r="L89" s="34">
        <f>IF(A89="","",IFERROR(VLOOKUP(E89,KLASSNING!$A$5:$F$74,5,FALSE()),0))</f>
        <v>70</v>
      </c>
      <c r="M89" s="35">
        <f t="shared" si="6"/>
        <v>0.61111111111111116</v>
      </c>
      <c r="N89" s="34" t="str">
        <f>IF(A89="","",IF(K89&lt;&gt;"Ja","Ej aktuell",IF(L89&lt;=0,"KONTROLLERA MATCHTID",IF(AND(COUNTIFS(BEMANNINGSPLAN!$A$5:$A$546,B89,BEMANNINGSPLAN!$C$5:$C$546,D89,BEMANNINGSPLAN!$D$5:$D$546,"&lt;="&amp;C89,BEMANNINGSPLAN!$E$5:$E$546,"&gt;"&amp;C89)&gt;0,COUNTIFS(BEMANNINGSPLAN!$A$5:$A$546,B89,BEMANNINGSPLAN!$C$5:$C$546,D89,BEMANNINGSPLAN!$D$5:$D$546,"&lt;"&amp;M89,BEMANNINGSPLAN!$E$5:$E$546,"&gt;="&amp;M89)&gt;0),"Ja","SAKNAS TIDSRADER"))))</f>
        <v>Ja</v>
      </c>
      <c r="O89" s="137">
        <f>IF(OR(B89="",K89&lt;&gt;"Ja"),"",COUNTIFS($B$5:B89,B89,$K$5:K89,"Ja"))</f>
        <v>2</v>
      </c>
      <c r="P89" s="137" t="str">
        <f t="shared" si="7"/>
        <v>yyyy-00-28|2</v>
      </c>
    </row>
    <row r="90" spans="1:16" ht="13">
      <c r="A90" s="31" t="str">
        <f>IF('IMPORT PROFIXIO'!A90="","",'IMPORT PROFIXIO'!A90)</f>
        <v>26 6 1562 040</v>
      </c>
      <c r="B90" s="32">
        <f>IF(A90="","",IF(ISNUMBER('IMPORT PROFIXIO'!D90),'IMPORT PROFIXIO'!D90,DATEVALUE('IMPORT PROFIXIO'!D90)))</f>
        <v>46354</v>
      </c>
      <c r="C90" s="33">
        <f>IF(A90="","",IF(ISNUMBER('IMPORT PROFIXIO'!E90),'IMPORT PROFIXIO'!E90,(VALUE(LEFT('IMPORT PROFIXIO'!E90,FIND(":",'IMPORT PROFIXIO'!E90)-1))*60+VALUE(MID('IMPORT PROFIXIO'!E90,FIND(":",'IMPORT PROFIXIO'!E90)+1,2)))/1440))</f>
        <v>0.375</v>
      </c>
      <c r="D90" s="31" t="str">
        <f>IF(A90="","",'IMPORT PROFIXIO'!F90)</f>
        <v>Tallbackaskolan</v>
      </c>
      <c r="E90" s="31" t="str">
        <f>IF(A90="","",'IMPORT PROFIXIO'!K90)</f>
        <v>Pojkar - P12 Öst - P12 Nivå 2 Öst Norra</v>
      </c>
      <c r="F90" s="34" t="str">
        <f>IF(A90="","",IFERROR(VLOOKUP(E90,KLASSNING!$A$5:$F$74,2,FALSE()),"SAKNAS"))</f>
        <v>P12</v>
      </c>
      <c r="G90" s="34" t="str">
        <f>IF(A90="","",IFERROR(VLOOKUP(E90,KLASSNING!$A$5:$F$74,3,FALSE()),"SAKNAS"))</f>
        <v>Seriespel</v>
      </c>
      <c r="H90" s="34" t="str">
        <f>IF(A90="","",'IMPORT PROFIXIO'!H90)</f>
        <v>AIK</v>
      </c>
      <c r="I90" s="34" t="str">
        <f>IF(A90="","",'IMPORT PROFIXIO'!I90)</f>
        <v>Bålsta IF</v>
      </c>
      <c r="J90" s="34" t="str">
        <f t="shared" si="4"/>
        <v>P12</v>
      </c>
      <c r="K90" s="34" t="str">
        <f t="shared" si="5"/>
        <v>Ja</v>
      </c>
      <c r="L90" s="34">
        <f>IF(A90="","",IFERROR(VLOOKUP(E90,KLASSNING!$A$5:$F$74,5,FALSE()),0))</f>
        <v>35</v>
      </c>
      <c r="M90" s="35">
        <f t="shared" si="6"/>
        <v>0.39930555555555558</v>
      </c>
      <c r="N90" s="34" t="str">
        <f>IF(A90="","",IF(K90&lt;&gt;"Ja","Ej aktuell",IF(L90&lt;=0,"KONTROLLERA MATCHTID",IF(AND(COUNTIFS(BEMANNINGSPLAN!$A$5:$A$546,B90,BEMANNINGSPLAN!$C$5:$C$546,D90,BEMANNINGSPLAN!$D$5:$D$546,"&lt;="&amp;C90,BEMANNINGSPLAN!$E$5:$E$546,"&gt;"&amp;C90)&gt;0,COUNTIFS(BEMANNINGSPLAN!$A$5:$A$546,B90,BEMANNINGSPLAN!$C$5:$C$546,D90,BEMANNINGSPLAN!$D$5:$D$546,"&lt;"&amp;M90,BEMANNINGSPLAN!$E$5:$E$546,"&gt;="&amp;M90)&gt;0),"Ja","SAKNAS TIDSRADER"))))</f>
        <v>Ja</v>
      </c>
      <c r="O90" s="137">
        <f>IF(OR(B90="",K90&lt;&gt;"Ja"),"",COUNTIFS($B$5:B90,B90,$K$5:K90,"Ja"))</f>
        <v>3</v>
      </c>
      <c r="P90" s="137" t="str">
        <f t="shared" si="7"/>
        <v>yyyy-00-28|3</v>
      </c>
    </row>
    <row r="91" spans="1:16" ht="13">
      <c r="A91" s="31" t="str">
        <f>IF('IMPORT PROFIXIO'!A91="","",'IMPORT PROFIXIO'!A91)</f>
        <v>26 6 1562 039</v>
      </c>
      <c r="B91" s="32">
        <f>IF(A91="","",IF(ISNUMBER('IMPORT PROFIXIO'!D91),'IMPORT PROFIXIO'!D91,DATEVALUE('IMPORT PROFIXIO'!D91)))</f>
        <v>46354</v>
      </c>
      <c r="C91" s="33">
        <f>IF(A91="","",IF(ISNUMBER('IMPORT PROFIXIO'!E91),'IMPORT PROFIXIO'!E91,(VALUE(LEFT('IMPORT PROFIXIO'!E91,FIND(":",'IMPORT PROFIXIO'!E91)-1))*60+VALUE(MID('IMPORT PROFIXIO'!E91,FIND(":",'IMPORT PROFIXIO'!E91)+1,2)))/1440))</f>
        <v>0.41666666666666669</v>
      </c>
      <c r="D91" s="31" t="str">
        <f>IF(A91="","",'IMPORT PROFIXIO'!F91)</f>
        <v>Tallbackaskolan</v>
      </c>
      <c r="E91" s="31" t="str">
        <f>IF(A91="","",'IMPORT PROFIXIO'!K91)</f>
        <v>Pojkar - P12 Öst - P12 Nivå 2 Öst Norra</v>
      </c>
      <c r="F91" s="34" t="str">
        <f>IF(A91="","",IFERROR(VLOOKUP(E91,KLASSNING!$A$5:$F$74,2,FALSE()),"SAKNAS"))</f>
        <v>P12</v>
      </c>
      <c r="G91" s="34" t="str">
        <f>IF(A91="","",IFERROR(VLOOKUP(E91,KLASSNING!$A$5:$F$74,3,FALSE()),"SAKNAS"))</f>
        <v>Seriespel</v>
      </c>
      <c r="H91" s="34" t="str">
        <f>IF(A91="","",'IMPORT PROFIXIO'!H91)</f>
        <v>Bålsta IF</v>
      </c>
      <c r="I91" s="34" t="str">
        <f>IF(A91="","",'IMPORT PROFIXIO'!I91)</f>
        <v>Uppsala HK 2</v>
      </c>
      <c r="J91" s="34" t="str">
        <f t="shared" si="4"/>
        <v/>
      </c>
      <c r="K91" s="34" t="str">
        <f t="shared" si="5"/>
        <v>Ja</v>
      </c>
      <c r="L91" s="34">
        <f>IF(A91="","",IFERROR(VLOOKUP(E91,KLASSNING!$A$5:$F$74,5,FALSE()),0))</f>
        <v>35</v>
      </c>
      <c r="M91" s="35">
        <f t="shared" si="6"/>
        <v>0.44097222222222227</v>
      </c>
      <c r="N91" s="34" t="str">
        <f>IF(A91="","",IF(K91&lt;&gt;"Ja","Ej aktuell",IF(L91&lt;=0,"KONTROLLERA MATCHTID",IF(AND(COUNTIFS(BEMANNINGSPLAN!$A$5:$A$546,B91,BEMANNINGSPLAN!$C$5:$C$546,D91,BEMANNINGSPLAN!$D$5:$D$546,"&lt;="&amp;C91,BEMANNINGSPLAN!$E$5:$E$546,"&gt;"&amp;C91)&gt;0,COUNTIFS(BEMANNINGSPLAN!$A$5:$A$546,B91,BEMANNINGSPLAN!$C$5:$C$546,D91,BEMANNINGSPLAN!$D$5:$D$546,"&lt;"&amp;M91,BEMANNINGSPLAN!$E$5:$E$546,"&gt;="&amp;M91)&gt;0),"Ja","SAKNAS TIDSRADER"))))</f>
        <v>Ja</v>
      </c>
      <c r="O91" s="137">
        <f>IF(OR(B91="",K91&lt;&gt;"Ja"),"",COUNTIFS($B$5:B91,B91,$K$5:K91,"Ja"))</f>
        <v>4</v>
      </c>
      <c r="P91" s="137" t="str">
        <f t="shared" si="7"/>
        <v>yyyy-00-28|4</v>
      </c>
    </row>
    <row r="92" spans="1:16" ht="13">
      <c r="A92" s="31" t="str">
        <f>IF('IMPORT PROFIXIO'!A92="","",'IMPORT PROFIXIO'!A92)</f>
        <v>26 6 1562 038</v>
      </c>
      <c r="B92" s="32">
        <f>IF(A92="","",IF(ISNUMBER('IMPORT PROFIXIO'!D92),'IMPORT PROFIXIO'!D92,DATEVALUE('IMPORT PROFIXIO'!D92)))</f>
        <v>46354</v>
      </c>
      <c r="C92" s="33">
        <f>IF(A92="","",IF(ISNUMBER('IMPORT PROFIXIO'!E92),'IMPORT PROFIXIO'!E92,(VALUE(LEFT('IMPORT PROFIXIO'!E92,FIND(":",'IMPORT PROFIXIO'!E92)-1))*60+VALUE(MID('IMPORT PROFIXIO'!E92,FIND(":",'IMPORT PROFIXIO'!E92)+1,2)))/1440))</f>
        <v>0.45833333333333331</v>
      </c>
      <c r="D92" s="31" t="str">
        <f>IF(A92="","",'IMPORT PROFIXIO'!F92)</f>
        <v>Tallbackaskolan</v>
      </c>
      <c r="E92" s="31" t="str">
        <f>IF(A92="","",'IMPORT PROFIXIO'!K92)</f>
        <v>Pojkar - P12 Öst - P12 Nivå 2 Öst Norra</v>
      </c>
      <c r="F92" s="34" t="str">
        <f>IF(A92="","",IFERROR(VLOOKUP(E92,KLASSNING!$A$5:$F$74,2,FALSE()),"SAKNAS"))</f>
        <v>P12</v>
      </c>
      <c r="G92" s="34" t="str">
        <f>IF(A92="","",IFERROR(VLOOKUP(E92,KLASSNING!$A$5:$F$74,3,FALSE()),"SAKNAS"))</f>
        <v>Seriespel</v>
      </c>
      <c r="H92" s="34" t="str">
        <f>IF(A92="","",'IMPORT PROFIXIO'!H92)</f>
        <v>AIK</v>
      </c>
      <c r="I92" s="34" t="str">
        <f>IF(A92="","",'IMPORT PROFIXIO'!I92)</f>
        <v>Uppsala HK 2</v>
      </c>
      <c r="J92" s="34" t="str">
        <f t="shared" si="4"/>
        <v>P12</v>
      </c>
      <c r="K92" s="34" t="str">
        <f t="shared" si="5"/>
        <v>Ja</v>
      </c>
      <c r="L92" s="34">
        <f>IF(A92="","",IFERROR(VLOOKUP(E92,KLASSNING!$A$5:$F$74,5,FALSE()),0))</f>
        <v>35</v>
      </c>
      <c r="M92" s="35">
        <f t="shared" si="6"/>
        <v>0.4826388888888889</v>
      </c>
      <c r="N92" s="34" t="str">
        <f>IF(A92="","",IF(K92&lt;&gt;"Ja","Ej aktuell",IF(L92&lt;=0,"KONTROLLERA MATCHTID",IF(AND(COUNTIFS(BEMANNINGSPLAN!$A$5:$A$546,B92,BEMANNINGSPLAN!$C$5:$C$546,D92,BEMANNINGSPLAN!$D$5:$D$546,"&lt;="&amp;C92,BEMANNINGSPLAN!$E$5:$E$546,"&gt;"&amp;C92)&gt;0,COUNTIFS(BEMANNINGSPLAN!$A$5:$A$546,B92,BEMANNINGSPLAN!$C$5:$C$546,D92,BEMANNINGSPLAN!$D$5:$D$546,"&lt;"&amp;M92,BEMANNINGSPLAN!$E$5:$E$546,"&gt;="&amp;M92)&gt;0),"Ja","SAKNAS TIDSRADER"))))</f>
        <v>Ja</v>
      </c>
      <c r="O92" s="137">
        <f>IF(OR(B92="",K92&lt;&gt;"Ja"),"",COUNTIFS($B$5:B92,B92,$K$5:K92,"Ja"))</f>
        <v>5</v>
      </c>
      <c r="P92" s="137" t="str">
        <f t="shared" si="7"/>
        <v>yyyy-00-28|5</v>
      </c>
    </row>
    <row r="93" spans="1:16" ht="13">
      <c r="A93" s="31" t="str">
        <f>IF('IMPORT PROFIXIO'!A93="","",'IMPORT PROFIXIO'!A93)</f>
        <v>26 6 1563 038</v>
      </c>
      <c r="B93" s="32">
        <f>IF(A93="","",IF(ISNUMBER('IMPORT PROFIXIO'!D93),'IMPORT PROFIXIO'!D93,DATEVALUE('IMPORT PROFIXIO'!D93)))</f>
        <v>46354</v>
      </c>
      <c r="C93" s="33">
        <f>IF(A93="","",IF(ISNUMBER('IMPORT PROFIXIO'!E93),'IMPORT PROFIXIO'!E93,(VALUE(LEFT('IMPORT PROFIXIO'!E93,FIND(":",'IMPORT PROFIXIO'!E93)-1))*60+VALUE(MID('IMPORT PROFIXIO'!E93,FIND(":",'IMPORT PROFIXIO'!E93)+1,2)))/1440))</f>
        <v>0.5</v>
      </c>
      <c r="D93" s="31" t="str">
        <f>IF(A93="","",'IMPORT PROFIXIO'!F93)</f>
        <v>Tallbackaskolan</v>
      </c>
      <c r="E93" s="31" t="str">
        <f>IF(A93="","",'IMPORT PROFIXIO'!K93)</f>
        <v>Pojkar - P12 Öst - P12 Nivå 2 Öst Södra</v>
      </c>
      <c r="F93" s="34" t="str">
        <f>IF(A93="","",IFERROR(VLOOKUP(E93,KLASSNING!$A$5:$F$74,2,FALSE()),"SAKNAS"))</f>
        <v>P12</v>
      </c>
      <c r="G93" s="34" t="str">
        <f>IF(A93="","",IFERROR(VLOOKUP(E93,KLASSNING!$A$5:$F$74,3,FALSE()),"SAKNAS"))</f>
        <v>Seriespel</v>
      </c>
      <c r="H93" s="34" t="str">
        <f>IF(A93="","",'IMPORT PROFIXIO'!H93)</f>
        <v>AIK 2</v>
      </c>
      <c r="I93" s="34" t="str">
        <f>IF(A93="","",'IMPORT PROFIXIO'!I93)</f>
        <v>Årsta AIK HF 1</v>
      </c>
      <c r="J93" s="34" t="str">
        <f t="shared" si="4"/>
        <v>P12 2</v>
      </c>
      <c r="K93" s="34" t="str">
        <f t="shared" si="5"/>
        <v>Ja</v>
      </c>
      <c r="L93" s="34">
        <f>IF(A93="","",IFERROR(VLOOKUP(E93,KLASSNING!$A$5:$F$74,5,FALSE()),0))</f>
        <v>35</v>
      </c>
      <c r="M93" s="35">
        <f t="shared" si="6"/>
        <v>0.52430555555555558</v>
      </c>
      <c r="N93" s="34" t="str">
        <f>IF(A93="","",IF(K93&lt;&gt;"Ja","Ej aktuell",IF(L93&lt;=0,"KONTROLLERA MATCHTID",IF(AND(COUNTIFS(BEMANNINGSPLAN!$A$5:$A$546,B93,BEMANNINGSPLAN!$C$5:$C$546,D93,BEMANNINGSPLAN!$D$5:$D$546,"&lt;="&amp;C93,BEMANNINGSPLAN!$E$5:$E$546,"&gt;"&amp;C93)&gt;0,COUNTIFS(BEMANNINGSPLAN!$A$5:$A$546,B93,BEMANNINGSPLAN!$C$5:$C$546,D93,BEMANNINGSPLAN!$D$5:$D$546,"&lt;"&amp;M93,BEMANNINGSPLAN!$E$5:$E$546,"&gt;="&amp;M93)&gt;0),"Ja","SAKNAS TIDSRADER"))))</f>
        <v>Ja</v>
      </c>
      <c r="O93" s="137">
        <f>IF(OR(B93="",K93&lt;&gt;"Ja"),"",COUNTIFS($B$5:B93,B93,$K$5:K93,"Ja"))</f>
        <v>6</v>
      </c>
      <c r="P93" s="137" t="str">
        <f t="shared" si="7"/>
        <v>yyyy-00-28|6</v>
      </c>
    </row>
    <row r="94" spans="1:16" ht="13">
      <c r="A94" s="31" t="str">
        <f>IF('IMPORT PROFIXIO'!A94="","",'IMPORT PROFIXIO'!A94)</f>
        <v>26 6 1563 039</v>
      </c>
      <c r="B94" s="32">
        <f>IF(A94="","",IF(ISNUMBER('IMPORT PROFIXIO'!D94),'IMPORT PROFIXIO'!D94,DATEVALUE('IMPORT PROFIXIO'!D94)))</f>
        <v>46354</v>
      </c>
      <c r="C94" s="33">
        <f>IF(A94="","",IF(ISNUMBER('IMPORT PROFIXIO'!E94),'IMPORT PROFIXIO'!E94,(VALUE(LEFT('IMPORT PROFIXIO'!E94,FIND(":",'IMPORT PROFIXIO'!E94)-1))*60+VALUE(MID('IMPORT PROFIXIO'!E94,FIND(":",'IMPORT PROFIXIO'!E94)+1,2)))/1440))</f>
        <v>0.54166666666666663</v>
      </c>
      <c r="D94" s="31" t="str">
        <f>IF(A94="","",'IMPORT PROFIXIO'!F94)</f>
        <v>Tallbackaskolan</v>
      </c>
      <c r="E94" s="31" t="str">
        <f>IF(A94="","",'IMPORT PROFIXIO'!K94)</f>
        <v>Pojkar - P12 Öst - P12 Nivå 2 Öst Södra</v>
      </c>
      <c r="F94" s="34" t="str">
        <f>IF(A94="","",IFERROR(VLOOKUP(E94,KLASSNING!$A$5:$F$74,2,FALSE()),"SAKNAS"))</f>
        <v>P12</v>
      </c>
      <c r="G94" s="34" t="str">
        <f>IF(A94="","",IFERROR(VLOOKUP(E94,KLASSNING!$A$5:$F$74,3,FALSE()),"SAKNAS"))</f>
        <v>Seriespel</v>
      </c>
      <c r="H94" s="34" t="str">
        <f>IF(A94="","",'IMPORT PROFIXIO'!H94)</f>
        <v>Skogås HK</v>
      </c>
      <c r="I94" s="34" t="str">
        <f>IF(A94="","",'IMPORT PROFIXIO'!I94)</f>
        <v>Årsta AIK HF 1</v>
      </c>
      <c r="J94" s="34" t="str">
        <f t="shared" si="4"/>
        <v/>
      </c>
      <c r="K94" s="34" t="str">
        <f t="shared" si="5"/>
        <v>Ja</v>
      </c>
      <c r="L94" s="34">
        <f>IF(A94="","",IFERROR(VLOOKUP(E94,KLASSNING!$A$5:$F$74,5,FALSE()),0))</f>
        <v>35</v>
      </c>
      <c r="M94" s="35">
        <f t="shared" si="6"/>
        <v>0.56597222222222221</v>
      </c>
      <c r="N94" s="34" t="str">
        <f>IF(A94="","",IF(K94&lt;&gt;"Ja","Ej aktuell",IF(L94&lt;=0,"KONTROLLERA MATCHTID",IF(AND(COUNTIFS(BEMANNINGSPLAN!$A$5:$A$546,B94,BEMANNINGSPLAN!$C$5:$C$546,D94,BEMANNINGSPLAN!$D$5:$D$546,"&lt;="&amp;C94,BEMANNINGSPLAN!$E$5:$E$546,"&gt;"&amp;C94)&gt;0,COUNTIFS(BEMANNINGSPLAN!$A$5:$A$546,B94,BEMANNINGSPLAN!$C$5:$C$546,D94,BEMANNINGSPLAN!$D$5:$D$546,"&lt;"&amp;M94,BEMANNINGSPLAN!$E$5:$E$546,"&gt;="&amp;M94)&gt;0),"Ja","SAKNAS TIDSRADER"))))</f>
        <v>Ja</v>
      </c>
      <c r="O94" s="137">
        <f>IF(OR(B94="",K94&lt;&gt;"Ja"),"",COUNTIFS($B$5:B94,B94,$K$5:K94,"Ja"))</f>
        <v>7</v>
      </c>
      <c r="P94" s="137" t="str">
        <f t="shared" si="7"/>
        <v>yyyy-00-28|7</v>
      </c>
    </row>
    <row r="95" spans="1:16" ht="13">
      <c r="A95" s="31" t="str">
        <f>IF('IMPORT PROFIXIO'!A95="","",'IMPORT PROFIXIO'!A95)</f>
        <v>26 6 1563 040</v>
      </c>
      <c r="B95" s="32">
        <f>IF(A95="","",IF(ISNUMBER('IMPORT PROFIXIO'!D95),'IMPORT PROFIXIO'!D95,DATEVALUE('IMPORT PROFIXIO'!D95)))</f>
        <v>46354</v>
      </c>
      <c r="C95" s="33">
        <f>IF(A95="","",IF(ISNUMBER('IMPORT PROFIXIO'!E95),'IMPORT PROFIXIO'!E95,(VALUE(LEFT('IMPORT PROFIXIO'!E95,FIND(":",'IMPORT PROFIXIO'!E95)-1))*60+VALUE(MID('IMPORT PROFIXIO'!E95,FIND(":",'IMPORT PROFIXIO'!E95)+1,2)))/1440))</f>
        <v>0.58333333333333337</v>
      </c>
      <c r="D95" s="31" t="str">
        <f>IF(A95="","",'IMPORT PROFIXIO'!F95)</f>
        <v>Tallbackaskolan</v>
      </c>
      <c r="E95" s="31" t="str">
        <f>IF(A95="","",'IMPORT PROFIXIO'!K95)</f>
        <v>Pojkar - P12 Öst - P12 Nivå 2 Öst Södra</v>
      </c>
      <c r="F95" s="34" t="str">
        <f>IF(A95="","",IFERROR(VLOOKUP(E95,KLASSNING!$A$5:$F$74,2,FALSE()),"SAKNAS"))</f>
        <v>P12</v>
      </c>
      <c r="G95" s="34" t="str">
        <f>IF(A95="","",IFERROR(VLOOKUP(E95,KLASSNING!$A$5:$F$74,3,FALSE()),"SAKNAS"))</f>
        <v>Seriespel</v>
      </c>
      <c r="H95" s="34" t="str">
        <f>IF(A95="","",'IMPORT PROFIXIO'!H95)</f>
        <v>AIK 2</v>
      </c>
      <c r="I95" s="34" t="str">
        <f>IF(A95="","",'IMPORT PROFIXIO'!I95)</f>
        <v>Skogås HK</v>
      </c>
      <c r="J95" s="34" t="str">
        <f t="shared" si="4"/>
        <v>P12 2</v>
      </c>
      <c r="K95" s="34" t="str">
        <f t="shared" si="5"/>
        <v>Ja</v>
      </c>
      <c r="L95" s="34">
        <f>IF(A95="","",IFERROR(VLOOKUP(E95,KLASSNING!$A$5:$F$74,5,FALSE()),0))</f>
        <v>35</v>
      </c>
      <c r="M95" s="35">
        <f t="shared" si="6"/>
        <v>0.60763888888888895</v>
      </c>
      <c r="N95" s="34" t="str">
        <f>IF(A95="","",IF(K95&lt;&gt;"Ja","Ej aktuell",IF(L95&lt;=0,"KONTROLLERA MATCHTID",IF(AND(COUNTIFS(BEMANNINGSPLAN!$A$5:$A$546,B95,BEMANNINGSPLAN!$C$5:$C$546,D95,BEMANNINGSPLAN!$D$5:$D$546,"&lt;="&amp;C95,BEMANNINGSPLAN!$E$5:$E$546,"&gt;"&amp;C95)&gt;0,COUNTIFS(BEMANNINGSPLAN!$A$5:$A$546,B95,BEMANNINGSPLAN!$C$5:$C$546,D95,BEMANNINGSPLAN!$D$5:$D$546,"&lt;"&amp;M95,BEMANNINGSPLAN!$E$5:$E$546,"&gt;="&amp;M95)&gt;0),"Ja","SAKNAS TIDSRADER"))))</f>
        <v>Ja</v>
      </c>
      <c r="O95" s="137">
        <f>IF(OR(B95="",K95&lt;&gt;"Ja"),"",COUNTIFS($B$5:B95,B95,$K$5:K95,"Ja"))</f>
        <v>8</v>
      </c>
      <c r="P95" s="137" t="str">
        <f t="shared" si="7"/>
        <v>yyyy-00-28|8</v>
      </c>
    </row>
    <row r="96" spans="1:16" ht="13">
      <c r="A96" s="31" t="str">
        <f>IF('IMPORT PROFIXIO'!A96="","",'IMPORT PROFIXIO'!A96)</f>
        <v>26 6 1363 028</v>
      </c>
      <c r="B96" s="32">
        <f>IF(A96="","",IF(ISNUMBER('IMPORT PROFIXIO'!D96),'IMPORT PROFIXIO'!D96,DATEVALUE('IMPORT PROFIXIO'!D96)))</f>
        <v>46354</v>
      </c>
      <c r="C96" s="33">
        <f>IF(A96="","",IF(ISNUMBER('IMPORT PROFIXIO'!E96),'IMPORT PROFIXIO'!E96,(VALUE(LEFT('IMPORT PROFIXIO'!E96,FIND(":",'IMPORT PROFIXIO'!E96)-1))*60+VALUE(MID('IMPORT PROFIXIO'!E96,FIND(":",'IMPORT PROFIXIO'!E96)+1,2)))/1440))</f>
        <v>0.50694444444444442</v>
      </c>
      <c r="D96" s="31" t="str">
        <f>IF(A96="","",'IMPORT PROFIXIO'!F96)</f>
        <v>Ulriksdalshallen</v>
      </c>
      <c r="E96" s="31" t="str">
        <f>IF(A96="","",'IMPORT PROFIXIO'!K96)</f>
        <v>Flickor - F12 Öst - F12 Nivå 2 Öst Norra</v>
      </c>
      <c r="F96" s="34" t="str">
        <f>IF(A96="","",IFERROR(VLOOKUP(E96,KLASSNING!$A$5:$F$74,2,FALSE()),"SAKNAS"))</f>
        <v>F12</v>
      </c>
      <c r="G96" s="34" t="str">
        <f>IF(A96="","",IFERROR(VLOOKUP(E96,KLASSNING!$A$5:$F$74,3,FALSE()),"SAKNAS"))</f>
        <v>Seriespel</v>
      </c>
      <c r="H96" s="34" t="str">
        <f>IF(A96="","",'IMPORT PROFIXIO'!H96)</f>
        <v>AIK</v>
      </c>
      <c r="I96" s="34" t="str">
        <f>IF(A96="","",'IMPORT PROFIXIO'!I96)</f>
        <v>Spånga HK 1</v>
      </c>
      <c r="J96" s="34" t="str">
        <f t="shared" si="4"/>
        <v>F12</v>
      </c>
      <c r="K96" s="34" t="str">
        <f t="shared" si="5"/>
        <v>Ja</v>
      </c>
      <c r="L96" s="34">
        <f>IF(A96="","",IFERROR(VLOOKUP(E96,KLASSNING!$A$5:$F$74,5,FALSE()),0))</f>
        <v>35</v>
      </c>
      <c r="M96" s="35">
        <f t="shared" si="6"/>
        <v>0.53125</v>
      </c>
      <c r="N96" s="34" t="str">
        <f>IF(A96="","",IF(K96&lt;&gt;"Ja","Ej aktuell",IF(L96&lt;=0,"KONTROLLERA MATCHTID",IF(AND(COUNTIFS(BEMANNINGSPLAN!$A$5:$A$546,B96,BEMANNINGSPLAN!$C$5:$C$546,D96,BEMANNINGSPLAN!$D$5:$D$546,"&lt;="&amp;C96,BEMANNINGSPLAN!$E$5:$E$546,"&gt;"&amp;C96)&gt;0,COUNTIFS(BEMANNINGSPLAN!$A$5:$A$546,B96,BEMANNINGSPLAN!$C$5:$C$546,D96,BEMANNINGSPLAN!$D$5:$D$546,"&lt;"&amp;M96,BEMANNINGSPLAN!$E$5:$E$546,"&gt;="&amp;M96)&gt;0),"Ja","SAKNAS TIDSRADER"))))</f>
        <v>Ja</v>
      </c>
      <c r="O96" s="137">
        <f>IF(OR(B96="",K96&lt;&gt;"Ja"),"",COUNTIFS($B$5:B96,B96,$K$5:K96,"Ja"))</f>
        <v>9</v>
      </c>
      <c r="P96" s="137" t="str">
        <f t="shared" si="7"/>
        <v>yyyy-00-28|9</v>
      </c>
    </row>
    <row r="97" spans="1:16" ht="13">
      <c r="A97" s="31" t="str">
        <f>IF('IMPORT PROFIXIO'!A97="","",'IMPORT PROFIXIO'!A97)</f>
        <v>26 6 1363 029</v>
      </c>
      <c r="B97" s="32">
        <f>IF(A97="","",IF(ISNUMBER('IMPORT PROFIXIO'!D97),'IMPORT PROFIXIO'!D97,DATEVALUE('IMPORT PROFIXIO'!D97)))</f>
        <v>46354</v>
      </c>
      <c r="C97" s="33">
        <f>IF(A97="","",IF(ISNUMBER('IMPORT PROFIXIO'!E97),'IMPORT PROFIXIO'!E97,(VALUE(LEFT('IMPORT PROFIXIO'!E97,FIND(":",'IMPORT PROFIXIO'!E97)-1))*60+VALUE(MID('IMPORT PROFIXIO'!E97,FIND(":",'IMPORT PROFIXIO'!E97)+1,2)))/1440))</f>
        <v>0.54861111111111116</v>
      </c>
      <c r="D97" s="31" t="str">
        <f>IF(A97="","",'IMPORT PROFIXIO'!F97)</f>
        <v>Ulriksdalshallen</v>
      </c>
      <c r="E97" s="31" t="str">
        <f>IF(A97="","",'IMPORT PROFIXIO'!K97)</f>
        <v>Flickor - F12 Öst - F12 Nivå 2 Öst Norra</v>
      </c>
      <c r="F97" s="34" t="str">
        <f>IF(A97="","",IFERROR(VLOOKUP(E97,KLASSNING!$A$5:$F$74,2,FALSE()),"SAKNAS"))</f>
        <v>F12</v>
      </c>
      <c r="G97" s="34" t="str">
        <f>IF(A97="","",IFERROR(VLOOKUP(E97,KLASSNING!$A$5:$F$74,3,FALSE()),"SAKNAS"))</f>
        <v>Seriespel</v>
      </c>
      <c r="H97" s="34" t="str">
        <f>IF(A97="","",'IMPORT PROFIXIO'!H97)</f>
        <v>Spånga HK 1</v>
      </c>
      <c r="I97" s="34" t="str">
        <f>IF(A97="","",'IMPORT PROFIXIO'!I97)</f>
        <v>Skå IK</v>
      </c>
      <c r="J97" s="34" t="str">
        <f t="shared" si="4"/>
        <v/>
      </c>
      <c r="K97" s="34" t="str">
        <f t="shared" si="5"/>
        <v>Ja</v>
      </c>
      <c r="L97" s="34">
        <f>IF(A97="","",IFERROR(VLOOKUP(E97,KLASSNING!$A$5:$F$74,5,FALSE()),0))</f>
        <v>35</v>
      </c>
      <c r="M97" s="35">
        <f t="shared" si="6"/>
        <v>0.57291666666666674</v>
      </c>
      <c r="N97" s="34" t="str">
        <f>IF(A97="","",IF(K97&lt;&gt;"Ja","Ej aktuell",IF(L97&lt;=0,"KONTROLLERA MATCHTID",IF(AND(COUNTIFS(BEMANNINGSPLAN!$A$5:$A$546,B97,BEMANNINGSPLAN!$C$5:$C$546,D97,BEMANNINGSPLAN!$D$5:$D$546,"&lt;="&amp;C97,BEMANNINGSPLAN!$E$5:$E$546,"&gt;"&amp;C97)&gt;0,COUNTIFS(BEMANNINGSPLAN!$A$5:$A$546,B97,BEMANNINGSPLAN!$C$5:$C$546,D97,BEMANNINGSPLAN!$D$5:$D$546,"&lt;"&amp;M97,BEMANNINGSPLAN!$E$5:$E$546,"&gt;="&amp;M97)&gt;0),"Ja","SAKNAS TIDSRADER"))))</f>
        <v>Ja</v>
      </c>
      <c r="O97" s="137">
        <f>IF(OR(B97="",K97&lt;&gt;"Ja"),"",COUNTIFS($B$5:B97,B97,$K$5:K97,"Ja"))</f>
        <v>10</v>
      </c>
      <c r="P97" s="137" t="str">
        <f t="shared" si="7"/>
        <v>yyyy-00-28|10</v>
      </c>
    </row>
    <row r="98" spans="1:16" ht="13">
      <c r="A98" s="31" t="str">
        <f>IF('IMPORT PROFIXIO'!A98="","",'IMPORT PROFIXIO'!A98)</f>
        <v>26 6 1363 030</v>
      </c>
      <c r="B98" s="32">
        <f>IF(A98="","",IF(ISNUMBER('IMPORT PROFIXIO'!D98),'IMPORT PROFIXIO'!D98,DATEVALUE('IMPORT PROFIXIO'!D98)))</f>
        <v>46354</v>
      </c>
      <c r="C98" s="33">
        <f>IF(A98="","",IF(ISNUMBER('IMPORT PROFIXIO'!E98),'IMPORT PROFIXIO'!E98,(VALUE(LEFT('IMPORT PROFIXIO'!E98,FIND(":",'IMPORT PROFIXIO'!E98)-1))*60+VALUE(MID('IMPORT PROFIXIO'!E98,FIND(":",'IMPORT PROFIXIO'!E98)+1,2)))/1440))</f>
        <v>0.59027777777777779</v>
      </c>
      <c r="D98" s="31" t="str">
        <f>IF(A98="","",'IMPORT PROFIXIO'!F98)</f>
        <v>Ulriksdalshallen</v>
      </c>
      <c r="E98" s="31" t="str">
        <f>IF(A98="","",'IMPORT PROFIXIO'!K98)</f>
        <v>Flickor - F12 Öst - F12 Nivå 2 Öst Norra</v>
      </c>
      <c r="F98" s="34" t="str">
        <f>IF(A98="","",IFERROR(VLOOKUP(E98,KLASSNING!$A$5:$F$74,2,FALSE()),"SAKNAS"))</f>
        <v>F12</v>
      </c>
      <c r="G98" s="34" t="str">
        <f>IF(A98="","",IFERROR(VLOOKUP(E98,KLASSNING!$A$5:$F$74,3,FALSE()),"SAKNAS"))</f>
        <v>Seriespel</v>
      </c>
      <c r="H98" s="34" t="str">
        <f>IF(A98="","",'IMPORT PROFIXIO'!H98)</f>
        <v>AIK</v>
      </c>
      <c r="I98" s="34" t="str">
        <f>IF(A98="","",'IMPORT PROFIXIO'!I98)</f>
        <v>Skå IK</v>
      </c>
      <c r="J98" s="34" t="str">
        <f t="shared" si="4"/>
        <v>F12</v>
      </c>
      <c r="K98" s="34" t="str">
        <f t="shared" si="5"/>
        <v>Ja</v>
      </c>
      <c r="L98" s="34">
        <f>IF(A98="","",IFERROR(VLOOKUP(E98,KLASSNING!$A$5:$F$74,5,FALSE()),0))</f>
        <v>35</v>
      </c>
      <c r="M98" s="35">
        <f t="shared" si="6"/>
        <v>0.61458333333333337</v>
      </c>
      <c r="N98" s="34" t="str">
        <f>IF(A98="","",IF(K98&lt;&gt;"Ja","Ej aktuell",IF(L98&lt;=0,"KONTROLLERA MATCHTID",IF(AND(COUNTIFS(BEMANNINGSPLAN!$A$5:$A$546,B98,BEMANNINGSPLAN!$C$5:$C$546,D98,BEMANNINGSPLAN!$D$5:$D$546,"&lt;="&amp;C98,BEMANNINGSPLAN!$E$5:$E$546,"&gt;"&amp;C98)&gt;0,COUNTIFS(BEMANNINGSPLAN!$A$5:$A$546,B98,BEMANNINGSPLAN!$C$5:$C$546,D98,BEMANNINGSPLAN!$D$5:$D$546,"&lt;"&amp;M98,BEMANNINGSPLAN!$E$5:$E$546,"&gt;="&amp;M98)&gt;0),"Ja","SAKNAS TIDSRADER"))))</f>
        <v>Ja</v>
      </c>
      <c r="O98" s="137">
        <f>IF(OR(B98="",K98&lt;&gt;"Ja"),"",COUNTIFS($B$5:B98,B98,$K$5:K98,"Ja"))</f>
        <v>11</v>
      </c>
      <c r="P98" s="137" t="str">
        <f t="shared" si="7"/>
        <v>yyyy-00-28|11</v>
      </c>
    </row>
    <row r="99" spans="1:16" ht="13">
      <c r="A99" s="31" t="str">
        <f>IF('IMPORT PROFIXIO'!A99="","",'IMPORT PROFIXIO'!A99)</f>
        <v>26 6 1351 030</v>
      </c>
      <c r="B99" s="32">
        <f>IF(A99="","",IF(ISNUMBER('IMPORT PROFIXIO'!D99),'IMPORT PROFIXIO'!D99,DATEVALUE('IMPORT PROFIXIO'!D99)))</f>
        <v>46354</v>
      </c>
      <c r="C99" s="33">
        <f>IF(A99="","",IF(ISNUMBER('IMPORT PROFIXIO'!E99),'IMPORT PROFIXIO'!E99,(VALUE(LEFT('IMPORT PROFIXIO'!E99,FIND(":",'IMPORT PROFIXIO'!E99)-1))*60+VALUE(MID('IMPORT PROFIXIO'!E99,FIND(":",'IMPORT PROFIXIO'!E99)+1,2)))/1440))</f>
        <v>0.63194444444444442</v>
      </c>
      <c r="D99" s="31" t="str">
        <f>IF(A99="","",'IMPORT PROFIXIO'!F99)</f>
        <v>Ulriksdalshallen</v>
      </c>
      <c r="E99" s="31" t="str">
        <f>IF(A99="","",'IMPORT PROFIXIO'!K99)</f>
        <v>Flickor - F13 Öst - F13 Nivå 1 Öst</v>
      </c>
      <c r="F99" s="34" t="str">
        <f>IF(A99="","",IFERROR(VLOOKUP(E99,KLASSNING!$A$5:$F$74,2,FALSE()),"SAKNAS"))</f>
        <v>F13</v>
      </c>
      <c r="G99" s="34" t="str">
        <f>IF(A99="","",IFERROR(VLOOKUP(E99,KLASSNING!$A$5:$F$74,3,FALSE()),"SAKNAS"))</f>
        <v>Seriespel</v>
      </c>
      <c r="H99" s="34" t="str">
        <f>IF(A99="","",'IMPORT PROFIXIO'!H99)</f>
        <v>AIK</v>
      </c>
      <c r="I99" s="34" t="str">
        <f>IF(A99="","",'IMPORT PROFIXIO'!I99)</f>
        <v>Skuru IK 1</v>
      </c>
      <c r="J99" s="34" t="str">
        <f t="shared" si="4"/>
        <v>F13</v>
      </c>
      <c r="K99" s="34" t="str">
        <f t="shared" si="5"/>
        <v>Ja</v>
      </c>
      <c r="L99" s="34">
        <f>IF(A99="","",IFERROR(VLOOKUP(E99,KLASSNING!$A$5:$F$74,5,FALSE()),0))</f>
        <v>45</v>
      </c>
      <c r="M99" s="35">
        <f t="shared" si="6"/>
        <v>0.66319444444444442</v>
      </c>
      <c r="N99" s="34" t="str">
        <f>IF(A99="","",IF(K99&lt;&gt;"Ja","Ej aktuell",IF(L99&lt;=0,"KONTROLLERA MATCHTID",IF(AND(COUNTIFS(BEMANNINGSPLAN!$A$5:$A$546,B99,BEMANNINGSPLAN!$C$5:$C$546,D99,BEMANNINGSPLAN!$D$5:$D$546,"&lt;="&amp;C99,BEMANNINGSPLAN!$E$5:$E$546,"&gt;"&amp;C99)&gt;0,COUNTIFS(BEMANNINGSPLAN!$A$5:$A$546,B99,BEMANNINGSPLAN!$C$5:$C$546,D99,BEMANNINGSPLAN!$D$5:$D$546,"&lt;"&amp;M99,BEMANNINGSPLAN!$E$5:$E$546,"&gt;="&amp;M99)&gt;0),"Ja","SAKNAS TIDSRADER"))))</f>
        <v>Ja</v>
      </c>
      <c r="O99" s="137">
        <f>IF(OR(B99="",K99&lt;&gt;"Ja"),"",COUNTIFS($B$5:B99,B99,$K$5:K99,"Ja"))</f>
        <v>12</v>
      </c>
      <c r="P99" s="137" t="str">
        <f t="shared" si="7"/>
        <v>yyyy-00-28|12</v>
      </c>
    </row>
    <row r="100" spans="1:16" ht="13">
      <c r="A100" s="31" t="str">
        <f>IF('IMPORT PROFIXIO'!A100="","",'IMPORT PROFIXIO'!A100)</f>
        <v>26 6 1352 037</v>
      </c>
      <c r="B100" s="32">
        <f>IF(A100="","",IF(ISNUMBER('IMPORT PROFIXIO'!D100),'IMPORT PROFIXIO'!D100,DATEVALUE('IMPORT PROFIXIO'!D100)))</f>
        <v>46354</v>
      </c>
      <c r="C100" s="33">
        <f>IF(A100="","",IF(ISNUMBER('IMPORT PROFIXIO'!E100),'IMPORT PROFIXIO'!E100,(VALUE(LEFT('IMPORT PROFIXIO'!E100,FIND(":",'IMPORT PROFIXIO'!E100)-1))*60+VALUE(MID('IMPORT PROFIXIO'!E100,FIND(":",'IMPORT PROFIXIO'!E100)+1,2)))/1440))</f>
        <v>0.68055555555555558</v>
      </c>
      <c r="D100" s="31" t="str">
        <f>IF(A100="","",'IMPORT PROFIXIO'!F100)</f>
        <v>Ulriksdalshallen</v>
      </c>
      <c r="E100" s="31" t="str">
        <f>IF(A100="","",'IMPORT PROFIXIO'!K100)</f>
        <v>Flickor - F13 Öst - F13 Nivå 2 Öst Norra</v>
      </c>
      <c r="F100" s="34" t="str">
        <f>IF(A100="","",IFERROR(VLOOKUP(E100,KLASSNING!$A$5:$F$74,2,FALSE()),"SAKNAS"))</f>
        <v>F13</v>
      </c>
      <c r="G100" s="34" t="str">
        <f>IF(A100="","",IFERROR(VLOOKUP(E100,KLASSNING!$A$5:$F$74,3,FALSE()),"SAKNAS"))</f>
        <v>Seriespel</v>
      </c>
      <c r="H100" s="34" t="str">
        <f>IF(A100="","",'IMPORT PROFIXIO'!H100)</f>
        <v>AIK 2</v>
      </c>
      <c r="I100" s="34" t="str">
        <f>IF(A100="","",'IMPORT PROFIXIO'!I100)</f>
        <v>Skuru IK 3</v>
      </c>
      <c r="J100" s="34" t="str">
        <f t="shared" si="4"/>
        <v>F13 2</v>
      </c>
      <c r="K100" s="34" t="str">
        <f t="shared" si="5"/>
        <v>Ja</v>
      </c>
      <c r="L100" s="34">
        <f>IF(A100="","",IFERROR(VLOOKUP(E100,KLASSNING!$A$5:$F$74,5,FALSE()),0))</f>
        <v>45</v>
      </c>
      <c r="M100" s="35">
        <f t="shared" si="6"/>
        <v>0.71180555555555558</v>
      </c>
      <c r="N100" s="34" t="str">
        <f>IF(A100="","",IF(K100&lt;&gt;"Ja","Ej aktuell",IF(L100&lt;=0,"KONTROLLERA MATCHTID",IF(AND(COUNTIFS(BEMANNINGSPLAN!$A$5:$A$546,B100,BEMANNINGSPLAN!$C$5:$C$546,D100,BEMANNINGSPLAN!$D$5:$D$546,"&lt;="&amp;C100,BEMANNINGSPLAN!$E$5:$E$546,"&gt;"&amp;C100)&gt;0,COUNTIFS(BEMANNINGSPLAN!$A$5:$A$546,B100,BEMANNINGSPLAN!$C$5:$C$546,D100,BEMANNINGSPLAN!$D$5:$D$546,"&lt;"&amp;M100,BEMANNINGSPLAN!$E$5:$E$546,"&gt;="&amp;M100)&gt;0),"Ja","SAKNAS TIDSRADER"))))</f>
        <v>Ja</v>
      </c>
      <c r="O100" s="137">
        <f>IF(OR(B100="",K100&lt;&gt;"Ja"),"",COUNTIFS($B$5:B100,B100,$K$5:K100,"Ja"))</f>
        <v>13</v>
      </c>
      <c r="P100" s="137" t="str">
        <f t="shared" si="7"/>
        <v>yyyy-00-28|13</v>
      </c>
    </row>
    <row r="101" spans="1:16" ht="13">
      <c r="A101" s="31" t="str">
        <f>IF('IMPORT PROFIXIO'!A101="","",'IMPORT PROFIXIO'!A101)</f>
        <v>26 6 1343 024</v>
      </c>
      <c r="B101" s="32">
        <f>IF(A101="","",IF(ISNUMBER('IMPORT PROFIXIO'!D101),'IMPORT PROFIXIO'!D101,DATEVALUE('IMPORT PROFIXIO'!D101)))</f>
        <v>46354</v>
      </c>
      <c r="C101" s="33">
        <f>IF(A101="","",IF(ISNUMBER('IMPORT PROFIXIO'!E101),'IMPORT PROFIXIO'!E101,(VALUE(LEFT('IMPORT PROFIXIO'!E101,FIND(":",'IMPORT PROFIXIO'!E101)-1))*60+VALUE(MID('IMPORT PROFIXIO'!E101,FIND(":",'IMPORT PROFIXIO'!E101)+1,2)))/1440))</f>
        <v>0.72916666666666663</v>
      </c>
      <c r="D101" s="31" t="str">
        <f>IF(A101="","",'IMPORT PROFIXIO'!F101)</f>
        <v>Ulriksdalshallen</v>
      </c>
      <c r="E101" s="31" t="str">
        <f>IF(A101="","",'IMPORT PROFIXIO'!K101)</f>
        <v>Flickor - F14 Öst - F14 Nivå 2 Öst Norra</v>
      </c>
      <c r="F101" s="34" t="str">
        <f>IF(A101="","",IFERROR(VLOOKUP(E101,KLASSNING!$A$5:$F$74,2,FALSE()),"SAKNAS"))</f>
        <v>F14</v>
      </c>
      <c r="G101" s="34" t="str">
        <f>IF(A101="","",IFERROR(VLOOKUP(E101,KLASSNING!$A$5:$F$74,3,FALSE()),"SAKNAS"))</f>
        <v>Seriespel</v>
      </c>
      <c r="H101" s="34" t="str">
        <f>IF(A101="","",'IMPORT PROFIXIO'!H101)</f>
        <v>AIK</v>
      </c>
      <c r="I101" s="34" t="str">
        <f>IF(A101="","",'IMPORT PROFIXIO'!I101)</f>
        <v>Täby HBK 2</v>
      </c>
      <c r="J101" s="34" t="str">
        <f t="shared" si="4"/>
        <v>F14</v>
      </c>
      <c r="K101" s="34" t="str">
        <f t="shared" si="5"/>
        <v>Ja</v>
      </c>
      <c r="L101" s="34">
        <f>IF(A101="","",IFERROR(VLOOKUP(E101,KLASSNING!$A$5:$F$74,5,FALSE()),0))</f>
        <v>45</v>
      </c>
      <c r="M101" s="35">
        <f t="shared" si="6"/>
        <v>0.76041666666666663</v>
      </c>
      <c r="N101" s="34" t="str">
        <f>IF(A101="","",IF(K101&lt;&gt;"Ja","Ej aktuell",IF(L101&lt;=0,"KONTROLLERA MATCHTID",IF(AND(COUNTIFS(BEMANNINGSPLAN!$A$5:$A$546,B101,BEMANNINGSPLAN!$C$5:$C$546,D101,BEMANNINGSPLAN!$D$5:$D$546,"&lt;="&amp;C101,BEMANNINGSPLAN!$E$5:$E$546,"&gt;"&amp;C101)&gt;0,COUNTIFS(BEMANNINGSPLAN!$A$5:$A$546,B101,BEMANNINGSPLAN!$C$5:$C$546,D101,BEMANNINGSPLAN!$D$5:$D$546,"&lt;"&amp;M101,BEMANNINGSPLAN!$E$5:$E$546,"&gt;="&amp;M101)&gt;0),"Ja","SAKNAS TIDSRADER"))))</f>
        <v>Ja</v>
      </c>
      <c r="O101" s="137">
        <f>IF(OR(B101="",K101&lt;&gt;"Ja"),"",COUNTIFS($B$5:B101,B101,$K$5:K101,"Ja"))</f>
        <v>14</v>
      </c>
      <c r="P101" s="137" t="str">
        <f t="shared" si="7"/>
        <v>yyyy-00-28|14</v>
      </c>
    </row>
    <row r="102" spans="1:16" ht="13">
      <c r="A102" s="31" t="str">
        <f>IF('IMPORT PROFIXIO'!A102="","",'IMPORT PROFIXIO'!A102)</f>
        <v>26 -1 1121 050</v>
      </c>
      <c r="B102" s="32">
        <f>IF(A102="","",IF(ISNUMBER('IMPORT PROFIXIO'!D102),'IMPORT PROFIXIO'!D102,DATEVALUE('IMPORT PROFIXIO'!D102)))</f>
        <v>46355</v>
      </c>
      <c r="C102" s="33">
        <f>IF(A102="","",IF(ISNUMBER('IMPORT PROFIXIO'!E102),'IMPORT PROFIXIO'!E102,(VALUE(LEFT('IMPORT PROFIXIO'!E102,FIND(":",'IMPORT PROFIXIO'!E102)-1))*60+VALUE(MID('IMPORT PROFIXIO'!E102,FIND(":",'IMPORT PROFIXIO'!E102)+1,2)))/1440))</f>
        <v>0.66666666666666663</v>
      </c>
      <c r="D102" s="31" t="str">
        <f>IF(A102="","",'IMPORT PROFIXIO'!F102)</f>
        <v>Solnahallen</v>
      </c>
      <c r="E102" s="31" t="str">
        <f>IF(A102="","",'IMPORT PROFIXIO'!K102)</f>
        <v>Damer - Damallsvenskan</v>
      </c>
      <c r="F102" s="34" t="str">
        <f>IF(A102="","",IFERROR(VLOOKUP(E102,KLASSNING!$A$5:$F$74,2,FALSE()),"SAKNAS"))</f>
        <v>Dam</v>
      </c>
      <c r="G102" s="34" t="str">
        <f>IF(A102="","",IFERROR(VLOOKUP(E102,KLASSNING!$A$5:$F$74,3,FALSE()),"SAKNAS"))</f>
        <v>Seriespel</v>
      </c>
      <c r="H102" s="34" t="str">
        <f>IF(A102="","",'IMPORT PROFIXIO'!H102)</f>
        <v>AIK</v>
      </c>
      <c r="I102" s="34" t="str">
        <f>IF(A102="","",'IMPORT PROFIXIO'!I102)</f>
        <v>Kungälvs HK</v>
      </c>
      <c r="J102" s="34" t="str">
        <f t="shared" si="4"/>
        <v>Dam</v>
      </c>
      <c r="K102" s="34" t="str">
        <f t="shared" si="5"/>
        <v>Nej</v>
      </c>
      <c r="L102" s="34">
        <f>IF(A102="","",IFERROR(VLOOKUP(E102,KLASSNING!$A$5:$F$74,5,FALSE()),0))</f>
        <v>70</v>
      </c>
      <c r="M102" s="35" t="str">
        <f t="shared" si="6"/>
        <v/>
      </c>
      <c r="N102" s="34" t="str">
        <f>IF(A102="","",IF(K102&lt;&gt;"Ja","Ej aktuell",IF(L102&lt;=0,"KONTROLLERA MATCHTID",IF(AND(COUNTIFS(BEMANNINGSPLAN!$A$5:$A$546,B102,BEMANNINGSPLAN!$C$5:$C$546,D102,BEMANNINGSPLAN!$D$5:$D$546,"&lt;="&amp;C102,BEMANNINGSPLAN!$E$5:$E$546,"&gt;"&amp;C102)&gt;0,COUNTIFS(BEMANNINGSPLAN!$A$5:$A$546,B102,BEMANNINGSPLAN!$C$5:$C$546,D102,BEMANNINGSPLAN!$D$5:$D$546,"&lt;"&amp;M102,BEMANNINGSPLAN!$E$5:$E$546,"&gt;="&amp;M102)&gt;0),"Ja","SAKNAS TIDSRADER"))))</f>
        <v>Ej aktuell</v>
      </c>
      <c r="O102" s="137" t="str">
        <f>IF(OR(B102="",K102&lt;&gt;"Ja"),"",COUNTIFS($B$5:B102,B102,$K$5:K102,"Ja"))</f>
        <v/>
      </c>
      <c r="P102" s="137" t="str">
        <f t="shared" si="7"/>
        <v/>
      </c>
    </row>
    <row r="103" spans="1:16" ht="13">
      <c r="A103" s="31" t="str">
        <f>IF('IMPORT PROFIXIO'!A103="","",'IMPORT PROFIXIO'!A103)</f>
        <v>26 6 1311 048</v>
      </c>
      <c r="B103" s="32">
        <f>IF(A103="","",IF(ISNUMBER('IMPORT PROFIXIO'!D103),'IMPORT PROFIXIO'!D103,DATEVALUE('IMPORT PROFIXIO'!D103)))</f>
        <v>46357</v>
      </c>
      <c r="C103" s="33">
        <f>IF(A103="","",IF(ISNUMBER('IMPORT PROFIXIO'!E103),'IMPORT PROFIXIO'!E103,(VALUE(LEFT('IMPORT PROFIXIO'!E103,FIND(":",'IMPORT PROFIXIO'!E103)-1))*60+VALUE(MID('IMPORT PROFIXIO'!E103,FIND(":",'IMPORT PROFIXIO'!E103)+1,2)))/1440))</f>
        <v>0.86458333333333337</v>
      </c>
      <c r="D103" s="31" t="str">
        <f>IF(A103="","",'IMPORT PROFIXIO'!F103)</f>
        <v>Råsta Park</v>
      </c>
      <c r="E103" s="31" t="str">
        <f>IF(A103="","",'IMPORT PROFIXIO'!K103)</f>
        <v>Flickor - F19 Öst - F19 Nivå 1 Öst</v>
      </c>
      <c r="F103" s="34" t="str">
        <f>IF(A103="","",IFERROR(VLOOKUP(E103,KLASSNING!$A$5:$F$74,2,FALSE()),"SAKNAS"))</f>
        <v>F19</v>
      </c>
      <c r="G103" s="34" t="str">
        <f>IF(A103="","",IFERROR(VLOOKUP(E103,KLASSNING!$A$5:$F$74,3,FALSE()),"SAKNAS"))</f>
        <v>Seriespel</v>
      </c>
      <c r="H103" s="34" t="str">
        <f>IF(A103="","",'IMPORT PROFIXIO'!H103)</f>
        <v>AIK</v>
      </c>
      <c r="I103" s="34" t="str">
        <f>IF(A103="","",'IMPORT PROFIXIO'!I103)</f>
        <v>Tyresö Handboll</v>
      </c>
      <c r="J103" s="34" t="str">
        <f t="shared" si="4"/>
        <v>F19</v>
      </c>
      <c r="K103" s="34" t="str">
        <f t="shared" si="5"/>
        <v>Ja</v>
      </c>
      <c r="L103" s="34">
        <f>IF(A103="","",IFERROR(VLOOKUP(E103,KLASSNING!$A$5:$F$74,5,FALSE()),0))</f>
        <v>55</v>
      </c>
      <c r="M103" s="35">
        <f t="shared" si="6"/>
        <v>0.90277777777777779</v>
      </c>
      <c r="N103" s="34" t="str">
        <f>IF(A103="","",IF(K103&lt;&gt;"Ja","Ej aktuell",IF(L103&lt;=0,"KONTROLLERA MATCHTID",IF(AND(COUNTIFS(BEMANNINGSPLAN!$A$5:$A$546,B103,BEMANNINGSPLAN!$C$5:$C$546,D103,BEMANNINGSPLAN!$D$5:$D$546,"&lt;="&amp;C103,BEMANNINGSPLAN!$E$5:$E$546,"&gt;"&amp;C103)&gt;0,COUNTIFS(BEMANNINGSPLAN!$A$5:$A$546,B103,BEMANNINGSPLAN!$C$5:$C$546,D103,BEMANNINGSPLAN!$D$5:$D$546,"&lt;"&amp;M103,BEMANNINGSPLAN!$E$5:$E$546,"&gt;="&amp;M103)&gt;0),"Ja","SAKNAS TIDSRADER"))))</f>
        <v>Ja</v>
      </c>
      <c r="O103" s="137">
        <f>IF(OR(B103="",K103&lt;&gt;"Ja"),"",COUNTIFS($B$5:B103,B103,$K$5:K103,"Ja"))</f>
        <v>1</v>
      </c>
      <c r="P103" s="137" t="str">
        <f t="shared" si="7"/>
        <v>yyyy-00-01|1</v>
      </c>
    </row>
    <row r="104" spans="1:16" ht="13">
      <c r="A104" s="31" t="str">
        <f>IF('IMPORT PROFIXIO'!A104="","",'IMPORT PROFIXIO'!A104)</f>
        <v>26 6 1324 040</v>
      </c>
      <c r="B104" s="32">
        <f>IF(A104="","",IF(ISNUMBER('IMPORT PROFIXIO'!D104),'IMPORT PROFIXIO'!D104,DATEVALUE('IMPORT PROFIXIO'!D104)))</f>
        <v>46361</v>
      </c>
      <c r="C104" s="33">
        <f>IF(A104="","",IF(ISNUMBER('IMPORT PROFIXIO'!E104),'IMPORT PROFIXIO'!E104,(VALUE(LEFT('IMPORT PROFIXIO'!E104,FIND(":",'IMPORT PROFIXIO'!E104)-1))*60+VALUE(MID('IMPORT PROFIXIO'!E104,FIND(":",'IMPORT PROFIXIO'!E104)+1,2)))/1440))</f>
        <v>0.43055555555555558</v>
      </c>
      <c r="D104" s="31" t="str">
        <f>IF(A104="","",'IMPORT PROFIXIO'!F104)</f>
        <v>Råsta Park</v>
      </c>
      <c r="E104" s="31" t="str">
        <f>IF(A104="","",'IMPORT PROFIXIO'!K104)</f>
        <v>Flickor - F16 Öst - F16 Nivå 3 Öst</v>
      </c>
      <c r="F104" s="34" t="str">
        <f>IF(A104="","",IFERROR(VLOOKUP(E104,KLASSNING!$A$5:$F$74,2,FALSE()),"SAKNAS"))</f>
        <v>F16</v>
      </c>
      <c r="G104" s="34" t="str">
        <f>IF(A104="","",IFERROR(VLOOKUP(E104,KLASSNING!$A$5:$F$74,3,FALSE()),"SAKNAS"))</f>
        <v>Seriespel</v>
      </c>
      <c r="H104" s="34" t="str">
        <f>IF(A104="","",'IMPORT PROFIXIO'!H104)</f>
        <v>AIK 2</v>
      </c>
      <c r="I104" s="34" t="str">
        <f>IF(A104="","",'IMPORT PROFIXIO'!I104)</f>
        <v>Uppsala HK 2</v>
      </c>
      <c r="J104" s="34" t="str">
        <f t="shared" si="4"/>
        <v>F16 2</v>
      </c>
      <c r="K104" s="34" t="str">
        <f t="shared" si="5"/>
        <v>Ja</v>
      </c>
      <c r="L104" s="34">
        <f>IF(A104="","",IFERROR(VLOOKUP(E104,KLASSNING!$A$5:$F$74,5,FALSE()),0))</f>
        <v>55</v>
      </c>
      <c r="M104" s="35">
        <f t="shared" si="6"/>
        <v>0.46875</v>
      </c>
      <c r="N104" s="34" t="str">
        <f>IF(A104="","",IF(K104&lt;&gt;"Ja","Ej aktuell",IF(L104&lt;=0,"KONTROLLERA MATCHTID",IF(AND(COUNTIFS(BEMANNINGSPLAN!$A$5:$A$546,B104,BEMANNINGSPLAN!$C$5:$C$546,D104,BEMANNINGSPLAN!$D$5:$D$546,"&lt;="&amp;C104,BEMANNINGSPLAN!$E$5:$E$546,"&gt;"&amp;C104)&gt;0,COUNTIFS(BEMANNINGSPLAN!$A$5:$A$546,B104,BEMANNINGSPLAN!$C$5:$C$546,D104,BEMANNINGSPLAN!$D$5:$D$546,"&lt;"&amp;M104,BEMANNINGSPLAN!$E$5:$E$546,"&gt;="&amp;M104)&gt;0),"Ja","SAKNAS TIDSRADER"))))</f>
        <v>Ja</v>
      </c>
      <c r="O104" s="137">
        <f>IF(OR(B104="",K104&lt;&gt;"Ja"),"",COUNTIFS($B$5:B104,B104,$K$5:K104,"Ja"))</f>
        <v>1</v>
      </c>
      <c r="P104" s="137" t="str">
        <f t="shared" si="7"/>
        <v>yyyy-00-05|1</v>
      </c>
    </row>
    <row r="105" spans="1:16" ht="13">
      <c r="A105" s="31" t="str">
        <f>IF('IMPORT PROFIXIO'!A105="","",'IMPORT PROFIXIO'!A105)</f>
        <v>26 6 1524 039</v>
      </c>
      <c r="B105" s="32">
        <f>IF(A105="","",IF(ISNUMBER('IMPORT PROFIXIO'!D105),'IMPORT PROFIXIO'!D105,DATEVALUE('IMPORT PROFIXIO'!D105)))</f>
        <v>46361</v>
      </c>
      <c r="C105" s="33">
        <f>IF(A105="","",IF(ISNUMBER('IMPORT PROFIXIO'!E105),'IMPORT PROFIXIO'!E105,(VALUE(LEFT('IMPORT PROFIXIO'!E105,FIND(":",'IMPORT PROFIXIO'!E105)-1))*60+VALUE(MID('IMPORT PROFIXIO'!E105,FIND(":",'IMPORT PROFIXIO'!E105)+1,2)))/1440))</f>
        <v>0.48958333333333331</v>
      </c>
      <c r="D105" s="31" t="str">
        <f>IF(A105="","",'IMPORT PROFIXIO'!F105)</f>
        <v>Råsta Park</v>
      </c>
      <c r="E105" s="31" t="str">
        <f>IF(A105="","",'IMPORT PROFIXIO'!K105)</f>
        <v>Pojkar - P16 Öst - P16 Nivå 3 Öst</v>
      </c>
      <c r="F105" s="34" t="str">
        <f>IF(A105="","",IFERROR(VLOOKUP(E105,KLASSNING!$A$5:$F$74,2,FALSE()),"SAKNAS"))</f>
        <v>P16</v>
      </c>
      <c r="G105" s="34" t="str">
        <f>IF(A105="","",IFERROR(VLOOKUP(E105,KLASSNING!$A$5:$F$74,3,FALSE()),"SAKNAS"))</f>
        <v>Seriespel</v>
      </c>
      <c r="H105" s="34" t="str">
        <f>IF(A105="","",'IMPORT PROFIXIO'!H105)</f>
        <v>AIK 2</v>
      </c>
      <c r="I105" s="34" t="str">
        <f>IF(A105="","",'IMPORT PROFIXIO'!I105)</f>
        <v>Uppsala HK 2</v>
      </c>
      <c r="J105" s="34" t="str">
        <f t="shared" si="4"/>
        <v>P16 2</v>
      </c>
      <c r="K105" s="34" t="str">
        <f t="shared" si="5"/>
        <v>Ja</v>
      </c>
      <c r="L105" s="34">
        <f>IF(A105="","",IFERROR(VLOOKUP(E105,KLASSNING!$A$5:$F$74,5,FALSE()),0))</f>
        <v>55</v>
      </c>
      <c r="M105" s="35">
        <f t="shared" si="6"/>
        <v>0.52777777777777779</v>
      </c>
      <c r="N105" s="34" t="str">
        <f>IF(A105="","",IF(K105&lt;&gt;"Ja","Ej aktuell",IF(L105&lt;=0,"KONTROLLERA MATCHTID",IF(AND(COUNTIFS(BEMANNINGSPLAN!$A$5:$A$546,B105,BEMANNINGSPLAN!$C$5:$C$546,D105,BEMANNINGSPLAN!$D$5:$D$546,"&lt;="&amp;C105,BEMANNINGSPLAN!$E$5:$E$546,"&gt;"&amp;C105)&gt;0,COUNTIFS(BEMANNINGSPLAN!$A$5:$A$546,B105,BEMANNINGSPLAN!$C$5:$C$546,D105,BEMANNINGSPLAN!$D$5:$D$546,"&lt;"&amp;M105,BEMANNINGSPLAN!$E$5:$E$546,"&gt;="&amp;M105)&gt;0),"Ja","SAKNAS TIDSRADER"))))</f>
        <v>Ja</v>
      </c>
      <c r="O105" s="137">
        <f>IF(OR(B105="",K105&lt;&gt;"Ja"),"",COUNTIFS($B$5:B105,B105,$K$5:K105,"Ja"))</f>
        <v>2</v>
      </c>
      <c r="P105" s="137" t="str">
        <f t="shared" si="7"/>
        <v>yyyy-00-05|2</v>
      </c>
    </row>
    <row r="106" spans="1:16" ht="13">
      <c r="A106" s="31" t="str">
        <f>IF('IMPORT PROFIXIO'!A106="","",'IMPORT PROFIXIO'!A106)</f>
        <v>26 6 1141 035</v>
      </c>
      <c r="B106" s="32">
        <f>IF(A106="","",IF(ISNUMBER('IMPORT PROFIXIO'!D106),'IMPORT PROFIXIO'!D106,DATEVALUE('IMPORT PROFIXIO'!D106)))</f>
        <v>46361</v>
      </c>
      <c r="C106" s="33">
        <f>IF(A106="","",IF(ISNUMBER('IMPORT PROFIXIO'!E106),'IMPORT PROFIXIO'!E106,(VALUE(LEFT('IMPORT PROFIXIO'!E106,FIND(":",'IMPORT PROFIXIO'!E106)-1))*60+VALUE(MID('IMPORT PROFIXIO'!E106,FIND(":",'IMPORT PROFIXIO'!E106)+1,2)))/1440))</f>
        <v>0.5625</v>
      </c>
      <c r="D106" s="31" t="str">
        <f>IF(A106="","",'IMPORT PROFIXIO'!F106)</f>
        <v>Råsta Park</v>
      </c>
      <c r="E106" s="31" t="str">
        <f>IF(A106="","",'IMPORT PROFIXIO'!K106)</f>
        <v>Damer - Dam 4 Öst - Dam 4 Öst Norra</v>
      </c>
      <c r="F106" s="34" t="str">
        <f>IF(A106="","",IFERROR(VLOOKUP(E106,KLASSNING!$A$5:$F$74,2,FALSE()),"SAKNAS"))</f>
        <v>Dam</v>
      </c>
      <c r="G106" s="34" t="str">
        <f>IF(A106="","",IFERROR(VLOOKUP(E106,KLASSNING!$A$5:$F$74,3,FALSE()),"SAKNAS"))</f>
        <v>Seriespel</v>
      </c>
      <c r="H106" s="34" t="str">
        <f>IF(A106="","",'IMPORT PROFIXIO'!H106)</f>
        <v>AIK 2</v>
      </c>
      <c r="I106" s="34" t="str">
        <f>IF(A106="","",'IMPORT PROFIXIO'!I106)</f>
        <v>Åkersberga HK 2</v>
      </c>
      <c r="J106" s="34" t="str">
        <f t="shared" si="4"/>
        <v>Dam 2</v>
      </c>
      <c r="K106" s="34" t="str">
        <f t="shared" si="5"/>
        <v>Ja</v>
      </c>
      <c r="L106" s="34">
        <f>IF(A106="","",IFERROR(VLOOKUP(E106,KLASSNING!$A$5:$F$74,5,FALSE()),0))</f>
        <v>70</v>
      </c>
      <c r="M106" s="35">
        <f t="shared" si="6"/>
        <v>0.61111111111111116</v>
      </c>
      <c r="N106" s="34" t="str">
        <f>IF(A106="","",IF(K106&lt;&gt;"Ja","Ej aktuell",IF(L106&lt;=0,"KONTROLLERA MATCHTID",IF(AND(COUNTIFS(BEMANNINGSPLAN!$A$5:$A$546,B106,BEMANNINGSPLAN!$C$5:$C$546,D106,BEMANNINGSPLAN!$D$5:$D$546,"&lt;="&amp;C106,BEMANNINGSPLAN!$E$5:$E$546,"&gt;"&amp;C106)&gt;0,COUNTIFS(BEMANNINGSPLAN!$A$5:$A$546,B106,BEMANNINGSPLAN!$C$5:$C$546,D106,BEMANNINGSPLAN!$D$5:$D$546,"&lt;"&amp;M106,BEMANNINGSPLAN!$E$5:$E$546,"&gt;="&amp;M106)&gt;0),"Ja","SAKNAS TIDSRADER"))))</f>
        <v>Ja</v>
      </c>
      <c r="O106" s="137">
        <f>IF(OR(B106="",K106&lt;&gt;"Ja"),"",COUNTIFS($B$5:B106,B106,$K$5:K106,"Ja"))</f>
        <v>3</v>
      </c>
      <c r="P106" s="137" t="str">
        <f t="shared" si="7"/>
        <v>yyyy-00-05|3</v>
      </c>
    </row>
    <row r="107" spans="1:16" ht="13">
      <c r="A107" s="31" t="str">
        <f>IF('IMPORT PROFIXIO'!A107="","",'IMPORT PROFIXIO'!A107)</f>
        <v>26 6 14140 03</v>
      </c>
      <c r="B107" s="32">
        <f>IF(A107="","",IF(ISNUMBER('IMPORT PROFIXIO'!D107),'IMPORT PROFIXIO'!D107,DATEVALUE('IMPORT PROFIXIO'!D107)))</f>
        <v>46361</v>
      </c>
      <c r="C107" s="33">
        <f>IF(A107="","",IF(ISNUMBER('IMPORT PROFIXIO'!E107),'IMPORT PROFIXIO'!E107,(VALUE(LEFT('IMPORT PROFIXIO'!E107,FIND(":",'IMPORT PROFIXIO'!E107)-1))*60+VALUE(MID('IMPORT PROFIXIO'!E107,FIND(":",'IMPORT PROFIXIO'!E107)+1,2)))/1440))</f>
        <v>0.375</v>
      </c>
      <c r="D107" s="31" t="str">
        <f>IF(A107="","",'IMPORT PROFIXIO'!F107)</f>
        <v>Ulriksdalshallen</v>
      </c>
      <c r="E107" s="31" t="str">
        <f>IF(A107="","",'IMPORT PROFIXIO'!K107)</f>
        <v>Höstens Spel - F10 kortplan Öst - Omgång 4</v>
      </c>
      <c r="F107" s="34" t="str">
        <f>IF(A107="","",IFERROR(VLOOKUP(E107,KLASSNING!$A$5:$F$74,2,FALSE()),"SAKNAS"))</f>
        <v>F10</v>
      </c>
      <c r="G107" s="34" t="str">
        <f>IF(A107="","",IFERROR(VLOOKUP(E107,KLASSNING!$A$5:$F$74,3,FALSE()),"SAKNAS"))</f>
        <v>Kortplan/miniplan</v>
      </c>
      <c r="H107" s="34" t="str">
        <f>IF(A107="","",'IMPORT PROFIXIO'!H107)</f>
        <v>AIK</v>
      </c>
      <c r="I107" s="34" t="str">
        <f>IF(A107="","",'IMPORT PROFIXIO'!I107)</f>
        <v>HK Cliff Blå</v>
      </c>
      <c r="J107" s="34" t="str">
        <f t="shared" si="4"/>
        <v>F10</v>
      </c>
      <c r="K107" s="34" t="str">
        <f t="shared" si="5"/>
        <v>Ja</v>
      </c>
      <c r="L107" s="34">
        <f>IF(A107="","",IFERROR(VLOOKUP(E107,KLASSNING!$A$5:$F$74,5,FALSE()),0))</f>
        <v>20</v>
      </c>
      <c r="M107" s="35">
        <f t="shared" si="6"/>
        <v>0.3888888888888889</v>
      </c>
      <c r="N107" s="34" t="str">
        <f>IF(A107="","",IF(K107&lt;&gt;"Ja","Ej aktuell",IF(L107&lt;=0,"KONTROLLERA MATCHTID",IF(AND(COUNTIFS(BEMANNINGSPLAN!$A$5:$A$546,B107,BEMANNINGSPLAN!$C$5:$C$546,D107,BEMANNINGSPLAN!$D$5:$D$546,"&lt;="&amp;C107,BEMANNINGSPLAN!$E$5:$E$546,"&gt;"&amp;C107)&gt;0,COUNTIFS(BEMANNINGSPLAN!$A$5:$A$546,B107,BEMANNINGSPLAN!$C$5:$C$546,D107,BEMANNINGSPLAN!$D$5:$D$546,"&lt;"&amp;M107,BEMANNINGSPLAN!$E$5:$E$546,"&gt;="&amp;M107)&gt;0),"Ja","SAKNAS TIDSRADER"))))</f>
        <v>Ja</v>
      </c>
      <c r="O107" s="137">
        <f>IF(OR(B107="",K107&lt;&gt;"Ja"),"",COUNTIFS($B$5:B107,B107,$K$5:K107,"Ja"))</f>
        <v>4</v>
      </c>
      <c r="P107" s="137" t="str">
        <f t="shared" si="7"/>
        <v>yyyy-00-05|4</v>
      </c>
    </row>
    <row r="108" spans="1:16" ht="13">
      <c r="A108" s="31" t="str">
        <f>IF('IMPORT PROFIXIO'!A108="","",'IMPORT PROFIXIO'!A108)</f>
        <v>26 6 14140 02</v>
      </c>
      <c r="B108" s="32">
        <f>IF(A108="","",IF(ISNUMBER('IMPORT PROFIXIO'!D108),'IMPORT PROFIXIO'!D108,DATEVALUE('IMPORT PROFIXIO'!D108)))</f>
        <v>46361</v>
      </c>
      <c r="C108" s="33">
        <f>IF(A108="","",IF(ISNUMBER('IMPORT PROFIXIO'!E108),'IMPORT PROFIXIO'!E108,(VALUE(LEFT('IMPORT PROFIXIO'!E108,FIND(":",'IMPORT PROFIXIO'!E108)-1))*60+VALUE(MID('IMPORT PROFIXIO'!E108,FIND(":",'IMPORT PROFIXIO'!E108)+1,2)))/1440))</f>
        <v>0.40625</v>
      </c>
      <c r="D108" s="31" t="str">
        <f>IF(A108="","",'IMPORT PROFIXIO'!F108)</f>
        <v>Ulriksdalshallen</v>
      </c>
      <c r="E108" s="31" t="str">
        <f>IF(A108="","",'IMPORT PROFIXIO'!K108)</f>
        <v>Höstens Spel - F10 kortplan Öst - Omgång 4</v>
      </c>
      <c r="F108" s="34" t="str">
        <f>IF(A108="","",IFERROR(VLOOKUP(E108,KLASSNING!$A$5:$F$74,2,FALSE()),"SAKNAS"))</f>
        <v>F10</v>
      </c>
      <c r="G108" s="34" t="str">
        <f>IF(A108="","",IFERROR(VLOOKUP(E108,KLASSNING!$A$5:$F$74,3,FALSE()),"SAKNAS"))</f>
        <v>Kortplan/miniplan</v>
      </c>
      <c r="H108" s="34" t="str">
        <f>IF(A108="","",'IMPORT PROFIXIO'!H108)</f>
        <v>Åkersberga HK Röd</v>
      </c>
      <c r="I108" s="34" t="str">
        <f>IF(A108="","",'IMPORT PROFIXIO'!I108)</f>
        <v>HK Cliff Gul</v>
      </c>
      <c r="J108" s="34" t="str">
        <f t="shared" si="4"/>
        <v/>
      </c>
      <c r="K108" s="34" t="str">
        <f t="shared" si="5"/>
        <v>Ja</v>
      </c>
      <c r="L108" s="34">
        <f>IF(A108="","",IFERROR(VLOOKUP(E108,KLASSNING!$A$5:$F$74,5,FALSE()),0))</f>
        <v>20</v>
      </c>
      <c r="M108" s="35">
        <f t="shared" si="6"/>
        <v>0.4201388888888889</v>
      </c>
      <c r="N108" s="34" t="str">
        <f>IF(A108="","",IF(K108&lt;&gt;"Ja","Ej aktuell",IF(L108&lt;=0,"KONTROLLERA MATCHTID",IF(AND(COUNTIFS(BEMANNINGSPLAN!$A$5:$A$546,B108,BEMANNINGSPLAN!$C$5:$C$546,D108,BEMANNINGSPLAN!$D$5:$D$546,"&lt;="&amp;C108,BEMANNINGSPLAN!$E$5:$E$546,"&gt;"&amp;C108)&gt;0,COUNTIFS(BEMANNINGSPLAN!$A$5:$A$546,B108,BEMANNINGSPLAN!$C$5:$C$546,D108,BEMANNINGSPLAN!$D$5:$D$546,"&lt;"&amp;M108,BEMANNINGSPLAN!$E$5:$E$546,"&gt;="&amp;M108)&gt;0),"Ja","SAKNAS TIDSRADER"))))</f>
        <v>Ja</v>
      </c>
      <c r="O108" s="137">
        <f>IF(OR(B108="",K108&lt;&gt;"Ja"),"",COUNTIFS($B$5:B108,B108,$K$5:K108,"Ja"))</f>
        <v>5</v>
      </c>
      <c r="P108" s="137" t="str">
        <f t="shared" si="7"/>
        <v>yyyy-00-05|5</v>
      </c>
    </row>
    <row r="109" spans="1:16" ht="13">
      <c r="A109" s="31" t="str">
        <f>IF('IMPORT PROFIXIO'!A109="","",'IMPORT PROFIXIO'!A109)</f>
        <v>26 6 14140 01</v>
      </c>
      <c r="B109" s="32">
        <f>IF(A109="","",IF(ISNUMBER('IMPORT PROFIXIO'!D109),'IMPORT PROFIXIO'!D109,DATEVALUE('IMPORT PROFIXIO'!D109)))</f>
        <v>46361</v>
      </c>
      <c r="C109" s="33">
        <f>IF(A109="","",IF(ISNUMBER('IMPORT PROFIXIO'!E109),'IMPORT PROFIXIO'!E109,(VALUE(LEFT('IMPORT PROFIXIO'!E109,FIND(":",'IMPORT PROFIXIO'!E109)-1))*60+VALUE(MID('IMPORT PROFIXIO'!E109,FIND(":",'IMPORT PROFIXIO'!E109)+1,2)))/1440))</f>
        <v>0.4375</v>
      </c>
      <c r="D109" s="31" t="str">
        <f>IF(A109="","",'IMPORT PROFIXIO'!F109)</f>
        <v>Ulriksdalshallen</v>
      </c>
      <c r="E109" s="31" t="str">
        <f>IF(A109="","",'IMPORT PROFIXIO'!K109)</f>
        <v>Höstens Spel - F10 kortplan Öst - Omgång 4</v>
      </c>
      <c r="F109" s="34" t="str">
        <f>IF(A109="","",IFERROR(VLOOKUP(E109,KLASSNING!$A$5:$F$74,2,FALSE()),"SAKNAS"))</f>
        <v>F10</v>
      </c>
      <c r="G109" s="34" t="str">
        <f>IF(A109="","",IFERROR(VLOOKUP(E109,KLASSNING!$A$5:$F$74,3,FALSE()),"SAKNAS"))</f>
        <v>Kortplan/miniplan</v>
      </c>
      <c r="H109" s="34" t="str">
        <f>IF(A109="","",'IMPORT PROFIXIO'!H109)</f>
        <v>Åkersberga HK - Svart</v>
      </c>
      <c r="I109" s="34" t="str">
        <f>IF(A109="","",'IMPORT PROFIXIO'!I109)</f>
        <v>HK Cliff Blå</v>
      </c>
      <c r="J109" s="34" t="str">
        <f t="shared" si="4"/>
        <v/>
      </c>
      <c r="K109" s="34" t="str">
        <f t="shared" si="5"/>
        <v>Ja</v>
      </c>
      <c r="L109" s="34">
        <f>IF(A109="","",IFERROR(VLOOKUP(E109,KLASSNING!$A$5:$F$74,5,FALSE()),0))</f>
        <v>20</v>
      </c>
      <c r="M109" s="35">
        <f t="shared" si="6"/>
        <v>0.4513888888888889</v>
      </c>
      <c r="N109" s="34" t="str">
        <f>IF(A109="","",IF(K109&lt;&gt;"Ja","Ej aktuell",IF(L109&lt;=0,"KONTROLLERA MATCHTID",IF(AND(COUNTIFS(BEMANNINGSPLAN!$A$5:$A$546,B109,BEMANNINGSPLAN!$C$5:$C$546,D109,BEMANNINGSPLAN!$D$5:$D$546,"&lt;="&amp;C109,BEMANNINGSPLAN!$E$5:$E$546,"&gt;"&amp;C109)&gt;0,COUNTIFS(BEMANNINGSPLAN!$A$5:$A$546,B109,BEMANNINGSPLAN!$C$5:$C$546,D109,BEMANNINGSPLAN!$D$5:$D$546,"&lt;"&amp;M109,BEMANNINGSPLAN!$E$5:$E$546,"&gt;="&amp;M109)&gt;0),"Ja","SAKNAS TIDSRADER"))))</f>
        <v>Ja</v>
      </c>
      <c r="O109" s="137">
        <f>IF(OR(B109="",K109&lt;&gt;"Ja"),"",COUNTIFS($B$5:B109,B109,$K$5:K109,"Ja"))</f>
        <v>6</v>
      </c>
      <c r="P109" s="137" t="str">
        <f t="shared" si="7"/>
        <v>yyyy-00-05|6</v>
      </c>
    </row>
    <row r="110" spans="1:16" ht="13">
      <c r="A110" s="31" t="str">
        <f>IF('IMPORT PROFIXIO'!A110="","",'IMPORT PROFIXIO'!A110)</f>
        <v>26 6 14140 05</v>
      </c>
      <c r="B110" s="32">
        <f>IF(A110="","",IF(ISNUMBER('IMPORT PROFIXIO'!D110),'IMPORT PROFIXIO'!D110,DATEVALUE('IMPORT PROFIXIO'!D110)))</f>
        <v>46361</v>
      </c>
      <c r="C110" s="33">
        <f>IF(A110="","",IF(ISNUMBER('IMPORT PROFIXIO'!E110),'IMPORT PROFIXIO'!E110,(VALUE(LEFT('IMPORT PROFIXIO'!E110,FIND(":",'IMPORT PROFIXIO'!E110)-1))*60+VALUE(MID('IMPORT PROFIXIO'!E110,FIND(":",'IMPORT PROFIXIO'!E110)+1,2)))/1440))</f>
        <v>0.46875</v>
      </c>
      <c r="D110" s="31" t="str">
        <f>IF(A110="","",'IMPORT PROFIXIO'!F110)</f>
        <v>Ulriksdalshallen</v>
      </c>
      <c r="E110" s="31" t="str">
        <f>IF(A110="","",'IMPORT PROFIXIO'!K110)</f>
        <v>Höstens Spel - F10 kortplan Öst - Omgång 4</v>
      </c>
      <c r="F110" s="34" t="str">
        <f>IF(A110="","",IFERROR(VLOOKUP(E110,KLASSNING!$A$5:$F$74,2,FALSE()),"SAKNAS"))</f>
        <v>F10</v>
      </c>
      <c r="G110" s="34" t="str">
        <f>IF(A110="","",IFERROR(VLOOKUP(E110,KLASSNING!$A$5:$F$74,3,FALSE()),"SAKNAS"))</f>
        <v>Kortplan/miniplan</v>
      </c>
      <c r="H110" s="34" t="str">
        <f>IF(A110="","",'IMPORT PROFIXIO'!H110)</f>
        <v>Åkersberga HK Röd</v>
      </c>
      <c r="I110" s="34" t="str">
        <f>IF(A110="","",'IMPORT PROFIXIO'!I110)</f>
        <v>AIK</v>
      </c>
      <c r="J110" s="34" t="str">
        <f t="shared" si="4"/>
        <v>F10</v>
      </c>
      <c r="K110" s="34" t="str">
        <f t="shared" si="5"/>
        <v>Ja</v>
      </c>
      <c r="L110" s="34">
        <f>IF(A110="","",IFERROR(VLOOKUP(E110,KLASSNING!$A$5:$F$74,5,FALSE()),0))</f>
        <v>20</v>
      </c>
      <c r="M110" s="35">
        <f t="shared" si="6"/>
        <v>0.4826388888888889</v>
      </c>
      <c r="N110" s="34" t="str">
        <f>IF(A110="","",IF(K110&lt;&gt;"Ja","Ej aktuell",IF(L110&lt;=0,"KONTROLLERA MATCHTID",IF(AND(COUNTIFS(BEMANNINGSPLAN!$A$5:$A$546,B110,BEMANNINGSPLAN!$C$5:$C$546,D110,BEMANNINGSPLAN!$D$5:$D$546,"&lt;="&amp;C110,BEMANNINGSPLAN!$E$5:$E$546,"&gt;"&amp;C110)&gt;0,COUNTIFS(BEMANNINGSPLAN!$A$5:$A$546,B110,BEMANNINGSPLAN!$C$5:$C$546,D110,BEMANNINGSPLAN!$D$5:$D$546,"&lt;"&amp;M110,BEMANNINGSPLAN!$E$5:$E$546,"&gt;="&amp;M110)&gt;0),"Ja","SAKNAS TIDSRADER"))))</f>
        <v>Ja</v>
      </c>
      <c r="O110" s="137">
        <f>IF(OR(B110="",K110&lt;&gt;"Ja"),"",COUNTIFS($B$5:B110,B110,$K$5:K110,"Ja"))</f>
        <v>7</v>
      </c>
      <c r="P110" s="137" t="str">
        <f t="shared" si="7"/>
        <v>yyyy-00-05|7</v>
      </c>
    </row>
    <row r="111" spans="1:16" ht="13">
      <c r="A111" s="31" t="str">
        <f>IF('IMPORT PROFIXIO'!A111="","",'IMPORT PROFIXIO'!A111)</f>
        <v>26 6 14140 04</v>
      </c>
      <c r="B111" s="32">
        <f>IF(A111="","",IF(ISNUMBER('IMPORT PROFIXIO'!D111),'IMPORT PROFIXIO'!D111,DATEVALUE('IMPORT PROFIXIO'!D111)))</f>
        <v>46361</v>
      </c>
      <c r="C111" s="33">
        <f>IF(A111="","",IF(ISNUMBER('IMPORT PROFIXIO'!E111),'IMPORT PROFIXIO'!E111,(VALUE(LEFT('IMPORT PROFIXIO'!E111,FIND(":",'IMPORT PROFIXIO'!E111)-1))*60+VALUE(MID('IMPORT PROFIXIO'!E111,FIND(":",'IMPORT PROFIXIO'!E111)+1,2)))/1440))</f>
        <v>0.5</v>
      </c>
      <c r="D111" s="31" t="str">
        <f>IF(A111="","",'IMPORT PROFIXIO'!F111)</f>
        <v>Ulriksdalshallen</v>
      </c>
      <c r="E111" s="31" t="str">
        <f>IF(A111="","",'IMPORT PROFIXIO'!K111)</f>
        <v>Höstens Spel - F10 kortplan Öst - Omgång 4</v>
      </c>
      <c r="F111" s="34" t="str">
        <f>IF(A111="","",IFERROR(VLOOKUP(E111,KLASSNING!$A$5:$F$74,2,FALSE()),"SAKNAS"))</f>
        <v>F10</v>
      </c>
      <c r="G111" s="34" t="str">
        <f>IF(A111="","",IFERROR(VLOOKUP(E111,KLASSNING!$A$5:$F$74,3,FALSE()),"SAKNAS"))</f>
        <v>Kortplan/miniplan</v>
      </c>
      <c r="H111" s="34" t="str">
        <f>IF(A111="","",'IMPORT PROFIXIO'!H111)</f>
        <v>Åkersberga HK - Svart</v>
      </c>
      <c r="I111" s="34" t="str">
        <f>IF(A111="","",'IMPORT PROFIXIO'!I111)</f>
        <v>HK Cliff Gul</v>
      </c>
      <c r="J111" s="34" t="str">
        <f t="shared" si="4"/>
        <v/>
      </c>
      <c r="K111" s="34" t="str">
        <f t="shared" si="5"/>
        <v>Ja</v>
      </c>
      <c r="L111" s="34">
        <f>IF(A111="","",IFERROR(VLOOKUP(E111,KLASSNING!$A$5:$F$74,5,FALSE()),0))</f>
        <v>20</v>
      </c>
      <c r="M111" s="35">
        <f t="shared" si="6"/>
        <v>0.51388888888888884</v>
      </c>
      <c r="N111" s="34" t="str">
        <f>IF(A111="","",IF(K111&lt;&gt;"Ja","Ej aktuell",IF(L111&lt;=0,"KONTROLLERA MATCHTID",IF(AND(COUNTIFS(BEMANNINGSPLAN!$A$5:$A$546,B111,BEMANNINGSPLAN!$C$5:$C$546,D111,BEMANNINGSPLAN!$D$5:$D$546,"&lt;="&amp;C111,BEMANNINGSPLAN!$E$5:$E$546,"&gt;"&amp;C111)&gt;0,COUNTIFS(BEMANNINGSPLAN!$A$5:$A$546,B111,BEMANNINGSPLAN!$C$5:$C$546,D111,BEMANNINGSPLAN!$D$5:$D$546,"&lt;"&amp;M111,BEMANNINGSPLAN!$E$5:$E$546,"&gt;="&amp;M111)&gt;0),"Ja","SAKNAS TIDSRADER"))))</f>
        <v>Ja</v>
      </c>
      <c r="O111" s="137">
        <f>IF(OR(B111="",K111&lt;&gt;"Ja"),"",COUNTIFS($B$5:B111,B111,$K$5:K111,"Ja"))</f>
        <v>8</v>
      </c>
      <c r="P111" s="137" t="str">
        <f t="shared" si="7"/>
        <v>yyyy-00-05|8</v>
      </c>
    </row>
    <row r="112" spans="1:16" ht="13">
      <c r="A112" s="31" t="str">
        <f>IF('IMPORT PROFIXIO'!A112="","",'IMPORT PROFIXIO'!A112)</f>
        <v>26 6 1352 048</v>
      </c>
      <c r="B112" s="32">
        <f>IF(A112="","",IF(ISNUMBER('IMPORT PROFIXIO'!D112),'IMPORT PROFIXIO'!D112,DATEVALUE('IMPORT PROFIXIO'!D112)))</f>
        <v>46361</v>
      </c>
      <c r="C112" s="33">
        <f>IF(A112="","",IF(ISNUMBER('IMPORT PROFIXIO'!E112),'IMPORT PROFIXIO'!E112,(VALUE(LEFT('IMPORT PROFIXIO'!E112,FIND(":",'IMPORT PROFIXIO'!E112)-1))*60+VALUE(MID('IMPORT PROFIXIO'!E112,FIND(":",'IMPORT PROFIXIO'!E112)+1,2)))/1440))</f>
        <v>0.66666666666666663</v>
      </c>
      <c r="D112" s="31" t="str">
        <f>IF(A112="","",'IMPORT PROFIXIO'!F112)</f>
        <v>Ulriksdalshallen</v>
      </c>
      <c r="E112" s="31" t="str">
        <f>IF(A112="","",'IMPORT PROFIXIO'!K112)</f>
        <v>Flickor - F13 Öst - F13 Nivå 2 Öst Norra</v>
      </c>
      <c r="F112" s="34" t="str">
        <f>IF(A112="","",IFERROR(VLOOKUP(E112,KLASSNING!$A$5:$F$74,2,FALSE()),"SAKNAS"))</f>
        <v>F13</v>
      </c>
      <c r="G112" s="34" t="str">
        <f>IF(A112="","",IFERROR(VLOOKUP(E112,KLASSNING!$A$5:$F$74,3,FALSE()),"SAKNAS"))</f>
        <v>Seriespel</v>
      </c>
      <c r="H112" s="34" t="str">
        <f>IF(A112="","",'IMPORT PROFIXIO'!H112)</f>
        <v>AIK 2</v>
      </c>
      <c r="I112" s="34" t="str">
        <f>IF(A112="","",'IMPORT PROFIXIO'!I112)</f>
        <v>Kungsängens Sportklubb 2</v>
      </c>
      <c r="J112" s="34" t="str">
        <f t="shared" si="4"/>
        <v>F13 2</v>
      </c>
      <c r="K112" s="34" t="str">
        <f t="shared" si="5"/>
        <v>Ja</v>
      </c>
      <c r="L112" s="34">
        <f>IF(A112="","",IFERROR(VLOOKUP(E112,KLASSNING!$A$5:$F$74,5,FALSE()),0))</f>
        <v>45</v>
      </c>
      <c r="M112" s="35">
        <f t="shared" si="6"/>
        <v>0.69791666666666663</v>
      </c>
      <c r="N112" s="34" t="str">
        <f>IF(A112="","",IF(K112&lt;&gt;"Ja","Ej aktuell",IF(L112&lt;=0,"KONTROLLERA MATCHTID",IF(AND(COUNTIFS(BEMANNINGSPLAN!$A$5:$A$546,B112,BEMANNINGSPLAN!$C$5:$C$546,D112,BEMANNINGSPLAN!$D$5:$D$546,"&lt;="&amp;C112,BEMANNINGSPLAN!$E$5:$E$546,"&gt;"&amp;C112)&gt;0,COUNTIFS(BEMANNINGSPLAN!$A$5:$A$546,B112,BEMANNINGSPLAN!$C$5:$C$546,D112,BEMANNINGSPLAN!$D$5:$D$546,"&lt;"&amp;M112,BEMANNINGSPLAN!$E$5:$E$546,"&gt;="&amp;M112)&gt;0),"Ja","SAKNAS TIDSRADER"))))</f>
        <v>Ja</v>
      </c>
      <c r="O112" s="137">
        <f>IF(OR(B112="",K112&lt;&gt;"Ja"),"",COUNTIFS($B$5:B112,B112,$K$5:K112,"Ja"))</f>
        <v>9</v>
      </c>
      <c r="P112" s="137" t="str">
        <f t="shared" si="7"/>
        <v>yyyy-00-05|9</v>
      </c>
    </row>
    <row r="113" spans="1:16" ht="13">
      <c r="A113" s="31" t="str">
        <f>IF('IMPORT PROFIXIO'!A113="","",'IMPORT PROFIXIO'!A113)</f>
        <v>26 -1 1121 062</v>
      </c>
      <c r="B113" s="32">
        <f>IF(A113="","",IF(ISNUMBER('IMPORT PROFIXIO'!D113),'IMPORT PROFIXIO'!D113,DATEVALUE('IMPORT PROFIXIO'!D113)))</f>
        <v>46368</v>
      </c>
      <c r="C113" s="33">
        <f>IF(A113="","",IF(ISNUMBER('IMPORT PROFIXIO'!E113),'IMPORT PROFIXIO'!E113,(VALUE(LEFT('IMPORT PROFIXIO'!E113,FIND(":",'IMPORT PROFIXIO'!E113)-1))*60+VALUE(MID('IMPORT PROFIXIO'!E113,FIND(":",'IMPORT PROFIXIO'!E113)+1,2)))/1440))</f>
        <v>0.625</v>
      </c>
      <c r="D113" s="31" t="str">
        <f>IF(A113="","",'IMPORT PROFIXIO'!F113)</f>
        <v>Solnahallen</v>
      </c>
      <c r="E113" s="31" t="str">
        <f>IF(A113="","",'IMPORT PROFIXIO'!K113)</f>
        <v>Damer - Damallsvenskan</v>
      </c>
      <c r="F113" s="34" t="str">
        <f>IF(A113="","",IFERROR(VLOOKUP(E113,KLASSNING!$A$5:$F$74,2,FALSE()),"SAKNAS"))</f>
        <v>Dam</v>
      </c>
      <c r="G113" s="34" t="str">
        <f>IF(A113="","",IFERROR(VLOOKUP(E113,KLASSNING!$A$5:$F$74,3,FALSE()),"SAKNAS"))</f>
        <v>Seriespel</v>
      </c>
      <c r="H113" s="34" t="str">
        <f>IF(A113="","",'IMPORT PROFIXIO'!H113)</f>
        <v>AIK</v>
      </c>
      <c r="I113" s="34" t="str">
        <f>IF(A113="","",'IMPORT PROFIXIO'!I113)</f>
        <v>HF Karlskrona</v>
      </c>
      <c r="J113" s="34" t="str">
        <f t="shared" si="4"/>
        <v>Dam</v>
      </c>
      <c r="K113" s="34" t="str">
        <f t="shared" si="5"/>
        <v>Nej</v>
      </c>
      <c r="L113" s="34">
        <f>IF(A113="","",IFERROR(VLOOKUP(E113,KLASSNING!$A$5:$F$74,5,FALSE()),0))</f>
        <v>70</v>
      </c>
      <c r="M113" s="35" t="str">
        <f t="shared" si="6"/>
        <v/>
      </c>
      <c r="N113" s="34" t="str">
        <f>IF(A113="","",IF(K113&lt;&gt;"Ja","Ej aktuell",IF(L113&lt;=0,"KONTROLLERA MATCHTID",IF(AND(COUNTIFS(BEMANNINGSPLAN!$A$5:$A$546,B113,BEMANNINGSPLAN!$C$5:$C$546,D113,BEMANNINGSPLAN!$D$5:$D$546,"&lt;="&amp;C113,BEMANNINGSPLAN!$E$5:$E$546,"&gt;"&amp;C113)&gt;0,COUNTIFS(BEMANNINGSPLAN!$A$5:$A$546,B113,BEMANNINGSPLAN!$C$5:$C$546,D113,BEMANNINGSPLAN!$D$5:$D$546,"&lt;"&amp;M113,BEMANNINGSPLAN!$E$5:$E$546,"&gt;="&amp;M113)&gt;0),"Ja","SAKNAS TIDSRADER"))))</f>
        <v>Ej aktuell</v>
      </c>
      <c r="O113" s="137" t="str">
        <f>IF(OR(B113="",K113&lt;&gt;"Ja"),"",COUNTIFS($B$5:B113,B113,$K$5:K113,"Ja"))</f>
        <v/>
      </c>
      <c r="P113" s="137" t="str">
        <f t="shared" si="7"/>
        <v/>
      </c>
    </row>
    <row r="114" spans="1:16" ht="13">
      <c r="A114" s="31" t="str">
        <f>IF('IMPORT PROFIXIO'!A114="","",'IMPORT PROFIXIO'!A114)</f>
        <v>26 6 1221 062</v>
      </c>
      <c r="B114" s="32">
        <f>IF(A114="","",IF(ISNUMBER('IMPORT PROFIXIO'!D114),'IMPORT PROFIXIO'!D114,DATEVALUE('IMPORT PROFIXIO'!D114)))</f>
        <v>46368</v>
      </c>
      <c r="C114" s="33">
        <f>IF(A114="","",IF(ISNUMBER('IMPORT PROFIXIO'!E114),'IMPORT PROFIXIO'!E114,(VALUE(LEFT('IMPORT PROFIXIO'!E114,FIND(":",'IMPORT PROFIXIO'!E114)-1))*60+VALUE(MID('IMPORT PROFIXIO'!E114,FIND(":",'IMPORT PROFIXIO'!E114)+1,2)))/1440))</f>
        <v>0.72916666666666663</v>
      </c>
      <c r="D114" s="31" t="str">
        <f>IF(A114="","",'IMPORT PROFIXIO'!F114)</f>
        <v>Solnahallen</v>
      </c>
      <c r="E114" s="31" t="str">
        <f>IF(A114="","",'IMPORT PROFIXIO'!K114)</f>
        <v>Herrar - Herr 2 Öst</v>
      </c>
      <c r="F114" s="34" t="str">
        <f>IF(A114="","",IFERROR(VLOOKUP(E114,KLASSNING!$A$5:$F$74,2,FALSE()),"SAKNAS"))</f>
        <v>Herr</v>
      </c>
      <c r="G114" s="34" t="str">
        <f>IF(A114="","",IFERROR(VLOOKUP(E114,KLASSNING!$A$5:$F$74,3,FALSE()),"SAKNAS"))</f>
        <v>Seriespel</v>
      </c>
      <c r="H114" s="34" t="str">
        <f>IF(A114="","",'IMPORT PROFIXIO'!H114)</f>
        <v>AIK</v>
      </c>
      <c r="I114" s="34" t="str">
        <f>IF(A114="","",'IMPORT PROFIXIO'!I114)</f>
        <v>Spånga HK</v>
      </c>
      <c r="J114" s="34" t="str">
        <f t="shared" si="4"/>
        <v>Herr</v>
      </c>
      <c r="K114" s="34" t="str">
        <f t="shared" si="5"/>
        <v>Nej</v>
      </c>
      <c r="L114" s="34">
        <f>IF(A114="","",IFERROR(VLOOKUP(E114,KLASSNING!$A$5:$F$74,5,FALSE()),0))</f>
        <v>70</v>
      </c>
      <c r="M114" s="35" t="str">
        <f t="shared" si="6"/>
        <v/>
      </c>
      <c r="N114" s="34" t="str">
        <f>IF(A114="","",IF(K114&lt;&gt;"Ja","Ej aktuell",IF(L114&lt;=0,"KONTROLLERA MATCHTID",IF(AND(COUNTIFS(BEMANNINGSPLAN!$A$5:$A$546,B114,BEMANNINGSPLAN!$C$5:$C$546,D114,BEMANNINGSPLAN!$D$5:$D$546,"&lt;="&amp;C114,BEMANNINGSPLAN!$E$5:$E$546,"&gt;"&amp;C114)&gt;0,COUNTIFS(BEMANNINGSPLAN!$A$5:$A$546,B114,BEMANNINGSPLAN!$C$5:$C$546,D114,BEMANNINGSPLAN!$D$5:$D$546,"&lt;"&amp;M114,BEMANNINGSPLAN!$E$5:$E$546,"&gt;="&amp;M114)&gt;0),"Ja","SAKNAS TIDSRADER"))))</f>
        <v>Ej aktuell</v>
      </c>
      <c r="O114" s="137" t="str">
        <f>IF(OR(B114="",K114&lt;&gt;"Ja"),"",COUNTIFS($B$5:B114,B114,$K$5:K114,"Ja"))</f>
        <v/>
      </c>
      <c r="P114" s="137" t="str">
        <f t="shared" si="7"/>
        <v/>
      </c>
    </row>
    <row r="115" spans="1:16" ht="13">
      <c r="A115" s="31" t="str">
        <f>IF('IMPORT PROFIXIO'!A115="","",'IMPORT PROFIXIO'!A115)</f>
        <v>26 6 14225 01</v>
      </c>
      <c r="B115" s="32">
        <f>IF(A115="","",IF(ISNUMBER('IMPORT PROFIXIO'!D115),'IMPORT PROFIXIO'!D115,DATEVALUE('IMPORT PROFIXIO'!D115)))</f>
        <v>46368</v>
      </c>
      <c r="C115" s="33">
        <f>IF(A115="","",IF(ISNUMBER('IMPORT PROFIXIO'!E115),'IMPORT PROFIXIO'!E115,(VALUE(LEFT('IMPORT PROFIXIO'!E115,FIND(":",'IMPORT PROFIXIO'!E115)-1))*60+VALUE(MID('IMPORT PROFIXIO'!E115,FIND(":",'IMPORT PROFIXIO'!E115)+1,2)))/1440))</f>
        <v>0.375</v>
      </c>
      <c r="D115" s="31" t="str">
        <f>IF(A115="","",'IMPORT PROFIXIO'!F115)</f>
        <v>Tallbackaskolan</v>
      </c>
      <c r="E115" s="31" t="str">
        <f>IF(A115="","",'IMPORT PROFIXIO'!K115)</f>
        <v>Höstens Spel - F9 Miniplan Öst - Omgång 4</v>
      </c>
      <c r="F115" s="34" t="str">
        <f>IF(A115="","",IFERROR(VLOOKUP(E115,KLASSNING!$A$5:$F$74,2,FALSE()),"SAKNAS"))</f>
        <v>F9</v>
      </c>
      <c r="G115" s="34" t="str">
        <f>IF(A115="","",IFERROR(VLOOKUP(E115,KLASSNING!$A$5:$F$74,3,FALSE()),"SAKNAS"))</f>
        <v>Kortplan/miniplan</v>
      </c>
      <c r="H115" s="34" t="str">
        <f>IF(A115="","",'IMPORT PROFIXIO'!H115)</f>
        <v>AIK</v>
      </c>
      <c r="I115" s="34" t="str">
        <f>IF(A115="","",'IMPORT PROFIXIO'!I115)</f>
        <v>Sannadals SK Röd</v>
      </c>
      <c r="J115" s="34" t="str">
        <f t="shared" si="4"/>
        <v>F9</v>
      </c>
      <c r="K115" s="34" t="str">
        <f t="shared" si="5"/>
        <v>Ja</v>
      </c>
      <c r="L115" s="34">
        <f>IF(A115="","",IFERROR(VLOOKUP(E115,KLASSNING!$A$5:$F$74,5,FALSE()),0))</f>
        <v>20</v>
      </c>
      <c r="M115" s="35">
        <f t="shared" si="6"/>
        <v>0.3888888888888889</v>
      </c>
      <c r="N115" s="34" t="str">
        <f>IF(A115="","",IF(K115&lt;&gt;"Ja","Ej aktuell",IF(L115&lt;=0,"KONTROLLERA MATCHTID",IF(AND(COUNTIFS(BEMANNINGSPLAN!$A$5:$A$546,B115,BEMANNINGSPLAN!$C$5:$C$546,D115,BEMANNINGSPLAN!$D$5:$D$546,"&lt;="&amp;C115,BEMANNINGSPLAN!$E$5:$E$546,"&gt;"&amp;C115)&gt;0,COUNTIFS(BEMANNINGSPLAN!$A$5:$A$546,B115,BEMANNINGSPLAN!$C$5:$C$546,D115,BEMANNINGSPLAN!$D$5:$D$546,"&lt;"&amp;M115,BEMANNINGSPLAN!$E$5:$E$546,"&gt;="&amp;M115)&gt;0),"Ja","SAKNAS TIDSRADER"))))</f>
        <v>Ja</v>
      </c>
      <c r="O115" s="137">
        <f>IF(OR(B115="",K115&lt;&gt;"Ja"),"",COUNTIFS($B$5:B115,B115,$K$5:K115,"Ja"))</f>
        <v>1</v>
      </c>
      <c r="P115" s="137" t="str">
        <f t="shared" si="7"/>
        <v>yyyy-00-12|1</v>
      </c>
    </row>
    <row r="116" spans="1:16" ht="13">
      <c r="A116" s="31" t="str">
        <f>IF('IMPORT PROFIXIO'!A116="","",'IMPORT PROFIXIO'!A116)</f>
        <v>26 6 14225 07</v>
      </c>
      <c r="B116" s="32">
        <f>IF(A116="","",IF(ISNUMBER('IMPORT PROFIXIO'!D116),'IMPORT PROFIXIO'!D116,DATEVALUE('IMPORT PROFIXIO'!D116)))</f>
        <v>46368</v>
      </c>
      <c r="C116" s="33">
        <f>IF(A116="","",IF(ISNUMBER('IMPORT PROFIXIO'!E116),'IMPORT PROFIXIO'!E116,(VALUE(LEFT('IMPORT PROFIXIO'!E116,FIND(":",'IMPORT PROFIXIO'!E116)-1))*60+VALUE(MID('IMPORT PROFIXIO'!E116,FIND(":",'IMPORT PROFIXIO'!E116)+1,2)))/1440))</f>
        <v>0.375</v>
      </c>
      <c r="D116" s="31" t="str">
        <f>IF(A116="","",'IMPORT PROFIXIO'!F116)</f>
        <v>Tallbackaskolan</v>
      </c>
      <c r="E116" s="31" t="str">
        <f>IF(A116="","",'IMPORT PROFIXIO'!K116)</f>
        <v>Höstens Spel - F9 Miniplan Öst - Omgång 4</v>
      </c>
      <c r="F116" s="34" t="str">
        <f>IF(A116="","",IFERROR(VLOOKUP(E116,KLASSNING!$A$5:$F$74,2,FALSE()),"SAKNAS"))</f>
        <v>F9</v>
      </c>
      <c r="G116" s="34" t="str">
        <f>IF(A116="","",IFERROR(VLOOKUP(E116,KLASSNING!$A$5:$F$74,3,FALSE()),"SAKNAS"))</f>
        <v>Kortplan/miniplan</v>
      </c>
      <c r="H116" s="34" t="str">
        <f>IF(A116="","",'IMPORT PROFIXIO'!H116)</f>
        <v>Sannadals SK Gul</v>
      </c>
      <c r="I116" s="34" t="str">
        <f>IF(A116="","",'IMPORT PROFIXIO'!I116)</f>
        <v>Spånga HK 1</v>
      </c>
      <c r="J116" s="34" t="str">
        <f t="shared" si="4"/>
        <v/>
      </c>
      <c r="K116" s="34" t="str">
        <f t="shared" si="5"/>
        <v>Ja</v>
      </c>
      <c r="L116" s="34">
        <f>IF(A116="","",IFERROR(VLOOKUP(E116,KLASSNING!$A$5:$F$74,5,FALSE()),0))</f>
        <v>20</v>
      </c>
      <c r="M116" s="35">
        <f t="shared" si="6"/>
        <v>0.3888888888888889</v>
      </c>
      <c r="N116" s="34" t="str">
        <f>IF(A116="","",IF(K116&lt;&gt;"Ja","Ej aktuell",IF(L116&lt;=0,"KONTROLLERA MATCHTID",IF(AND(COUNTIFS(BEMANNINGSPLAN!$A$5:$A$546,B116,BEMANNINGSPLAN!$C$5:$C$546,D116,BEMANNINGSPLAN!$D$5:$D$546,"&lt;="&amp;C116,BEMANNINGSPLAN!$E$5:$E$546,"&gt;"&amp;C116)&gt;0,COUNTIFS(BEMANNINGSPLAN!$A$5:$A$546,B116,BEMANNINGSPLAN!$C$5:$C$546,D116,BEMANNINGSPLAN!$D$5:$D$546,"&lt;"&amp;M116,BEMANNINGSPLAN!$E$5:$E$546,"&gt;="&amp;M116)&gt;0),"Ja","SAKNAS TIDSRADER"))))</f>
        <v>Ja</v>
      </c>
      <c r="O116" s="137">
        <f>IF(OR(B116="",K116&lt;&gt;"Ja"),"",COUNTIFS($B$5:B116,B116,$K$5:K116,"Ja"))</f>
        <v>2</v>
      </c>
      <c r="P116" s="137" t="str">
        <f t="shared" si="7"/>
        <v>yyyy-00-12|2</v>
      </c>
    </row>
    <row r="117" spans="1:16" ht="13">
      <c r="A117" s="31" t="str">
        <f>IF('IMPORT PROFIXIO'!A117="","",'IMPORT PROFIXIO'!A117)</f>
        <v>26 6 14225 02</v>
      </c>
      <c r="B117" s="32">
        <f>IF(A117="","",IF(ISNUMBER('IMPORT PROFIXIO'!D117),'IMPORT PROFIXIO'!D117,DATEVALUE('IMPORT PROFIXIO'!D117)))</f>
        <v>46368</v>
      </c>
      <c r="C117" s="33">
        <f>IF(A117="","",IF(ISNUMBER('IMPORT PROFIXIO'!E117),'IMPORT PROFIXIO'!E117,(VALUE(LEFT('IMPORT PROFIXIO'!E117,FIND(":",'IMPORT PROFIXIO'!E117)-1))*60+VALUE(MID('IMPORT PROFIXIO'!E117,FIND(":",'IMPORT PROFIXIO'!E117)+1,2)))/1440))</f>
        <v>0.39583333333333331</v>
      </c>
      <c r="D117" s="31" t="str">
        <f>IF(A117="","",'IMPORT PROFIXIO'!F117)</f>
        <v>Tallbackaskolan</v>
      </c>
      <c r="E117" s="31" t="str">
        <f>IF(A117="","",'IMPORT PROFIXIO'!K117)</f>
        <v>Höstens Spel - F9 Miniplan Öst - Omgång 4</v>
      </c>
      <c r="F117" s="34" t="str">
        <f>IF(A117="","",IFERROR(VLOOKUP(E117,KLASSNING!$A$5:$F$74,2,FALSE()),"SAKNAS"))</f>
        <v>F9</v>
      </c>
      <c r="G117" s="34" t="str">
        <f>IF(A117="","",IFERROR(VLOOKUP(E117,KLASSNING!$A$5:$F$74,3,FALSE()),"SAKNAS"))</f>
        <v>Kortplan/miniplan</v>
      </c>
      <c r="H117" s="34" t="str">
        <f>IF(A117="","",'IMPORT PROFIXIO'!H117)</f>
        <v>Bollstanäs SK F9</v>
      </c>
      <c r="I117" s="34" t="str">
        <f>IF(A117="","",'IMPORT PROFIXIO'!I117)</f>
        <v>Assyriska Botkyrka SK</v>
      </c>
      <c r="J117" s="34" t="str">
        <f t="shared" si="4"/>
        <v/>
      </c>
      <c r="K117" s="34" t="str">
        <f t="shared" si="5"/>
        <v>Ja</v>
      </c>
      <c r="L117" s="34">
        <f>IF(A117="","",IFERROR(VLOOKUP(E117,KLASSNING!$A$5:$F$74,5,FALSE()),0))</f>
        <v>20</v>
      </c>
      <c r="M117" s="35">
        <f t="shared" si="6"/>
        <v>0.40972222222222221</v>
      </c>
      <c r="N117" s="34" t="str">
        <f>IF(A117="","",IF(K117&lt;&gt;"Ja","Ej aktuell",IF(L117&lt;=0,"KONTROLLERA MATCHTID",IF(AND(COUNTIFS(BEMANNINGSPLAN!$A$5:$A$546,B117,BEMANNINGSPLAN!$C$5:$C$546,D117,BEMANNINGSPLAN!$D$5:$D$546,"&lt;="&amp;C117,BEMANNINGSPLAN!$E$5:$E$546,"&gt;"&amp;C117)&gt;0,COUNTIFS(BEMANNINGSPLAN!$A$5:$A$546,B117,BEMANNINGSPLAN!$C$5:$C$546,D117,BEMANNINGSPLAN!$D$5:$D$546,"&lt;"&amp;M117,BEMANNINGSPLAN!$E$5:$E$546,"&gt;="&amp;M117)&gt;0),"Ja","SAKNAS TIDSRADER"))))</f>
        <v>Ja</v>
      </c>
      <c r="O117" s="137">
        <f>IF(OR(B117="",K117&lt;&gt;"Ja"),"",COUNTIFS($B$5:B117,B117,$K$5:K117,"Ja"))</f>
        <v>3</v>
      </c>
      <c r="P117" s="137" t="str">
        <f t="shared" si="7"/>
        <v>yyyy-00-12|3</v>
      </c>
    </row>
    <row r="118" spans="1:16" ht="13">
      <c r="A118" s="31" t="str">
        <f>IF('IMPORT PROFIXIO'!A118="","",'IMPORT PROFIXIO'!A118)</f>
        <v>26 6 14225 08</v>
      </c>
      <c r="B118" s="32">
        <f>IF(A118="","",IF(ISNUMBER('IMPORT PROFIXIO'!D118),'IMPORT PROFIXIO'!D118,DATEVALUE('IMPORT PROFIXIO'!D118)))</f>
        <v>46368</v>
      </c>
      <c r="C118" s="33">
        <f>IF(A118="","",IF(ISNUMBER('IMPORT PROFIXIO'!E118),'IMPORT PROFIXIO'!E118,(VALUE(LEFT('IMPORT PROFIXIO'!E118,FIND(":",'IMPORT PROFIXIO'!E118)-1))*60+VALUE(MID('IMPORT PROFIXIO'!E118,FIND(":",'IMPORT PROFIXIO'!E118)+1,2)))/1440))</f>
        <v>0.39583333333333331</v>
      </c>
      <c r="D118" s="31" t="str">
        <f>IF(A118="","",'IMPORT PROFIXIO'!F118)</f>
        <v>Tallbackaskolan</v>
      </c>
      <c r="E118" s="31" t="str">
        <f>IF(A118="","",'IMPORT PROFIXIO'!K118)</f>
        <v>Höstens Spel - F9 Miniplan Öst - Omgång 4</v>
      </c>
      <c r="F118" s="34" t="str">
        <f>IF(A118="","",IFERROR(VLOOKUP(E118,KLASSNING!$A$5:$F$74,2,FALSE()),"SAKNAS"))</f>
        <v>F9</v>
      </c>
      <c r="G118" s="34" t="str">
        <f>IF(A118="","",IFERROR(VLOOKUP(E118,KLASSNING!$A$5:$F$74,3,FALSE()),"SAKNAS"))</f>
        <v>Kortplan/miniplan</v>
      </c>
      <c r="H118" s="34" t="str">
        <f>IF(A118="","",'IMPORT PROFIXIO'!H118)</f>
        <v>Sannadals SK Vit</v>
      </c>
      <c r="I118" s="34" t="str">
        <f>IF(A118="","",'IMPORT PROFIXIO'!I118)</f>
        <v>Spånga HK 2</v>
      </c>
      <c r="J118" s="34" t="str">
        <f t="shared" si="4"/>
        <v/>
      </c>
      <c r="K118" s="34" t="str">
        <f t="shared" si="5"/>
        <v>Ja</v>
      </c>
      <c r="L118" s="34">
        <f>IF(A118="","",IFERROR(VLOOKUP(E118,KLASSNING!$A$5:$F$74,5,FALSE()),0))</f>
        <v>20</v>
      </c>
      <c r="M118" s="35">
        <f t="shared" si="6"/>
        <v>0.40972222222222221</v>
      </c>
      <c r="N118" s="34" t="str">
        <f>IF(A118="","",IF(K118&lt;&gt;"Ja","Ej aktuell",IF(L118&lt;=0,"KONTROLLERA MATCHTID",IF(AND(COUNTIFS(BEMANNINGSPLAN!$A$5:$A$546,B118,BEMANNINGSPLAN!$C$5:$C$546,D118,BEMANNINGSPLAN!$D$5:$D$546,"&lt;="&amp;C118,BEMANNINGSPLAN!$E$5:$E$546,"&gt;"&amp;C118)&gt;0,COUNTIFS(BEMANNINGSPLAN!$A$5:$A$546,B118,BEMANNINGSPLAN!$C$5:$C$546,D118,BEMANNINGSPLAN!$D$5:$D$546,"&lt;"&amp;M118,BEMANNINGSPLAN!$E$5:$E$546,"&gt;="&amp;M118)&gt;0),"Ja","SAKNAS TIDSRADER"))))</f>
        <v>Ja</v>
      </c>
      <c r="O118" s="137">
        <f>IF(OR(B118="",K118&lt;&gt;"Ja"),"",COUNTIFS($B$5:B118,B118,$K$5:K118,"Ja"))</f>
        <v>4</v>
      </c>
      <c r="P118" s="137" t="str">
        <f t="shared" si="7"/>
        <v>yyyy-00-12|4</v>
      </c>
    </row>
    <row r="119" spans="1:16" ht="13">
      <c r="A119" s="31" t="str">
        <f>IF('IMPORT PROFIXIO'!A119="","",'IMPORT PROFIXIO'!A119)</f>
        <v>26 6 14225 03</v>
      </c>
      <c r="B119" s="32">
        <f>IF(A119="","",IF(ISNUMBER('IMPORT PROFIXIO'!D119),'IMPORT PROFIXIO'!D119,DATEVALUE('IMPORT PROFIXIO'!D119)))</f>
        <v>46368</v>
      </c>
      <c r="C119" s="33">
        <f>IF(A119="","",IF(ISNUMBER('IMPORT PROFIXIO'!E119),'IMPORT PROFIXIO'!E119,(VALUE(LEFT('IMPORT PROFIXIO'!E119,FIND(":",'IMPORT PROFIXIO'!E119)-1))*60+VALUE(MID('IMPORT PROFIXIO'!E119,FIND(":",'IMPORT PROFIXIO'!E119)+1,2)))/1440))</f>
        <v>0.41666666666666669</v>
      </c>
      <c r="D119" s="31" t="str">
        <f>IF(A119="","",'IMPORT PROFIXIO'!F119)</f>
        <v>Tallbackaskolan</v>
      </c>
      <c r="E119" s="31" t="str">
        <f>IF(A119="","",'IMPORT PROFIXIO'!K119)</f>
        <v>Höstens Spel - F9 Miniplan Öst - Omgång 4</v>
      </c>
      <c r="F119" s="34" t="str">
        <f>IF(A119="","",IFERROR(VLOOKUP(E119,KLASSNING!$A$5:$F$74,2,FALSE()),"SAKNAS"))</f>
        <v>F9</v>
      </c>
      <c r="G119" s="34" t="str">
        <f>IF(A119="","",IFERROR(VLOOKUP(E119,KLASSNING!$A$5:$F$74,3,FALSE()),"SAKNAS"))</f>
        <v>Kortplan/miniplan</v>
      </c>
      <c r="H119" s="34" t="str">
        <f>IF(A119="","",'IMPORT PROFIXIO'!H119)</f>
        <v>AIK</v>
      </c>
      <c r="I119" s="34" t="str">
        <f>IF(A119="","",'IMPORT PROFIXIO'!I119)</f>
        <v>Sannadals SK Gul</v>
      </c>
      <c r="J119" s="34" t="str">
        <f t="shared" si="4"/>
        <v>F9</v>
      </c>
      <c r="K119" s="34" t="str">
        <f t="shared" si="5"/>
        <v>Ja</v>
      </c>
      <c r="L119" s="34">
        <f>IF(A119="","",IFERROR(VLOOKUP(E119,KLASSNING!$A$5:$F$74,5,FALSE()),0))</f>
        <v>20</v>
      </c>
      <c r="M119" s="35">
        <f t="shared" si="6"/>
        <v>0.43055555555555558</v>
      </c>
      <c r="N119" s="34" t="str">
        <f>IF(A119="","",IF(K119&lt;&gt;"Ja","Ej aktuell",IF(L119&lt;=0,"KONTROLLERA MATCHTID",IF(AND(COUNTIFS(BEMANNINGSPLAN!$A$5:$A$546,B119,BEMANNINGSPLAN!$C$5:$C$546,D119,BEMANNINGSPLAN!$D$5:$D$546,"&lt;="&amp;C119,BEMANNINGSPLAN!$E$5:$E$546,"&gt;"&amp;C119)&gt;0,COUNTIFS(BEMANNINGSPLAN!$A$5:$A$546,B119,BEMANNINGSPLAN!$C$5:$C$546,D119,BEMANNINGSPLAN!$D$5:$D$546,"&lt;"&amp;M119,BEMANNINGSPLAN!$E$5:$E$546,"&gt;="&amp;M119)&gt;0),"Ja","SAKNAS TIDSRADER"))))</f>
        <v>Ja</v>
      </c>
      <c r="O119" s="137">
        <f>IF(OR(B119="",K119&lt;&gt;"Ja"),"",COUNTIFS($B$5:B119,B119,$K$5:K119,"Ja"))</f>
        <v>5</v>
      </c>
      <c r="P119" s="137" t="str">
        <f t="shared" si="7"/>
        <v>yyyy-00-12|5</v>
      </c>
    </row>
    <row r="120" spans="1:16" ht="13">
      <c r="A120" s="31" t="str">
        <f>IF('IMPORT PROFIXIO'!A120="","",'IMPORT PROFIXIO'!A120)</f>
        <v>26 6 14225 09</v>
      </c>
      <c r="B120" s="32">
        <f>IF(A120="","",IF(ISNUMBER('IMPORT PROFIXIO'!D120),'IMPORT PROFIXIO'!D120,DATEVALUE('IMPORT PROFIXIO'!D120)))</f>
        <v>46368</v>
      </c>
      <c r="C120" s="33">
        <f>IF(A120="","",IF(ISNUMBER('IMPORT PROFIXIO'!E120),'IMPORT PROFIXIO'!E120,(VALUE(LEFT('IMPORT PROFIXIO'!E120,FIND(":",'IMPORT PROFIXIO'!E120)-1))*60+VALUE(MID('IMPORT PROFIXIO'!E120,FIND(":",'IMPORT PROFIXIO'!E120)+1,2)))/1440))</f>
        <v>0.41666666666666669</v>
      </c>
      <c r="D120" s="31" t="str">
        <f>IF(A120="","",'IMPORT PROFIXIO'!F120)</f>
        <v>Tallbackaskolan</v>
      </c>
      <c r="E120" s="31" t="str">
        <f>IF(A120="","",'IMPORT PROFIXIO'!K120)</f>
        <v>Höstens Spel - F9 Miniplan Öst - Omgång 4</v>
      </c>
      <c r="F120" s="34" t="str">
        <f>IF(A120="","",IFERROR(VLOOKUP(E120,KLASSNING!$A$5:$F$74,2,FALSE()),"SAKNAS"))</f>
        <v>F9</v>
      </c>
      <c r="G120" s="34" t="str">
        <f>IF(A120="","",IFERROR(VLOOKUP(E120,KLASSNING!$A$5:$F$74,3,FALSE()),"SAKNAS"))</f>
        <v>Kortplan/miniplan</v>
      </c>
      <c r="H120" s="34" t="str">
        <f>IF(A120="","",'IMPORT PROFIXIO'!H120)</f>
        <v>Sannadals SK Röd</v>
      </c>
      <c r="I120" s="34" t="str">
        <f>IF(A120="","",'IMPORT PROFIXIO'!I120)</f>
        <v>Spånga HK 1</v>
      </c>
      <c r="J120" s="34" t="str">
        <f t="shared" si="4"/>
        <v/>
      </c>
      <c r="K120" s="34" t="str">
        <f t="shared" si="5"/>
        <v>Ja</v>
      </c>
      <c r="L120" s="34">
        <f>IF(A120="","",IFERROR(VLOOKUP(E120,KLASSNING!$A$5:$F$74,5,FALSE()),0))</f>
        <v>20</v>
      </c>
      <c r="M120" s="35">
        <f t="shared" si="6"/>
        <v>0.43055555555555558</v>
      </c>
      <c r="N120" s="34" t="str">
        <f>IF(A120="","",IF(K120&lt;&gt;"Ja","Ej aktuell",IF(L120&lt;=0,"KONTROLLERA MATCHTID",IF(AND(COUNTIFS(BEMANNINGSPLAN!$A$5:$A$546,B120,BEMANNINGSPLAN!$C$5:$C$546,D120,BEMANNINGSPLAN!$D$5:$D$546,"&lt;="&amp;C120,BEMANNINGSPLAN!$E$5:$E$546,"&gt;"&amp;C120)&gt;0,COUNTIFS(BEMANNINGSPLAN!$A$5:$A$546,B120,BEMANNINGSPLAN!$C$5:$C$546,D120,BEMANNINGSPLAN!$D$5:$D$546,"&lt;"&amp;M120,BEMANNINGSPLAN!$E$5:$E$546,"&gt;="&amp;M120)&gt;0),"Ja","SAKNAS TIDSRADER"))))</f>
        <v>Ja</v>
      </c>
      <c r="O120" s="137">
        <f>IF(OR(B120="",K120&lt;&gt;"Ja"),"",COUNTIFS($B$5:B120,B120,$K$5:K120,"Ja"))</f>
        <v>6</v>
      </c>
      <c r="P120" s="137" t="str">
        <f t="shared" si="7"/>
        <v>yyyy-00-12|6</v>
      </c>
    </row>
    <row r="121" spans="1:16" ht="13">
      <c r="A121" s="31" t="str">
        <f>IF('IMPORT PROFIXIO'!A121="","",'IMPORT PROFIXIO'!A121)</f>
        <v>26 6 14225 04</v>
      </c>
      <c r="B121" s="32">
        <f>IF(A121="","",IF(ISNUMBER('IMPORT PROFIXIO'!D121),'IMPORT PROFIXIO'!D121,DATEVALUE('IMPORT PROFIXIO'!D121)))</f>
        <v>46368</v>
      </c>
      <c r="C121" s="33">
        <f>IF(A121="","",IF(ISNUMBER('IMPORT PROFIXIO'!E121),'IMPORT PROFIXIO'!E121,(VALUE(LEFT('IMPORT PROFIXIO'!E121,FIND(":",'IMPORT PROFIXIO'!E121)-1))*60+VALUE(MID('IMPORT PROFIXIO'!E121,FIND(":",'IMPORT PROFIXIO'!E121)+1,2)))/1440))</f>
        <v>0.4375</v>
      </c>
      <c r="D121" s="31" t="str">
        <f>IF(A121="","",'IMPORT PROFIXIO'!F121)</f>
        <v>Tallbackaskolan</v>
      </c>
      <c r="E121" s="31" t="str">
        <f>IF(A121="","",'IMPORT PROFIXIO'!K121)</f>
        <v>Höstens Spel - F9 Miniplan Öst - Omgång 4</v>
      </c>
      <c r="F121" s="34" t="str">
        <f>IF(A121="","",IFERROR(VLOOKUP(E121,KLASSNING!$A$5:$F$74,2,FALSE()),"SAKNAS"))</f>
        <v>F9</v>
      </c>
      <c r="G121" s="34" t="str">
        <f>IF(A121="","",IFERROR(VLOOKUP(E121,KLASSNING!$A$5:$F$74,3,FALSE()),"SAKNAS"))</f>
        <v>Kortplan/miniplan</v>
      </c>
      <c r="H121" s="34" t="str">
        <f>IF(A121="","",'IMPORT PROFIXIO'!H121)</f>
        <v>Bollstanäs SK F9</v>
      </c>
      <c r="I121" s="34" t="str">
        <f>IF(A121="","",'IMPORT PROFIXIO'!I121)</f>
        <v>Sannadals SK Vit</v>
      </c>
      <c r="J121" s="34" t="str">
        <f t="shared" si="4"/>
        <v/>
      </c>
      <c r="K121" s="34" t="str">
        <f t="shared" si="5"/>
        <v>Ja</v>
      </c>
      <c r="L121" s="34">
        <f>IF(A121="","",IFERROR(VLOOKUP(E121,KLASSNING!$A$5:$F$74,5,FALSE()),0))</f>
        <v>20</v>
      </c>
      <c r="M121" s="35">
        <f t="shared" si="6"/>
        <v>0.4513888888888889</v>
      </c>
      <c r="N121" s="34" t="str">
        <f>IF(A121="","",IF(K121&lt;&gt;"Ja","Ej aktuell",IF(L121&lt;=0,"KONTROLLERA MATCHTID",IF(AND(COUNTIFS(BEMANNINGSPLAN!$A$5:$A$546,B121,BEMANNINGSPLAN!$C$5:$C$546,D121,BEMANNINGSPLAN!$D$5:$D$546,"&lt;="&amp;C121,BEMANNINGSPLAN!$E$5:$E$546,"&gt;"&amp;C121)&gt;0,COUNTIFS(BEMANNINGSPLAN!$A$5:$A$546,B121,BEMANNINGSPLAN!$C$5:$C$546,D121,BEMANNINGSPLAN!$D$5:$D$546,"&lt;"&amp;M121,BEMANNINGSPLAN!$E$5:$E$546,"&gt;="&amp;M121)&gt;0),"Ja","SAKNAS TIDSRADER"))))</f>
        <v>Ja</v>
      </c>
      <c r="O121" s="137">
        <f>IF(OR(B121="",K121&lt;&gt;"Ja"),"",COUNTIFS($B$5:B121,B121,$K$5:K121,"Ja"))</f>
        <v>7</v>
      </c>
      <c r="P121" s="137" t="str">
        <f t="shared" si="7"/>
        <v>yyyy-00-12|7</v>
      </c>
    </row>
    <row r="122" spans="1:16" ht="13">
      <c r="A122" s="31" t="str">
        <f>IF('IMPORT PROFIXIO'!A122="","",'IMPORT PROFIXIO'!A122)</f>
        <v>26 6 14225 10</v>
      </c>
      <c r="B122" s="32">
        <f>IF(A122="","",IF(ISNUMBER('IMPORT PROFIXIO'!D122),'IMPORT PROFIXIO'!D122,DATEVALUE('IMPORT PROFIXIO'!D122)))</f>
        <v>46368</v>
      </c>
      <c r="C122" s="33">
        <f>IF(A122="","",IF(ISNUMBER('IMPORT PROFIXIO'!E122),'IMPORT PROFIXIO'!E122,(VALUE(LEFT('IMPORT PROFIXIO'!E122,FIND(":",'IMPORT PROFIXIO'!E122)-1))*60+VALUE(MID('IMPORT PROFIXIO'!E122,FIND(":",'IMPORT PROFIXIO'!E122)+1,2)))/1440))</f>
        <v>0.4375</v>
      </c>
      <c r="D122" s="31" t="str">
        <f>IF(A122="","",'IMPORT PROFIXIO'!F122)</f>
        <v>Tallbackaskolan</v>
      </c>
      <c r="E122" s="31" t="str">
        <f>IF(A122="","",'IMPORT PROFIXIO'!K122)</f>
        <v>Höstens Spel - F9 Miniplan Öst - Omgång 4</v>
      </c>
      <c r="F122" s="34" t="str">
        <f>IF(A122="","",IFERROR(VLOOKUP(E122,KLASSNING!$A$5:$F$74,2,FALSE()),"SAKNAS"))</f>
        <v>F9</v>
      </c>
      <c r="G122" s="34" t="str">
        <f>IF(A122="","",IFERROR(VLOOKUP(E122,KLASSNING!$A$5:$F$74,3,FALSE()),"SAKNAS"))</f>
        <v>Kortplan/miniplan</v>
      </c>
      <c r="H122" s="34" t="str">
        <f>IF(A122="","",'IMPORT PROFIXIO'!H122)</f>
        <v>Assyriska Botkyrka SK</v>
      </c>
      <c r="I122" s="34" t="str">
        <f>IF(A122="","",'IMPORT PROFIXIO'!I122)</f>
        <v>Spånga HK 2</v>
      </c>
      <c r="J122" s="34" t="str">
        <f t="shared" si="4"/>
        <v/>
      </c>
      <c r="K122" s="34" t="str">
        <f t="shared" si="5"/>
        <v>Ja</v>
      </c>
      <c r="L122" s="34">
        <f>IF(A122="","",IFERROR(VLOOKUP(E122,KLASSNING!$A$5:$F$74,5,FALSE()),0))</f>
        <v>20</v>
      </c>
      <c r="M122" s="35">
        <f t="shared" si="6"/>
        <v>0.4513888888888889</v>
      </c>
      <c r="N122" s="34" t="str">
        <f>IF(A122="","",IF(K122&lt;&gt;"Ja","Ej aktuell",IF(L122&lt;=0,"KONTROLLERA MATCHTID",IF(AND(COUNTIFS(BEMANNINGSPLAN!$A$5:$A$546,B122,BEMANNINGSPLAN!$C$5:$C$546,D122,BEMANNINGSPLAN!$D$5:$D$546,"&lt;="&amp;C122,BEMANNINGSPLAN!$E$5:$E$546,"&gt;"&amp;C122)&gt;0,COUNTIFS(BEMANNINGSPLAN!$A$5:$A$546,B122,BEMANNINGSPLAN!$C$5:$C$546,D122,BEMANNINGSPLAN!$D$5:$D$546,"&lt;"&amp;M122,BEMANNINGSPLAN!$E$5:$E$546,"&gt;="&amp;M122)&gt;0),"Ja","SAKNAS TIDSRADER"))))</f>
        <v>Ja</v>
      </c>
      <c r="O122" s="137">
        <f>IF(OR(B122="",K122&lt;&gt;"Ja"),"",COUNTIFS($B$5:B122,B122,$K$5:K122,"Ja"))</f>
        <v>8</v>
      </c>
      <c r="P122" s="137" t="str">
        <f t="shared" si="7"/>
        <v>yyyy-00-12|8</v>
      </c>
    </row>
    <row r="123" spans="1:16" ht="13">
      <c r="A123" s="31" t="str">
        <f>IF('IMPORT PROFIXIO'!A123="","",'IMPORT PROFIXIO'!A123)</f>
        <v>26 6 14225 05</v>
      </c>
      <c r="B123" s="32">
        <f>IF(A123="","",IF(ISNUMBER('IMPORT PROFIXIO'!D123),'IMPORT PROFIXIO'!D123,DATEVALUE('IMPORT PROFIXIO'!D123)))</f>
        <v>46368</v>
      </c>
      <c r="C123" s="33">
        <f>IF(A123="","",IF(ISNUMBER('IMPORT PROFIXIO'!E123),'IMPORT PROFIXIO'!E123,(VALUE(LEFT('IMPORT PROFIXIO'!E123,FIND(":",'IMPORT PROFIXIO'!E123)-1))*60+VALUE(MID('IMPORT PROFIXIO'!E123,FIND(":",'IMPORT PROFIXIO'!E123)+1,2)))/1440))</f>
        <v>0.45833333333333331</v>
      </c>
      <c r="D123" s="31" t="str">
        <f>IF(A123="","",'IMPORT PROFIXIO'!F123)</f>
        <v>Tallbackaskolan</v>
      </c>
      <c r="E123" s="31" t="str">
        <f>IF(A123="","",'IMPORT PROFIXIO'!K123)</f>
        <v>Höstens Spel - F9 Miniplan Öst - Omgång 4</v>
      </c>
      <c r="F123" s="34" t="str">
        <f>IF(A123="","",IFERROR(VLOOKUP(E123,KLASSNING!$A$5:$F$74,2,FALSE()),"SAKNAS"))</f>
        <v>F9</v>
      </c>
      <c r="G123" s="34" t="str">
        <f>IF(A123="","",IFERROR(VLOOKUP(E123,KLASSNING!$A$5:$F$74,3,FALSE()),"SAKNAS"))</f>
        <v>Kortplan/miniplan</v>
      </c>
      <c r="H123" s="34" t="str">
        <f>IF(A123="","",'IMPORT PROFIXIO'!H123)</f>
        <v>AIK</v>
      </c>
      <c r="I123" s="34" t="str">
        <f>IF(A123="","",'IMPORT PROFIXIO'!I123)</f>
        <v>Spånga HK 1</v>
      </c>
      <c r="J123" s="34" t="str">
        <f t="shared" si="4"/>
        <v>F9</v>
      </c>
      <c r="K123" s="34" t="str">
        <f t="shared" si="5"/>
        <v>Ja</v>
      </c>
      <c r="L123" s="34">
        <f>IF(A123="","",IFERROR(VLOOKUP(E123,KLASSNING!$A$5:$F$74,5,FALSE()),0))</f>
        <v>20</v>
      </c>
      <c r="M123" s="35">
        <f t="shared" si="6"/>
        <v>0.47222222222222221</v>
      </c>
      <c r="N123" s="34" t="str">
        <f>IF(A123="","",IF(K123&lt;&gt;"Ja","Ej aktuell",IF(L123&lt;=0,"KONTROLLERA MATCHTID",IF(AND(COUNTIFS(BEMANNINGSPLAN!$A$5:$A$546,B123,BEMANNINGSPLAN!$C$5:$C$546,D123,BEMANNINGSPLAN!$D$5:$D$546,"&lt;="&amp;C123,BEMANNINGSPLAN!$E$5:$E$546,"&gt;"&amp;C123)&gt;0,COUNTIFS(BEMANNINGSPLAN!$A$5:$A$546,B123,BEMANNINGSPLAN!$C$5:$C$546,D123,BEMANNINGSPLAN!$D$5:$D$546,"&lt;"&amp;M123,BEMANNINGSPLAN!$E$5:$E$546,"&gt;="&amp;M123)&gt;0),"Ja","SAKNAS TIDSRADER"))))</f>
        <v>Ja</v>
      </c>
      <c r="O123" s="137">
        <f>IF(OR(B123="",K123&lt;&gt;"Ja"),"",COUNTIFS($B$5:B123,B123,$K$5:K123,"Ja"))</f>
        <v>9</v>
      </c>
      <c r="P123" s="137" t="str">
        <f t="shared" si="7"/>
        <v>yyyy-00-12|9</v>
      </c>
    </row>
    <row r="124" spans="1:16" ht="13">
      <c r="A124" s="31" t="str">
        <f>IF('IMPORT PROFIXIO'!A124="","",'IMPORT PROFIXIO'!A124)</f>
        <v>26 6 14225 11</v>
      </c>
      <c r="B124" s="32">
        <f>IF(A124="","",IF(ISNUMBER('IMPORT PROFIXIO'!D124),'IMPORT PROFIXIO'!D124,DATEVALUE('IMPORT PROFIXIO'!D124)))</f>
        <v>46368</v>
      </c>
      <c r="C124" s="33">
        <f>IF(A124="","",IF(ISNUMBER('IMPORT PROFIXIO'!E124),'IMPORT PROFIXIO'!E124,(VALUE(LEFT('IMPORT PROFIXIO'!E124,FIND(":",'IMPORT PROFIXIO'!E124)-1))*60+VALUE(MID('IMPORT PROFIXIO'!E124,FIND(":",'IMPORT PROFIXIO'!E124)+1,2)))/1440))</f>
        <v>0.45833333333333331</v>
      </c>
      <c r="D124" s="31" t="str">
        <f>IF(A124="","",'IMPORT PROFIXIO'!F124)</f>
        <v>Tallbackaskolan</v>
      </c>
      <c r="E124" s="31" t="str">
        <f>IF(A124="","",'IMPORT PROFIXIO'!K124)</f>
        <v>Höstens Spel - F9 Miniplan Öst - Omgång 4</v>
      </c>
      <c r="F124" s="34" t="str">
        <f>IF(A124="","",IFERROR(VLOOKUP(E124,KLASSNING!$A$5:$F$74,2,FALSE()),"SAKNAS"))</f>
        <v>F9</v>
      </c>
      <c r="G124" s="34" t="str">
        <f>IF(A124="","",IFERROR(VLOOKUP(E124,KLASSNING!$A$5:$F$74,3,FALSE()),"SAKNAS"))</f>
        <v>Kortplan/miniplan</v>
      </c>
      <c r="H124" s="34" t="str">
        <f>IF(A124="","",'IMPORT PROFIXIO'!H124)</f>
        <v>Sannadals SK Röd</v>
      </c>
      <c r="I124" s="34" t="str">
        <f>IF(A124="","",'IMPORT PROFIXIO'!I124)</f>
        <v>Sannadals SK Gul</v>
      </c>
      <c r="J124" s="34" t="str">
        <f t="shared" si="4"/>
        <v/>
      </c>
      <c r="K124" s="34" t="str">
        <f t="shared" si="5"/>
        <v>Ja</v>
      </c>
      <c r="L124" s="34">
        <f>IF(A124="","",IFERROR(VLOOKUP(E124,KLASSNING!$A$5:$F$74,5,FALSE()),0))</f>
        <v>20</v>
      </c>
      <c r="M124" s="35">
        <f t="shared" si="6"/>
        <v>0.47222222222222221</v>
      </c>
      <c r="N124" s="34" t="str">
        <f>IF(A124="","",IF(K124&lt;&gt;"Ja","Ej aktuell",IF(L124&lt;=0,"KONTROLLERA MATCHTID",IF(AND(COUNTIFS(BEMANNINGSPLAN!$A$5:$A$546,B124,BEMANNINGSPLAN!$C$5:$C$546,D124,BEMANNINGSPLAN!$D$5:$D$546,"&lt;="&amp;C124,BEMANNINGSPLAN!$E$5:$E$546,"&gt;"&amp;C124)&gt;0,COUNTIFS(BEMANNINGSPLAN!$A$5:$A$546,B124,BEMANNINGSPLAN!$C$5:$C$546,D124,BEMANNINGSPLAN!$D$5:$D$546,"&lt;"&amp;M124,BEMANNINGSPLAN!$E$5:$E$546,"&gt;="&amp;M124)&gt;0),"Ja","SAKNAS TIDSRADER"))))</f>
        <v>Ja</v>
      </c>
      <c r="O124" s="137">
        <f>IF(OR(B124="",K124&lt;&gt;"Ja"),"",COUNTIFS($B$5:B124,B124,$K$5:K124,"Ja"))</f>
        <v>10</v>
      </c>
      <c r="P124" s="137" t="str">
        <f t="shared" si="7"/>
        <v>yyyy-00-12|10</v>
      </c>
    </row>
    <row r="125" spans="1:16" ht="13">
      <c r="A125" s="31" t="str">
        <f>IF('IMPORT PROFIXIO'!A125="","",'IMPORT PROFIXIO'!A125)</f>
        <v>26 6 14225 06</v>
      </c>
      <c r="B125" s="32">
        <f>IF(A125="","",IF(ISNUMBER('IMPORT PROFIXIO'!D125),'IMPORT PROFIXIO'!D125,DATEVALUE('IMPORT PROFIXIO'!D125)))</f>
        <v>46368</v>
      </c>
      <c r="C125" s="33">
        <f>IF(A125="","",IF(ISNUMBER('IMPORT PROFIXIO'!E125),'IMPORT PROFIXIO'!E125,(VALUE(LEFT('IMPORT PROFIXIO'!E125,FIND(":",'IMPORT PROFIXIO'!E125)-1))*60+VALUE(MID('IMPORT PROFIXIO'!E125,FIND(":",'IMPORT PROFIXIO'!E125)+1,2)))/1440))</f>
        <v>0.47916666666666669</v>
      </c>
      <c r="D125" s="31" t="str">
        <f>IF(A125="","",'IMPORT PROFIXIO'!F125)</f>
        <v>Tallbackaskolan</v>
      </c>
      <c r="E125" s="31" t="str">
        <f>IF(A125="","",'IMPORT PROFIXIO'!K125)</f>
        <v>Höstens Spel - F9 Miniplan Öst - Omgång 4</v>
      </c>
      <c r="F125" s="34" t="str">
        <f>IF(A125="","",IFERROR(VLOOKUP(E125,KLASSNING!$A$5:$F$74,2,FALSE()),"SAKNAS"))</f>
        <v>F9</v>
      </c>
      <c r="G125" s="34" t="str">
        <f>IF(A125="","",IFERROR(VLOOKUP(E125,KLASSNING!$A$5:$F$74,3,FALSE()),"SAKNAS"))</f>
        <v>Kortplan/miniplan</v>
      </c>
      <c r="H125" s="34" t="str">
        <f>IF(A125="","",'IMPORT PROFIXIO'!H125)</f>
        <v>Bollstanäs SK F9</v>
      </c>
      <c r="I125" s="34" t="str">
        <f>IF(A125="","",'IMPORT PROFIXIO'!I125)</f>
        <v>Spånga HK 2</v>
      </c>
      <c r="J125" s="34" t="str">
        <f t="shared" si="4"/>
        <v/>
      </c>
      <c r="K125" s="34" t="str">
        <f t="shared" si="5"/>
        <v>Ja</v>
      </c>
      <c r="L125" s="34">
        <f>IF(A125="","",IFERROR(VLOOKUP(E125,KLASSNING!$A$5:$F$74,5,FALSE()),0))</f>
        <v>20</v>
      </c>
      <c r="M125" s="35">
        <f t="shared" si="6"/>
        <v>0.49305555555555558</v>
      </c>
      <c r="N125" s="34" t="str">
        <f>IF(A125="","",IF(K125&lt;&gt;"Ja","Ej aktuell",IF(L125&lt;=0,"KONTROLLERA MATCHTID",IF(AND(COUNTIFS(BEMANNINGSPLAN!$A$5:$A$546,B125,BEMANNINGSPLAN!$C$5:$C$546,D125,BEMANNINGSPLAN!$D$5:$D$546,"&lt;="&amp;C125,BEMANNINGSPLAN!$E$5:$E$546,"&gt;"&amp;C125)&gt;0,COUNTIFS(BEMANNINGSPLAN!$A$5:$A$546,B125,BEMANNINGSPLAN!$C$5:$C$546,D125,BEMANNINGSPLAN!$D$5:$D$546,"&lt;"&amp;M125,BEMANNINGSPLAN!$E$5:$E$546,"&gt;="&amp;M125)&gt;0),"Ja","SAKNAS TIDSRADER"))))</f>
        <v>Ja</v>
      </c>
      <c r="O125" s="137">
        <f>IF(OR(B125="",K125&lt;&gt;"Ja"),"",COUNTIFS($B$5:B125,B125,$K$5:K125,"Ja"))</f>
        <v>11</v>
      </c>
      <c r="P125" s="137" t="str">
        <f t="shared" si="7"/>
        <v>yyyy-00-12|11</v>
      </c>
    </row>
    <row r="126" spans="1:16" ht="13">
      <c r="A126" s="31" t="str">
        <f>IF('IMPORT PROFIXIO'!A126="","",'IMPORT PROFIXIO'!A126)</f>
        <v>26 6 14225 12</v>
      </c>
      <c r="B126" s="32">
        <f>IF(A126="","",IF(ISNUMBER('IMPORT PROFIXIO'!D126),'IMPORT PROFIXIO'!D126,DATEVALUE('IMPORT PROFIXIO'!D126)))</f>
        <v>46368</v>
      </c>
      <c r="C126" s="33">
        <f>IF(A126="","",IF(ISNUMBER('IMPORT PROFIXIO'!E126),'IMPORT PROFIXIO'!E126,(VALUE(LEFT('IMPORT PROFIXIO'!E126,FIND(":",'IMPORT PROFIXIO'!E126)-1))*60+VALUE(MID('IMPORT PROFIXIO'!E126,FIND(":",'IMPORT PROFIXIO'!E126)+1,2)))/1440))</f>
        <v>0.47916666666666669</v>
      </c>
      <c r="D126" s="31" t="str">
        <f>IF(A126="","",'IMPORT PROFIXIO'!F126)</f>
        <v>Tallbackaskolan</v>
      </c>
      <c r="E126" s="31" t="str">
        <f>IF(A126="","",'IMPORT PROFIXIO'!K126)</f>
        <v>Höstens Spel - F9 Miniplan Öst - Omgång 4</v>
      </c>
      <c r="F126" s="34" t="str">
        <f>IF(A126="","",IFERROR(VLOOKUP(E126,KLASSNING!$A$5:$F$74,2,FALSE()),"SAKNAS"))</f>
        <v>F9</v>
      </c>
      <c r="G126" s="34" t="str">
        <f>IF(A126="","",IFERROR(VLOOKUP(E126,KLASSNING!$A$5:$F$74,3,FALSE()),"SAKNAS"))</f>
        <v>Kortplan/miniplan</v>
      </c>
      <c r="H126" s="34" t="str">
        <f>IF(A126="","",'IMPORT PROFIXIO'!H126)</f>
        <v>Assyriska Botkyrka SK</v>
      </c>
      <c r="I126" s="34" t="str">
        <f>IF(A126="","",'IMPORT PROFIXIO'!I126)</f>
        <v>Sannadals SK Vit</v>
      </c>
      <c r="J126" s="34" t="str">
        <f t="shared" si="4"/>
        <v/>
      </c>
      <c r="K126" s="34" t="str">
        <f t="shared" si="5"/>
        <v>Ja</v>
      </c>
      <c r="L126" s="34">
        <f>IF(A126="","",IFERROR(VLOOKUP(E126,KLASSNING!$A$5:$F$74,5,FALSE()),0))</f>
        <v>20</v>
      </c>
      <c r="M126" s="35">
        <f t="shared" si="6"/>
        <v>0.49305555555555558</v>
      </c>
      <c r="N126" s="34" t="str">
        <f>IF(A126="","",IF(K126&lt;&gt;"Ja","Ej aktuell",IF(L126&lt;=0,"KONTROLLERA MATCHTID",IF(AND(COUNTIFS(BEMANNINGSPLAN!$A$5:$A$546,B126,BEMANNINGSPLAN!$C$5:$C$546,D126,BEMANNINGSPLAN!$D$5:$D$546,"&lt;="&amp;C126,BEMANNINGSPLAN!$E$5:$E$546,"&gt;"&amp;C126)&gt;0,COUNTIFS(BEMANNINGSPLAN!$A$5:$A$546,B126,BEMANNINGSPLAN!$C$5:$C$546,D126,BEMANNINGSPLAN!$D$5:$D$546,"&lt;"&amp;M126,BEMANNINGSPLAN!$E$5:$E$546,"&gt;="&amp;M126)&gt;0),"Ja","SAKNAS TIDSRADER"))))</f>
        <v>Ja</v>
      </c>
      <c r="O126" s="137">
        <f>IF(OR(B126="",K126&lt;&gt;"Ja"),"",COUNTIFS($B$5:B126,B126,$K$5:K126,"Ja"))</f>
        <v>12</v>
      </c>
      <c r="P126" s="137" t="str">
        <f t="shared" si="7"/>
        <v>yyyy-00-12|12</v>
      </c>
    </row>
    <row r="127" spans="1:16" ht="13">
      <c r="A127" s="31" t="str">
        <f>IF('IMPORT PROFIXIO'!A127="","",'IMPORT PROFIXIO'!A127)</f>
        <v>26 6 1351 039</v>
      </c>
      <c r="B127" s="32">
        <f>IF(A127="","",IF(ISNUMBER('IMPORT PROFIXIO'!D127),'IMPORT PROFIXIO'!D127,DATEVALUE('IMPORT PROFIXIO'!D127)))</f>
        <v>46368</v>
      </c>
      <c r="C127" s="33">
        <f>IF(A127="","",IF(ISNUMBER('IMPORT PROFIXIO'!E127),'IMPORT PROFIXIO'!E127,(VALUE(LEFT('IMPORT PROFIXIO'!E127,FIND(":",'IMPORT PROFIXIO'!E127)-1))*60+VALUE(MID('IMPORT PROFIXIO'!E127,FIND(":",'IMPORT PROFIXIO'!E127)+1,2)))/1440))</f>
        <v>0.53125</v>
      </c>
      <c r="D127" s="31" t="str">
        <f>IF(A127="","",'IMPORT PROFIXIO'!F127)</f>
        <v>Tallbackaskolan</v>
      </c>
      <c r="E127" s="31" t="str">
        <f>IF(A127="","",'IMPORT PROFIXIO'!K127)</f>
        <v>Flickor - F13 Öst - F13 Nivå 1 Öst</v>
      </c>
      <c r="F127" s="34" t="str">
        <f>IF(A127="","",IFERROR(VLOOKUP(E127,KLASSNING!$A$5:$F$74,2,FALSE()),"SAKNAS"))</f>
        <v>F13</v>
      </c>
      <c r="G127" s="34" t="str">
        <f>IF(A127="","",IFERROR(VLOOKUP(E127,KLASSNING!$A$5:$F$74,3,FALSE()),"SAKNAS"))</f>
        <v>Seriespel</v>
      </c>
      <c r="H127" s="34" t="str">
        <f>IF(A127="","",'IMPORT PROFIXIO'!H127)</f>
        <v>AIK</v>
      </c>
      <c r="I127" s="34" t="str">
        <f>IF(A127="","",'IMPORT PROFIXIO'!I127)</f>
        <v>Kungsängens SK</v>
      </c>
      <c r="J127" s="34" t="str">
        <f t="shared" si="4"/>
        <v>F13</v>
      </c>
      <c r="K127" s="34" t="str">
        <f t="shared" si="5"/>
        <v>Ja</v>
      </c>
      <c r="L127" s="34">
        <f>IF(A127="","",IFERROR(VLOOKUP(E127,KLASSNING!$A$5:$F$74,5,FALSE()),0))</f>
        <v>45</v>
      </c>
      <c r="M127" s="35">
        <f t="shared" si="6"/>
        <v>0.5625</v>
      </c>
      <c r="N127" s="34" t="str">
        <f>IF(A127="","",IF(K127&lt;&gt;"Ja","Ej aktuell",IF(L127&lt;=0,"KONTROLLERA MATCHTID",IF(AND(COUNTIFS(BEMANNINGSPLAN!$A$5:$A$546,B127,BEMANNINGSPLAN!$C$5:$C$546,D127,BEMANNINGSPLAN!$D$5:$D$546,"&lt;="&amp;C127,BEMANNINGSPLAN!$E$5:$E$546,"&gt;"&amp;C127)&gt;0,COUNTIFS(BEMANNINGSPLAN!$A$5:$A$546,B127,BEMANNINGSPLAN!$C$5:$C$546,D127,BEMANNINGSPLAN!$D$5:$D$546,"&lt;"&amp;M127,BEMANNINGSPLAN!$E$5:$E$546,"&gt;="&amp;M127)&gt;0),"Ja","SAKNAS TIDSRADER"))))</f>
        <v>Ja</v>
      </c>
      <c r="O127" s="137">
        <f>IF(OR(B127="",K127&lt;&gt;"Ja"),"",COUNTIFS($B$5:B127,B127,$K$5:K127,"Ja"))</f>
        <v>13</v>
      </c>
      <c r="P127" s="137" t="str">
        <f t="shared" si="7"/>
        <v>yyyy-00-12|13</v>
      </c>
    </row>
    <row r="128" spans="1:16" ht="13">
      <c r="A128" s="31" t="str">
        <f>IF('IMPORT PROFIXIO'!A128="","",'IMPORT PROFIXIO'!A128)</f>
        <v>26 6 1221 073</v>
      </c>
      <c r="B128" s="32">
        <f>IF(A128="","",IF(ISNUMBER('IMPORT PROFIXIO'!D128),'IMPORT PROFIXIO'!D128,DATEVALUE('IMPORT PROFIXIO'!D128)))</f>
        <v>46396</v>
      </c>
      <c r="C128" s="33">
        <f>IF(A128="","",IF(ISNUMBER('IMPORT PROFIXIO'!E128),'IMPORT PROFIXIO'!E128,(VALUE(LEFT('IMPORT PROFIXIO'!E128,FIND(":",'IMPORT PROFIXIO'!E128)-1))*60+VALUE(MID('IMPORT PROFIXIO'!E128,FIND(":",'IMPORT PROFIXIO'!E128)+1,2)))/1440))</f>
        <v>0.5625</v>
      </c>
      <c r="D128" s="31" t="str">
        <f>IF(A128="","",'IMPORT PROFIXIO'!F128)</f>
        <v>Råsta Park</v>
      </c>
      <c r="E128" s="31" t="str">
        <f>IF(A128="","",'IMPORT PROFIXIO'!K128)</f>
        <v>Herrar - Herr 2 Öst</v>
      </c>
      <c r="F128" s="34" t="str">
        <f>IF(A128="","",IFERROR(VLOOKUP(E128,KLASSNING!$A$5:$F$74,2,FALSE()),"SAKNAS"))</f>
        <v>Herr</v>
      </c>
      <c r="G128" s="34" t="str">
        <f>IF(A128="","",IFERROR(VLOOKUP(E128,KLASSNING!$A$5:$F$74,3,FALSE()),"SAKNAS"))</f>
        <v>Seriespel</v>
      </c>
      <c r="H128" s="34" t="str">
        <f>IF(A128="","",'IMPORT PROFIXIO'!H128)</f>
        <v>AIK</v>
      </c>
      <c r="I128" s="34" t="str">
        <f>IF(A128="","",'IMPORT PROFIXIO'!I128)</f>
        <v>Årsta AIK HF</v>
      </c>
      <c r="J128" s="34" t="str">
        <f t="shared" si="4"/>
        <v>Herr</v>
      </c>
      <c r="K128" s="34" t="str">
        <f t="shared" si="5"/>
        <v>Ja</v>
      </c>
      <c r="L128" s="34">
        <f>IF(A128="","",IFERROR(VLOOKUP(E128,KLASSNING!$A$5:$F$74,5,FALSE()),0))</f>
        <v>70</v>
      </c>
      <c r="M128" s="35">
        <f t="shared" si="6"/>
        <v>0.61111111111111116</v>
      </c>
      <c r="N128" s="34" t="str">
        <f>IF(A128="","",IF(K128&lt;&gt;"Ja","Ej aktuell",IF(L128&lt;=0,"KONTROLLERA MATCHTID",IF(AND(COUNTIFS(BEMANNINGSPLAN!$A$5:$A$546,B128,BEMANNINGSPLAN!$C$5:$C$546,D128,BEMANNINGSPLAN!$D$5:$D$546,"&lt;="&amp;C128,BEMANNINGSPLAN!$E$5:$E$546,"&gt;"&amp;C128)&gt;0,COUNTIFS(BEMANNINGSPLAN!$A$5:$A$546,B128,BEMANNINGSPLAN!$C$5:$C$546,D128,BEMANNINGSPLAN!$D$5:$D$546,"&lt;"&amp;M128,BEMANNINGSPLAN!$E$5:$E$546,"&gt;="&amp;M128)&gt;0),"Ja","SAKNAS TIDSRADER"))))</f>
        <v>Ja</v>
      </c>
      <c r="O128" s="137">
        <f>IF(OR(B128="",K128&lt;&gt;"Ja"),"",COUNTIFS($B$5:B128,B128,$K$5:K128,"Ja"))</f>
        <v>1</v>
      </c>
      <c r="P128" s="137" t="str">
        <f t="shared" si="7"/>
        <v>yyyy-00-09|1</v>
      </c>
    </row>
    <row r="129" spans="1:16" ht="13">
      <c r="A129" s="31" t="str">
        <f>IF('IMPORT PROFIXIO'!A129="","",'IMPORT PROFIXIO'!A129)</f>
        <v>26 6 1373 046</v>
      </c>
      <c r="B129" s="32">
        <f>IF(A129="","",IF(ISNUMBER('IMPORT PROFIXIO'!D129),'IMPORT PROFIXIO'!D129,DATEVALUE('IMPORT PROFIXIO'!D129)))</f>
        <v>46396</v>
      </c>
      <c r="C129" s="33">
        <f>IF(A129="","",IF(ISNUMBER('IMPORT PROFIXIO'!E129),'IMPORT PROFIXIO'!E129,(VALUE(LEFT('IMPORT PROFIXIO'!E129,FIND(":",'IMPORT PROFIXIO'!E129)-1))*60+VALUE(MID('IMPORT PROFIXIO'!E129,FIND(":",'IMPORT PROFIXIO'!E129)+1,2)))/1440))</f>
        <v>0.43055555555555558</v>
      </c>
      <c r="D129" s="31" t="str">
        <f>IF(A129="","",'IMPORT PROFIXIO'!F129)</f>
        <v>Ulriksdalshallen</v>
      </c>
      <c r="E129" s="31" t="str">
        <f>IF(A129="","",'IMPORT PROFIXIO'!K129)</f>
        <v>Flickor - F11 Öst - F11 Nivå 2 Öst City</v>
      </c>
      <c r="F129" s="34" t="str">
        <f>IF(A129="","",IFERROR(VLOOKUP(E129,KLASSNING!$A$5:$F$74,2,FALSE()),"SAKNAS"))</f>
        <v>F11</v>
      </c>
      <c r="G129" s="34" t="str">
        <f>IF(A129="","",IFERROR(VLOOKUP(E129,KLASSNING!$A$5:$F$74,3,FALSE()),"SAKNAS"))</f>
        <v>Seriespel</v>
      </c>
      <c r="H129" s="34" t="str">
        <f>IF(A129="","",'IMPORT PROFIXIO'!H129)</f>
        <v>AIK</v>
      </c>
      <c r="I129" s="34" t="str">
        <f>IF(A129="","",'IMPORT PROFIXIO'!I129)</f>
        <v>Hammarby IF HF 2</v>
      </c>
      <c r="J129" s="34" t="str">
        <f t="shared" si="4"/>
        <v>F11</v>
      </c>
      <c r="K129" s="34" t="str">
        <f t="shared" si="5"/>
        <v>Ja</v>
      </c>
      <c r="L129" s="34">
        <f>IF(A129="","",IFERROR(VLOOKUP(E129,KLASSNING!$A$5:$F$74,5,FALSE()),0))</f>
        <v>35</v>
      </c>
      <c r="M129" s="35">
        <f t="shared" si="6"/>
        <v>0.45486111111111116</v>
      </c>
      <c r="N129" s="34" t="str">
        <f>IF(A129="","",IF(K129&lt;&gt;"Ja","Ej aktuell",IF(L129&lt;=0,"KONTROLLERA MATCHTID",IF(AND(COUNTIFS(BEMANNINGSPLAN!$A$5:$A$546,B129,BEMANNINGSPLAN!$C$5:$C$546,D129,BEMANNINGSPLAN!$D$5:$D$546,"&lt;="&amp;C129,BEMANNINGSPLAN!$E$5:$E$546,"&gt;"&amp;C129)&gt;0,COUNTIFS(BEMANNINGSPLAN!$A$5:$A$546,B129,BEMANNINGSPLAN!$C$5:$C$546,D129,BEMANNINGSPLAN!$D$5:$D$546,"&lt;"&amp;M129,BEMANNINGSPLAN!$E$5:$E$546,"&gt;="&amp;M129)&gt;0),"Ja","SAKNAS TIDSRADER"))))</f>
        <v>Ja</v>
      </c>
      <c r="O129" s="137">
        <f>IF(OR(B129="",K129&lt;&gt;"Ja"),"",COUNTIFS($B$5:B129,B129,$K$5:K129,"Ja"))</f>
        <v>2</v>
      </c>
      <c r="P129" s="137" t="str">
        <f t="shared" si="7"/>
        <v>yyyy-00-09|2</v>
      </c>
    </row>
    <row r="130" spans="1:16" ht="13">
      <c r="A130" s="31" t="str">
        <f>IF('IMPORT PROFIXIO'!A130="","",'IMPORT PROFIXIO'!A130)</f>
        <v>26 6 1373 047</v>
      </c>
      <c r="B130" s="32">
        <f>IF(A130="","",IF(ISNUMBER('IMPORT PROFIXIO'!D130),'IMPORT PROFIXIO'!D130,DATEVALUE('IMPORT PROFIXIO'!D130)))</f>
        <v>46396</v>
      </c>
      <c r="C130" s="33">
        <f>IF(A130="","",IF(ISNUMBER('IMPORT PROFIXIO'!E130),'IMPORT PROFIXIO'!E130,(VALUE(LEFT('IMPORT PROFIXIO'!E130,FIND(":",'IMPORT PROFIXIO'!E130)-1))*60+VALUE(MID('IMPORT PROFIXIO'!E130,FIND(":",'IMPORT PROFIXIO'!E130)+1,2)))/1440))</f>
        <v>0.47916666666666669</v>
      </c>
      <c r="D130" s="31" t="str">
        <f>IF(A130="","",'IMPORT PROFIXIO'!F130)</f>
        <v>Ulriksdalshallen</v>
      </c>
      <c r="E130" s="31" t="str">
        <f>IF(A130="","",'IMPORT PROFIXIO'!K130)</f>
        <v>Flickor - F11 Öst - F11 Nivå 2 Öst City</v>
      </c>
      <c r="F130" s="34" t="str">
        <f>IF(A130="","",IFERROR(VLOOKUP(E130,KLASSNING!$A$5:$F$74,2,FALSE()),"SAKNAS"))</f>
        <v>F11</v>
      </c>
      <c r="G130" s="34" t="str">
        <f>IF(A130="","",IFERROR(VLOOKUP(E130,KLASSNING!$A$5:$F$74,3,FALSE()),"SAKNAS"))</f>
        <v>Seriespel</v>
      </c>
      <c r="H130" s="34" t="str">
        <f>IF(A130="","",'IMPORT PROFIXIO'!H130)</f>
        <v>Skuru IK 4</v>
      </c>
      <c r="I130" s="34" t="str">
        <f>IF(A130="","",'IMPORT PROFIXIO'!I130)</f>
        <v>Hammarby IF HF 2</v>
      </c>
      <c r="J130" s="34" t="str">
        <f t="shared" si="4"/>
        <v/>
      </c>
      <c r="K130" s="34" t="str">
        <f t="shared" si="5"/>
        <v>Ja</v>
      </c>
      <c r="L130" s="34">
        <f>IF(A130="","",IFERROR(VLOOKUP(E130,KLASSNING!$A$5:$F$74,5,FALSE()),0))</f>
        <v>35</v>
      </c>
      <c r="M130" s="35">
        <f t="shared" si="6"/>
        <v>0.50347222222222221</v>
      </c>
      <c r="N130" s="34" t="str">
        <f>IF(A130="","",IF(K130&lt;&gt;"Ja","Ej aktuell",IF(L130&lt;=0,"KONTROLLERA MATCHTID",IF(AND(COUNTIFS(BEMANNINGSPLAN!$A$5:$A$546,B130,BEMANNINGSPLAN!$C$5:$C$546,D130,BEMANNINGSPLAN!$D$5:$D$546,"&lt;="&amp;C130,BEMANNINGSPLAN!$E$5:$E$546,"&gt;"&amp;C130)&gt;0,COUNTIFS(BEMANNINGSPLAN!$A$5:$A$546,B130,BEMANNINGSPLAN!$C$5:$C$546,D130,BEMANNINGSPLAN!$D$5:$D$546,"&lt;"&amp;M130,BEMANNINGSPLAN!$E$5:$E$546,"&gt;="&amp;M130)&gt;0),"Ja","SAKNAS TIDSRADER"))))</f>
        <v>Ja</v>
      </c>
      <c r="O130" s="137">
        <f>IF(OR(B130="",K130&lt;&gt;"Ja"),"",COUNTIFS($B$5:B130,B130,$K$5:K130,"Ja"))</f>
        <v>3</v>
      </c>
      <c r="P130" s="137" t="str">
        <f t="shared" si="7"/>
        <v>yyyy-00-09|3</v>
      </c>
    </row>
    <row r="131" spans="1:16" ht="13">
      <c r="A131" s="31" t="str">
        <f>IF('IMPORT PROFIXIO'!A131="","",'IMPORT PROFIXIO'!A131)</f>
        <v>26 6 1373 048</v>
      </c>
      <c r="B131" s="32">
        <f>IF(A131="","",IF(ISNUMBER('IMPORT PROFIXIO'!D131),'IMPORT PROFIXIO'!D131,DATEVALUE('IMPORT PROFIXIO'!D131)))</f>
        <v>46396</v>
      </c>
      <c r="C131" s="33">
        <f>IF(A131="","",IF(ISNUMBER('IMPORT PROFIXIO'!E131),'IMPORT PROFIXIO'!E131,(VALUE(LEFT('IMPORT PROFIXIO'!E131,FIND(":",'IMPORT PROFIXIO'!E131)-1))*60+VALUE(MID('IMPORT PROFIXIO'!E131,FIND(":",'IMPORT PROFIXIO'!E131)+1,2)))/1440))</f>
        <v>0.52777777777777779</v>
      </c>
      <c r="D131" s="31" t="str">
        <f>IF(A131="","",'IMPORT PROFIXIO'!F131)</f>
        <v>Ulriksdalshallen</v>
      </c>
      <c r="E131" s="31" t="str">
        <f>IF(A131="","",'IMPORT PROFIXIO'!K131)</f>
        <v>Flickor - F11 Öst - F11 Nivå 2 Öst City</v>
      </c>
      <c r="F131" s="34" t="str">
        <f>IF(A131="","",IFERROR(VLOOKUP(E131,KLASSNING!$A$5:$F$74,2,FALSE()),"SAKNAS"))</f>
        <v>F11</v>
      </c>
      <c r="G131" s="34" t="str">
        <f>IF(A131="","",IFERROR(VLOOKUP(E131,KLASSNING!$A$5:$F$74,3,FALSE()),"SAKNAS"))</f>
        <v>Seriespel</v>
      </c>
      <c r="H131" s="34" t="str">
        <f>IF(A131="","",'IMPORT PROFIXIO'!H131)</f>
        <v>AIK</v>
      </c>
      <c r="I131" s="34" t="str">
        <f>IF(A131="","",'IMPORT PROFIXIO'!I131)</f>
        <v>Skuru IK 4</v>
      </c>
      <c r="J131" s="34" t="str">
        <f t="shared" si="4"/>
        <v>F11</v>
      </c>
      <c r="K131" s="34" t="str">
        <f t="shared" si="5"/>
        <v>Ja</v>
      </c>
      <c r="L131" s="34">
        <f>IF(A131="","",IFERROR(VLOOKUP(E131,KLASSNING!$A$5:$F$74,5,FALSE()),0))</f>
        <v>35</v>
      </c>
      <c r="M131" s="35">
        <f t="shared" si="6"/>
        <v>0.55208333333333337</v>
      </c>
      <c r="N131" s="34" t="str">
        <f>IF(A131="","",IF(K131&lt;&gt;"Ja","Ej aktuell",IF(L131&lt;=0,"KONTROLLERA MATCHTID",IF(AND(COUNTIFS(BEMANNINGSPLAN!$A$5:$A$546,B131,BEMANNINGSPLAN!$C$5:$C$546,D131,BEMANNINGSPLAN!$D$5:$D$546,"&lt;="&amp;C131,BEMANNINGSPLAN!$E$5:$E$546,"&gt;"&amp;C131)&gt;0,COUNTIFS(BEMANNINGSPLAN!$A$5:$A$546,B131,BEMANNINGSPLAN!$C$5:$C$546,D131,BEMANNINGSPLAN!$D$5:$D$546,"&lt;"&amp;M131,BEMANNINGSPLAN!$E$5:$E$546,"&gt;="&amp;M131)&gt;0),"Ja","SAKNAS TIDSRADER"))))</f>
        <v>Ja</v>
      </c>
      <c r="O131" s="137">
        <f>IF(OR(B131="",K131&lt;&gt;"Ja"),"",COUNTIFS($B$5:B131,B131,$K$5:K131,"Ja"))</f>
        <v>4</v>
      </c>
      <c r="P131" s="137" t="str">
        <f t="shared" si="7"/>
        <v>yyyy-00-09|4</v>
      </c>
    </row>
    <row r="132" spans="1:16" ht="13">
      <c r="A132" s="31" t="str">
        <f>IF('IMPORT PROFIXIO'!A132="","",'IMPORT PROFIXIO'!A132)</f>
        <v>26 6 1311 064</v>
      </c>
      <c r="B132" s="32">
        <f>IF(A132="","",IF(ISNUMBER('IMPORT PROFIXIO'!D132),'IMPORT PROFIXIO'!D132,DATEVALUE('IMPORT PROFIXIO'!D132)))</f>
        <v>46399</v>
      </c>
      <c r="C132" s="33">
        <f>IF(A132="","",IF(ISNUMBER('IMPORT PROFIXIO'!E132),'IMPORT PROFIXIO'!E132,(VALUE(LEFT('IMPORT PROFIXIO'!E132,FIND(":",'IMPORT PROFIXIO'!E132)-1))*60+VALUE(MID('IMPORT PROFIXIO'!E132,FIND(":",'IMPORT PROFIXIO'!E132)+1,2)))/1440))</f>
        <v>0.86458333333333337</v>
      </c>
      <c r="D132" s="31" t="str">
        <f>IF(A132="","",'IMPORT PROFIXIO'!F132)</f>
        <v>Råsta Park</v>
      </c>
      <c r="E132" s="31" t="str">
        <f>IF(A132="","",'IMPORT PROFIXIO'!K132)</f>
        <v>Flickor - F19 Öst - F19 Nivå 1 Öst</v>
      </c>
      <c r="F132" s="34" t="str">
        <f>IF(A132="","",IFERROR(VLOOKUP(E132,KLASSNING!$A$5:$F$74,2,FALSE()),"SAKNAS"))</f>
        <v>F19</v>
      </c>
      <c r="G132" s="34" t="str">
        <f>IF(A132="","",IFERROR(VLOOKUP(E132,KLASSNING!$A$5:$F$74,3,FALSE()),"SAKNAS"))</f>
        <v>Seriespel</v>
      </c>
      <c r="H132" s="34" t="str">
        <f>IF(A132="","",'IMPORT PROFIXIO'!H132)</f>
        <v>AIK</v>
      </c>
      <c r="I132" s="34" t="str">
        <f>IF(A132="","",'IMPORT PROFIXIO'!I132)</f>
        <v>Hammarby IF HF</v>
      </c>
      <c r="J132" s="34" t="str">
        <f t="shared" si="4"/>
        <v>F19</v>
      </c>
      <c r="K132" s="34" t="str">
        <f t="shared" si="5"/>
        <v>Ja</v>
      </c>
      <c r="L132" s="34">
        <f>IF(A132="","",IFERROR(VLOOKUP(E132,KLASSNING!$A$5:$F$74,5,FALSE()),0))</f>
        <v>55</v>
      </c>
      <c r="M132" s="35">
        <f t="shared" si="6"/>
        <v>0.90277777777777779</v>
      </c>
      <c r="N132" s="34" t="str">
        <f>IF(A132="","",IF(K132&lt;&gt;"Ja","Ej aktuell",IF(L132&lt;=0,"KONTROLLERA MATCHTID",IF(AND(COUNTIFS(BEMANNINGSPLAN!$A$5:$A$546,B132,BEMANNINGSPLAN!$C$5:$C$546,D132,BEMANNINGSPLAN!$D$5:$D$546,"&lt;="&amp;C132,BEMANNINGSPLAN!$E$5:$E$546,"&gt;"&amp;C132)&gt;0,COUNTIFS(BEMANNINGSPLAN!$A$5:$A$546,B132,BEMANNINGSPLAN!$C$5:$C$546,D132,BEMANNINGSPLAN!$D$5:$D$546,"&lt;"&amp;M132,BEMANNINGSPLAN!$E$5:$E$546,"&gt;="&amp;M132)&gt;0),"Ja","SAKNAS TIDSRADER"))))</f>
        <v>Ja</v>
      </c>
      <c r="O132" s="137">
        <f>IF(OR(B132="",K132&lt;&gt;"Ja"),"",COUNTIFS($B$5:B132,B132,$K$5:K132,"Ja"))</f>
        <v>1</v>
      </c>
      <c r="P132" s="137" t="str">
        <f t="shared" si="7"/>
        <v>yyyy-00-12|1</v>
      </c>
    </row>
    <row r="133" spans="1:16" ht="13">
      <c r="A133" s="31" t="str">
        <f>IF('IMPORT PROFIXIO'!A133="","",'IMPORT PROFIXIO'!A133)</f>
        <v>26 6 1343 035</v>
      </c>
      <c r="B133" s="32">
        <f>IF(A133="","",IF(ISNUMBER('IMPORT PROFIXIO'!D133),'IMPORT PROFIXIO'!D133,DATEVALUE('IMPORT PROFIXIO'!D133)))</f>
        <v>46403</v>
      </c>
      <c r="C133" s="33">
        <f>IF(A133="","",IF(ISNUMBER('IMPORT PROFIXIO'!E133),'IMPORT PROFIXIO'!E133,(VALUE(LEFT('IMPORT PROFIXIO'!E133,FIND(":",'IMPORT PROFIXIO'!E133)-1))*60+VALUE(MID('IMPORT PROFIXIO'!E133,FIND(":",'IMPORT PROFIXIO'!E133)+1,2)))/1440))</f>
        <v>0.43055555555555558</v>
      </c>
      <c r="D133" s="31" t="str">
        <f>IF(A133="","",'IMPORT PROFIXIO'!F133)</f>
        <v>Ulriksdalshallen</v>
      </c>
      <c r="E133" s="31" t="str">
        <f>IF(A133="","",'IMPORT PROFIXIO'!K133)</f>
        <v>Flickor - F14 Öst - F14 Nivå 2 Öst Norra</v>
      </c>
      <c r="F133" s="34" t="str">
        <f>IF(A133="","",IFERROR(VLOOKUP(E133,KLASSNING!$A$5:$F$74,2,FALSE()),"SAKNAS"))</f>
        <v>F14</v>
      </c>
      <c r="G133" s="34" t="str">
        <f>IF(A133="","",IFERROR(VLOOKUP(E133,KLASSNING!$A$5:$F$74,3,FALSE()),"SAKNAS"))</f>
        <v>Seriespel</v>
      </c>
      <c r="H133" s="34" t="str">
        <f>IF(A133="","",'IMPORT PROFIXIO'!H133)</f>
        <v>AIK</v>
      </c>
      <c r="I133" s="34" t="str">
        <f>IF(A133="","",'IMPORT PROFIXIO'!I133)</f>
        <v>Skuru IK 4</v>
      </c>
      <c r="J133" s="34" t="str">
        <f t="shared" ref="J133:J196" si="8">IF(A133="","",IF(LEFT(H133,3)="AIK",IF(H133="AIK 2",F133&amp;" 2",F133),IF(LEFT(I133,3)="AIK",IF(I133="AIK 2",F133&amp;" 2",F133),"")))</f>
        <v>F14</v>
      </c>
      <c r="K133" s="34" t="str">
        <f t="shared" ref="K133:K196" si="9">IF(A133="","",IF(D133="Solnahallen","Nej","Ja"))</f>
        <v>Ja</v>
      </c>
      <c r="L133" s="34">
        <f>IF(A133="","",IFERROR(VLOOKUP(E133,KLASSNING!$A$5:$F$74,5,FALSE()),0))</f>
        <v>45</v>
      </c>
      <c r="M133" s="35">
        <f t="shared" ref="M133:M196" si="10">IF(OR(A133="",K133&lt;&gt;"Ja"),"",C133+L133/1440)</f>
        <v>0.46180555555555558</v>
      </c>
      <c r="N133" s="34" t="str">
        <f>IF(A133="","",IF(K133&lt;&gt;"Ja","Ej aktuell",IF(L133&lt;=0,"KONTROLLERA MATCHTID",IF(AND(COUNTIFS(BEMANNINGSPLAN!$A$5:$A$546,B133,BEMANNINGSPLAN!$C$5:$C$546,D133,BEMANNINGSPLAN!$D$5:$D$546,"&lt;="&amp;C133,BEMANNINGSPLAN!$E$5:$E$546,"&gt;"&amp;C133)&gt;0,COUNTIFS(BEMANNINGSPLAN!$A$5:$A$546,B133,BEMANNINGSPLAN!$C$5:$C$546,D133,BEMANNINGSPLAN!$D$5:$D$546,"&lt;"&amp;M133,BEMANNINGSPLAN!$E$5:$E$546,"&gt;="&amp;M133)&gt;0),"Ja","SAKNAS TIDSRADER"))))</f>
        <v>Ja</v>
      </c>
      <c r="O133" s="137">
        <f>IF(OR(B133="",K133&lt;&gt;"Ja"),"",COUNTIFS($B$5:B133,B133,$K$5:K133,"Ja"))</f>
        <v>1</v>
      </c>
      <c r="P133" s="137" t="str">
        <f t="shared" ref="P133:P196" si="11">IF(O133="","",TEXT(B133,"yyyy-mm-dd")&amp;"|"&amp;O133)</f>
        <v>yyyy-00-16|1</v>
      </c>
    </row>
    <row r="134" spans="1:16" ht="13">
      <c r="A134" s="31" t="str">
        <f>IF('IMPORT PROFIXIO'!A134="","",'IMPORT PROFIXIO'!A134)</f>
        <v>26 -1 1121 074</v>
      </c>
      <c r="B134" s="32">
        <f>IF(A134="","",IF(ISNUMBER('IMPORT PROFIXIO'!D134),'IMPORT PROFIXIO'!D134,DATEVALUE('IMPORT PROFIXIO'!D134)))</f>
        <v>46404</v>
      </c>
      <c r="C134" s="33">
        <f>IF(A134="","",IF(ISNUMBER('IMPORT PROFIXIO'!E134),'IMPORT PROFIXIO'!E134,(VALUE(LEFT('IMPORT PROFIXIO'!E134,FIND(":",'IMPORT PROFIXIO'!E134)-1))*60+VALUE(MID('IMPORT PROFIXIO'!E134,FIND(":",'IMPORT PROFIXIO'!E134)+1,2)))/1440))</f>
        <v>0.66666666666666663</v>
      </c>
      <c r="D134" s="31" t="str">
        <f>IF(A134="","",'IMPORT PROFIXIO'!F134)</f>
        <v>Solnahallen</v>
      </c>
      <c r="E134" s="31" t="str">
        <f>IF(A134="","",'IMPORT PROFIXIO'!K134)</f>
        <v>Damer - Damallsvenskan</v>
      </c>
      <c r="F134" s="34" t="str">
        <f>IF(A134="","",IFERROR(VLOOKUP(E134,KLASSNING!$A$5:$F$74,2,FALSE()),"SAKNAS"))</f>
        <v>Dam</v>
      </c>
      <c r="G134" s="34" t="str">
        <f>IF(A134="","",IFERROR(VLOOKUP(E134,KLASSNING!$A$5:$F$74,3,FALSE()),"SAKNAS"))</f>
        <v>Seriespel</v>
      </c>
      <c r="H134" s="34" t="str">
        <f>IF(A134="","",'IMPORT PROFIXIO'!H134)</f>
        <v>AIK</v>
      </c>
      <c r="I134" s="34" t="str">
        <f>IF(A134="","",'IMPORT PROFIXIO'!I134)</f>
        <v>Alingsås HK</v>
      </c>
      <c r="J134" s="34" t="str">
        <f t="shared" si="8"/>
        <v>Dam</v>
      </c>
      <c r="K134" s="34" t="str">
        <f t="shared" si="9"/>
        <v>Nej</v>
      </c>
      <c r="L134" s="34">
        <f>IF(A134="","",IFERROR(VLOOKUP(E134,KLASSNING!$A$5:$F$74,5,FALSE()),0))</f>
        <v>70</v>
      </c>
      <c r="M134" s="35" t="str">
        <f t="shared" si="10"/>
        <v/>
      </c>
      <c r="N134" s="34" t="str">
        <f>IF(A134="","",IF(K134&lt;&gt;"Ja","Ej aktuell",IF(L134&lt;=0,"KONTROLLERA MATCHTID",IF(AND(COUNTIFS(BEMANNINGSPLAN!$A$5:$A$546,B134,BEMANNINGSPLAN!$C$5:$C$546,D134,BEMANNINGSPLAN!$D$5:$D$546,"&lt;="&amp;C134,BEMANNINGSPLAN!$E$5:$E$546,"&gt;"&amp;C134)&gt;0,COUNTIFS(BEMANNINGSPLAN!$A$5:$A$546,B134,BEMANNINGSPLAN!$C$5:$C$546,D134,BEMANNINGSPLAN!$D$5:$D$546,"&lt;"&amp;M134,BEMANNINGSPLAN!$E$5:$E$546,"&gt;="&amp;M134)&gt;0),"Ja","SAKNAS TIDSRADER"))))</f>
        <v>Ej aktuell</v>
      </c>
      <c r="O134" s="137" t="str">
        <f>IF(OR(B134="",K134&lt;&gt;"Ja"),"",COUNTIFS($B$5:B134,B134,$K$5:K134,"Ja"))</f>
        <v/>
      </c>
      <c r="P134" s="137" t="str">
        <f t="shared" si="11"/>
        <v/>
      </c>
    </row>
    <row r="135" spans="1:16" ht="13">
      <c r="A135" s="31" t="str">
        <f>IF('IMPORT PROFIXIO'!A135="","",'IMPORT PROFIXIO'!A135)</f>
        <v>26 6 1352 076</v>
      </c>
      <c r="B135" s="32">
        <f>IF(A135="","",IF(ISNUMBER('IMPORT PROFIXIO'!D135),'IMPORT PROFIXIO'!D135,DATEVALUE('IMPORT PROFIXIO'!D135)))</f>
        <v>46407</v>
      </c>
      <c r="C135" s="33">
        <f>IF(A135="","",IF(ISNUMBER('IMPORT PROFIXIO'!E135),'IMPORT PROFIXIO'!E135,(VALUE(LEFT('IMPORT PROFIXIO'!E135,FIND(":",'IMPORT PROFIXIO'!E135)-1))*60+VALUE(MID('IMPORT PROFIXIO'!E135,FIND(":",'IMPORT PROFIXIO'!E135)+1,2)))/1440))</f>
        <v>0.75</v>
      </c>
      <c r="D135" s="31" t="str">
        <f>IF(A135="","",'IMPORT PROFIXIO'!F135)</f>
        <v>Ulriksdalshallen</v>
      </c>
      <c r="E135" s="31" t="str">
        <f>IF(A135="","",'IMPORT PROFIXIO'!K135)</f>
        <v>Flickor - F13 Öst - F13 Nivå 2 Öst Norra</v>
      </c>
      <c r="F135" s="34" t="str">
        <f>IF(A135="","",IFERROR(VLOOKUP(E135,KLASSNING!$A$5:$F$74,2,FALSE()),"SAKNAS"))</f>
        <v>F13</v>
      </c>
      <c r="G135" s="34" t="str">
        <f>IF(A135="","",IFERROR(VLOOKUP(E135,KLASSNING!$A$5:$F$74,3,FALSE()),"SAKNAS"))</f>
        <v>Seriespel</v>
      </c>
      <c r="H135" s="34" t="str">
        <f>IF(A135="","",'IMPORT PROFIXIO'!H135)</f>
        <v>AIK 2</v>
      </c>
      <c r="I135" s="34" t="str">
        <f>IF(A135="","",'IMPORT PROFIXIO'!I135)</f>
        <v>Skå IK</v>
      </c>
      <c r="J135" s="34" t="str">
        <f t="shared" si="8"/>
        <v>F13 2</v>
      </c>
      <c r="K135" s="34" t="str">
        <f t="shared" si="9"/>
        <v>Ja</v>
      </c>
      <c r="L135" s="34">
        <f>IF(A135="","",IFERROR(VLOOKUP(E135,KLASSNING!$A$5:$F$74,5,FALSE()),0))</f>
        <v>45</v>
      </c>
      <c r="M135" s="35">
        <f t="shared" si="10"/>
        <v>0.78125</v>
      </c>
      <c r="N135" s="34" t="str">
        <f>IF(A135="","",IF(K135&lt;&gt;"Ja","Ej aktuell",IF(L135&lt;=0,"KONTROLLERA MATCHTID",IF(AND(COUNTIFS(BEMANNINGSPLAN!$A$5:$A$546,B135,BEMANNINGSPLAN!$C$5:$C$546,D135,BEMANNINGSPLAN!$D$5:$D$546,"&lt;="&amp;C135,BEMANNINGSPLAN!$E$5:$E$546,"&gt;"&amp;C135)&gt;0,COUNTIFS(BEMANNINGSPLAN!$A$5:$A$546,B135,BEMANNINGSPLAN!$C$5:$C$546,D135,BEMANNINGSPLAN!$D$5:$D$546,"&lt;"&amp;M135,BEMANNINGSPLAN!$E$5:$E$546,"&gt;="&amp;M135)&gt;0),"Ja","SAKNAS TIDSRADER"))))</f>
        <v>Ja</v>
      </c>
      <c r="O135" s="137">
        <f>IF(OR(B135="",K135&lt;&gt;"Ja"),"",COUNTIFS($B$5:B135,B135,$K$5:K135,"Ja"))</f>
        <v>1</v>
      </c>
      <c r="P135" s="137" t="str">
        <f t="shared" si="11"/>
        <v>yyyy-00-20|1</v>
      </c>
    </row>
    <row r="136" spans="1:16" ht="13">
      <c r="A136" s="31" t="str">
        <f>IF('IMPORT PROFIXIO'!A136="","",'IMPORT PROFIXIO'!A136)</f>
        <v>26 6 1524 054</v>
      </c>
      <c r="B136" s="32">
        <f>IF(A136="","",IF(ISNUMBER('IMPORT PROFIXIO'!D136),'IMPORT PROFIXIO'!D136,DATEVALUE('IMPORT PROFIXIO'!D136)))</f>
        <v>46410</v>
      </c>
      <c r="C136" s="33">
        <f>IF(A136="","",IF(ISNUMBER('IMPORT PROFIXIO'!E136),'IMPORT PROFIXIO'!E136,(VALUE(LEFT('IMPORT PROFIXIO'!E136,FIND(":",'IMPORT PROFIXIO'!E136)-1))*60+VALUE(MID('IMPORT PROFIXIO'!E136,FIND(":",'IMPORT PROFIXIO'!E136)+1,2)))/1440))</f>
        <v>0.56944444444444442</v>
      </c>
      <c r="D136" s="31" t="str">
        <f>IF(A136="","",'IMPORT PROFIXIO'!F136)</f>
        <v>Råsta Park</v>
      </c>
      <c r="E136" s="31" t="str">
        <f>IF(A136="","",'IMPORT PROFIXIO'!K136)</f>
        <v>Pojkar - P16 Öst - P16 Nivå 3 Öst</v>
      </c>
      <c r="F136" s="34" t="str">
        <f>IF(A136="","",IFERROR(VLOOKUP(E136,KLASSNING!$A$5:$F$74,2,FALSE()),"SAKNAS"))</f>
        <v>P16</v>
      </c>
      <c r="G136" s="34" t="str">
        <f>IF(A136="","",IFERROR(VLOOKUP(E136,KLASSNING!$A$5:$F$74,3,FALSE()),"SAKNAS"))</f>
        <v>Seriespel</v>
      </c>
      <c r="H136" s="34" t="str">
        <f>IF(A136="","",'IMPORT PROFIXIO'!H136)</f>
        <v>AIK 2</v>
      </c>
      <c r="I136" s="34" t="str">
        <f>IF(A136="","",'IMPORT PROFIXIO'!I136)</f>
        <v>Lidingö SK 2</v>
      </c>
      <c r="J136" s="34" t="str">
        <f t="shared" si="8"/>
        <v>P16 2</v>
      </c>
      <c r="K136" s="34" t="str">
        <f t="shared" si="9"/>
        <v>Ja</v>
      </c>
      <c r="L136" s="34">
        <f>IF(A136="","",IFERROR(VLOOKUP(E136,KLASSNING!$A$5:$F$74,5,FALSE()),0))</f>
        <v>55</v>
      </c>
      <c r="M136" s="35">
        <f t="shared" si="10"/>
        <v>0.60763888888888884</v>
      </c>
      <c r="N136" s="34" t="str">
        <f>IF(A136="","",IF(K136&lt;&gt;"Ja","Ej aktuell",IF(L136&lt;=0,"KONTROLLERA MATCHTID",IF(AND(COUNTIFS(BEMANNINGSPLAN!$A$5:$A$546,B136,BEMANNINGSPLAN!$C$5:$C$546,D136,BEMANNINGSPLAN!$D$5:$D$546,"&lt;="&amp;C136,BEMANNINGSPLAN!$E$5:$E$546,"&gt;"&amp;C136)&gt;0,COUNTIFS(BEMANNINGSPLAN!$A$5:$A$546,B136,BEMANNINGSPLAN!$C$5:$C$546,D136,BEMANNINGSPLAN!$D$5:$D$546,"&lt;"&amp;M136,BEMANNINGSPLAN!$E$5:$E$546,"&gt;="&amp;M136)&gt;0),"Ja","SAKNAS TIDSRADER"))))</f>
        <v>Ja</v>
      </c>
      <c r="O136" s="137">
        <f>IF(OR(B136="",K136&lt;&gt;"Ja"),"",COUNTIFS($B$5:B136,B136,$K$5:K136,"Ja"))</f>
        <v>1</v>
      </c>
      <c r="P136" s="137" t="str">
        <f t="shared" si="11"/>
        <v>yyyy-00-23|1</v>
      </c>
    </row>
    <row r="137" spans="1:16" ht="13">
      <c r="A137" s="31">
        <f>IF('IMPORT PROFIXIO'!A137="","",'IMPORT PROFIXIO'!A137)</f>
        <v>529854</v>
      </c>
      <c r="B137" s="32">
        <f>IF(A137="","",IF(ISNUMBER('IMPORT PROFIXIO'!D137),'IMPORT PROFIXIO'!D137,DATEVALUE('IMPORT PROFIXIO'!D137)))</f>
        <v>46410</v>
      </c>
      <c r="C137" s="33">
        <f>IF(A137="","",IF(ISNUMBER('IMPORT PROFIXIO'!E137),'IMPORT PROFIXIO'!E137,(VALUE(LEFT('IMPORT PROFIXIO'!E137,FIND(":",'IMPORT PROFIXIO'!E137)-1))*60+VALUE(MID('IMPORT PROFIXIO'!E137,FIND(":",'IMPORT PROFIXIO'!E137)+1,2)))/1440))</f>
        <v>0.375</v>
      </c>
      <c r="D137" s="31" t="str">
        <f>IF(A137="","",'IMPORT PROFIXIO'!F137)</f>
        <v>Ulriksdalshallen</v>
      </c>
      <c r="E137" s="31" t="str">
        <f>IF(A137="","",'IMPORT PROFIXIO'!K137)</f>
        <v>Arrangörsskap - Vårens spel - Omg1/ P10K F9M P9K/ 23-24jan</v>
      </c>
      <c r="F137" s="34" t="str">
        <f>IF(A137="","",IFERROR(VLOOKUP(E137,KLASSNING!$A$5:$F$74,2,FALSE()),"SAKNAS"))</f>
        <v>Kontrollera</v>
      </c>
      <c r="G137" s="34" t="str">
        <f>IF(A137="","",IFERROR(VLOOKUP(E137,KLASSNING!$A$5:$F$74,3,FALSE()),"SAKNAS"))</f>
        <v>Kortplan/miniplan</v>
      </c>
      <c r="H137" s="34" t="str">
        <f>IF(A137="","",'IMPORT PROFIXIO'!H137)</f>
        <v>HF Öst 2</v>
      </c>
      <c r="I137" s="34" t="str">
        <f>IF(A137="","",'IMPORT PROFIXIO'!I137)</f>
        <v>HF Öst</v>
      </c>
      <c r="J137" s="34" t="str">
        <f t="shared" si="8"/>
        <v/>
      </c>
      <c r="K137" s="34" t="str">
        <f t="shared" si="9"/>
        <v>Ja</v>
      </c>
      <c r="L137" s="34">
        <f>IF(A137="","",IFERROR(VLOOKUP(E137,KLASSNING!$A$5:$F$74,5,FALSE()),0))</f>
        <v>180</v>
      </c>
      <c r="M137" s="35">
        <f t="shared" si="10"/>
        <v>0.5</v>
      </c>
      <c r="N137" s="34" t="str">
        <f>IF(A137="","",IF(K137&lt;&gt;"Ja","Ej aktuell",IF(L137&lt;=0,"KONTROLLERA MATCHTID",IF(AND(COUNTIFS(BEMANNINGSPLAN!$A$5:$A$546,B137,BEMANNINGSPLAN!$C$5:$C$546,D137,BEMANNINGSPLAN!$D$5:$D$546,"&lt;="&amp;C137,BEMANNINGSPLAN!$E$5:$E$546,"&gt;"&amp;C137)&gt;0,COUNTIFS(BEMANNINGSPLAN!$A$5:$A$546,B137,BEMANNINGSPLAN!$C$5:$C$546,D137,BEMANNINGSPLAN!$D$5:$D$546,"&lt;"&amp;M137,BEMANNINGSPLAN!$E$5:$E$546,"&gt;="&amp;M137)&gt;0),"Ja","SAKNAS TIDSRADER"))))</f>
        <v>Ja</v>
      </c>
      <c r="O137" s="137">
        <f>IF(OR(B137="",K137&lt;&gt;"Ja"),"",COUNTIFS($B$5:B137,B137,$K$5:K137,"Ja"))</f>
        <v>2</v>
      </c>
      <c r="P137" s="137" t="str">
        <f t="shared" si="11"/>
        <v>yyyy-00-23|2</v>
      </c>
    </row>
    <row r="138" spans="1:16" ht="13">
      <c r="A138" s="31" t="str">
        <f>IF('IMPORT PROFIXIO'!A138="","",'IMPORT PROFIXIO'!A138)</f>
        <v>26 6 1363 055</v>
      </c>
      <c r="B138" s="32">
        <f>IF(A138="","",IF(ISNUMBER('IMPORT PROFIXIO'!D138),'IMPORT PROFIXIO'!D138,DATEVALUE('IMPORT PROFIXIO'!D138)))</f>
        <v>46410</v>
      </c>
      <c r="C138" s="33">
        <f>IF(A138="","",IF(ISNUMBER('IMPORT PROFIXIO'!E138),'IMPORT PROFIXIO'!E138,(VALUE(LEFT('IMPORT PROFIXIO'!E138,FIND(":",'IMPORT PROFIXIO'!E138)-1))*60+VALUE(MID('IMPORT PROFIXIO'!E138,FIND(":",'IMPORT PROFIXIO'!E138)+1,2)))/1440))</f>
        <v>0.54861111111111116</v>
      </c>
      <c r="D138" s="31" t="str">
        <f>IF(A138="","",'IMPORT PROFIXIO'!F138)</f>
        <v>Ulriksdalshallen</v>
      </c>
      <c r="E138" s="31" t="str">
        <f>IF(A138="","",'IMPORT PROFIXIO'!K138)</f>
        <v>Flickor - F12 Öst - F12 Nivå 2 Öst Norra</v>
      </c>
      <c r="F138" s="34" t="str">
        <f>IF(A138="","",IFERROR(VLOOKUP(E138,KLASSNING!$A$5:$F$74,2,FALSE()),"SAKNAS"))</f>
        <v>F12</v>
      </c>
      <c r="G138" s="34" t="str">
        <f>IF(A138="","",IFERROR(VLOOKUP(E138,KLASSNING!$A$5:$F$74,3,FALSE()),"SAKNAS"))</f>
        <v>Seriespel</v>
      </c>
      <c r="H138" s="34" t="str">
        <f>IF(A138="","",'IMPORT PROFIXIO'!H138)</f>
        <v>AIK</v>
      </c>
      <c r="I138" s="34" t="str">
        <f>IF(A138="","",'IMPORT PROFIXIO'!I138)</f>
        <v>Uppsala HK Vit</v>
      </c>
      <c r="J138" s="34" t="str">
        <f t="shared" si="8"/>
        <v>F12</v>
      </c>
      <c r="K138" s="34" t="str">
        <f t="shared" si="9"/>
        <v>Ja</v>
      </c>
      <c r="L138" s="34">
        <f>IF(A138="","",IFERROR(VLOOKUP(E138,KLASSNING!$A$5:$F$74,5,FALSE()),0))</f>
        <v>35</v>
      </c>
      <c r="M138" s="35">
        <f t="shared" si="10"/>
        <v>0.57291666666666674</v>
      </c>
      <c r="N138" s="34" t="str">
        <f>IF(A138="","",IF(K138&lt;&gt;"Ja","Ej aktuell",IF(L138&lt;=0,"KONTROLLERA MATCHTID",IF(AND(COUNTIFS(BEMANNINGSPLAN!$A$5:$A$546,B138,BEMANNINGSPLAN!$C$5:$C$546,D138,BEMANNINGSPLAN!$D$5:$D$546,"&lt;="&amp;C138,BEMANNINGSPLAN!$E$5:$E$546,"&gt;"&amp;C138)&gt;0,COUNTIFS(BEMANNINGSPLAN!$A$5:$A$546,B138,BEMANNINGSPLAN!$C$5:$C$546,D138,BEMANNINGSPLAN!$D$5:$D$546,"&lt;"&amp;M138,BEMANNINGSPLAN!$E$5:$E$546,"&gt;="&amp;M138)&gt;0),"Ja","SAKNAS TIDSRADER"))))</f>
        <v>Ja</v>
      </c>
      <c r="O138" s="137">
        <f>IF(OR(B138="",K138&lt;&gt;"Ja"),"",COUNTIFS($B$5:B138,B138,$K$5:K138,"Ja"))</f>
        <v>3</v>
      </c>
      <c r="P138" s="137" t="str">
        <f t="shared" si="11"/>
        <v>yyyy-00-23|3</v>
      </c>
    </row>
    <row r="139" spans="1:16" ht="13">
      <c r="A139" s="31" t="str">
        <f>IF('IMPORT PROFIXIO'!A139="","",'IMPORT PROFIXIO'!A139)</f>
        <v>26 6 1363 056</v>
      </c>
      <c r="B139" s="32">
        <f>IF(A139="","",IF(ISNUMBER('IMPORT PROFIXIO'!D139),'IMPORT PROFIXIO'!D139,DATEVALUE('IMPORT PROFIXIO'!D139)))</f>
        <v>46410</v>
      </c>
      <c r="C139" s="33">
        <f>IF(A139="","",IF(ISNUMBER('IMPORT PROFIXIO'!E139),'IMPORT PROFIXIO'!E139,(VALUE(LEFT('IMPORT PROFIXIO'!E139,FIND(":",'IMPORT PROFIXIO'!E139)-1))*60+VALUE(MID('IMPORT PROFIXIO'!E139,FIND(":",'IMPORT PROFIXIO'!E139)+1,2)))/1440))</f>
        <v>0.59027777777777779</v>
      </c>
      <c r="D139" s="31" t="str">
        <f>IF(A139="","",'IMPORT PROFIXIO'!F139)</f>
        <v>Ulriksdalshallen</v>
      </c>
      <c r="E139" s="31" t="str">
        <f>IF(A139="","",'IMPORT PROFIXIO'!K139)</f>
        <v>Flickor - F12 Öst - F12 Nivå 2 Öst Norra</v>
      </c>
      <c r="F139" s="34" t="str">
        <f>IF(A139="","",IFERROR(VLOOKUP(E139,KLASSNING!$A$5:$F$74,2,FALSE()),"SAKNAS"))</f>
        <v>F12</v>
      </c>
      <c r="G139" s="34" t="str">
        <f>IF(A139="","",IFERROR(VLOOKUP(E139,KLASSNING!$A$5:$F$74,3,FALSE()),"SAKNAS"))</f>
        <v>Seriespel</v>
      </c>
      <c r="H139" s="34" t="str">
        <f>IF(A139="","",'IMPORT PROFIXIO'!H139)</f>
        <v>Uppsala HK Vit</v>
      </c>
      <c r="I139" s="34" t="str">
        <f>IF(A139="","",'IMPORT PROFIXIO'!I139)</f>
        <v>Åkersberga HK Röd</v>
      </c>
      <c r="J139" s="34" t="str">
        <f t="shared" si="8"/>
        <v/>
      </c>
      <c r="K139" s="34" t="str">
        <f t="shared" si="9"/>
        <v>Ja</v>
      </c>
      <c r="L139" s="34">
        <f>IF(A139="","",IFERROR(VLOOKUP(E139,KLASSNING!$A$5:$F$74,5,FALSE()),0))</f>
        <v>35</v>
      </c>
      <c r="M139" s="35">
        <f t="shared" si="10"/>
        <v>0.61458333333333337</v>
      </c>
      <c r="N139" s="34" t="str">
        <f>IF(A139="","",IF(K139&lt;&gt;"Ja","Ej aktuell",IF(L139&lt;=0,"KONTROLLERA MATCHTID",IF(AND(COUNTIFS(BEMANNINGSPLAN!$A$5:$A$546,B139,BEMANNINGSPLAN!$C$5:$C$546,D139,BEMANNINGSPLAN!$D$5:$D$546,"&lt;="&amp;C139,BEMANNINGSPLAN!$E$5:$E$546,"&gt;"&amp;C139)&gt;0,COUNTIFS(BEMANNINGSPLAN!$A$5:$A$546,B139,BEMANNINGSPLAN!$C$5:$C$546,D139,BEMANNINGSPLAN!$D$5:$D$546,"&lt;"&amp;M139,BEMANNINGSPLAN!$E$5:$E$546,"&gt;="&amp;M139)&gt;0),"Ja","SAKNAS TIDSRADER"))))</f>
        <v>Ja</v>
      </c>
      <c r="O139" s="137">
        <f>IF(OR(B139="",K139&lt;&gt;"Ja"),"",COUNTIFS($B$5:B139,B139,$K$5:K139,"Ja"))</f>
        <v>4</v>
      </c>
      <c r="P139" s="137" t="str">
        <f t="shared" si="11"/>
        <v>yyyy-00-23|4</v>
      </c>
    </row>
    <row r="140" spans="1:16" ht="13">
      <c r="A140" s="31" t="str">
        <f>IF('IMPORT PROFIXIO'!A140="","",'IMPORT PROFIXIO'!A140)</f>
        <v>26 6 1363 057</v>
      </c>
      <c r="B140" s="32">
        <f>IF(A140="","",IF(ISNUMBER('IMPORT PROFIXIO'!D140),'IMPORT PROFIXIO'!D140,DATEVALUE('IMPORT PROFIXIO'!D140)))</f>
        <v>46410</v>
      </c>
      <c r="C140" s="33">
        <f>IF(A140="","",IF(ISNUMBER('IMPORT PROFIXIO'!E140),'IMPORT PROFIXIO'!E140,(VALUE(LEFT('IMPORT PROFIXIO'!E140,FIND(":",'IMPORT PROFIXIO'!E140)-1))*60+VALUE(MID('IMPORT PROFIXIO'!E140,FIND(":",'IMPORT PROFIXIO'!E140)+1,2)))/1440))</f>
        <v>0.63194444444444442</v>
      </c>
      <c r="D140" s="31" t="str">
        <f>IF(A140="","",'IMPORT PROFIXIO'!F140)</f>
        <v>Ulriksdalshallen</v>
      </c>
      <c r="E140" s="31" t="str">
        <f>IF(A140="","",'IMPORT PROFIXIO'!K140)</f>
        <v>Flickor - F12 Öst - F12 Nivå 2 Öst Norra</v>
      </c>
      <c r="F140" s="34" t="str">
        <f>IF(A140="","",IFERROR(VLOOKUP(E140,KLASSNING!$A$5:$F$74,2,FALSE()),"SAKNAS"))</f>
        <v>F12</v>
      </c>
      <c r="G140" s="34" t="str">
        <f>IF(A140="","",IFERROR(VLOOKUP(E140,KLASSNING!$A$5:$F$74,3,FALSE()),"SAKNAS"))</f>
        <v>Seriespel</v>
      </c>
      <c r="H140" s="34" t="str">
        <f>IF(A140="","",'IMPORT PROFIXIO'!H140)</f>
        <v>AIK</v>
      </c>
      <c r="I140" s="34" t="str">
        <f>IF(A140="","",'IMPORT PROFIXIO'!I140)</f>
        <v>Åkersberga HK Röd</v>
      </c>
      <c r="J140" s="34" t="str">
        <f t="shared" si="8"/>
        <v>F12</v>
      </c>
      <c r="K140" s="34" t="str">
        <f t="shared" si="9"/>
        <v>Ja</v>
      </c>
      <c r="L140" s="34">
        <f>IF(A140="","",IFERROR(VLOOKUP(E140,KLASSNING!$A$5:$F$74,5,FALSE()),0))</f>
        <v>35</v>
      </c>
      <c r="M140" s="35">
        <f t="shared" si="10"/>
        <v>0.65625</v>
      </c>
      <c r="N140" s="34" t="str">
        <f>IF(A140="","",IF(K140&lt;&gt;"Ja","Ej aktuell",IF(L140&lt;=0,"KONTROLLERA MATCHTID",IF(AND(COUNTIFS(BEMANNINGSPLAN!$A$5:$A$546,B140,BEMANNINGSPLAN!$C$5:$C$546,D140,BEMANNINGSPLAN!$D$5:$D$546,"&lt;="&amp;C140,BEMANNINGSPLAN!$E$5:$E$546,"&gt;"&amp;C140)&gt;0,COUNTIFS(BEMANNINGSPLAN!$A$5:$A$546,B140,BEMANNINGSPLAN!$C$5:$C$546,D140,BEMANNINGSPLAN!$D$5:$D$546,"&lt;"&amp;M140,BEMANNINGSPLAN!$E$5:$E$546,"&gt;="&amp;M140)&gt;0),"Ja","SAKNAS TIDSRADER"))))</f>
        <v>Ja</v>
      </c>
      <c r="O140" s="137">
        <f>IF(OR(B140="",K140&lt;&gt;"Ja"),"",COUNTIFS($B$5:B140,B140,$K$5:K140,"Ja"))</f>
        <v>5</v>
      </c>
      <c r="P140" s="137" t="str">
        <f t="shared" si="11"/>
        <v>yyyy-00-23|5</v>
      </c>
    </row>
    <row r="141" spans="1:16" ht="13">
      <c r="A141" s="31" t="str">
        <f>IF('IMPORT PROFIXIO'!A141="","",'IMPORT PROFIXIO'!A141)</f>
        <v>26 6 1141 046</v>
      </c>
      <c r="B141" s="32">
        <f>IF(A141="","",IF(ISNUMBER('IMPORT PROFIXIO'!D141),'IMPORT PROFIXIO'!D141,DATEVALUE('IMPORT PROFIXIO'!D141)))</f>
        <v>46411</v>
      </c>
      <c r="C141" s="33">
        <f>IF(A141="","",IF(ISNUMBER('IMPORT PROFIXIO'!E141),'IMPORT PROFIXIO'!E141,(VALUE(LEFT('IMPORT PROFIXIO'!E141,FIND(":",'IMPORT PROFIXIO'!E141)-1))*60+VALUE(MID('IMPORT PROFIXIO'!E141,FIND(":",'IMPORT PROFIXIO'!E141)+1,2)))/1440))</f>
        <v>0.45833333333333331</v>
      </c>
      <c r="D141" s="31" t="str">
        <f>IF(A141="","",'IMPORT PROFIXIO'!F141)</f>
        <v>Solnahallen</v>
      </c>
      <c r="E141" s="31" t="str">
        <f>IF(A141="","",'IMPORT PROFIXIO'!K141)</f>
        <v>Damer - Dam 4 Öst - Dam 4 Öst Norra</v>
      </c>
      <c r="F141" s="34" t="str">
        <f>IF(A141="","",IFERROR(VLOOKUP(E141,KLASSNING!$A$5:$F$74,2,FALSE()),"SAKNAS"))</f>
        <v>Dam</v>
      </c>
      <c r="G141" s="34" t="str">
        <f>IF(A141="","",IFERROR(VLOOKUP(E141,KLASSNING!$A$5:$F$74,3,FALSE()),"SAKNAS"))</f>
        <v>Seriespel</v>
      </c>
      <c r="H141" s="34" t="str">
        <f>IF(A141="","",'IMPORT PROFIXIO'!H141)</f>
        <v>AIK 2</v>
      </c>
      <c r="I141" s="34" t="str">
        <f>IF(A141="","",'IMPORT PROFIXIO'!I141)</f>
        <v>Uppsala HK 2</v>
      </c>
      <c r="J141" s="34" t="str">
        <f t="shared" si="8"/>
        <v>Dam 2</v>
      </c>
      <c r="K141" s="34" t="str">
        <f t="shared" si="9"/>
        <v>Nej</v>
      </c>
      <c r="L141" s="34">
        <f>IF(A141="","",IFERROR(VLOOKUP(E141,KLASSNING!$A$5:$F$74,5,FALSE()),0))</f>
        <v>70</v>
      </c>
      <c r="M141" s="35" t="str">
        <f t="shared" si="10"/>
        <v/>
      </c>
      <c r="N141" s="34" t="str">
        <f>IF(A141="","",IF(K141&lt;&gt;"Ja","Ej aktuell",IF(L141&lt;=0,"KONTROLLERA MATCHTID",IF(AND(COUNTIFS(BEMANNINGSPLAN!$A$5:$A$546,B141,BEMANNINGSPLAN!$C$5:$C$546,D141,BEMANNINGSPLAN!$D$5:$D$546,"&lt;="&amp;C141,BEMANNINGSPLAN!$E$5:$E$546,"&gt;"&amp;C141)&gt;0,COUNTIFS(BEMANNINGSPLAN!$A$5:$A$546,B141,BEMANNINGSPLAN!$C$5:$C$546,D141,BEMANNINGSPLAN!$D$5:$D$546,"&lt;"&amp;M141,BEMANNINGSPLAN!$E$5:$E$546,"&gt;="&amp;M141)&gt;0),"Ja","SAKNAS TIDSRADER"))))</f>
        <v>Ej aktuell</v>
      </c>
      <c r="O141" s="137" t="str">
        <f>IF(OR(B141="",K141&lt;&gt;"Ja"),"",COUNTIFS($B$5:B141,B141,$K$5:K141,"Ja"))</f>
        <v/>
      </c>
      <c r="P141" s="137" t="str">
        <f t="shared" si="11"/>
        <v/>
      </c>
    </row>
    <row r="142" spans="1:16" ht="13">
      <c r="A142" s="31" t="str">
        <f>IF('IMPORT PROFIXIO'!A142="","",'IMPORT PROFIXIO'!A142)</f>
        <v>26 6 1221 085</v>
      </c>
      <c r="B142" s="32">
        <f>IF(A142="","",IF(ISNUMBER('IMPORT PROFIXIO'!D142),'IMPORT PROFIXIO'!D142,DATEVALUE('IMPORT PROFIXIO'!D142)))</f>
        <v>46411</v>
      </c>
      <c r="C142" s="33">
        <f>IF(A142="","",IF(ISNUMBER('IMPORT PROFIXIO'!E142),'IMPORT PROFIXIO'!E142,(VALUE(LEFT('IMPORT PROFIXIO'!E142,FIND(":",'IMPORT PROFIXIO'!E142)-1))*60+VALUE(MID('IMPORT PROFIXIO'!E142,FIND(":",'IMPORT PROFIXIO'!E142)+1,2)))/1440))</f>
        <v>0.625</v>
      </c>
      <c r="D142" s="31" t="str">
        <f>IF(A142="","",'IMPORT PROFIXIO'!F142)</f>
        <v>Solnahallen</v>
      </c>
      <c r="E142" s="31" t="str">
        <f>IF(A142="","",'IMPORT PROFIXIO'!K142)</f>
        <v>Herrar - Herr 2 Öst</v>
      </c>
      <c r="F142" s="34" t="str">
        <f>IF(A142="","",IFERROR(VLOOKUP(E142,KLASSNING!$A$5:$F$74,2,FALSE()),"SAKNAS"))</f>
        <v>Herr</v>
      </c>
      <c r="G142" s="34" t="str">
        <f>IF(A142="","",IFERROR(VLOOKUP(E142,KLASSNING!$A$5:$F$74,3,FALSE()),"SAKNAS"))</f>
        <v>Seriespel</v>
      </c>
      <c r="H142" s="34" t="str">
        <f>IF(A142="","",'IMPORT PROFIXIO'!H142)</f>
        <v>AIK</v>
      </c>
      <c r="I142" s="34" t="str">
        <f>IF(A142="","",'IMPORT PROFIXIO'!I142)</f>
        <v>HK Tyrold</v>
      </c>
      <c r="J142" s="34" t="str">
        <f t="shared" si="8"/>
        <v>Herr</v>
      </c>
      <c r="K142" s="34" t="str">
        <f t="shared" si="9"/>
        <v>Nej</v>
      </c>
      <c r="L142" s="34">
        <f>IF(A142="","",IFERROR(VLOOKUP(E142,KLASSNING!$A$5:$F$74,5,FALSE()),0))</f>
        <v>70</v>
      </c>
      <c r="M142" s="35" t="str">
        <f t="shared" si="10"/>
        <v/>
      </c>
      <c r="N142" s="34" t="str">
        <f>IF(A142="","",IF(K142&lt;&gt;"Ja","Ej aktuell",IF(L142&lt;=0,"KONTROLLERA MATCHTID",IF(AND(COUNTIFS(BEMANNINGSPLAN!$A$5:$A$546,B142,BEMANNINGSPLAN!$C$5:$C$546,D142,BEMANNINGSPLAN!$D$5:$D$546,"&lt;="&amp;C142,BEMANNINGSPLAN!$E$5:$E$546,"&gt;"&amp;C142)&gt;0,COUNTIFS(BEMANNINGSPLAN!$A$5:$A$546,B142,BEMANNINGSPLAN!$C$5:$C$546,D142,BEMANNINGSPLAN!$D$5:$D$546,"&lt;"&amp;M142,BEMANNINGSPLAN!$E$5:$E$546,"&gt;="&amp;M142)&gt;0),"Ja","SAKNAS TIDSRADER"))))</f>
        <v>Ej aktuell</v>
      </c>
      <c r="O142" s="137" t="str">
        <f>IF(OR(B142="",K142&lt;&gt;"Ja"),"",COUNTIFS($B$5:B142,B142,$K$5:K142,"Ja"))</f>
        <v/>
      </c>
      <c r="P142" s="137" t="str">
        <f t="shared" si="11"/>
        <v/>
      </c>
    </row>
    <row r="143" spans="1:16" ht="13">
      <c r="A143" s="31" t="str">
        <f>IF('IMPORT PROFIXIO'!A143="","",'IMPORT PROFIXIO'!A143)</f>
        <v>26 6 1311 075</v>
      </c>
      <c r="B143" s="32">
        <f>IF(A143="","",IF(ISNUMBER('IMPORT PROFIXIO'!D143),'IMPORT PROFIXIO'!D143,DATEVALUE('IMPORT PROFIXIO'!D143)))</f>
        <v>46413</v>
      </c>
      <c r="C143" s="33">
        <f>IF(A143="","",IF(ISNUMBER('IMPORT PROFIXIO'!E143),'IMPORT PROFIXIO'!E143,(VALUE(LEFT('IMPORT PROFIXIO'!E143,FIND(":",'IMPORT PROFIXIO'!E143)-1))*60+VALUE(MID('IMPORT PROFIXIO'!E143,FIND(":",'IMPORT PROFIXIO'!E143)+1,2)))/1440))</f>
        <v>0.86458333333333337</v>
      </c>
      <c r="D143" s="31" t="str">
        <f>IF(A143="","",'IMPORT PROFIXIO'!F143)</f>
        <v>Råsta Park</v>
      </c>
      <c r="E143" s="31" t="str">
        <f>IF(A143="","",'IMPORT PROFIXIO'!K143)</f>
        <v>Flickor - F19 Öst - F19 Nivå 1 Öst</v>
      </c>
      <c r="F143" s="34" t="str">
        <f>IF(A143="","",IFERROR(VLOOKUP(E143,KLASSNING!$A$5:$F$74,2,FALSE()),"SAKNAS"))</f>
        <v>F19</v>
      </c>
      <c r="G143" s="34" t="str">
        <f>IF(A143="","",IFERROR(VLOOKUP(E143,KLASSNING!$A$5:$F$74,3,FALSE()),"SAKNAS"))</f>
        <v>Seriespel</v>
      </c>
      <c r="H143" s="34" t="str">
        <f>IF(A143="","",'IMPORT PROFIXIO'!H143)</f>
        <v>AIK</v>
      </c>
      <c r="I143" s="34" t="str">
        <f>IF(A143="","",'IMPORT PROFIXIO'!I143)</f>
        <v>IFK Tumba HK</v>
      </c>
      <c r="J143" s="34" t="str">
        <f t="shared" si="8"/>
        <v>F19</v>
      </c>
      <c r="K143" s="34" t="str">
        <f t="shared" si="9"/>
        <v>Ja</v>
      </c>
      <c r="L143" s="34">
        <f>IF(A143="","",IFERROR(VLOOKUP(E143,KLASSNING!$A$5:$F$74,5,FALSE()),0))</f>
        <v>55</v>
      </c>
      <c r="M143" s="35">
        <f t="shared" si="10"/>
        <v>0.90277777777777779</v>
      </c>
      <c r="N143" s="34" t="str">
        <f>IF(A143="","",IF(K143&lt;&gt;"Ja","Ej aktuell",IF(L143&lt;=0,"KONTROLLERA MATCHTID",IF(AND(COUNTIFS(BEMANNINGSPLAN!$A$5:$A$546,B143,BEMANNINGSPLAN!$C$5:$C$546,D143,BEMANNINGSPLAN!$D$5:$D$546,"&lt;="&amp;C143,BEMANNINGSPLAN!$E$5:$E$546,"&gt;"&amp;C143)&gt;0,COUNTIFS(BEMANNINGSPLAN!$A$5:$A$546,B143,BEMANNINGSPLAN!$C$5:$C$546,D143,BEMANNINGSPLAN!$D$5:$D$546,"&lt;"&amp;M143,BEMANNINGSPLAN!$E$5:$E$546,"&gt;="&amp;M143)&gt;0),"Ja","SAKNAS TIDSRADER"))))</f>
        <v>Ja</v>
      </c>
      <c r="O143" s="137">
        <f>IF(OR(B143="",K143&lt;&gt;"Ja"),"",COUNTIFS($B$5:B143,B143,$K$5:K143,"Ja"))</f>
        <v>1</v>
      </c>
      <c r="P143" s="137" t="str">
        <f t="shared" si="11"/>
        <v>yyyy-00-26|1</v>
      </c>
    </row>
    <row r="144" spans="1:16" ht="13">
      <c r="A144" s="31" t="str">
        <f>IF('IMPORT PROFIXIO'!A144="","",'IMPORT PROFIXIO'!A144)</f>
        <v>26 6 1151 014</v>
      </c>
      <c r="B144" s="32">
        <f>IF(A144="","",IF(ISNUMBER('IMPORT PROFIXIO'!D144),'IMPORT PROFIXIO'!D144,DATEVALUE('IMPORT PROFIXIO'!D144)))</f>
        <v>46413</v>
      </c>
      <c r="C144" s="33">
        <f>IF(A144="","",IF(ISNUMBER('IMPORT PROFIXIO'!E144),'IMPORT PROFIXIO'!E144,(VALUE(LEFT('IMPORT PROFIXIO'!E144,FIND(":",'IMPORT PROFIXIO'!E144)-1))*60+VALUE(MID('IMPORT PROFIXIO'!E144,FIND(":",'IMPORT PROFIXIO'!E144)+1,2)))/1440))</f>
        <v>0.875</v>
      </c>
      <c r="D144" s="31" t="str">
        <f>IF(A144="","",'IMPORT PROFIXIO'!F144)</f>
        <v>Tallbackaskolan</v>
      </c>
      <c r="E144" s="31" t="str">
        <f>IF(A144="","",'IMPORT PROFIXIO'!K144)</f>
        <v>Damer - Dam trim Öst</v>
      </c>
      <c r="F144" s="34" t="str">
        <f>IF(A144="","",IFERROR(VLOOKUP(E144,KLASSNING!$A$5:$F$74,2,FALSE()),"SAKNAS"))</f>
        <v>Dam</v>
      </c>
      <c r="G144" s="34" t="str">
        <f>IF(A144="","",IFERROR(VLOOKUP(E144,KLASSNING!$A$5:$F$74,3,FALSE()),"SAKNAS"))</f>
        <v>Seriespel</v>
      </c>
      <c r="H144" s="34" t="str">
        <f>IF(A144="","",'IMPORT PROFIXIO'!H144)</f>
        <v>AIK</v>
      </c>
      <c r="I144" s="34" t="str">
        <f>IF(A144="","",'IMPORT PROFIXIO'!I144)</f>
        <v>HF Rimbo</v>
      </c>
      <c r="J144" s="34" t="str">
        <f t="shared" si="8"/>
        <v>Dam</v>
      </c>
      <c r="K144" s="34" t="str">
        <f t="shared" si="9"/>
        <v>Ja</v>
      </c>
      <c r="L144" s="34">
        <f>IF(A144="","",IFERROR(VLOOKUP(E144,KLASSNING!$A$5:$F$74,5,FALSE()),0))</f>
        <v>70</v>
      </c>
      <c r="M144" s="35">
        <f t="shared" si="10"/>
        <v>0.92361111111111116</v>
      </c>
      <c r="N144" s="34" t="str">
        <f>IF(A144="","",IF(K144&lt;&gt;"Ja","Ej aktuell",IF(L144&lt;=0,"KONTROLLERA MATCHTID",IF(AND(COUNTIFS(BEMANNINGSPLAN!$A$5:$A$546,B144,BEMANNINGSPLAN!$C$5:$C$546,D144,BEMANNINGSPLAN!$D$5:$D$546,"&lt;="&amp;C144,BEMANNINGSPLAN!$E$5:$E$546,"&gt;"&amp;C144)&gt;0,COUNTIFS(BEMANNINGSPLAN!$A$5:$A$546,B144,BEMANNINGSPLAN!$C$5:$C$546,D144,BEMANNINGSPLAN!$D$5:$D$546,"&lt;"&amp;M144,BEMANNINGSPLAN!$E$5:$E$546,"&gt;="&amp;M144)&gt;0),"Ja","SAKNAS TIDSRADER"))))</f>
        <v>Ja</v>
      </c>
      <c r="O144" s="137">
        <f>IF(OR(B144="",K144&lt;&gt;"Ja"),"",COUNTIFS($B$5:B144,B144,$K$5:K144,"Ja"))</f>
        <v>2</v>
      </c>
      <c r="P144" s="137" t="str">
        <f t="shared" si="11"/>
        <v>yyyy-00-26|2</v>
      </c>
    </row>
    <row r="145" spans="1:16" ht="13">
      <c r="A145" s="31" t="str">
        <f>IF('IMPORT PROFIXIO'!A145="","",'IMPORT PROFIXIO'!A145)</f>
        <v>26 6 1324 053</v>
      </c>
      <c r="B145" s="32">
        <f>IF(A145="","",IF(ISNUMBER('IMPORT PROFIXIO'!D145),'IMPORT PROFIXIO'!D145,DATEVALUE('IMPORT PROFIXIO'!D145)))</f>
        <v>46417</v>
      </c>
      <c r="C145" s="33">
        <f>IF(A145="","",IF(ISNUMBER('IMPORT PROFIXIO'!E145),'IMPORT PROFIXIO'!E145,(VALUE(LEFT('IMPORT PROFIXIO'!E145,FIND(":",'IMPORT PROFIXIO'!E145)-1))*60+VALUE(MID('IMPORT PROFIXIO'!E145,FIND(":",'IMPORT PROFIXIO'!E145)+1,2)))/1440))</f>
        <v>0.42708333333333331</v>
      </c>
      <c r="D145" s="31" t="str">
        <f>IF(A145="","",'IMPORT PROFIXIO'!F145)</f>
        <v>Råsta Park</v>
      </c>
      <c r="E145" s="31" t="str">
        <f>IF(A145="","",'IMPORT PROFIXIO'!K145)</f>
        <v>Flickor - F16 Öst - F16 Nivå 3 Öst</v>
      </c>
      <c r="F145" s="34" t="str">
        <f>IF(A145="","",IFERROR(VLOOKUP(E145,KLASSNING!$A$5:$F$74,2,FALSE()),"SAKNAS"))</f>
        <v>F16</v>
      </c>
      <c r="G145" s="34" t="str">
        <f>IF(A145="","",IFERROR(VLOOKUP(E145,KLASSNING!$A$5:$F$74,3,FALSE()),"SAKNAS"))</f>
        <v>Seriespel</v>
      </c>
      <c r="H145" s="34" t="str">
        <f>IF(A145="","",'IMPORT PROFIXIO'!H145)</f>
        <v>AIK 2</v>
      </c>
      <c r="I145" s="34" t="str">
        <f>IF(A145="","",'IMPORT PROFIXIO'!I145)</f>
        <v>Sannadals SK</v>
      </c>
      <c r="J145" s="34" t="str">
        <f t="shared" si="8"/>
        <v>F16 2</v>
      </c>
      <c r="K145" s="34" t="str">
        <f t="shared" si="9"/>
        <v>Ja</v>
      </c>
      <c r="L145" s="34">
        <f>IF(A145="","",IFERROR(VLOOKUP(E145,KLASSNING!$A$5:$F$74,5,FALSE()),0))</f>
        <v>55</v>
      </c>
      <c r="M145" s="35">
        <f t="shared" si="10"/>
        <v>0.46527777777777779</v>
      </c>
      <c r="N145" s="34" t="str">
        <f>IF(A145="","",IF(K145&lt;&gt;"Ja","Ej aktuell",IF(L145&lt;=0,"KONTROLLERA MATCHTID",IF(AND(COUNTIFS(BEMANNINGSPLAN!$A$5:$A$546,B145,BEMANNINGSPLAN!$C$5:$C$546,D145,BEMANNINGSPLAN!$D$5:$D$546,"&lt;="&amp;C145,BEMANNINGSPLAN!$E$5:$E$546,"&gt;"&amp;C145)&gt;0,COUNTIFS(BEMANNINGSPLAN!$A$5:$A$546,B145,BEMANNINGSPLAN!$C$5:$C$546,D145,BEMANNINGSPLAN!$D$5:$D$546,"&lt;"&amp;M145,BEMANNINGSPLAN!$E$5:$E$546,"&gt;="&amp;M145)&gt;0),"Ja","SAKNAS TIDSRADER"))))</f>
        <v>Ja</v>
      </c>
      <c r="O145" s="137">
        <f>IF(OR(B145="",K145&lt;&gt;"Ja"),"",COUNTIFS($B$5:B145,B145,$K$5:K145,"Ja"))</f>
        <v>1</v>
      </c>
      <c r="P145" s="137" t="str">
        <f t="shared" si="11"/>
        <v>yyyy-00-30|1</v>
      </c>
    </row>
    <row r="146" spans="1:16" ht="13">
      <c r="A146" s="31">
        <f>IF('IMPORT PROFIXIO'!A146="","",'IMPORT PROFIXIO'!A146)</f>
        <v>529333</v>
      </c>
      <c r="B146" s="32">
        <f>IF(A146="","",IF(ISNUMBER('IMPORT PROFIXIO'!D146),'IMPORT PROFIXIO'!D146,DATEVALUE('IMPORT PROFIXIO'!D146)))</f>
        <v>46417</v>
      </c>
      <c r="C146" s="33">
        <f>IF(A146="","",IF(ISNUMBER('IMPORT PROFIXIO'!E146),'IMPORT PROFIXIO'!E146,(VALUE(LEFT('IMPORT PROFIXIO'!E146,FIND(":",'IMPORT PROFIXIO'!E146)-1))*60+VALUE(MID('IMPORT PROFIXIO'!E146,FIND(":",'IMPORT PROFIXIO'!E146)+1,2)))/1440))</f>
        <v>0.375</v>
      </c>
      <c r="D146" s="31" t="str">
        <f>IF(A146="","",'IMPORT PROFIXIO'!F146)</f>
        <v>Ulriksdalshallen</v>
      </c>
      <c r="E146" s="31" t="str">
        <f>IF(A146="","",'IMPORT PROFIXIO'!K146)</f>
        <v>Arrangörsskap - Handbollfestival Vår - Omg1/23-24 jan alt 30-31jan</v>
      </c>
      <c r="F146" s="34" t="str">
        <f>IF(A146="","",IFERROR(VLOOKUP(E146,KLASSNING!$A$5:$F$74,2,FALSE()),"SAKNAS"))</f>
        <v>U8</v>
      </c>
      <c r="G146" s="34" t="str">
        <f>IF(A146="","",IFERROR(VLOOKUP(E146,KLASSNING!$A$5:$F$74,3,FALSE()),"SAKNAS"))</f>
        <v>Handbollfestival</v>
      </c>
      <c r="H146" s="34" t="str">
        <f>IF(A146="","",'IMPORT PROFIXIO'!H146)</f>
        <v>HF Öst</v>
      </c>
      <c r="I146" s="34" t="str">
        <f>IF(A146="","",'IMPORT PROFIXIO'!I146)</f>
        <v>HF Öst 2</v>
      </c>
      <c r="J146" s="34" t="str">
        <f t="shared" si="8"/>
        <v/>
      </c>
      <c r="K146" s="34" t="str">
        <f t="shared" si="9"/>
        <v>Ja</v>
      </c>
      <c r="L146" s="34">
        <f>IF(A146="","",IFERROR(VLOOKUP(E146,KLASSNING!$A$5:$F$74,5,FALSE()),0))</f>
        <v>180</v>
      </c>
      <c r="M146" s="35">
        <f t="shared" si="10"/>
        <v>0.5</v>
      </c>
      <c r="N146" s="34" t="str">
        <f>IF(A146="","",IF(K146&lt;&gt;"Ja","Ej aktuell",IF(L146&lt;=0,"KONTROLLERA MATCHTID",IF(AND(COUNTIFS(BEMANNINGSPLAN!$A$5:$A$546,B146,BEMANNINGSPLAN!$C$5:$C$546,D146,BEMANNINGSPLAN!$D$5:$D$546,"&lt;="&amp;C146,BEMANNINGSPLAN!$E$5:$E$546,"&gt;"&amp;C146)&gt;0,COUNTIFS(BEMANNINGSPLAN!$A$5:$A$546,B146,BEMANNINGSPLAN!$C$5:$C$546,D146,BEMANNINGSPLAN!$D$5:$D$546,"&lt;"&amp;M146,BEMANNINGSPLAN!$E$5:$E$546,"&gt;="&amp;M146)&gt;0),"Ja","SAKNAS TIDSRADER"))))</f>
        <v>Ja</v>
      </c>
      <c r="O146" s="137">
        <f>IF(OR(B146="",K146&lt;&gt;"Ja"),"",COUNTIFS($B$5:B146,B146,$K$5:K146,"Ja"))</f>
        <v>2</v>
      </c>
      <c r="P146" s="137" t="str">
        <f t="shared" si="11"/>
        <v>yyyy-00-30|2</v>
      </c>
    </row>
    <row r="147" spans="1:16" ht="13">
      <c r="A147" s="31">
        <f>IF('IMPORT PROFIXIO'!A147="","",'IMPORT PROFIXIO'!A147)</f>
        <v>529884</v>
      </c>
      <c r="B147" s="32">
        <f>IF(A147="","",IF(ISNUMBER('IMPORT PROFIXIO'!D147),'IMPORT PROFIXIO'!D147,DATEVALUE('IMPORT PROFIXIO'!D147)))</f>
        <v>46417</v>
      </c>
      <c r="C147" s="33">
        <f>IF(A147="","",IF(ISNUMBER('IMPORT PROFIXIO'!E147),'IMPORT PROFIXIO'!E147,(VALUE(LEFT('IMPORT PROFIXIO'!E147,FIND(":",'IMPORT PROFIXIO'!E147)-1))*60+VALUE(MID('IMPORT PROFIXIO'!E147,FIND(":",'IMPORT PROFIXIO'!E147)+1,2)))/1440))</f>
        <v>0.51041666666666663</v>
      </c>
      <c r="D147" s="31" t="str">
        <f>IF(A147="","",'IMPORT PROFIXIO'!F147)</f>
        <v>Ulriksdalshallen</v>
      </c>
      <c r="E147" s="31" t="str">
        <f>IF(A147="","",'IMPORT PROFIXIO'!K147)</f>
        <v>Arrangörsskap - Vårens spel - Omg2/ F10K P9M F9K/ 30-31jan</v>
      </c>
      <c r="F147" s="34" t="str">
        <f>IF(A147="","",IFERROR(VLOOKUP(E147,KLASSNING!$A$5:$F$74,2,FALSE()),"SAKNAS"))</f>
        <v>Kontrollera</v>
      </c>
      <c r="G147" s="34" t="str">
        <f>IF(A147="","",IFERROR(VLOOKUP(E147,KLASSNING!$A$5:$F$74,3,FALSE()),"SAKNAS"))</f>
        <v>Kortplan/miniplan</v>
      </c>
      <c r="H147" s="34" t="str">
        <f>IF(A147="","",'IMPORT PROFIXIO'!H147)</f>
        <v>HF Öst 2</v>
      </c>
      <c r="I147" s="34" t="str">
        <f>IF(A147="","",'IMPORT PROFIXIO'!I147)</f>
        <v>HF Öst</v>
      </c>
      <c r="J147" s="34" t="str">
        <f t="shared" si="8"/>
        <v/>
      </c>
      <c r="K147" s="34" t="str">
        <f t="shared" si="9"/>
        <v>Ja</v>
      </c>
      <c r="L147" s="34">
        <f>IF(A147="","",IFERROR(VLOOKUP(E147,KLASSNING!$A$5:$F$74,5,FALSE()),0))</f>
        <v>180</v>
      </c>
      <c r="M147" s="35">
        <f t="shared" si="10"/>
        <v>0.63541666666666663</v>
      </c>
      <c r="N147" s="34" t="str">
        <f>IF(A147="","",IF(K147&lt;&gt;"Ja","Ej aktuell",IF(L147&lt;=0,"KONTROLLERA MATCHTID",IF(AND(COUNTIFS(BEMANNINGSPLAN!$A$5:$A$546,B147,BEMANNINGSPLAN!$C$5:$C$546,D147,BEMANNINGSPLAN!$D$5:$D$546,"&lt;="&amp;C147,BEMANNINGSPLAN!$E$5:$E$546,"&gt;"&amp;C147)&gt;0,COUNTIFS(BEMANNINGSPLAN!$A$5:$A$546,B147,BEMANNINGSPLAN!$C$5:$C$546,D147,BEMANNINGSPLAN!$D$5:$D$546,"&lt;"&amp;M147,BEMANNINGSPLAN!$E$5:$E$546,"&gt;="&amp;M147)&gt;0),"Ja","SAKNAS TIDSRADER"))))</f>
        <v>Ja</v>
      </c>
      <c r="O147" s="137">
        <f>IF(OR(B147="",K147&lt;&gt;"Ja"),"",COUNTIFS($B$5:B147,B147,$K$5:K147,"Ja"))</f>
        <v>3</v>
      </c>
      <c r="P147" s="137" t="str">
        <f t="shared" si="11"/>
        <v>yyyy-00-30|3</v>
      </c>
    </row>
    <row r="148" spans="1:16" ht="13">
      <c r="A148" s="31" t="str">
        <f>IF('IMPORT PROFIXIO'!A148="","",'IMPORT PROFIXIO'!A148)</f>
        <v>26 6 1351 054</v>
      </c>
      <c r="B148" s="32">
        <f>IF(A148="","",IF(ISNUMBER('IMPORT PROFIXIO'!D148),'IMPORT PROFIXIO'!D148,DATEVALUE('IMPORT PROFIXIO'!D148)))</f>
        <v>46417</v>
      </c>
      <c r="C148" s="33">
        <f>IF(A148="","",IF(ISNUMBER('IMPORT PROFIXIO'!E148),'IMPORT PROFIXIO'!E148,(VALUE(LEFT('IMPORT PROFIXIO'!E148,FIND(":",'IMPORT PROFIXIO'!E148)-1))*60+VALUE(MID('IMPORT PROFIXIO'!E148,FIND(":",'IMPORT PROFIXIO'!E148)+1,2)))/1440))</f>
        <v>0.69444444444444442</v>
      </c>
      <c r="D148" s="31" t="str">
        <f>IF(A148="","",'IMPORT PROFIXIO'!F148)</f>
        <v>Ulriksdalshallen</v>
      </c>
      <c r="E148" s="31" t="str">
        <f>IF(A148="","",'IMPORT PROFIXIO'!K148)</f>
        <v>Flickor - F13 Öst - F13 Nivå 1 Öst</v>
      </c>
      <c r="F148" s="34" t="str">
        <f>IF(A148="","",IFERROR(VLOOKUP(E148,KLASSNING!$A$5:$F$74,2,FALSE()),"SAKNAS"))</f>
        <v>F13</v>
      </c>
      <c r="G148" s="34" t="str">
        <f>IF(A148="","",IFERROR(VLOOKUP(E148,KLASSNING!$A$5:$F$74,3,FALSE()),"SAKNAS"))</f>
        <v>Seriespel</v>
      </c>
      <c r="H148" s="34" t="str">
        <f>IF(A148="","",'IMPORT PROFIXIO'!H148)</f>
        <v>AIK</v>
      </c>
      <c r="I148" s="34" t="str">
        <f>IF(A148="","",'IMPORT PROFIXIO'!I148)</f>
        <v>Hammarby IF HF 1</v>
      </c>
      <c r="J148" s="34" t="str">
        <f t="shared" si="8"/>
        <v>F13</v>
      </c>
      <c r="K148" s="34" t="str">
        <f t="shared" si="9"/>
        <v>Ja</v>
      </c>
      <c r="L148" s="34">
        <f>IF(A148="","",IFERROR(VLOOKUP(E148,KLASSNING!$A$5:$F$74,5,FALSE()),0))</f>
        <v>45</v>
      </c>
      <c r="M148" s="35">
        <f t="shared" si="10"/>
        <v>0.72569444444444442</v>
      </c>
      <c r="N148" s="34" t="str">
        <f>IF(A148="","",IF(K148&lt;&gt;"Ja","Ej aktuell",IF(L148&lt;=0,"KONTROLLERA MATCHTID",IF(AND(COUNTIFS(BEMANNINGSPLAN!$A$5:$A$546,B148,BEMANNINGSPLAN!$C$5:$C$546,D148,BEMANNINGSPLAN!$D$5:$D$546,"&lt;="&amp;C148,BEMANNINGSPLAN!$E$5:$E$546,"&gt;"&amp;C148)&gt;0,COUNTIFS(BEMANNINGSPLAN!$A$5:$A$546,B148,BEMANNINGSPLAN!$C$5:$C$546,D148,BEMANNINGSPLAN!$D$5:$D$546,"&lt;"&amp;M148,BEMANNINGSPLAN!$E$5:$E$546,"&gt;="&amp;M148)&gt;0),"Ja","SAKNAS TIDSRADER"))))</f>
        <v>Ja</v>
      </c>
      <c r="O148" s="137">
        <f>IF(OR(B148="",K148&lt;&gt;"Ja"),"",COUNTIFS($B$5:B148,B148,$K$5:K148,"Ja"))</f>
        <v>4</v>
      </c>
      <c r="P148" s="137" t="str">
        <f t="shared" si="11"/>
        <v>yyyy-00-30|4</v>
      </c>
    </row>
    <row r="149" spans="1:16" ht="13">
      <c r="A149" s="31" t="str">
        <f>IF('IMPORT PROFIXIO'!A149="","",'IMPORT PROFIXIO'!A149)</f>
        <v>26 6 1343 044</v>
      </c>
      <c r="B149" s="32">
        <f>IF(A149="","",IF(ISNUMBER('IMPORT PROFIXIO'!D149),'IMPORT PROFIXIO'!D149,DATEVALUE('IMPORT PROFIXIO'!D149)))</f>
        <v>46417</v>
      </c>
      <c r="C149" s="33">
        <f>IF(A149="","",IF(ISNUMBER('IMPORT PROFIXIO'!E149),'IMPORT PROFIXIO'!E149,(VALUE(LEFT('IMPORT PROFIXIO'!E149,FIND(":",'IMPORT PROFIXIO'!E149)-1))*60+VALUE(MID('IMPORT PROFIXIO'!E149,FIND(":",'IMPORT PROFIXIO'!E149)+1,2)))/1440))</f>
        <v>0.74305555555555558</v>
      </c>
      <c r="D149" s="31" t="str">
        <f>IF(A149="","",'IMPORT PROFIXIO'!F149)</f>
        <v>Ulriksdalshallen</v>
      </c>
      <c r="E149" s="31" t="str">
        <f>IF(A149="","",'IMPORT PROFIXIO'!K149)</f>
        <v>Flickor - F14 Öst - F14 Nivå 2 Öst Norra</v>
      </c>
      <c r="F149" s="34" t="str">
        <f>IF(A149="","",IFERROR(VLOOKUP(E149,KLASSNING!$A$5:$F$74,2,FALSE()),"SAKNAS"))</f>
        <v>F14</v>
      </c>
      <c r="G149" s="34" t="str">
        <f>IF(A149="","",IFERROR(VLOOKUP(E149,KLASSNING!$A$5:$F$74,3,FALSE()),"SAKNAS"))</f>
        <v>Seriespel</v>
      </c>
      <c r="H149" s="34" t="str">
        <f>IF(A149="","",'IMPORT PROFIXIO'!H149)</f>
        <v>AIK</v>
      </c>
      <c r="I149" s="34" t="str">
        <f>IF(A149="","",'IMPORT PROFIXIO'!I149)</f>
        <v>Vassunda IF1</v>
      </c>
      <c r="J149" s="34" t="str">
        <f t="shared" si="8"/>
        <v>F14</v>
      </c>
      <c r="K149" s="34" t="str">
        <f t="shared" si="9"/>
        <v>Ja</v>
      </c>
      <c r="L149" s="34">
        <f>IF(A149="","",IFERROR(VLOOKUP(E149,KLASSNING!$A$5:$F$74,5,FALSE()),0))</f>
        <v>45</v>
      </c>
      <c r="M149" s="35">
        <f t="shared" si="10"/>
        <v>0.77430555555555558</v>
      </c>
      <c r="N149" s="34" t="str">
        <f>IF(A149="","",IF(K149&lt;&gt;"Ja","Ej aktuell",IF(L149&lt;=0,"KONTROLLERA MATCHTID",IF(AND(COUNTIFS(BEMANNINGSPLAN!$A$5:$A$546,B149,BEMANNINGSPLAN!$C$5:$C$546,D149,BEMANNINGSPLAN!$D$5:$D$546,"&lt;="&amp;C149,BEMANNINGSPLAN!$E$5:$E$546,"&gt;"&amp;C149)&gt;0,COUNTIFS(BEMANNINGSPLAN!$A$5:$A$546,B149,BEMANNINGSPLAN!$C$5:$C$546,D149,BEMANNINGSPLAN!$D$5:$D$546,"&lt;"&amp;M149,BEMANNINGSPLAN!$E$5:$E$546,"&gt;="&amp;M149)&gt;0),"Ja","SAKNAS TIDSRADER"))))</f>
        <v>Ja</v>
      </c>
      <c r="O149" s="137">
        <f>IF(OR(B149="",K149&lt;&gt;"Ja"),"",COUNTIFS($B$5:B149,B149,$K$5:K149,"Ja"))</f>
        <v>5</v>
      </c>
      <c r="P149" s="137" t="str">
        <f t="shared" si="11"/>
        <v>yyyy-00-30|5</v>
      </c>
    </row>
    <row r="150" spans="1:16" ht="13">
      <c r="A150" s="31" t="str">
        <f>IF('IMPORT PROFIXIO'!A150="","",'IMPORT PROFIXIO'!A150)</f>
        <v>26 6 1524 065</v>
      </c>
      <c r="B150" s="32">
        <f>IF(A150="","",IF(ISNUMBER('IMPORT PROFIXIO'!D150),'IMPORT PROFIXIO'!D150,DATEVALUE('IMPORT PROFIXIO'!D150)))</f>
        <v>46424</v>
      </c>
      <c r="C150" s="33">
        <f>IF(A150="","",IF(ISNUMBER('IMPORT PROFIXIO'!E150),'IMPORT PROFIXIO'!E150,(VALUE(LEFT('IMPORT PROFIXIO'!E150,FIND(":",'IMPORT PROFIXIO'!E150)-1))*60+VALUE(MID('IMPORT PROFIXIO'!E150,FIND(":",'IMPORT PROFIXIO'!E150)+1,2)))/1440))</f>
        <v>0.56944444444444442</v>
      </c>
      <c r="D150" s="31" t="str">
        <f>IF(A150="","",'IMPORT PROFIXIO'!F150)</f>
        <v>Råsta Park</v>
      </c>
      <c r="E150" s="31" t="str">
        <f>IF(A150="","",'IMPORT PROFIXIO'!K150)</f>
        <v>Pojkar - P16 Öst - P16 Nivå 3 Öst</v>
      </c>
      <c r="F150" s="34" t="str">
        <f>IF(A150="","",IFERROR(VLOOKUP(E150,KLASSNING!$A$5:$F$74,2,FALSE()),"SAKNAS"))</f>
        <v>P16</v>
      </c>
      <c r="G150" s="34" t="str">
        <f>IF(A150="","",IFERROR(VLOOKUP(E150,KLASSNING!$A$5:$F$74,3,FALSE()),"SAKNAS"))</f>
        <v>Seriespel</v>
      </c>
      <c r="H150" s="34" t="str">
        <f>IF(A150="","",'IMPORT PROFIXIO'!H150)</f>
        <v>AIK 2</v>
      </c>
      <c r="I150" s="34" t="str">
        <f>IF(A150="","",'IMPORT PROFIXIO'!I150)</f>
        <v>Vassunda IF</v>
      </c>
      <c r="J150" s="34" t="str">
        <f t="shared" si="8"/>
        <v>P16 2</v>
      </c>
      <c r="K150" s="34" t="str">
        <f t="shared" si="9"/>
        <v>Ja</v>
      </c>
      <c r="L150" s="34">
        <f>IF(A150="","",IFERROR(VLOOKUP(E150,KLASSNING!$A$5:$F$74,5,FALSE()),0))</f>
        <v>55</v>
      </c>
      <c r="M150" s="35">
        <f t="shared" si="10"/>
        <v>0.60763888888888884</v>
      </c>
      <c r="N150" s="34" t="str">
        <f>IF(A150="","",IF(K150&lt;&gt;"Ja","Ej aktuell",IF(L150&lt;=0,"KONTROLLERA MATCHTID",IF(AND(COUNTIFS(BEMANNINGSPLAN!$A$5:$A$546,B150,BEMANNINGSPLAN!$C$5:$C$546,D150,BEMANNINGSPLAN!$D$5:$D$546,"&lt;="&amp;C150,BEMANNINGSPLAN!$E$5:$E$546,"&gt;"&amp;C150)&gt;0,COUNTIFS(BEMANNINGSPLAN!$A$5:$A$546,B150,BEMANNINGSPLAN!$C$5:$C$546,D150,BEMANNINGSPLAN!$D$5:$D$546,"&lt;"&amp;M150,BEMANNINGSPLAN!$E$5:$E$546,"&gt;="&amp;M150)&gt;0),"Ja","SAKNAS TIDSRADER"))))</f>
        <v>Ja</v>
      </c>
      <c r="O150" s="137">
        <f>IF(OR(B150="",K150&lt;&gt;"Ja"),"",COUNTIFS($B$5:B150,B150,$K$5:K150,"Ja"))</f>
        <v>1</v>
      </c>
      <c r="P150" s="137" t="str">
        <f t="shared" si="11"/>
        <v>yyyy-00-06|1</v>
      </c>
    </row>
    <row r="151" spans="1:16" ht="13">
      <c r="A151" s="31" t="str">
        <f>IF('IMPORT PROFIXIO'!A151="","",'IMPORT PROFIXIO'!A151)</f>
        <v>26 6 1352 089</v>
      </c>
      <c r="B151" s="32">
        <f>IF(A151="","",IF(ISNUMBER('IMPORT PROFIXIO'!D151),'IMPORT PROFIXIO'!D151,DATEVALUE('IMPORT PROFIXIO'!D151)))</f>
        <v>46424</v>
      </c>
      <c r="C151" s="33">
        <f>IF(A151="","",IF(ISNUMBER('IMPORT PROFIXIO'!E151),'IMPORT PROFIXIO'!E151,(VALUE(LEFT('IMPORT PROFIXIO'!E151,FIND(":",'IMPORT PROFIXIO'!E151)-1))*60+VALUE(MID('IMPORT PROFIXIO'!E151,FIND(":",'IMPORT PROFIXIO'!E151)+1,2)))/1440))</f>
        <v>0.43055555555555558</v>
      </c>
      <c r="D151" s="31" t="str">
        <f>IF(A151="","",'IMPORT PROFIXIO'!F151)</f>
        <v>Tallbackaskolan</v>
      </c>
      <c r="E151" s="31" t="str">
        <f>IF(A151="","",'IMPORT PROFIXIO'!K151)</f>
        <v>Flickor - F13 Öst - F13 Nivå 2 Öst Norra</v>
      </c>
      <c r="F151" s="34" t="str">
        <f>IF(A151="","",IFERROR(VLOOKUP(E151,KLASSNING!$A$5:$F$74,2,FALSE()),"SAKNAS"))</f>
        <v>F13</v>
      </c>
      <c r="G151" s="34" t="str">
        <f>IF(A151="","",IFERROR(VLOOKUP(E151,KLASSNING!$A$5:$F$74,3,FALSE()),"SAKNAS"))</f>
        <v>Seriespel</v>
      </c>
      <c r="H151" s="34" t="str">
        <f>IF(A151="","",'IMPORT PROFIXIO'!H151)</f>
        <v>AIK 2</v>
      </c>
      <c r="I151" s="34" t="str">
        <f>IF(A151="","",'IMPORT PROFIXIO'!I151)</f>
        <v>Skånela IF 1</v>
      </c>
      <c r="J151" s="34" t="str">
        <f t="shared" si="8"/>
        <v>F13 2</v>
      </c>
      <c r="K151" s="34" t="str">
        <f t="shared" si="9"/>
        <v>Ja</v>
      </c>
      <c r="L151" s="34">
        <f>IF(A151="","",IFERROR(VLOOKUP(E151,KLASSNING!$A$5:$F$74,5,FALSE()),0))</f>
        <v>45</v>
      </c>
      <c r="M151" s="35">
        <f t="shared" si="10"/>
        <v>0.46180555555555558</v>
      </c>
      <c r="N151" s="34" t="str">
        <f>IF(A151="","",IF(K151&lt;&gt;"Ja","Ej aktuell",IF(L151&lt;=0,"KONTROLLERA MATCHTID",IF(AND(COUNTIFS(BEMANNINGSPLAN!$A$5:$A$546,B151,BEMANNINGSPLAN!$C$5:$C$546,D151,BEMANNINGSPLAN!$D$5:$D$546,"&lt;="&amp;C151,BEMANNINGSPLAN!$E$5:$E$546,"&gt;"&amp;C151)&gt;0,COUNTIFS(BEMANNINGSPLAN!$A$5:$A$546,B151,BEMANNINGSPLAN!$C$5:$C$546,D151,BEMANNINGSPLAN!$D$5:$D$546,"&lt;"&amp;M151,BEMANNINGSPLAN!$E$5:$E$546,"&gt;="&amp;M151)&gt;0),"Ja","SAKNAS TIDSRADER"))))</f>
        <v>Ja</v>
      </c>
      <c r="O151" s="137">
        <f>IF(OR(B151="",K151&lt;&gt;"Ja"),"",COUNTIFS($B$5:B151,B151,$K$5:K151,"Ja"))</f>
        <v>2</v>
      </c>
      <c r="P151" s="137" t="str">
        <f t="shared" si="11"/>
        <v>yyyy-00-06|2</v>
      </c>
    </row>
    <row r="152" spans="1:16" ht="13">
      <c r="A152" s="31" t="str">
        <f>IF('IMPORT PROFIXIO'!A152="","",'IMPORT PROFIXIO'!A152)</f>
        <v>26 -1 1121 093</v>
      </c>
      <c r="B152" s="32">
        <f>IF(A152="","",IF(ISNUMBER('IMPORT PROFIXIO'!D152),'IMPORT PROFIXIO'!D152,DATEVALUE('IMPORT PROFIXIO'!D152)))</f>
        <v>46425</v>
      </c>
      <c r="C152" s="33">
        <f>IF(A152="","",IF(ISNUMBER('IMPORT PROFIXIO'!E152),'IMPORT PROFIXIO'!E152,(VALUE(LEFT('IMPORT PROFIXIO'!E152,FIND(":",'IMPORT PROFIXIO'!E152)-1))*60+VALUE(MID('IMPORT PROFIXIO'!E152,FIND(":",'IMPORT PROFIXIO'!E152)+1,2)))/1440))</f>
        <v>0.66666666666666663</v>
      </c>
      <c r="D152" s="31" t="str">
        <f>IF(A152="","",'IMPORT PROFIXIO'!F152)</f>
        <v>Solnahallen</v>
      </c>
      <c r="E152" s="31" t="str">
        <f>IF(A152="","",'IMPORT PROFIXIO'!K152)</f>
        <v>Damer - Damallsvenskan</v>
      </c>
      <c r="F152" s="34" t="str">
        <f>IF(A152="","",IFERROR(VLOOKUP(E152,KLASSNING!$A$5:$F$74,2,FALSE()),"SAKNAS"))</f>
        <v>Dam</v>
      </c>
      <c r="G152" s="34" t="str">
        <f>IF(A152="","",IFERROR(VLOOKUP(E152,KLASSNING!$A$5:$F$74,3,FALSE()),"SAKNAS"))</f>
        <v>Seriespel</v>
      </c>
      <c r="H152" s="34" t="str">
        <f>IF(A152="","",'IMPORT PROFIXIO'!H152)</f>
        <v>AIK</v>
      </c>
      <c r="I152" s="34" t="str">
        <f>IF(A152="","",'IMPORT PROFIXIO'!I152)</f>
        <v>Tyresö Handboll</v>
      </c>
      <c r="J152" s="34" t="str">
        <f t="shared" si="8"/>
        <v>Dam</v>
      </c>
      <c r="K152" s="34" t="str">
        <f t="shared" si="9"/>
        <v>Nej</v>
      </c>
      <c r="L152" s="34">
        <f>IF(A152="","",IFERROR(VLOOKUP(E152,KLASSNING!$A$5:$F$74,5,FALSE()),0))</f>
        <v>70</v>
      </c>
      <c r="M152" s="35" t="str">
        <f t="shared" si="10"/>
        <v/>
      </c>
      <c r="N152" s="34" t="str">
        <f>IF(A152="","",IF(K152&lt;&gt;"Ja","Ej aktuell",IF(L152&lt;=0,"KONTROLLERA MATCHTID",IF(AND(COUNTIFS(BEMANNINGSPLAN!$A$5:$A$546,B152,BEMANNINGSPLAN!$C$5:$C$546,D152,BEMANNINGSPLAN!$D$5:$D$546,"&lt;="&amp;C152,BEMANNINGSPLAN!$E$5:$E$546,"&gt;"&amp;C152)&gt;0,COUNTIFS(BEMANNINGSPLAN!$A$5:$A$546,B152,BEMANNINGSPLAN!$C$5:$C$546,D152,BEMANNINGSPLAN!$D$5:$D$546,"&lt;"&amp;M152,BEMANNINGSPLAN!$E$5:$E$546,"&gt;="&amp;M152)&gt;0),"Ja","SAKNAS TIDSRADER"))))</f>
        <v>Ej aktuell</v>
      </c>
      <c r="O152" s="137" t="str">
        <f>IF(OR(B152="",K152&lt;&gt;"Ja"),"",COUNTIFS($B$5:B152,B152,$K$5:K152,"Ja"))</f>
        <v/>
      </c>
      <c r="P152" s="137" t="str">
        <f t="shared" si="11"/>
        <v/>
      </c>
    </row>
    <row r="153" spans="1:16" ht="13">
      <c r="A153" s="31" t="str">
        <f>IF('IMPORT PROFIXIO'!A153="","",'IMPORT PROFIXIO'!A153)</f>
        <v>26 6 1221 098</v>
      </c>
      <c r="B153" s="32">
        <f>IF(A153="","",IF(ISNUMBER('IMPORT PROFIXIO'!D153),'IMPORT PROFIXIO'!D153,DATEVALUE('IMPORT PROFIXIO'!D153)))</f>
        <v>46425</v>
      </c>
      <c r="C153" s="33">
        <f>IF(A153="","",IF(ISNUMBER('IMPORT PROFIXIO'!E153),'IMPORT PROFIXIO'!E153,(VALUE(LEFT('IMPORT PROFIXIO'!E153,FIND(":",'IMPORT PROFIXIO'!E153)-1))*60+VALUE(MID('IMPORT PROFIXIO'!E153,FIND(":",'IMPORT PROFIXIO'!E153)+1,2)))/1440))</f>
        <v>0.77083333333333337</v>
      </c>
      <c r="D153" s="31" t="str">
        <f>IF(A153="","",'IMPORT PROFIXIO'!F153)</f>
        <v>Solnahallen</v>
      </c>
      <c r="E153" s="31" t="str">
        <f>IF(A153="","",'IMPORT PROFIXIO'!K153)</f>
        <v>Herrar - Herr 2 Öst</v>
      </c>
      <c r="F153" s="34" t="str">
        <f>IF(A153="","",IFERROR(VLOOKUP(E153,KLASSNING!$A$5:$F$74,2,FALSE()),"SAKNAS"))</f>
        <v>Herr</v>
      </c>
      <c r="G153" s="34" t="str">
        <f>IF(A153="","",IFERROR(VLOOKUP(E153,KLASSNING!$A$5:$F$74,3,FALSE()),"SAKNAS"))</f>
        <v>Seriespel</v>
      </c>
      <c r="H153" s="34" t="str">
        <f>IF(A153="","",'IMPORT PROFIXIO'!H153)</f>
        <v>AIK</v>
      </c>
      <c r="I153" s="34" t="str">
        <f>IF(A153="","",'IMPORT PROFIXIO'!I153)</f>
        <v>SK Kvarnberga</v>
      </c>
      <c r="J153" s="34" t="str">
        <f t="shared" si="8"/>
        <v>Herr</v>
      </c>
      <c r="K153" s="34" t="str">
        <f t="shared" si="9"/>
        <v>Nej</v>
      </c>
      <c r="L153" s="34">
        <f>IF(A153="","",IFERROR(VLOOKUP(E153,KLASSNING!$A$5:$F$74,5,FALSE()),0))</f>
        <v>70</v>
      </c>
      <c r="M153" s="35" t="str">
        <f t="shared" si="10"/>
        <v/>
      </c>
      <c r="N153" s="34" t="str">
        <f>IF(A153="","",IF(K153&lt;&gt;"Ja","Ej aktuell",IF(L153&lt;=0,"KONTROLLERA MATCHTID",IF(AND(COUNTIFS(BEMANNINGSPLAN!$A$5:$A$546,B153,BEMANNINGSPLAN!$C$5:$C$546,D153,BEMANNINGSPLAN!$D$5:$D$546,"&lt;="&amp;C153,BEMANNINGSPLAN!$E$5:$E$546,"&gt;"&amp;C153)&gt;0,COUNTIFS(BEMANNINGSPLAN!$A$5:$A$546,B153,BEMANNINGSPLAN!$C$5:$C$546,D153,BEMANNINGSPLAN!$D$5:$D$546,"&lt;"&amp;M153,BEMANNINGSPLAN!$E$5:$E$546,"&gt;="&amp;M153)&gt;0),"Ja","SAKNAS TIDSRADER"))))</f>
        <v>Ej aktuell</v>
      </c>
      <c r="O153" s="137" t="str">
        <f>IF(OR(B153="",K153&lt;&gt;"Ja"),"",COUNTIFS($B$5:B153,B153,$K$5:K153,"Ja"))</f>
        <v/>
      </c>
      <c r="P153" s="137" t="str">
        <f t="shared" si="11"/>
        <v/>
      </c>
    </row>
    <row r="154" spans="1:16" ht="13">
      <c r="A154" s="31" t="str">
        <f>IF('IMPORT PROFIXIO'!A154="","",'IMPORT PROFIXIO'!A154)</f>
        <v>26 6 1324 064</v>
      </c>
      <c r="B154" s="32">
        <f>IF(A154="","",IF(ISNUMBER('IMPORT PROFIXIO'!D154),'IMPORT PROFIXIO'!D154,DATEVALUE('IMPORT PROFIXIO'!D154)))</f>
        <v>46431</v>
      </c>
      <c r="C154" s="33">
        <f>IF(A154="","",IF(ISNUMBER('IMPORT PROFIXIO'!E154),'IMPORT PROFIXIO'!E154,(VALUE(LEFT('IMPORT PROFIXIO'!E154,FIND(":",'IMPORT PROFIXIO'!E154)-1))*60+VALUE(MID('IMPORT PROFIXIO'!E154,FIND(":",'IMPORT PROFIXIO'!E154)+1,2)))/1440))</f>
        <v>0.56944444444444442</v>
      </c>
      <c r="D154" s="31" t="str">
        <f>IF(A154="","",'IMPORT PROFIXIO'!F154)</f>
        <v>Råsta Park</v>
      </c>
      <c r="E154" s="31" t="str">
        <f>IF(A154="","",'IMPORT PROFIXIO'!K154)</f>
        <v>Flickor - F16 Öst - F16 Nivå 3 Öst</v>
      </c>
      <c r="F154" s="34" t="str">
        <f>IF(A154="","",IFERROR(VLOOKUP(E154,KLASSNING!$A$5:$F$74,2,FALSE()),"SAKNAS"))</f>
        <v>F16</v>
      </c>
      <c r="G154" s="34" t="str">
        <f>IF(A154="","",IFERROR(VLOOKUP(E154,KLASSNING!$A$5:$F$74,3,FALSE()),"SAKNAS"))</f>
        <v>Seriespel</v>
      </c>
      <c r="H154" s="34" t="str">
        <f>IF(A154="","",'IMPORT PROFIXIO'!H154)</f>
        <v>AIK 2</v>
      </c>
      <c r="I154" s="34" t="str">
        <f>IF(A154="","",'IMPORT PROFIXIO'!I154)</f>
        <v>Rimbo Handbollklubb Roslagen</v>
      </c>
      <c r="J154" s="34" t="str">
        <f t="shared" si="8"/>
        <v>F16 2</v>
      </c>
      <c r="K154" s="34" t="str">
        <f t="shared" si="9"/>
        <v>Ja</v>
      </c>
      <c r="L154" s="34">
        <f>IF(A154="","",IFERROR(VLOOKUP(E154,KLASSNING!$A$5:$F$74,5,FALSE()),0))</f>
        <v>55</v>
      </c>
      <c r="M154" s="35">
        <f t="shared" si="10"/>
        <v>0.60763888888888884</v>
      </c>
      <c r="N154" s="34" t="str">
        <f>IF(A154="","",IF(K154&lt;&gt;"Ja","Ej aktuell",IF(L154&lt;=0,"KONTROLLERA MATCHTID",IF(AND(COUNTIFS(BEMANNINGSPLAN!$A$5:$A$546,B154,BEMANNINGSPLAN!$C$5:$C$546,D154,BEMANNINGSPLAN!$D$5:$D$546,"&lt;="&amp;C154,BEMANNINGSPLAN!$E$5:$E$546,"&gt;"&amp;C154)&gt;0,COUNTIFS(BEMANNINGSPLAN!$A$5:$A$546,B154,BEMANNINGSPLAN!$C$5:$C$546,D154,BEMANNINGSPLAN!$D$5:$D$546,"&lt;"&amp;M154,BEMANNINGSPLAN!$E$5:$E$546,"&gt;="&amp;M154)&gt;0),"Ja","SAKNAS TIDSRADER"))))</f>
        <v>Ja</v>
      </c>
      <c r="O154" s="137">
        <f>IF(OR(B154="",K154&lt;&gt;"Ja"),"",COUNTIFS($B$5:B154,B154,$K$5:K154,"Ja"))</f>
        <v>1</v>
      </c>
      <c r="P154" s="137" t="str">
        <f t="shared" si="11"/>
        <v>yyyy-00-13|1</v>
      </c>
    </row>
    <row r="155" spans="1:16" ht="13">
      <c r="A155" s="31">
        <f>IF('IMPORT PROFIXIO'!A155="","",'IMPORT PROFIXIO'!A155)</f>
        <v>529358</v>
      </c>
      <c r="B155" s="32">
        <f>IF(A155="","",IF(ISNUMBER('IMPORT PROFIXIO'!D155),'IMPORT PROFIXIO'!D155,DATEVALUE('IMPORT PROFIXIO'!D155)))</f>
        <v>46431</v>
      </c>
      <c r="C155" s="33">
        <f>IF(A155="","",IF(ISNUMBER('IMPORT PROFIXIO'!E155),'IMPORT PROFIXIO'!E155,(VALUE(LEFT('IMPORT PROFIXIO'!E155,FIND(":",'IMPORT PROFIXIO'!E155)-1))*60+VALUE(MID('IMPORT PROFIXIO'!E155,FIND(":",'IMPORT PROFIXIO'!E155)+1,2)))/1440))</f>
        <v>0.375</v>
      </c>
      <c r="D155" s="31" t="str">
        <f>IF(A155="","",'IMPORT PROFIXIO'!F155)</f>
        <v>Ulriksdalshallen</v>
      </c>
      <c r="E155" s="31" t="str">
        <f>IF(A155="","",'IMPORT PROFIXIO'!K155)</f>
        <v>Arrangörsskap - Handbollfestival Vår - Omg2/ 13-14feb alt 20-21feb</v>
      </c>
      <c r="F155" s="34" t="str">
        <f>IF(A155="","",IFERROR(VLOOKUP(E155,KLASSNING!$A$5:$F$74,2,FALSE()),"SAKNAS"))</f>
        <v>U8</v>
      </c>
      <c r="G155" s="34" t="str">
        <f>IF(A155="","",IFERROR(VLOOKUP(E155,KLASSNING!$A$5:$F$74,3,FALSE()),"SAKNAS"))</f>
        <v>Handbollfestival</v>
      </c>
      <c r="H155" s="34" t="str">
        <f>IF(A155="","",'IMPORT PROFIXIO'!H155)</f>
        <v>HF Öst</v>
      </c>
      <c r="I155" s="34" t="str">
        <f>IF(A155="","",'IMPORT PROFIXIO'!I155)</f>
        <v>HF Öst 2</v>
      </c>
      <c r="J155" s="34" t="str">
        <f t="shared" si="8"/>
        <v/>
      </c>
      <c r="K155" s="34" t="str">
        <f t="shared" si="9"/>
        <v>Ja</v>
      </c>
      <c r="L155" s="34">
        <f>IF(A155="","",IFERROR(VLOOKUP(E155,KLASSNING!$A$5:$F$74,5,FALSE()),0))</f>
        <v>180</v>
      </c>
      <c r="M155" s="35">
        <f t="shared" si="10"/>
        <v>0.5</v>
      </c>
      <c r="N155" s="34" t="str">
        <f>IF(A155="","",IF(K155&lt;&gt;"Ja","Ej aktuell",IF(L155&lt;=0,"KONTROLLERA MATCHTID",IF(AND(COUNTIFS(BEMANNINGSPLAN!$A$5:$A$546,B155,BEMANNINGSPLAN!$C$5:$C$546,D155,BEMANNINGSPLAN!$D$5:$D$546,"&lt;="&amp;C155,BEMANNINGSPLAN!$E$5:$E$546,"&gt;"&amp;C155)&gt;0,COUNTIFS(BEMANNINGSPLAN!$A$5:$A$546,B155,BEMANNINGSPLAN!$C$5:$C$546,D155,BEMANNINGSPLAN!$D$5:$D$546,"&lt;"&amp;M155,BEMANNINGSPLAN!$E$5:$E$546,"&gt;="&amp;M155)&gt;0),"Ja","SAKNAS TIDSRADER"))))</f>
        <v>Ja</v>
      </c>
      <c r="O155" s="137">
        <f>IF(OR(B155="",K155&lt;&gt;"Ja"),"",COUNTIFS($B$5:B155,B155,$K$5:K155,"Ja"))</f>
        <v>2</v>
      </c>
      <c r="P155" s="137" t="str">
        <f t="shared" si="11"/>
        <v>yyyy-00-13|2</v>
      </c>
    </row>
    <row r="156" spans="1:16" ht="13">
      <c r="A156" s="31" t="str">
        <f>IF('IMPORT PROFIXIO'!A156="","",'IMPORT PROFIXIO'!A156)</f>
        <v>26 6 6436 001</v>
      </c>
      <c r="B156" s="32">
        <f>IF(A156="","",IF(ISNUMBER('IMPORT PROFIXIO'!D156),'IMPORT PROFIXIO'!D156,DATEVALUE('IMPORT PROFIXIO'!D156)))</f>
        <v>46431</v>
      </c>
      <c r="C156" s="33">
        <f>IF(A156="","",IF(ISNUMBER('IMPORT PROFIXIO'!E156),'IMPORT PROFIXIO'!E156,(VALUE(LEFT('IMPORT PROFIXIO'!E156,FIND(":",'IMPORT PROFIXIO'!E156)-1))*60+VALUE(MID('IMPORT PROFIXIO'!E156,FIND(":",'IMPORT PROFIXIO'!E156)+1,2)))/1440))</f>
        <v>0.51041666666666663</v>
      </c>
      <c r="D156" s="31" t="str">
        <f>IF(A156="","",'IMPORT PROFIXIO'!F156)</f>
        <v>Ulriksdalshallen</v>
      </c>
      <c r="E156" s="31" t="str">
        <f>IF(A156="","",'IMPORT PROFIXIO'!K156)</f>
        <v>Östbollen - F12 Öst - Omgång 3</v>
      </c>
      <c r="F156" s="34" t="str">
        <f>IF(A156="","",IFERROR(VLOOKUP(E156,KLASSNING!$A$5:$F$74,2,FALSE()),"SAKNAS"))</f>
        <v>F12</v>
      </c>
      <c r="G156" s="34" t="str">
        <f>IF(A156="","",IFERROR(VLOOKUP(E156,KLASSNING!$A$5:$F$74,3,FALSE()),"SAKNAS"))</f>
        <v>Östbollen</v>
      </c>
      <c r="H156" s="34" t="str">
        <f>IF(A156="","",'IMPORT PROFIXIO'!H156)</f>
        <v>AIK</v>
      </c>
      <c r="I156" s="34" t="str">
        <f>IF(A156="","",'IMPORT PROFIXIO'!I156)</f>
        <v>Vacant- 75</v>
      </c>
      <c r="J156" s="34" t="str">
        <f t="shared" si="8"/>
        <v>F12</v>
      </c>
      <c r="K156" s="34" t="str">
        <f t="shared" si="9"/>
        <v>Ja</v>
      </c>
      <c r="L156" s="34">
        <f>IF(A156="","",IFERROR(VLOOKUP(E156,KLASSNING!$A$5:$F$74,5,FALSE()),0))</f>
        <v>35</v>
      </c>
      <c r="M156" s="35">
        <f t="shared" si="10"/>
        <v>0.53472222222222221</v>
      </c>
      <c r="N156" s="34" t="str">
        <f>IF(A156="","",IF(K156&lt;&gt;"Ja","Ej aktuell",IF(L156&lt;=0,"KONTROLLERA MATCHTID",IF(AND(COUNTIFS(BEMANNINGSPLAN!$A$5:$A$546,B156,BEMANNINGSPLAN!$C$5:$C$546,D156,BEMANNINGSPLAN!$D$5:$D$546,"&lt;="&amp;C156,BEMANNINGSPLAN!$E$5:$E$546,"&gt;"&amp;C156)&gt;0,COUNTIFS(BEMANNINGSPLAN!$A$5:$A$546,B156,BEMANNINGSPLAN!$C$5:$C$546,D156,BEMANNINGSPLAN!$D$5:$D$546,"&lt;"&amp;M156,BEMANNINGSPLAN!$E$5:$E$546,"&gt;="&amp;M156)&gt;0),"Ja","SAKNAS TIDSRADER"))))</f>
        <v>Ja</v>
      </c>
      <c r="O156" s="137">
        <f>IF(OR(B156="",K156&lt;&gt;"Ja"),"",COUNTIFS($B$5:B156,B156,$K$5:K156,"Ja"))</f>
        <v>3</v>
      </c>
      <c r="P156" s="137" t="str">
        <f t="shared" si="11"/>
        <v>yyyy-00-13|3</v>
      </c>
    </row>
    <row r="157" spans="1:16" ht="13">
      <c r="A157" s="31" t="str">
        <f>IF('IMPORT PROFIXIO'!A157="","",'IMPORT PROFIXIO'!A157)</f>
        <v>26 6 6436 002</v>
      </c>
      <c r="B157" s="32">
        <f>IF(A157="","",IF(ISNUMBER('IMPORT PROFIXIO'!D157),'IMPORT PROFIXIO'!D157,DATEVALUE('IMPORT PROFIXIO'!D157)))</f>
        <v>46431</v>
      </c>
      <c r="C157" s="33">
        <f>IF(A157="","",IF(ISNUMBER('IMPORT PROFIXIO'!E157),'IMPORT PROFIXIO'!E157,(VALUE(LEFT('IMPORT PROFIXIO'!E157,FIND(":",'IMPORT PROFIXIO'!E157)-1))*60+VALUE(MID('IMPORT PROFIXIO'!E157,FIND(":",'IMPORT PROFIXIO'!E157)+1,2)))/1440))</f>
        <v>0.54166666666666663</v>
      </c>
      <c r="D157" s="31" t="str">
        <f>IF(A157="","",'IMPORT PROFIXIO'!F157)</f>
        <v>Ulriksdalshallen</v>
      </c>
      <c r="E157" s="31" t="str">
        <f>IF(A157="","",'IMPORT PROFIXIO'!K157)</f>
        <v>Östbollen - F12 Öst - Omgång 3</v>
      </c>
      <c r="F157" s="34" t="str">
        <f>IF(A157="","",IFERROR(VLOOKUP(E157,KLASSNING!$A$5:$F$74,2,FALSE()),"SAKNAS"))</f>
        <v>F12</v>
      </c>
      <c r="G157" s="34" t="str">
        <f>IF(A157="","",IFERROR(VLOOKUP(E157,KLASSNING!$A$5:$F$74,3,FALSE()),"SAKNAS"))</f>
        <v>Östbollen</v>
      </c>
      <c r="H157" s="34" t="str">
        <f>IF(A157="","",'IMPORT PROFIXIO'!H157)</f>
        <v>Vacant- 75</v>
      </c>
      <c r="I157" s="34" t="str">
        <f>IF(A157="","",'IMPORT PROFIXIO'!I157)</f>
        <v>Vacant- 75</v>
      </c>
      <c r="J157" s="34" t="str">
        <f t="shared" si="8"/>
        <v/>
      </c>
      <c r="K157" s="34" t="str">
        <f t="shared" si="9"/>
        <v>Ja</v>
      </c>
      <c r="L157" s="34">
        <f>IF(A157="","",IFERROR(VLOOKUP(E157,KLASSNING!$A$5:$F$74,5,FALSE()),0))</f>
        <v>35</v>
      </c>
      <c r="M157" s="35">
        <f t="shared" si="10"/>
        <v>0.56597222222222221</v>
      </c>
      <c r="N157" s="34" t="str">
        <f>IF(A157="","",IF(K157&lt;&gt;"Ja","Ej aktuell",IF(L157&lt;=0,"KONTROLLERA MATCHTID",IF(AND(COUNTIFS(BEMANNINGSPLAN!$A$5:$A$546,B157,BEMANNINGSPLAN!$C$5:$C$546,D157,BEMANNINGSPLAN!$D$5:$D$546,"&lt;="&amp;C157,BEMANNINGSPLAN!$E$5:$E$546,"&gt;"&amp;C157)&gt;0,COUNTIFS(BEMANNINGSPLAN!$A$5:$A$546,B157,BEMANNINGSPLAN!$C$5:$C$546,D157,BEMANNINGSPLAN!$D$5:$D$546,"&lt;"&amp;M157,BEMANNINGSPLAN!$E$5:$E$546,"&gt;="&amp;M157)&gt;0),"Ja","SAKNAS TIDSRADER"))))</f>
        <v>Ja</v>
      </c>
      <c r="O157" s="137">
        <f>IF(OR(B157="",K157&lt;&gt;"Ja"),"",COUNTIFS($B$5:B157,B157,$K$5:K157,"Ja"))</f>
        <v>4</v>
      </c>
      <c r="P157" s="137" t="str">
        <f t="shared" si="11"/>
        <v>yyyy-00-13|4</v>
      </c>
    </row>
    <row r="158" spans="1:16" ht="13">
      <c r="A158" s="31" t="str">
        <f>IF('IMPORT PROFIXIO'!A158="","",'IMPORT PROFIXIO'!A158)</f>
        <v>26 6 6436 003</v>
      </c>
      <c r="B158" s="32">
        <f>IF(A158="","",IF(ISNUMBER('IMPORT PROFIXIO'!D158),'IMPORT PROFIXIO'!D158,DATEVALUE('IMPORT PROFIXIO'!D158)))</f>
        <v>46431</v>
      </c>
      <c r="C158" s="33">
        <f>IF(A158="","",IF(ISNUMBER('IMPORT PROFIXIO'!E158),'IMPORT PROFIXIO'!E158,(VALUE(LEFT('IMPORT PROFIXIO'!E158,FIND(":",'IMPORT PROFIXIO'!E158)-1))*60+VALUE(MID('IMPORT PROFIXIO'!E158,FIND(":",'IMPORT PROFIXIO'!E158)+1,2)))/1440))</f>
        <v>0.59375</v>
      </c>
      <c r="D158" s="31" t="str">
        <f>IF(A158="","",'IMPORT PROFIXIO'!F158)</f>
        <v>Ulriksdalshallen</v>
      </c>
      <c r="E158" s="31" t="str">
        <f>IF(A158="","",'IMPORT PROFIXIO'!K158)</f>
        <v>Östbollen - F12 Öst - Omgång 3</v>
      </c>
      <c r="F158" s="34" t="str">
        <f>IF(A158="","",IFERROR(VLOOKUP(E158,KLASSNING!$A$5:$F$74,2,FALSE()),"SAKNAS"))</f>
        <v>F12</v>
      </c>
      <c r="G158" s="34" t="str">
        <f>IF(A158="","",IFERROR(VLOOKUP(E158,KLASSNING!$A$5:$F$74,3,FALSE()),"SAKNAS"))</f>
        <v>Östbollen</v>
      </c>
      <c r="H158" s="34" t="str">
        <f>IF(A158="","",'IMPORT PROFIXIO'!H158)</f>
        <v>AIK</v>
      </c>
      <c r="I158" s="34" t="str">
        <f>IF(A158="","",'IMPORT PROFIXIO'!I158)</f>
        <v>Vacant- 75</v>
      </c>
      <c r="J158" s="34" t="str">
        <f t="shared" si="8"/>
        <v>F12</v>
      </c>
      <c r="K158" s="34" t="str">
        <f t="shared" si="9"/>
        <v>Ja</v>
      </c>
      <c r="L158" s="34">
        <f>IF(A158="","",IFERROR(VLOOKUP(E158,KLASSNING!$A$5:$F$74,5,FALSE()),0))</f>
        <v>35</v>
      </c>
      <c r="M158" s="35">
        <f t="shared" si="10"/>
        <v>0.61805555555555558</v>
      </c>
      <c r="N158" s="34" t="str">
        <f>IF(A158="","",IF(K158&lt;&gt;"Ja","Ej aktuell",IF(L158&lt;=0,"KONTROLLERA MATCHTID",IF(AND(COUNTIFS(BEMANNINGSPLAN!$A$5:$A$546,B158,BEMANNINGSPLAN!$C$5:$C$546,D158,BEMANNINGSPLAN!$D$5:$D$546,"&lt;="&amp;C158,BEMANNINGSPLAN!$E$5:$E$546,"&gt;"&amp;C158)&gt;0,COUNTIFS(BEMANNINGSPLAN!$A$5:$A$546,B158,BEMANNINGSPLAN!$C$5:$C$546,D158,BEMANNINGSPLAN!$D$5:$D$546,"&lt;"&amp;M158,BEMANNINGSPLAN!$E$5:$E$546,"&gt;="&amp;M158)&gt;0),"Ja","SAKNAS TIDSRADER"))))</f>
        <v>Ja</v>
      </c>
      <c r="O158" s="137">
        <f>IF(OR(B158="",K158&lt;&gt;"Ja"),"",COUNTIFS($B$5:B158,B158,$K$5:K158,"Ja"))</f>
        <v>5</v>
      </c>
      <c r="P158" s="137" t="str">
        <f t="shared" si="11"/>
        <v>yyyy-00-13|5</v>
      </c>
    </row>
    <row r="159" spans="1:16" ht="13">
      <c r="A159" s="31" t="str">
        <f>IF('IMPORT PROFIXIO'!A159="","",'IMPORT PROFIXIO'!A159)</f>
        <v>26 6 6436 004</v>
      </c>
      <c r="B159" s="32">
        <f>IF(A159="","",IF(ISNUMBER('IMPORT PROFIXIO'!D159),'IMPORT PROFIXIO'!D159,DATEVALUE('IMPORT PROFIXIO'!D159)))</f>
        <v>46431</v>
      </c>
      <c r="C159" s="33">
        <f>IF(A159="","",IF(ISNUMBER('IMPORT PROFIXIO'!E159),'IMPORT PROFIXIO'!E159,(VALUE(LEFT('IMPORT PROFIXIO'!E159,FIND(":",'IMPORT PROFIXIO'!E159)-1))*60+VALUE(MID('IMPORT PROFIXIO'!E159,FIND(":",'IMPORT PROFIXIO'!E159)+1,2)))/1440))</f>
        <v>0.625</v>
      </c>
      <c r="D159" s="31" t="str">
        <f>IF(A159="","",'IMPORT PROFIXIO'!F159)</f>
        <v>Ulriksdalshallen</v>
      </c>
      <c r="E159" s="31" t="str">
        <f>IF(A159="","",'IMPORT PROFIXIO'!K159)</f>
        <v>Östbollen - F12 Öst - Omgång 3</v>
      </c>
      <c r="F159" s="34" t="str">
        <f>IF(A159="","",IFERROR(VLOOKUP(E159,KLASSNING!$A$5:$F$74,2,FALSE()),"SAKNAS"))</f>
        <v>F12</v>
      </c>
      <c r="G159" s="34" t="str">
        <f>IF(A159="","",IFERROR(VLOOKUP(E159,KLASSNING!$A$5:$F$74,3,FALSE()),"SAKNAS"))</f>
        <v>Östbollen</v>
      </c>
      <c r="H159" s="34" t="str">
        <f>IF(A159="","",'IMPORT PROFIXIO'!H159)</f>
        <v>Vacant- 75</v>
      </c>
      <c r="I159" s="34" t="str">
        <f>IF(A159="","",'IMPORT PROFIXIO'!I159)</f>
        <v>Vacant- 75</v>
      </c>
      <c r="J159" s="34" t="str">
        <f t="shared" si="8"/>
        <v/>
      </c>
      <c r="K159" s="34" t="str">
        <f t="shared" si="9"/>
        <v>Ja</v>
      </c>
      <c r="L159" s="34">
        <f>IF(A159="","",IFERROR(VLOOKUP(E159,KLASSNING!$A$5:$F$74,5,FALSE()),0))</f>
        <v>35</v>
      </c>
      <c r="M159" s="35">
        <f t="shared" si="10"/>
        <v>0.64930555555555558</v>
      </c>
      <c r="N159" s="34" t="str">
        <f>IF(A159="","",IF(K159&lt;&gt;"Ja","Ej aktuell",IF(L159&lt;=0,"KONTROLLERA MATCHTID",IF(AND(COUNTIFS(BEMANNINGSPLAN!$A$5:$A$546,B159,BEMANNINGSPLAN!$C$5:$C$546,D159,BEMANNINGSPLAN!$D$5:$D$546,"&lt;="&amp;C159,BEMANNINGSPLAN!$E$5:$E$546,"&gt;"&amp;C159)&gt;0,COUNTIFS(BEMANNINGSPLAN!$A$5:$A$546,B159,BEMANNINGSPLAN!$C$5:$C$546,D159,BEMANNINGSPLAN!$D$5:$D$546,"&lt;"&amp;M159,BEMANNINGSPLAN!$E$5:$E$546,"&gt;="&amp;M159)&gt;0),"Ja","SAKNAS TIDSRADER"))))</f>
        <v>Ja</v>
      </c>
      <c r="O159" s="137">
        <f>IF(OR(B159="",K159&lt;&gt;"Ja"),"",COUNTIFS($B$5:B159,B159,$K$5:K159,"Ja"))</f>
        <v>6</v>
      </c>
      <c r="P159" s="137" t="str">
        <f t="shared" si="11"/>
        <v>yyyy-00-13|6</v>
      </c>
    </row>
    <row r="160" spans="1:16" ht="13">
      <c r="A160" s="31" t="str">
        <f>IF('IMPORT PROFIXIO'!A160="","",'IMPORT PROFIXIO'!A160)</f>
        <v>26 6 6436 005</v>
      </c>
      <c r="B160" s="32">
        <f>IF(A160="","",IF(ISNUMBER('IMPORT PROFIXIO'!D160),'IMPORT PROFIXIO'!D160,DATEVALUE('IMPORT PROFIXIO'!D160)))</f>
        <v>46431</v>
      </c>
      <c r="C160" s="33">
        <f>IF(A160="","",IF(ISNUMBER('IMPORT PROFIXIO'!E160),'IMPORT PROFIXIO'!E160,(VALUE(LEFT('IMPORT PROFIXIO'!E160,FIND(":",'IMPORT PROFIXIO'!E160)-1))*60+VALUE(MID('IMPORT PROFIXIO'!E160,FIND(":",'IMPORT PROFIXIO'!E160)+1,2)))/1440))</f>
        <v>0.67708333333333337</v>
      </c>
      <c r="D160" s="31" t="str">
        <f>IF(A160="","",'IMPORT PROFIXIO'!F160)</f>
        <v>Ulriksdalshallen</v>
      </c>
      <c r="E160" s="31" t="str">
        <f>IF(A160="","",'IMPORT PROFIXIO'!K160)</f>
        <v>Östbollen - F12 Öst - Omgång 3</v>
      </c>
      <c r="F160" s="34" t="str">
        <f>IF(A160="","",IFERROR(VLOOKUP(E160,KLASSNING!$A$5:$F$74,2,FALSE()),"SAKNAS"))</f>
        <v>F12</v>
      </c>
      <c r="G160" s="34" t="str">
        <f>IF(A160="","",IFERROR(VLOOKUP(E160,KLASSNING!$A$5:$F$74,3,FALSE()),"SAKNAS"))</f>
        <v>Östbollen</v>
      </c>
      <c r="H160" s="34" t="str">
        <f>IF(A160="","",'IMPORT PROFIXIO'!H160)</f>
        <v>Vacant- 75</v>
      </c>
      <c r="I160" s="34" t="str">
        <f>IF(A160="","",'IMPORT PROFIXIO'!I160)</f>
        <v>Vacant- 75</v>
      </c>
      <c r="J160" s="34" t="str">
        <f t="shared" si="8"/>
        <v/>
      </c>
      <c r="K160" s="34" t="str">
        <f t="shared" si="9"/>
        <v>Ja</v>
      </c>
      <c r="L160" s="34">
        <f>IF(A160="","",IFERROR(VLOOKUP(E160,KLASSNING!$A$5:$F$74,5,FALSE()),0))</f>
        <v>35</v>
      </c>
      <c r="M160" s="35">
        <f t="shared" si="10"/>
        <v>0.70138888888888895</v>
      </c>
      <c r="N160" s="34" t="str">
        <f>IF(A160="","",IF(K160&lt;&gt;"Ja","Ej aktuell",IF(L160&lt;=0,"KONTROLLERA MATCHTID",IF(AND(COUNTIFS(BEMANNINGSPLAN!$A$5:$A$546,B160,BEMANNINGSPLAN!$C$5:$C$546,D160,BEMANNINGSPLAN!$D$5:$D$546,"&lt;="&amp;C160,BEMANNINGSPLAN!$E$5:$E$546,"&gt;"&amp;C160)&gt;0,COUNTIFS(BEMANNINGSPLAN!$A$5:$A$546,B160,BEMANNINGSPLAN!$C$5:$C$546,D160,BEMANNINGSPLAN!$D$5:$D$546,"&lt;"&amp;M160,BEMANNINGSPLAN!$E$5:$E$546,"&gt;="&amp;M160)&gt;0),"Ja","SAKNAS TIDSRADER"))))</f>
        <v>Ja</v>
      </c>
      <c r="O160" s="137">
        <f>IF(OR(B160="",K160&lt;&gt;"Ja"),"",COUNTIFS($B$5:B160,B160,$K$5:K160,"Ja"))</f>
        <v>7</v>
      </c>
      <c r="P160" s="137" t="str">
        <f t="shared" si="11"/>
        <v>yyyy-00-13|7</v>
      </c>
    </row>
    <row r="161" spans="1:16" ht="13">
      <c r="A161" s="31" t="str">
        <f>IF('IMPORT PROFIXIO'!A161="","",'IMPORT PROFIXIO'!A161)</f>
        <v>26 6 6436 006</v>
      </c>
      <c r="B161" s="32">
        <f>IF(A161="","",IF(ISNUMBER('IMPORT PROFIXIO'!D161),'IMPORT PROFIXIO'!D161,DATEVALUE('IMPORT PROFIXIO'!D161)))</f>
        <v>46431</v>
      </c>
      <c r="C161" s="33">
        <f>IF(A161="","",IF(ISNUMBER('IMPORT PROFIXIO'!E161),'IMPORT PROFIXIO'!E161,(VALUE(LEFT('IMPORT PROFIXIO'!E161,FIND(":",'IMPORT PROFIXIO'!E161)-1))*60+VALUE(MID('IMPORT PROFIXIO'!E161,FIND(":",'IMPORT PROFIXIO'!E161)+1,2)))/1440))</f>
        <v>0.70833333333333337</v>
      </c>
      <c r="D161" s="31" t="str">
        <f>IF(A161="","",'IMPORT PROFIXIO'!F161)</f>
        <v>Ulriksdalshallen</v>
      </c>
      <c r="E161" s="31" t="str">
        <f>IF(A161="","",'IMPORT PROFIXIO'!K161)</f>
        <v>Östbollen - F12 Öst - Omgång 3</v>
      </c>
      <c r="F161" s="34" t="str">
        <f>IF(A161="","",IFERROR(VLOOKUP(E161,KLASSNING!$A$5:$F$74,2,FALSE()),"SAKNAS"))</f>
        <v>F12</v>
      </c>
      <c r="G161" s="34" t="str">
        <f>IF(A161="","",IFERROR(VLOOKUP(E161,KLASSNING!$A$5:$F$74,3,FALSE()),"SAKNAS"))</f>
        <v>Östbollen</v>
      </c>
      <c r="H161" s="34" t="str">
        <f>IF(A161="","",'IMPORT PROFIXIO'!H161)</f>
        <v>AIK</v>
      </c>
      <c r="I161" s="34" t="str">
        <f>IF(A161="","",'IMPORT PROFIXIO'!I161)</f>
        <v>Vacant- 75</v>
      </c>
      <c r="J161" s="34" t="str">
        <f t="shared" si="8"/>
        <v>F12</v>
      </c>
      <c r="K161" s="34" t="str">
        <f t="shared" si="9"/>
        <v>Ja</v>
      </c>
      <c r="L161" s="34">
        <f>IF(A161="","",IFERROR(VLOOKUP(E161,KLASSNING!$A$5:$F$74,5,FALSE()),0))</f>
        <v>35</v>
      </c>
      <c r="M161" s="35">
        <f t="shared" si="10"/>
        <v>0.73263888888888895</v>
      </c>
      <c r="N161" s="34" t="str">
        <f>IF(A161="","",IF(K161&lt;&gt;"Ja","Ej aktuell",IF(L161&lt;=0,"KONTROLLERA MATCHTID",IF(AND(COUNTIFS(BEMANNINGSPLAN!$A$5:$A$546,B161,BEMANNINGSPLAN!$C$5:$C$546,D161,BEMANNINGSPLAN!$D$5:$D$546,"&lt;="&amp;C161,BEMANNINGSPLAN!$E$5:$E$546,"&gt;"&amp;C161)&gt;0,COUNTIFS(BEMANNINGSPLAN!$A$5:$A$546,B161,BEMANNINGSPLAN!$C$5:$C$546,D161,BEMANNINGSPLAN!$D$5:$D$546,"&lt;"&amp;M161,BEMANNINGSPLAN!$E$5:$E$546,"&gt;="&amp;M161)&gt;0),"Ja","SAKNAS TIDSRADER"))))</f>
        <v>Ja</v>
      </c>
      <c r="O161" s="137">
        <f>IF(OR(B161="",K161&lt;&gt;"Ja"),"",COUNTIFS($B$5:B161,B161,$K$5:K161,"Ja"))</f>
        <v>8</v>
      </c>
      <c r="P161" s="137" t="str">
        <f t="shared" si="11"/>
        <v>yyyy-00-13|8</v>
      </c>
    </row>
    <row r="162" spans="1:16" ht="13">
      <c r="A162" s="31" t="str">
        <f>IF('IMPORT PROFIXIO'!A162="","",'IMPORT PROFIXIO'!A162)</f>
        <v>26 6 1351 065</v>
      </c>
      <c r="B162" s="32">
        <f>IF(A162="","",IF(ISNUMBER('IMPORT PROFIXIO'!D162),'IMPORT PROFIXIO'!D162,DATEVALUE('IMPORT PROFIXIO'!D162)))</f>
        <v>46431</v>
      </c>
      <c r="C162" s="33">
        <f>IF(A162="","",IF(ISNUMBER('IMPORT PROFIXIO'!E162),'IMPORT PROFIXIO'!E162,(VALUE(LEFT('IMPORT PROFIXIO'!E162,FIND(":",'IMPORT PROFIXIO'!E162)-1))*60+VALUE(MID('IMPORT PROFIXIO'!E162,FIND(":",'IMPORT PROFIXIO'!E162)+1,2)))/1440))</f>
        <v>0.75</v>
      </c>
      <c r="D162" s="31" t="str">
        <f>IF(A162="","",'IMPORT PROFIXIO'!F162)</f>
        <v>Ulriksdalshallen</v>
      </c>
      <c r="E162" s="31" t="str">
        <f>IF(A162="","",'IMPORT PROFIXIO'!K162)</f>
        <v>Flickor - F13 Öst - F13 Nivå 1 Öst</v>
      </c>
      <c r="F162" s="34" t="str">
        <f>IF(A162="","",IFERROR(VLOOKUP(E162,KLASSNING!$A$5:$F$74,2,FALSE()),"SAKNAS"))</f>
        <v>F13</v>
      </c>
      <c r="G162" s="34" t="str">
        <f>IF(A162="","",IFERROR(VLOOKUP(E162,KLASSNING!$A$5:$F$74,3,FALSE()),"SAKNAS"))</f>
        <v>Seriespel</v>
      </c>
      <c r="H162" s="34" t="str">
        <f>IF(A162="","",'IMPORT PROFIXIO'!H162)</f>
        <v>AIK</v>
      </c>
      <c r="I162" s="34" t="str">
        <f>IF(A162="","",'IMPORT PROFIXIO'!I162)</f>
        <v>Haninge HK</v>
      </c>
      <c r="J162" s="34" t="str">
        <f t="shared" si="8"/>
        <v>F13</v>
      </c>
      <c r="K162" s="34" t="str">
        <f t="shared" si="9"/>
        <v>Ja</v>
      </c>
      <c r="L162" s="34">
        <f>IF(A162="","",IFERROR(VLOOKUP(E162,KLASSNING!$A$5:$F$74,5,FALSE()),0))</f>
        <v>45</v>
      </c>
      <c r="M162" s="35">
        <f t="shared" si="10"/>
        <v>0.78125</v>
      </c>
      <c r="N162" s="34" t="str">
        <f>IF(A162="","",IF(K162&lt;&gt;"Ja","Ej aktuell",IF(L162&lt;=0,"KONTROLLERA MATCHTID",IF(AND(COUNTIFS(BEMANNINGSPLAN!$A$5:$A$546,B162,BEMANNINGSPLAN!$C$5:$C$546,D162,BEMANNINGSPLAN!$D$5:$D$546,"&lt;="&amp;C162,BEMANNINGSPLAN!$E$5:$E$546,"&gt;"&amp;C162)&gt;0,COUNTIFS(BEMANNINGSPLAN!$A$5:$A$546,B162,BEMANNINGSPLAN!$C$5:$C$546,D162,BEMANNINGSPLAN!$D$5:$D$546,"&lt;"&amp;M162,BEMANNINGSPLAN!$E$5:$E$546,"&gt;="&amp;M162)&gt;0),"Ja","SAKNAS TIDSRADER"))))</f>
        <v>Ja</v>
      </c>
      <c r="O162" s="137">
        <f>IF(OR(B162="",K162&lt;&gt;"Ja"),"",COUNTIFS($B$5:B162,B162,$K$5:K162,"Ja"))</f>
        <v>9</v>
      </c>
      <c r="P162" s="137" t="str">
        <f t="shared" si="11"/>
        <v>yyyy-00-13|9</v>
      </c>
    </row>
    <row r="163" spans="1:16" ht="13">
      <c r="A163" s="31" t="str">
        <f>IF('IMPORT PROFIXIO'!A163="","",'IMPORT PROFIXIO'!A163)</f>
        <v>26 6 1141 060</v>
      </c>
      <c r="B163" s="32">
        <f>IF(A163="","",IF(ISNUMBER('IMPORT PROFIXIO'!D163),'IMPORT PROFIXIO'!D163,DATEVALUE('IMPORT PROFIXIO'!D163)))</f>
        <v>46432</v>
      </c>
      <c r="C163" s="33">
        <f>IF(A163="","",IF(ISNUMBER('IMPORT PROFIXIO'!E163),'IMPORT PROFIXIO'!E163,(VALUE(LEFT('IMPORT PROFIXIO'!E163,FIND(":",'IMPORT PROFIXIO'!E163)-1))*60+VALUE(MID('IMPORT PROFIXIO'!E163,FIND(":",'IMPORT PROFIXIO'!E163)+1,2)))/1440))</f>
        <v>0.41666666666666669</v>
      </c>
      <c r="D163" s="31" t="str">
        <f>IF(A163="","",'IMPORT PROFIXIO'!F163)</f>
        <v>Solnahallen</v>
      </c>
      <c r="E163" s="31" t="str">
        <f>IF(A163="","",'IMPORT PROFIXIO'!K163)</f>
        <v>Damer - Dam 4 Öst - Dam 4 Öst Norra</v>
      </c>
      <c r="F163" s="34" t="str">
        <f>IF(A163="","",IFERROR(VLOOKUP(E163,KLASSNING!$A$5:$F$74,2,FALSE()),"SAKNAS"))</f>
        <v>Dam</v>
      </c>
      <c r="G163" s="34" t="str">
        <f>IF(A163="","",IFERROR(VLOOKUP(E163,KLASSNING!$A$5:$F$74,3,FALSE()),"SAKNAS"))</f>
        <v>Seriespel</v>
      </c>
      <c r="H163" s="34" t="str">
        <f>IF(A163="","",'IMPORT PROFIXIO'!H163)</f>
        <v>AIK 2</v>
      </c>
      <c r="I163" s="34" t="str">
        <f>IF(A163="","",'IMPORT PROFIXIO'!I163)</f>
        <v>Lidingö SK 2</v>
      </c>
      <c r="J163" s="34" t="str">
        <f t="shared" si="8"/>
        <v>Dam 2</v>
      </c>
      <c r="K163" s="34" t="str">
        <f t="shared" si="9"/>
        <v>Nej</v>
      </c>
      <c r="L163" s="34">
        <f>IF(A163="","",IFERROR(VLOOKUP(E163,KLASSNING!$A$5:$F$74,5,FALSE()),0))</f>
        <v>70</v>
      </c>
      <c r="M163" s="35" t="str">
        <f t="shared" si="10"/>
        <v/>
      </c>
      <c r="N163" s="34" t="str">
        <f>IF(A163="","",IF(K163&lt;&gt;"Ja","Ej aktuell",IF(L163&lt;=0,"KONTROLLERA MATCHTID",IF(AND(COUNTIFS(BEMANNINGSPLAN!$A$5:$A$546,B163,BEMANNINGSPLAN!$C$5:$C$546,D163,BEMANNINGSPLAN!$D$5:$D$546,"&lt;="&amp;C163,BEMANNINGSPLAN!$E$5:$E$546,"&gt;"&amp;C163)&gt;0,COUNTIFS(BEMANNINGSPLAN!$A$5:$A$546,B163,BEMANNINGSPLAN!$C$5:$C$546,D163,BEMANNINGSPLAN!$D$5:$D$546,"&lt;"&amp;M163,BEMANNINGSPLAN!$E$5:$E$546,"&gt;="&amp;M163)&gt;0),"Ja","SAKNAS TIDSRADER"))))</f>
        <v>Ej aktuell</v>
      </c>
      <c r="O163" s="137" t="str">
        <f>IF(OR(B163="",K163&lt;&gt;"Ja"),"",COUNTIFS($B$5:B163,B163,$K$5:K163,"Ja"))</f>
        <v/>
      </c>
      <c r="P163" s="137" t="str">
        <f t="shared" si="11"/>
        <v/>
      </c>
    </row>
    <row r="164" spans="1:16" ht="13">
      <c r="A164" s="31" t="str">
        <f>IF('IMPORT PROFIXIO'!A164="","",'IMPORT PROFIXIO'!A164)</f>
        <v>26 6 1221 103</v>
      </c>
      <c r="B164" s="32">
        <f>IF(A164="","",IF(ISNUMBER('IMPORT PROFIXIO'!D164),'IMPORT PROFIXIO'!D164,DATEVALUE('IMPORT PROFIXIO'!D164)))</f>
        <v>46432</v>
      </c>
      <c r="C164" s="33">
        <f>IF(A164="","",IF(ISNUMBER('IMPORT PROFIXIO'!E164),'IMPORT PROFIXIO'!E164,(VALUE(LEFT('IMPORT PROFIXIO'!E164,FIND(":",'IMPORT PROFIXIO'!E164)-1))*60+VALUE(MID('IMPORT PROFIXIO'!E164,FIND(":",'IMPORT PROFIXIO'!E164)+1,2)))/1440))</f>
        <v>0.66666666666666663</v>
      </c>
      <c r="D164" s="31" t="str">
        <f>IF(A164="","",'IMPORT PROFIXIO'!F164)</f>
        <v>Solnahallen</v>
      </c>
      <c r="E164" s="31" t="str">
        <f>IF(A164="","",'IMPORT PROFIXIO'!K164)</f>
        <v>Herrar - Herr 2 Öst</v>
      </c>
      <c r="F164" s="34" t="str">
        <f>IF(A164="","",IFERROR(VLOOKUP(E164,KLASSNING!$A$5:$F$74,2,FALSE()),"SAKNAS"))</f>
        <v>Herr</v>
      </c>
      <c r="G164" s="34" t="str">
        <f>IF(A164="","",IFERROR(VLOOKUP(E164,KLASSNING!$A$5:$F$74,3,FALSE()),"SAKNAS"))</f>
        <v>Seriespel</v>
      </c>
      <c r="H164" s="34" t="str">
        <f>IF(A164="","",'IMPORT PROFIXIO'!H164)</f>
        <v>AIK</v>
      </c>
      <c r="I164" s="34" t="str">
        <f>IF(A164="","",'IMPORT PROFIXIO'!I164)</f>
        <v>Skuru IK</v>
      </c>
      <c r="J164" s="34" t="str">
        <f t="shared" si="8"/>
        <v>Herr</v>
      </c>
      <c r="K164" s="34" t="str">
        <f t="shared" si="9"/>
        <v>Nej</v>
      </c>
      <c r="L164" s="34">
        <f>IF(A164="","",IFERROR(VLOOKUP(E164,KLASSNING!$A$5:$F$74,5,FALSE()),0))</f>
        <v>70</v>
      </c>
      <c r="M164" s="35" t="str">
        <f t="shared" si="10"/>
        <v/>
      </c>
      <c r="N164" s="34" t="str">
        <f>IF(A164="","",IF(K164&lt;&gt;"Ja","Ej aktuell",IF(L164&lt;=0,"KONTROLLERA MATCHTID",IF(AND(COUNTIFS(BEMANNINGSPLAN!$A$5:$A$546,B164,BEMANNINGSPLAN!$C$5:$C$546,D164,BEMANNINGSPLAN!$D$5:$D$546,"&lt;="&amp;C164,BEMANNINGSPLAN!$E$5:$E$546,"&gt;"&amp;C164)&gt;0,COUNTIFS(BEMANNINGSPLAN!$A$5:$A$546,B164,BEMANNINGSPLAN!$C$5:$C$546,D164,BEMANNINGSPLAN!$D$5:$D$546,"&lt;"&amp;M164,BEMANNINGSPLAN!$E$5:$E$546,"&gt;="&amp;M164)&gt;0),"Ja","SAKNAS TIDSRADER"))))</f>
        <v>Ej aktuell</v>
      </c>
      <c r="O164" s="137" t="str">
        <f>IF(OR(B164="",K164&lt;&gt;"Ja"),"",COUNTIFS($B$5:B164,B164,$K$5:K164,"Ja"))</f>
        <v/>
      </c>
      <c r="P164" s="137" t="str">
        <f t="shared" si="11"/>
        <v/>
      </c>
    </row>
    <row r="165" spans="1:16" ht="13">
      <c r="A165" s="31" t="str">
        <f>IF('IMPORT PROFIXIO'!A165="","",'IMPORT PROFIXIO'!A165)</f>
        <v>26 6 1311 086</v>
      </c>
      <c r="B165" s="32">
        <f>IF(A165="","",IF(ISNUMBER('IMPORT PROFIXIO'!D165),'IMPORT PROFIXIO'!D165,DATEVALUE('IMPORT PROFIXIO'!D165)))</f>
        <v>46434</v>
      </c>
      <c r="C165" s="33">
        <f>IF(A165="","",IF(ISNUMBER('IMPORT PROFIXIO'!E165),'IMPORT PROFIXIO'!E165,(VALUE(LEFT('IMPORT PROFIXIO'!E165,FIND(":",'IMPORT PROFIXIO'!E165)-1))*60+VALUE(MID('IMPORT PROFIXIO'!E165,FIND(":",'IMPORT PROFIXIO'!E165)+1,2)))/1440))</f>
        <v>0.86458333333333337</v>
      </c>
      <c r="D165" s="31" t="str">
        <f>IF(A165="","",'IMPORT PROFIXIO'!F165)</f>
        <v>Råsta Park</v>
      </c>
      <c r="E165" s="31" t="str">
        <f>IF(A165="","",'IMPORT PROFIXIO'!K165)</f>
        <v>Flickor - F19 Öst - F19 Nivå 1 Öst</v>
      </c>
      <c r="F165" s="34" t="str">
        <f>IF(A165="","",IFERROR(VLOOKUP(E165,KLASSNING!$A$5:$F$74,2,FALSE()),"SAKNAS"))</f>
        <v>F19</v>
      </c>
      <c r="G165" s="34" t="str">
        <f>IF(A165="","",IFERROR(VLOOKUP(E165,KLASSNING!$A$5:$F$74,3,FALSE()),"SAKNAS"))</f>
        <v>Seriespel</v>
      </c>
      <c r="H165" s="34" t="str">
        <f>IF(A165="","",'IMPORT PROFIXIO'!H165)</f>
        <v>AIK</v>
      </c>
      <c r="I165" s="34" t="str">
        <f>IF(A165="","",'IMPORT PROFIXIO'!I165)</f>
        <v>Skånela IF</v>
      </c>
      <c r="J165" s="34" t="str">
        <f t="shared" si="8"/>
        <v>F19</v>
      </c>
      <c r="K165" s="34" t="str">
        <f t="shared" si="9"/>
        <v>Ja</v>
      </c>
      <c r="L165" s="34">
        <f>IF(A165="","",IFERROR(VLOOKUP(E165,KLASSNING!$A$5:$F$74,5,FALSE()),0))</f>
        <v>55</v>
      </c>
      <c r="M165" s="35">
        <f t="shared" si="10"/>
        <v>0.90277777777777779</v>
      </c>
      <c r="N165" s="34" t="str">
        <f>IF(A165="","",IF(K165&lt;&gt;"Ja","Ej aktuell",IF(L165&lt;=0,"KONTROLLERA MATCHTID",IF(AND(COUNTIFS(BEMANNINGSPLAN!$A$5:$A$546,B165,BEMANNINGSPLAN!$C$5:$C$546,D165,BEMANNINGSPLAN!$D$5:$D$546,"&lt;="&amp;C165,BEMANNINGSPLAN!$E$5:$E$546,"&gt;"&amp;C165)&gt;0,COUNTIFS(BEMANNINGSPLAN!$A$5:$A$546,B165,BEMANNINGSPLAN!$C$5:$C$546,D165,BEMANNINGSPLAN!$D$5:$D$546,"&lt;"&amp;M165,BEMANNINGSPLAN!$E$5:$E$546,"&gt;="&amp;M165)&gt;0),"Ja","SAKNAS TIDSRADER"))))</f>
        <v>Ja</v>
      </c>
      <c r="O165" s="137">
        <f>IF(OR(B165="",K165&lt;&gt;"Ja"),"",COUNTIFS($B$5:B165,B165,$K$5:K165,"Ja"))</f>
        <v>1</v>
      </c>
      <c r="P165" s="137" t="str">
        <f t="shared" si="11"/>
        <v>yyyy-00-16|1</v>
      </c>
    </row>
    <row r="166" spans="1:16" ht="13">
      <c r="A166" s="31" t="str">
        <f>IF('IMPORT PROFIXIO'!A166="","",'IMPORT PROFIXIO'!A166)</f>
        <v>26 6 1141 061</v>
      </c>
      <c r="B166" s="32">
        <f>IF(A166="","",IF(ISNUMBER('IMPORT PROFIXIO'!D166),'IMPORT PROFIXIO'!D166,DATEVALUE('IMPORT PROFIXIO'!D166)))</f>
        <v>46438</v>
      </c>
      <c r="C166" s="33">
        <f>IF(A166="","",IF(ISNUMBER('IMPORT PROFIXIO'!E166),'IMPORT PROFIXIO'!E166,(VALUE(LEFT('IMPORT PROFIXIO'!E166,FIND(":",'IMPORT PROFIXIO'!E166)-1))*60+VALUE(MID('IMPORT PROFIXIO'!E166,FIND(":",'IMPORT PROFIXIO'!E166)+1,2)))/1440))</f>
        <v>0.5</v>
      </c>
      <c r="D166" s="31" t="str">
        <f>IF(A166="","",'IMPORT PROFIXIO'!F166)</f>
        <v>Solnahallen</v>
      </c>
      <c r="E166" s="31" t="str">
        <f>IF(A166="","",'IMPORT PROFIXIO'!K166)</f>
        <v>Damer - Dam 4 Öst - Dam 4 Öst Norra</v>
      </c>
      <c r="F166" s="34" t="str">
        <f>IF(A166="","",IFERROR(VLOOKUP(E166,KLASSNING!$A$5:$F$74,2,FALSE()),"SAKNAS"))</f>
        <v>Dam</v>
      </c>
      <c r="G166" s="34" t="str">
        <f>IF(A166="","",IFERROR(VLOOKUP(E166,KLASSNING!$A$5:$F$74,3,FALSE()),"SAKNAS"))</f>
        <v>Seriespel</v>
      </c>
      <c r="H166" s="34" t="str">
        <f>IF(A166="","",'IMPORT PROFIXIO'!H166)</f>
        <v>AIK 2</v>
      </c>
      <c r="I166" s="34" t="str">
        <f>IF(A166="","",'IMPORT PROFIXIO'!I166)</f>
        <v>Sollentuna HK</v>
      </c>
      <c r="J166" s="34" t="str">
        <f t="shared" si="8"/>
        <v>Dam 2</v>
      </c>
      <c r="K166" s="34" t="str">
        <f t="shared" si="9"/>
        <v>Nej</v>
      </c>
      <c r="L166" s="34">
        <f>IF(A166="","",IFERROR(VLOOKUP(E166,KLASSNING!$A$5:$F$74,5,FALSE()),0))</f>
        <v>70</v>
      </c>
      <c r="M166" s="35" t="str">
        <f t="shared" si="10"/>
        <v/>
      </c>
      <c r="N166" s="34" t="str">
        <f>IF(A166="","",IF(K166&lt;&gt;"Ja","Ej aktuell",IF(L166&lt;=0,"KONTROLLERA MATCHTID",IF(AND(COUNTIFS(BEMANNINGSPLAN!$A$5:$A$546,B166,BEMANNINGSPLAN!$C$5:$C$546,D166,BEMANNINGSPLAN!$D$5:$D$546,"&lt;="&amp;C166,BEMANNINGSPLAN!$E$5:$E$546,"&gt;"&amp;C166)&gt;0,COUNTIFS(BEMANNINGSPLAN!$A$5:$A$546,B166,BEMANNINGSPLAN!$C$5:$C$546,D166,BEMANNINGSPLAN!$D$5:$D$546,"&lt;"&amp;M166,BEMANNINGSPLAN!$E$5:$E$546,"&gt;="&amp;M166)&gt;0),"Ja","SAKNAS TIDSRADER"))))</f>
        <v>Ej aktuell</v>
      </c>
      <c r="O166" s="137" t="str">
        <f>IF(OR(B166="",K166&lt;&gt;"Ja"),"",COUNTIFS($B$5:B166,B166,$K$5:K166,"Ja"))</f>
        <v/>
      </c>
      <c r="P166" s="137" t="str">
        <f t="shared" si="11"/>
        <v/>
      </c>
    </row>
    <row r="167" spans="1:16" ht="13">
      <c r="A167" s="31" t="str">
        <f>IF('IMPORT PROFIXIO'!A167="","",'IMPORT PROFIXIO'!A167)</f>
        <v>26 -1 1121 104</v>
      </c>
      <c r="B167" s="32">
        <f>IF(A167="","",IF(ISNUMBER('IMPORT PROFIXIO'!D167),'IMPORT PROFIXIO'!D167,DATEVALUE('IMPORT PROFIXIO'!D167)))</f>
        <v>46438</v>
      </c>
      <c r="C167" s="33">
        <f>IF(A167="","",IF(ISNUMBER('IMPORT PROFIXIO'!E167),'IMPORT PROFIXIO'!E167,(VALUE(LEFT('IMPORT PROFIXIO'!E167,FIND(":",'IMPORT PROFIXIO'!E167)-1))*60+VALUE(MID('IMPORT PROFIXIO'!E167,FIND(":",'IMPORT PROFIXIO'!E167)+1,2)))/1440))</f>
        <v>0.625</v>
      </c>
      <c r="D167" s="31" t="str">
        <f>IF(A167="","",'IMPORT PROFIXIO'!F167)</f>
        <v>Solnahallen</v>
      </c>
      <c r="E167" s="31" t="str">
        <f>IF(A167="","",'IMPORT PROFIXIO'!K167)</f>
        <v>Damer - Damallsvenskan</v>
      </c>
      <c r="F167" s="34" t="str">
        <f>IF(A167="","",IFERROR(VLOOKUP(E167,KLASSNING!$A$5:$F$74,2,FALSE()),"SAKNAS"))</f>
        <v>Dam</v>
      </c>
      <c r="G167" s="34" t="str">
        <f>IF(A167="","",IFERROR(VLOOKUP(E167,KLASSNING!$A$5:$F$74,3,FALSE()),"SAKNAS"))</f>
        <v>Seriespel</v>
      </c>
      <c r="H167" s="34" t="str">
        <f>IF(A167="","",'IMPORT PROFIXIO'!H167)</f>
        <v>AIK</v>
      </c>
      <c r="I167" s="34" t="str">
        <f>IF(A167="","",'IMPORT PROFIXIO'!I167)</f>
        <v>Redbergslids IK</v>
      </c>
      <c r="J167" s="34" t="str">
        <f t="shared" si="8"/>
        <v>Dam</v>
      </c>
      <c r="K167" s="34" t="str">
        <f t="shared" si="9"/>
        <v>Nej</v>
      </c>
      <c r="L167" s="34">
        <f>IF(A167="","",IFERROR(VLOOKUP(E167,KLASSNING!$A$5:$F$74,5,FALSE()),0))</f>
        <v>70</v>
      </c>
      <c r="M167" s="35" t="str">
        <f t="shared" si="10"/>
        <v/>
      </c>
      <c r="N167" s="34" t="str">
        <f>IF(A167="","",IF(K167&lt;&gt;"Ja","Ej aktuell",IF(L167&lt;=0,"KONTROLLERA MATCHTID",IF(AND(COUNTIFS(BEMANNINGSPLAN!$A$5:$A$546,B167,BEMANNINGSPLAN!$C$5:$C$546,D167,BEMANNINGSPLAN!$D$5:$D$546,"&lt;="&amp;C167,BEMANNINGSPLAN!$E$5:$E$546,"&gt;"&amp;C167)&gt;0,COUNTIFS(BEMANNINGSPLAN!$A$5:$A$546,B167,BEMANNINGSPLAN!$C$5:$C$546,D167,BEMANNINGSPLAN!$D$5:$D$546,"&lt;"&amp;M167,BEMANNINGSPLAN!$E$5:$E$546,"&gt;="&amp;M167)&gt;0),"Ja","SAKNAS TIDSRADER"))))</f>
        <v>Ej aktuell</v>
      </c>
      <c r="O167" s="137" t="str">
        <f>IF(OR(B167="",K167&lt;&gt;"Ja"),"",COUNTIFS($B$5:B167,B167,$K$5:K167,"Ja"))</f>
        <v/>
      </c>
      <c r="P167" s="137" t="str">
        <f t="shared" si="11"/>
        <v/>
      </c>
    </row>
    <row r="168" spans="1:16" ht="13">
      <c r="A168" s="31">
        <f>IF('IMPORT PROFIXIO'!A168="","",'IMPORT PROFIXIO'!A168)</f>
        <v>529974</v>
      </c>
      <c r="B168" s="32">
        <f>IF(A168="","",IF(ISNUMBER('IMPORT PROFIXIO'!D168),'IMPORT PROFIXIO'!D168,DATEVALUE('IMPORT PROFIXIO'!D168)))</f>
        <v>46438</v>
      </c>
      <c r="C168" s="33">
        <f>IF(A168="","",IF(ISNUMBER('IMPORT PROFIXIO'!E168),'IMPORT PROFIXIO'!E168,(VALUE(LEFT('IMPORT PROFIXIO'!E168,FIND(":",'IMPORT PROFIXIO'!E168)-1))*60+VALUE(MID('IMPORT PROFIXIO'!E168,FIND(":",'IMPORT PROFIXIO'!E168)+1,2)))/1440))</f>
        <v>0.375</v>
      </c>
      <c r="D168" s="31" t="str">
        <f>IF(A168="","",'IMPORT PROFIXIO'!F168)</f>
        <v>Tallbackaskolan</v>
      </c>
      <c r="E168" s="31" t="str">
        <f>IF(A168="","",'IMPORT PROFIXIO'!K168)</f>
        <v>Arrangörsskap - Vårens spel - Omg3/ P10K F9M P9K/ 20-21feb</v>
      </c>
      <c r="F168" s="34" t="str">
        <f>IF(A168="","",IFERROR(VLOOKUP(E168,KLASSNING!$A$5:$F$74,2,FALSE()),"SAKNAS"))</f>
        <v>Kontrollera</v>
      </c>
      <c r="G168" s="34" t="str">
        <f>IF(A168="","",IFERROR(VLOOKUP(E168,KLASSNING!$A$5:$F$74,3,FALSE()),"SAKNAS"))</f>
        <v>Kortplan/miniplan</v>
      </c>
      <c r="H168" s="34" t="str">
        <f>IF(A168="","",'IMPORT PROFIXIO'!H168)</f>
        <v>HF Öst</v>
      </c>
      <c r="I168" s="34" t="str">
        <f>IF(A168="","",'IMPORT PROFIXIO'!I168)</f>
        <v>HF Öst 2</v>
      </c>
      <c r="J168" s="34" t="str">
        <f t="shared" si="8"/>
        <v/>
      </c>
      <c r="K168" s="34" t="str">
        <f t="shared" si="9"/>
        <v>Ja</v>
      </c>
      <c r="L168" s="34">
        <f>IF(A168="","",IFERROR(VLOOKUP(E168,KLASSNING!$A$5:$F$74,5,FALSE()),0))</f>
        <v>180</v>
      </c>
      <c r="M168" s="35">
        <f t="shared" si="10"/>
        <v>0.5</v>
      </c>
      <c r="N168" s="34" t="str">
        <f>IF(A168="","",IF(K168&lt;&gt;"Ja","Ej aktuell",IF(L168&lt;=0,"KONTROLLERA MATCHTID",IF(AND(COUNTIFS(BEMANNINGSPLAN!$A$5:$A$546,B168,BEMANNINGSPLAN!$C$5:$C$546,D168,BEMANNINGSPLAN!$D$5:$D$546,"&lt;="&amp;C168,BEMANNINGSPLAN!$E$5:$E$546,"&gt;"&amp;C168)&gt;0,COUNTIFS(BEMANNINGSPLAN!$A$5:$A$546,B168,BEMANNINGSPLAN!$C$5:$C$546,D168,BEMANNINGSPLAN!$D$5:$D$546,"&lt;"&amp;M168,BEMANNINGSPLAN!$E$5:$E$546,"&gt;="&amp;M168)&gt;0),"Ja","SAKNAS TIDSRADER"))))</f>
        <v>Ja</v>
      </c>
      <c r="O168" s="137">
        <f>IF(OR(B168="",K168&lt;&gt;"Ja"),"",COUNTIFS($B$5:B168,B168,$K$5:K168,"Ja"))</f>
        <v>1</v>
      </c>
      <c r="P168" s="137" t="str">
        <f t="shared" si="11"/>
        <v>yyyy-00-20|1</v>
      </c>
    </row>
    <row r="169" spans="1:16" ht="13">
      <c r="A169" s="31" t="str">
        <f>IF('IMPORT PROFIXIO'!A169="","",'IMPORT PROFIXIO'!A169)</f>
        <v>26 6 1352 102</v>
      </c>
      <c r="B169" s="32">
        <f>IF(A169="","",IF(ISNUMBER('IMPORT PROFIXIO'!D169),'IMPORT PROFIXIO'!D169,DATEVALUE('IMPORT PROFIXIO'!D169)))</f>
        <v>46438</v>
      </c>
      <c r="C169" s="33">
        <f>IF(A169="","",IF(ISNUMBER('IMPORT PROFIXIO'!E169),'IMPORT PROFIXIO'!E169,(VALUE(LEFT('IMPORT PROFIXIO'!E169,FIND(":",'IMPORT PROFIXIO'!E169)-1))*60+VALUE(MID('IMPORT PROFIXIO'!E169,FIND(":",'IMPORT PROFIXIO'!E169)+1,2)))/1440))</f>
        <v>0.55208333333333337</v>
      </c>
      <c r="D169" s="31" t="str">
        <f>IF(A169="","",'IMPORT PROFIXIO'!F169)</f>
        <v>Tallbackaskolan</v>
      </c>
      <c r="E169" s="31" t="str">
        <f>IF(A169="","",'IMPORT PROFIXIO'!K169)</f>
        <v>Flickor - F13 Öst - F13 Nivå 2 Öst Norra</v>
      </c>
      <c r="F169" s="34" t="str">
        <f>IF(A169="","",IFERROR(VLOOKUP(E169,KLASSNING!$A$5:$F$74,2,FALSE()),"SAKNAS"))</f>
        <v>F13</v>
      </c>
      <c r="G169" s="34" t="str">
        <f>IF(A169="","",IFERROR(VLOOKUP(E169,KLASSNING!$A$5:$F$74,3,FALSE()),"SAKNAS"))</f>
        <v>Seriespel</v>
      </c>
      <c r="H169" s="34" t="str">
        <f>IF(A169="","",'IMPORT PROFIXIO'!H169)</f>
        <v>AIK 2</v>
      </c>
      <c r="I169" s="34" t="str">
        <f>IF(A169="","",'IMPORT PROFIXIO'!I169)</f>
        <v>HK Cliff Blå</v>
      </c>
      <c r="J169" s="34" t="str">
        <f t="shared" si="8"/>
        <v>F13 2</v>
      </c>
      <c r="K169" s="34" t="str">
        <f t="shared" si="9"/>
        <v>Ja</v>
      </c>
      <c r="L169" s="34">
        <f>IF(A169="","",IFERROR(VLOOKUP(E169,KLASSNING!$A$5:$F$74,5,FALSE()),0))</f>
        <v>45</v>
      </c>
      <c r="M169" s="35">
        <f t="shared" si="10"/>
        <v>0.58333333333333337</v>
      </c>
      <c r="N169" s="34" t="str">
        <f>IF(A169="","",IF(K169&lt;&gt;"Ja","Ej aktuell",IF(L169&lt;=0,"KONTROLLERA MATCHTID",IF(AND(COUNTIFS(BEMANNINGSPLAN!$A$5:$A$546,B169,BEMANNINGSPLAN!$C$5:$C$546,D169,BEMANNINGSPLAN!$D$5:$D$546,"&lt;="&amp;C169,BEMANNINGSPLAN!$E$5:$E$546,"&gt;"&amp;C169)&gt;0,COUNTIFS(BEMANNINGSPLAN!$A$5:$A$546,B169,BEMANNINGSPLAN!$C$5:$C$546,D169,BEMANNINGSPLAN!$D$5:$D$546,"&lt;"&amp;M169,BEMANNINGSPLAN!$E$5:$E$546,"&gt;="&amp;M169)&gt;0),"Ja","SAKNAS TIDSRADER"))))</f>
        <v>Ja</v>
      </c>
      <c r="O169" s="137">
        <f>IF(OR(B169="",K169&lt;&gt;"Ja"),"",COUNTIFS($B$5:B169,B169,$K$5:K169,"Ja"))</f>
        <v>2</v>
      </c>
      <c r="P169" s="137" t="str">
        <f t="shared" si="11"/>
        <v>yyyy-00-20|2</v>
      </c>
    </row>
    <row r="170" spans="1:16" ht="13">
      <c r="A170" s="31" t="str">
        <f>IF('IMPORT PROFIXIO'!A170="","",'IMPORT PROFIXIO'!A170)</f>
        <v>26 6 1221 115</v>
      </c>
      <c r="B170" s="32">
        <f>IF(A170="","",IF(ISNUMBER('IMPORT PROFIXIO'!D170),'IMPORT PROFIXIO'!D170,DATEVALUE('IMPORT PROFIXIO'!D170)))</f>
        <v>46445</v>
      </c>
      <c r="C170" s="33">
        <f>IF(A170="","",IF(ISNUMBER('IMPORT PROFIXIO'!E170),'IMPORT PROFIXIO'!E170,(VALUE(LEFT('IMPORT PROFIXIO'!E170,FIND(":",'IMPORT PROFIXIO'!E170)-1))*60+VALUE(MID('IMPORT PROFIXIO'!E170,FIND(":",'IMPORT PROFIXIO'!E170)+1,2)))/1440))</f>
        <v>0.5625</v>
      </c>
      <c r="D170" s="31" t="str">
        <f>IF(A170="","",'IMPORT PROFIXIO'!F170)</f>
        <v>Råsta Park</v>
      </c>
      <c r="E170" s="31" t="str">
        <f>IF(A170="","",'IMPORT PROFIXIO'!K170)</f>
        <v>Herrar - Herr 2 Öst</v>
      </c>
      <c r="F170" s="34" t="str">
        <f>IF(A170="","",IFERROR(VLOOKUP(E170,KLASSNING!$A$5:$F$74,2,FALSE()),"SAKNAS"))</f>
        <v>Herr</v>
      </c>
      <c r="G170" s="34" t="str">
        <f>IF(A170="","",IFERROR(VLOOKUP(E170,KLASSNING!$A$5:$F$74,3,FALSE()),"SAKNAS"))</f>
        <v>Seriespel</v>
      </c>
      <c r="H170" s="34" t="str">
        <f>IF(A170="","",'IMPORT PROFIXIO'!H170)</f>
        <v>AIK</v>
      </c>
      <c r="I170" s="34" t="str">
        <f>IF(A170="","",'IMPORT PROFIXIO'!I170)</f>
        <v>HF SIF</v>
      </c>
      <c r="J170" s="34" t="str">
        <f t="shared" si="8"/>
        <v>Herr</v>
      </c>
      <c r="K170" s="34" t="str">
        <f t="shared" si="9"/>
        <v>Ja</v>
      </c>
      <c r="L170" s="34">
        <f>IF(A170="","",IFERROR(VLOOKUP(E170,KLASSNING!$A$5:$F$74,5,FALSE()),0))</f>
        <v>70</v>
      </c>
      <c r="M170" s="35">
        <f t="shared" si="10"/>
        <v>0.61111111111111116</v>
      </c>
      <c r="N170" s="34" t="str">
        <f>IF(A170="","",IF(K170&lt;&gt;"Ja","Ej aktuell",IF(L170&lt;=0,"KONTROLLERA MATCHTID",IF(AND(COUNTIFS(BEMANNINGSPLAN!$A$5:$A$546,B170,BEMANNINGSPLAN!$C$5:$C$546,D170,BEMANNINGSPLAN!$D$5:$D$546,"&lt;="&amp;C170,BEMANNINGSPLAN!$E$5:$E$546,"&gt;"&amp;C170)&gt;0,COUNTIFS(BEMANNINGSPLAN!$A$5:$A$546,B170,BEMANNINGSPLAN!$C$5:$C$546,D170,BEMANNINGSPLAN!$D$5:$D$546,"&lt;"&amp;M170,BEMANNINGSPLAN!$E$5:$E$546,"&gt;="&amp;M170)&gt;0),"Ja","SAKNAS TIDSRADER"))))</f>
        <v>Ja</v>
      </c>
      <c r="O170" s="137">
        <f>IF(OR(B170="",K170&lt;&gt;"Ja"),"",COUNTIFS($B$5:B170,B170,$K$5:K170,"Ja"))</f>
        <v>1</v>
      </c>
      <c r="P170" s="137" t="str">
        <f t="shared" si="11"/>
        <v>yyyy-00-27|1</v>
      </c>
    </row>
    <row r="171" spans="1:16" ht="13">
      <c r="A171" s="31" t="str">
        <f>IF('IMPORT PROFIXIO'!A171="","",'IMPORT PROFIXIO'!A171)</f>
        <v>26 -1 1121 117</v>
      </c>
      <c r="B171" s="32">
        <f>IF(A171="","",IF(ISNUMBER('IMPORT PROFIXIO'!D171),'IMPORT PROFIXIO'!D171,DATEVALUE('IMPORT PROFIXIO'!D171)))</f>
        <v>46452</v>
      </c>
      <c r="C171" s="33">
        <f>IF(A171="","",IF(ISNUMBER('IMPORT PROFIXIO'!E171),'IMPORT PROFIXIO'!E171,(VALUE(LEFT('IMPORT PROFIXIO'!E171,FIND(":",'IMPORT PROFIXIO'!E171)-1))*60+VALUE(MID('IMPORT PROFIXIO'!E171,FIND(":",'IMPORT PROFIXIO'!E171)+1,2)))/1440))</f>
        <v>0.625</v>
      </c>
      <c r="D171" s="31" t="str">
        <f>IF(A171="","",'IMPORT PROFIXIO'!F171)</f>
        <v>Solnahallen</v>
      </c>
      <c r="E171" s="31" t="str">
        <f>IF(A171="","",'IMPORT PROFIXIO'!K171)</f>
        <v>Damer - Damallsvenskan</v>
      </c>
      <c r="F171" s="34" t="str">
        <f>IF(A171="","",IFERROR(VLOOKUP(E171,KLASSNING!$A$5:$F$74,2,FALSE()),"SAKNAS"))</f>
        <v>Dam</v>
      </c>
      <c r="G171" s="34" t="str">
        <f>IF(A171="","",IFERROR(VLOOKUP(E171,KLASSNING!$A$5:$F$74,3,FALSE()),"SAKNAS"))</f>
        <v>Seriespel</v>
      </c>
      <c r="H171" s="34" t="str">
        <f>IF(A171="","",'IMPORT PROFIXIO'!H171)</f>
        <v>AIK</v>
      </c>
      <c r="I171" s="34" t="str">
        <f>IF(A171="","",'IMPORT PROFIXIO'!I171)</f>
        <v>Lugi HF</v>
      </c>
      <c r="J171" s="34" t="str">
        <f t="shared" si="8"/>
        <v>Dam</v>
      </c>
      <c r="K171" s="34" t="str">
        <f t="shared" si="9"/>
        <v>Nej</v>
      </c>
      <c r="L171" s="34">
        <f>IF(A171="","",IFERROR(VLOOKUP(E171,KLASSNING!$A$5:$F$74,5,FALSE()),0))</f>
        <v>70</v>
      </c>
      <c r="M171" s="35" t="str">
        <f t="shared" si="10"/>
        <v/>
      </c>
      <c r="N171" s="34" t="str">
        <f>IF(A171="","",IF(K171&lt;&gt;"Ja","Ej aktuell",IF(L171&lt;=0,"KONTROLLERA MATCHTID",IF(AND(COUNTIFS(BEMANNINGSPLAN!$A$5:$A$546,B171,BEMANNINGSPLAN!$C$5:$C$546,D171,BEMANNINGSPLAN!$D$5:$D$546,"&lt;="&amp;C171,BEMANNINGSPLAN!$E$5:$E$546,"&gt;"&amp;C171)&gt;0,COUNTIFS(BEMANNINGSPLAN!$A$5:$A$546,B171,BEMANNINGSPLAN!$C$5:$C$546,D171,BEMANNINGSPLAN!$D$5:$D$546,"&lt;"&amp;M171,BEMANNINGSPLAN!$E$5:$E$546,"&gt;="&amp;M171)&gt;0),"Ja","SAKNAS TIDSRADER"))))</f>
        <v>Ej aktuell</v>
      </c>
      <c r="O171" s="137" t="str">
        <f>IF(OR(B171="",K171&lt;&gt;"Ja"),"",COUNTIFS($B$5:B171,B171,$K$5:K171,"Ja"))</f>
        <v/>
      </c>
      <c r="P171" s="137" t="str">
        <f t="shared" si="11"/>
        <v/>
      </c>
    </row>
    <row r="172" spans="1:16" ht="13">
      <c r="A172" s="31" t="str">
        <f>IF('IMPORT PROFIXIO'!A172="","",'IMPORT PROFIXIO'!A172)</f>
        <v>26 6 1221 121</v>
      </c>
      <c r="B172" s="32">
        <f>IF(A172="","",IF(ISNUMBER('IMPORT PROFIXIO'!D172),'IMPORT PROFIXIO'!D172,DATEVALUE('IMPORT PROFIXIO'!D172)))</f>
        <v>46452</v>
      </c>
      <c r="C172" s="33">
        <f>IF(A172="","",IF(ISNUMBER('IMPORT PROFIXIO'!E172),'IMPORT PROFIXIO'!E172,(VALUE(LEFT('IMPORT PROFIXIO'!E172,FIND(":",'IMPORT PROFIXIO'!E172)-1))*60+VALUE(MID('IMPORT PROFIXIO'!E172,FIND(":",'IMPORT PROFIXIO'!E172)+1,2)))/1440))</f>
        <v>0.72916666666666663</v>
      </c>
      <c r="D172" s="31" t="str">
        <f>IF(A172="","",'IMPORT PROFIXIO'!F172)</f>
        <v>Solnahallen</v>
      </c>
      <c r="E172" s="31" t="str">
        <f>IF(A172="","",'IMPORT PROFIXIO'!K172)</f>
        <v>Herrar - Herr 2 Öst</v>
      </c>
      <c r="F172" s="34" t="str">
        <f>IF(A172="","",IFERROR(VLOOKUP(E172,KLASSNING!$A$5:$F$74,2,FALSE()),"SAKNAS"))</f>
        <v>Herr</v>
      </c>
      <c r="G172" s="34" t="str">
        <f>IF(A172="","",IFERROR(VLOOKUP(E172,KLASSNING!$A$5:$F$74,3,FALSE()),"SAKNAS"))</f>
        <v>Seriespel</v>
      </c>
      <c r="H172" s="34" t="str">
        <f>IF(A172="","",'IMPORT PROFIXIO'!H172)</f>
        <v>AIK</v>
      </c>
      <c r="I172" s="34" t="str">
        <f>IF(A172="","",'IMPORT PROFIXIO'!I172)</f>
        <v>Kungsängens SK</v>
      </c>
      <c r="J172" s="34" t="str">
        <f t="shared" si="8"/>
        <v>Herr</v>
      </c>
      <c r="K172" s="34" t="str">
        <f t="shared" si="9"/>
        <v>Nej</v>
      </c>
      <c r="L172" s="34">
        <f>IF(A172="","",IFERROR(VLOOKUP(E172,KLASSNING!$A$5:$F$74,5,FALSE()),0))</f>
        <v>70</v>
      </c>
      <c r="M172" s="35" t="str">
        <f t="shared" si="10"/>
        <v/>
      </c>
      <c r="N172" s="34" t="str">
        <f>IF(A172="","",IF(K172&lt;&gt;"Ja","Ej aktuell",IF(L172&lt;=0,"KONTROLLERA MATCHTID",IF(AND(COUNTIFS(BEMANNINGSPLAN!$A$5:$A$546,B172,BEMANNINGSPLAN!$C$5:$C$546,D172,BEMANNINGSPLAN!$D$5:$D$546,"&lt;="&amp;C172,BEMANNINGSPLAN!$E$5:$E$546,"&gt;"&amp;C172)&gt;0,COUNTIFS(BEMANNINGSPLAN!$A$5:$A$546,B172,BEMANNINGSPLAN!$C$5:$C$546,D172,BEMANNINGSPLAN!$D$5:$D$546,"&lt;"&amp;M172,BEMANNINGSPLAN!$E$5:$E$546,"&gt;="&amp;M172)&gt;0),"Ja","SAKNAS TIDSRADER"))))</f>
        <v>Ej aktuell</v>
      </c>
      <c r="O172" s="137" t="str">
        <f>IF(OR(B172="",K172&lt;&gt;"Ja"),"",COUNTIFS($B$5:B172,B172,$K$5:K172,"Ja"))</f>
        <v/>
      </c>
      <c r="P172" s="137" t="str">
        <f t="shared" si="11"/>
        <v/>
      </c>
    </row>
    <row r="173" spans="1:16" ht="13">
      <c r="A173" s="31" t="str">
        <f>IF('IMPORT PROFIXIO'!A173="","",'IMPORT PROFIXIO'!A173)</f>
        <v>26 6 1151 017</v>
      </c>
      <c r="B173" s="32">
        <f>IF(A173="","",IF(ISNUMBER('IMPORT PROFIXIO'!D173),'IMPORT PROFIXIO'!D173,DATEVALUE('IMPORT PROFIXIO'!D173)))</f>
        <v>46455</v>
      </c>
      <c r="C173" s="33">
        <f>IF(A173="","",IF(ISNUMBER('IMPORT PROFIXIO'!E173),'IMPORT PROFIXIO'!E173,(VALUE(LEFT('IMPORT PROFIXIO'!E173,FIND(":",'IMPORT PROFIXIO'!E173)-1))*60+VALUE(MID('IMPORT PROFIXIO'!E173,FIND(":",'IMPORT PROFIXIO'!E173)+1,2)))/1440))</f>
        <v>0.875</v>
      </c>
      <c r="D173" s="31" t="str">
        <f>IF(A173="","",'IMPORT PROFIXIO'!F173)</f>
        <v>Tallbackaskolan</v>
      </c>
      <c r="E173" s="31" t="str">
        <f>IF(A173="","",'IMPORT PROFIXIO'!K173)</f>
        <v>Damer - Dam trim Öst</v>
      </c>
      <c r="F173" s="34" t="str">
        <f>IF(A173="","",IFERROR(VLOOKUP(E173,KLASSNING!$A$5:$F$74,2,FALSE()),"SAKNAS"))</f>
        <v>Dam</v>
      </c>
      <c r="G173" s="34" t="str">
        <f>IF(A173="","",IFERROR(VLOOKUP(E173,KLASSNING!$A$5:$F$74,3,FALSE()),"SAKNAS"))</f>
        <v>Seriespel</v>
      </c>
      <c r="H173" s="34" t="str">
        <f>IF(A173="","",'IMPORT PROFIXIO'!H173)</f>
        <v>AIK</v>
      </c>
      <c r="I173" s="34" t="str">
        <f>IF(A173="","",'IMPORT PROFIXIO'!I173)</f>
        <v>Sannadals SK</v>
      </c>
      <c r="J173" s="34" t="str">
        <f t="shared" si="8"/>
        <v>Dam</v>
      </c>
      <c r="K173" s="34" t="str">
        <f t="shared" si="9"/>
        <v>Ja</v>
      </c>
      <c r="L173" s="34">
        <f>IF(A173="","",IFERROR(VLOOKUP(E173,KLASSNING!$A$5:$F$74,5,FALSE()),0))</f>
        <v>70</v>
      </c>
      <c r="M173" s="35">
        <f t="shared" si="10"/>
        <v>0.92361111111111116</v>
      </c>
      <c r="N173" s="34" t="str">
        <f>IF(A173="","",IF(K173&lt;&gt;"Ja","Ej aktuell",IF(L173&lt;=0,"KONTROLLERA MATCHTID",IF(AND(COUNTIFS(BEMANNINGSPLAN!$A$5:$A$546,B173,BEMANNINGSPLAN!$C$5:$C$546,D173,BEMANNINGSPLAN!$D$5:$D$546,"&lt;="&amp;C173,BEMANNINGSPLAN!$E$5:$E$546,"&gt;"&amp;C173)&gt;0,COUNTIFS(BEMANNINGSPLAN!$A$5:$A$546,B173,BEMANNINGSPLAN!$C$5:$C$546,D173,BEMANNINGSPLAN!$D$5:$D$546,"&lt;"&amp;M173,BEMANNINGSPLAN!$E$5:$E$546,"&gt;="&amp;M173)&gt;0),"Ja","SAKNAS TIDSRADER"))))</f>
        <v>Ja</v>
      </c>
      <c r="O173" s="137">
        <f>IF(OR(B173="",K173&lt;&gt;"Ja"),"",COUNTIFS($B$5:B173,B173,$K$5:K173,"Ja"))</f>
        <v>1</v>
      </c>
      <c r="P173" s="137" t="str">
        <f t="shared" si="11"/>
        <v>yyyy-00-09|1</v>
      </c>
    </row>
    <row r="174" spans="1:16" ht="13">
      <c r="A174" s="31" t="str">
        <f>IF('IMPORT PROFIXIO'!A174="","",'IMPORT PROFIXIO'!A174)</f>
        <v>26 6 1324 075</v>
      </c>
      <c r="B174" s="32">
        <f>IF(A174="","",IF(ISNUMBER('IMPORT PROFIXIO'!D174),'IMPORT PROFIXIO'!D174,DATEVALUE('IMPORT PROFIXIO'!D174)))</f>
        <v>46459</v>
      </c>
      <c r="C174" s="33">
        <f>IF(A174="","",IF(ISNUMBER('IMPORT PROFIXIO'!E174),'IMPORT PROFIXIO'!E174,(VALUE(LEFT('IMPORT PROFIXIO'!E174,FIND(":",'IMPORT PROFIXIO'!E174)-1))*60+VALUE(MID('IMPORT PROFIXIO'!E174,FIND(":",'IMPORT PROFIXIO'!E174)+1,2)))/1440))</f>
        <v>0.48958333333333331</v>
      </c>
      <c r="D174" s="31" t="str">
        <f>IF(A174="","",'IMPORT PROFIXIO'!F174)</f>
        <v>Råsta Park</v>
      </c>
      <c r="E174" s="31" t="str">
        <f>IF(A174="","",'IMPORT PROFIXIO'!K174)</f>
        <v>Flickor - F16 Öst - F16 Nivå 3 Öst</v>
      </c>
      <c r="F174" s="34" t="str">
        <f>IF(A174="","",IFERROR(VLOOKUP(E174,KLASSNING!$A$5:$F$74,2,FALSE()),"SAKNAS"))</f>
        <v>F16</v>
      </c>
      <c r="G174" s="34" t="str">
        <f>IF(A174="","",IFERROR(VLOOKUP(E174,KLASSNING!$A$5:$F$74,3,FALSE()),"SAKNAS"))</f>
        <v>Seriespel</v>
      </c>
      <c r="H174" s="34" t="str">
        <f>IF(A174="","",'IMPORT PROFIXIO'!H174)</f>
        <v>AIK 2</v>
      </c>
      <c r="I174" s="34" t="str">
        <f>IF(A174="","",'IMPORT PROFIXIO'!I174)</f>
        <v>Vallentuna HK</v>
      </c>
      <c r="J174" s="34" t="str">
        <f t="shared" si="8"/>
        <v>F16 2</v>
      </c>
      <c r="K174" s="34" t="str">
        <f t="shared" si="9"/>
        <v>Ja</v>
      </c>
      <c r="L174" s="34">
        <f>IF(A174="","",IFERROR(VLOOKUP(E174,KLASSNING!$A$5:$F$74,5,FALSE()),0))</f>
        <v>55</v>
      </c>
      <c r="M174" s="35">
        <f t="shared" si="10"/>
        <v>0.52777777777777779</v>
      </c>
      <c r="N174" s="34" t="str">
        <f>IF(A174="","",IF(K174&lt;&gt;"Ja","Ej aktuell",IF(L174&lt;=0,"KONTROLLERA MATCHTID",IF(AND(COUNTIFS(BEMANNINGSPLAN!$A$5:$A$546,B174,BEMANNINGSPLAN!$C$5:$C$546,D174,BEMANNINGSPLAN!$D$5:$D$546,"&lt;="&amp;C174,BEMANNINGSPLAN!$E$5:$E$546,"&gt;"&amp;C174)&gt;0,COUNTIFS(BEMANNINGSPLAN!$A$5:$A$546,B174,BEMANNINGSPLAN!$C$5:$C$546,D174,BEMANNINGSPLAN!$D$5:$D$546,"&lt;"&amp;M174,BEMANNINGSPLAN!$E$5:$E$546,"&gt;="&amp;M174)&gt;0),"Ja","SAKNAS TIDSRADER"))))</f>
        <v>Ja</v>
      </c>
      <c r="O174" s="137">
        <f>IF(OR(B174="",K174&lt;&gt;"Ja"),"",COUNTIFS($B$5:B174,B174,$K$5:K174,"Ja"))</f>
        <v>1</v>
      </c>
      <c r="P174" s="137" t="str">
        <f t="shared" si="11"/>
        <v>yyyy-00-13|1</v>
      </c>
    </row>
    <row r="175" spans="1:16" ht="13">
      <c r="A175" s="31" t="str">
        <f>IF('IMPORT PROFIXIO'!A175="","",'IMPORT PROFIXIO'!A175)</f>
        <v>26 6 1373 076</v>
      </c>
      <c r="B175" s="32">
        <f>IF(A175="","",IF(ISNUMBER('IMPORT PROFIXIO'!D175),'IMPORT PROFIXIO'!D175,DATEVALUE('IMPORT PROFIXIO'!D175)))</f>
        <v>46459</v>
      </c>
      <c r="C175" s="33">
        <f>IF(A175="","",IF(ISNUMBER('IMPORT PROFIXIO'!E175),'IMPORT PROFIXIO'!E175,(VALUE(LEFT('IMPORT PROFIXIO'!E175,FIND(":",'IMPORT PROFIXIO'!E175)-1))*60+VALUE(MID('IMPORT PROFIXIO'!E175,FIND(":",'IMPORT PROFIXIO'!E175)+1,2)))/1440))</f>
        <v>0.375</v>
      </c>
      <c r="D175" s="31" t="str">
        <f>IF(A175="","",'IMPORT PROFIXIO'!F175)</f>
        <v>Tallbackaskolan</v>
      </c>
      <c r="E175" s="31" t="str">
        <f>IF(A175="","",'IMPORT PROFIXIO'!K175)</f>
        <v>Flickor - F11 Öst - F11 Nivå 2 Öst City</v>
      </c>
      <c r="F175" s="34" t="str">
        <f>IF(A175="","",IFERROR(VLOOKUP(E175,KLASSNING!$A$5:$F$74,2,FALSE()),"SAKNAS"))</f>
        <v>F11</v>
      </c>
      <c r="G175" s="34" t="str">
        <f>IF(A175="","",IFERROR(VLOOKUP(E175,KLASSNING!$A$5:$F$74,3,FALSE()),"SAKNAS"))</f>
        <v>Seriespel</v>
      </c>
      <c r="H175" s="34" t="str">
        <f>IF(A175="","",'IMPORT PROFIXIO'!H175)</f>
        <v>AIK</v>
      </c>
      <c r="I175" s="34" t="str">
        <f>IF(A175="","",'IMPORT PROFIXIO'!I175)</f>
        <v>Spånga HK 2</v>
      </c>
      <c r="J175" s="34" t="str">
        <f t="shared" si="8"/>
        <v>F11</v>
      </c>
      <c r="K175" s="34" t="str">
        <f t="shared" si="9"/>
        <v>Ja</v>
      </c>
      <c r="L175" s="34">
        <f>IF(A175="","",IFERROR(VLOOKUP(E175,KLASSNING!$A$5:$F$74,5,FALSE()),0))</f>
        <v>35</v>
      </c>
      <c r="M175" s="35">
        <f t="shared" si="10"/>
        <v>0.39930555555555558</v>
      </c>
      <c r="N175" s="34" t="str">
        <f>IF(A175="","",IF(K175&lt;&gt;"Ja","Ej aktuell",IF(L175&lt;=0,"KONTROLLERA MATCHTID",IF(AND(COUNTIFS(BEMANNINGSPLAN!$A$5:$A$546,B175,BEMANNINGSPLAN!$C$5:$C$546,D175,BEMANNINGSPLAN!$D$5:$D$546,"&lt;="&amp;C175,BEMANNINGSPLAN!$E$5:$E$546,"&gt;"&amp;C175)&gt;0,COUNTIFS(BEMANNINGSPLAN!$A$5:$A$546,B175,BEMANNINGSPLAN!$C$5:$C$546,D175,BEMANNINGSPLAN!$D$5:$D$546,"&lt;"&amp;M175,BEMANNINGSPLAN!$E$5:$E$546,"&gt;="&amp;M175)&gt;0),"Ja","SAKNAS TIDSRADER"))))</f>
        <v>Ja</v>
      </c>
      <c r="O175" s="137">
        <f>IF(OR(B175="",K175&lt;&gt;"Ja"),"",COUNTIFS($B$5:B175,B175,$K$5:K175,"Ja"))</f>
        <v>2</v>
      </c>
      <c r="P175" s="137" t="str">
        <f t="shared" si="11"/>
        <v>yyyy-00-13|2</v>
      </c>
    </row>
    <row r="176" spans="1:16" ht="13">
      <c r="A176" s="31" t="str">
        <f>IF('IMPORT PROFIXIO'!A176="","",'IMPORT PROFIXIO'!A176)</f>
        <v>26 6 1562 088</v>
      </c>
      <c r="B176" s="32">
        <f>IF(A176="","",IF(ISNUMBER('IMPORT PROFIXIO'!D176),'IMPORT PROFIXIO'!D176,DATEVALUE('IMPORT PROFIXIO'!D176)))</f>
        <v>46459</v>
      </c>
      <c r="C176" s="33">
        <f>IF(A176="","",IF(ISNUMBER('IMPORT PROFIXIO'!E176),'IMPORT PROFIXIO'!E176,(VALUE(LEFT('IMPORT PROFIXIO'!E176,FIND(":",'IMPORT PROFIXIO'!E176)-1))*60+VALUE(MID('IMPORT PROFIXIO'!E176,FIND(":",'IMPORT PROFIXIO'!E176)+1,2)))/1440))</f>
        <v>0.41666666666666669</v>
      </c>
      <c r="D176" s="31" t="str">
        <f>IF(A176="","",'IMPORT PROFIXIO'!F176)</f>
        <v>Tallbackaskolan</v>
      </c>
      <c r="E176" s="31" t="str">
        <f>IF(A176="","",'IMPORT PROFIXIO'!K176)</f>
        <v>Pojkar - P12 Öst - P12 Nivå 2 Öst Norra</v>
      </c>
      <c r="F176" s="34" t="str">
        <f>IF(A176="","",IFERROR(VLOOKUP(E176,KLASSNING!$A$5:$F$74,2,FALSE()),"SAKNAS"))</f>
        <v>P12</v>
      </c>
      <c r="G176" s="34" t="str">
        <f>IF(A176="","",IFERROR(VLOOKUP(E176,KLASSNING!$A$5:$F$74,3,FALSE()),"SAKNAS"))</f>
        <v>Seriespel</v>
      </c>
      <c r="H176" s="34" t="str">
        <f>IF(A176="","",'IMPORT PROFIXIO'!H176)</f>
        <v>AIK</v>
      </c>
      <c r="I176" s="34" t="str">
        <f>IF(A176="","",'IMPORT PROFIXIO'!I176)</f>
        <v>Vallentuna HK</v>
      </c>
      <c r="J176" s="34" t="str">
        <f t="shared" si="8"/>
        <v>P12</v>
      </c>
      <c r="K176" s="34" t="str">
        <f t="shared" si="9"/>
        <v>Ja</v>
      </c>
      <c r="L176" s="34">
        <f>IF(A176="","",IFERROR(VLOOKUP(E176,KLASSNING!$A$5:$F$74,5,FALSE()),0))</f>
        <v>35</v>
      </c>
      <c r="M176" s="35">
        <f t="shared" si="10"/>
        <v>0.44097222222222227</v>
      </c>
      <c r="N176" s="34" t="str">
        <f>IF(A176="","",IF(K176&lt;&gt;"Ja","Ej aktuell",IF(L176&lt;=0,"KONTROLLERA MATCHTID",IF(AND(COUNTIFS(BEMANNINGSPLAN!$A$5:$A$546,B176,BEMANNINGSPLAN!$C$5:$C$546,D176,BEMANNINGSPLAN!$D$5:$D$546,"&lt;="&amp;C176,BEMANNINGSPLAN!$E$5:$E$546,"&gt;"&amp;C176)&gt;0,COUNTIFS(BEMANNINGSPLAN!$A$5:$A$546,B176,BEMANNINGSPLAN!$C$5:$C$546,D176,BEMANNINGSPLAN!$D$5:$D$546,"&lt;"&amp;M176,BEMANNINGSPLAN!$E$5:$E$546,"&gt;="&amp;M176)&gt;0),"Ja","SAKNAS TIDSRADER"))))</f>
        <v>Ja</v>
      </c>
      <c r="O176" s="137">
        <f>IF(OR(B176="",K176&lt;&gt;"Ja"),"",COUNTIFS($B$5:B176,B176,$K$5:K176,"Ja"))</f>
        <v>3</v>
      </c>
      <c r="P176" s="137" t="str">
        <f t="shared" si="11"/>
        <v>yyyy-00-13|3</v>
      </c>
    </row>
    <row r="177" spans="1:16" ht="13">
      <c r="A177" s="31" t="str">
        <f>IF('IMPORT PROFIXIO'!A177="","",'IMPORT PROFIXIO'!A177)</f>
        <v>26 6 1373 077</v>
      </c>
      <c r="B177" s="32">
        <f>IF(A177="","",IF(ISNUMBER('IMPORT PROFIXIO'!D177),'IMPORT PROFIXIO'!D177,DATEVALUE('IMPORT PROFIXIO'!D177)))</f>
        <v>46459</v>
      </c>
      <c r="C177" s="33">
        <f>IF(A177="","",IF(ISNUMBER('IMPORT PROFIXIO'!E177),'IMPORT PROFIXIO'!E177,(VALUE(LEFT('IMPORT PROFIXIO'!E177,FIND(":",'IMPORT PROFIXIO'!E177)-1))*60+VALUE(MID('IMPORT PROFIXIO'!E177,FIND(":",'IMPORT PROFIXIO'!E177)+1,2)))/1440))</f>
        <v>0.45833333333333331</v>
      </c>
      <c r="D177" s="31" t="str">
        <f>IF(A177="","",'IMPORT PROFIXIO'!F177)</f>
        <v>Tallbackaskolan</v>
      </c>
      <c r="E177" s="31" t="str">
        <f>IF(A177="","",'IMPORT PROFIXIO'!K177)</f>
        <v>Flickor - F11 Öst - F11 Nivå 2 Öst City</v>
      </c>
      <c r="F177" s="34" t="str">
        <f>IF(A177="","",IFERROR(VLOOKUP(E177,KLASSNING!$A$5:$F$74,2,FALSE()),"SAKNAS"))</f>
        <v>F11</v>
      </c>
      <c r="G177" s="34" t="str">
        <f>IF(A177="","",IFERROR(VLOOKUP(E177,KLASSNING!$A$5:$F$74,3,FALSE()),"SAKNAS"))</f>
        <v>Seriespel</v>
      </c>
      <c r="H177" s="34" t="str">
        <f>IF(A177="","",'IMPORT PROFIXIO'!H177)</f>
        <v>Sannadals SK</v>
      </c>
      <c r="I177" s="34" t="str">
        <f>IF(A177="","",'IMPORT PROFIXIO'!I177)</f>
        <v>Spånga HK 2</v>
      </c>
      <c r="J177" s="34" t="str">
        <f t="shared" si="8"/>
        <v/>
      </c>
      <c r="K177" s="34" t="str">
        <f t="shared" si="9"/>
        <v>Ja</v>
      </c>
      <c r="L177" s="34">
        <f>IF(A177="","",IFERROR(VLOOKUP(E177,KLASSNING!$A$5:$F$74,5,FALSE()),0))</f>
        <v>35</v>
      </c>
      <c r="M177" s="35">
        <f t="shared" si="10"/>
        <v>0.4826388888888889</v>
      </c>
      <c r="N177" s="34" t="str">
        <f>IF(A177="","",IF(K177&lt;&gt;"Ja","Ej aktuell",IF(L177&lt;=0,"KONTROLLERA MATCHTID",IF(AND(COUNTIFS(BEMANNINGSPLAN!$A$5:$A$546,B177,BEMANNINGSPLAN!$C$5:$C$546,D177,BEMANNINGSPLAN!$D$5:$D$546,"&lt;="&amp;C177,BEMANNINGSPLAN!$E$5:$E$546,"&gt;"&amp;C177)&gt;0,COUNTIFS(BEMANNINGSPLAN!$A$5:$A$546,B177,BEMANNINGSPLAN!$C$5:$C$546,D177,BEMANNINGSPLAN!$D$5:$D$546,"&lt;"&amp;M177,BEMANNINGSPLAN!$E$5:$E$546,"&gt;="&amp;M177)&gt;0),"Ja","SAKNAS TIDSRADER"))))</f>
        <v>Ja</v>
      </c>
      <c r="O177" s="137">
        <f>IF(OR(B177="",K177&lt;&gt;"Ja"),"",COUNTIFS($B$5:B177,B177,$K$5:K177,"Ja"))</f>
        <v>4</v>
      </c>
      <c r="P177" s="137" t="str">
        <f t="shared" si="11"/>
        <v>yyyy-00-13|4</v>
      </c>
    </row>
    <row r="178" spans="1:16" ht="13">
      <c r="A178" s="31" t="str">
        <f>IF('IMPORT PROFIXIO'!A178="","",'IMPORT PROFIXIO'!A178)</f>
        <v>26 6 1562 089</v>
      </c>
      <c r="B178" s="32">
        <f>IF(A178="","",IF(ISNUMBER('IMPORT PROFIXIO'!D178),'IMPORT PROFIXIO'!D178,DATEVALUE('IMPORT PROFIXIO'!D178)))</f>
        <v>46459</v>
      </c>
      <c r="C178" s="33">
        <f>IF(A178="","",IF(ISNUMBER('IMPORT PROFIXIO'!E178),'IMPORT PROFIXIO'!E178,(VALUE(LEFT('IMPORT PROFIXIO'!E178,FIND(":",'IMPORT PROFIXIO'!E178)-1))*60+VALUE(MID('IMPORT PROFIXIO'!E178,FIND(":",'IMPORT PROFIXIO'!E178)+1,2)))/1440))</f>
        <v>0.5</v>
      </c>
      <c r="D178" s="31" t="str">
        <f>IF(A178="","",'IMPORT PROFIXIO'!F178)</f>
        <v>Tallbackaskolan</v>
      </c>
      <c r="E178" s="31" t="str">
        <f>IF(A178="","",'IMPORT PROFIXIO'!K178)</f>
        <v>Pojkar - P12 Öst - P12 Nivå 2 Öst Norra</v>
      </c>
      <c r="F178" s="34" t="str">
        <f>IF(A178="","",IFERROR(VLOOKUP(E178,KLASSNING!$A$5:$F$74,2,FALSE()),"SAKNAS"))</f>
        <v>P12</v>
      </c>
      <c r="G178" s="34" t="str">
        <f>IF(A178="","",IFERROR(VLOOKUP(E178,KLASSNING!$A$5:$F$74,3,FALSE()),"SAKNAS"))</f>
        <v>Seriespel</v>
      </c>
      <c r="H178" s="34" t="str">
        <f>IF(A178="","",'IMPORT PROFIXIO'!H178)</f>
        <v>Lidingö SK 2</v>
      </c>
      <c r="I178" s="34" t="str">
        <f>IF(A178="","",'IMPORT PROFIXIO'!I178)</f>
        <v>Vallentuna HK</v>
      </c>
      <c r="J178" s="34" t="str">
        <f t="shared" si="8"/>
        <v/>
      </c>
      <c r="K178" s="34" t="str">
        <f t="shared" si="9"/>
        <v>Ja</v>
      </c>
      <c r="L178" s="34">
        <f>IF(A178="","",IFERROR(VLOOKUP(E178,KLASSNING!$A$5:$F$74,5,FALSE()),0))</f>
        <v>35</v>
      </c>
      <c r="M178" s="35">
        <f t="shared" si="10"/>
        <v>0.52430555555555558</v>
      </c>
      <c r="N178" s="34" t="str">
        <f>IF(A178="","",IF(K178&lt;&gt;"Ja","Ej aktuell",IF(L178&lt;=0,"KONTROLLERA MATCHTID",IF(AND(COUNTIFS(BEMANNINGSPLAN!$A$5:$A$546,B178,BEMANNINGSPLAN!$C$5:$C$546,D178,BEMANNINGSPLAN!$D$5:$D$546,"&lt;="&amp;C178,BEMANNINGSPLAN!$E$5:$E$546,"&gt;"&amp;C178)&gt;0,COUNTIFS(BEMANNINGSPLAN!$A$5:$A$546,B178,BEMANNINGSPLAN!$C$5:$C$546,D178,BEMANNINGSPLAN!$D$5:$D$546,"&lt;"&amp;M178,BEMANNINGSPLAN!$E$5:$E$546,"&gt;="&amp;M178)&gt;0),"Ja","SAKNAS TIDSRADER"))))</f>
        <v>Ja</v>
      </c>
      <c r="O178" s="137">
        <f>IF(OR(B178="",K178&lt;&gt;"Ja"),"",COUNTIFS($B$5:B178,B178,$K$5:K178,"Ja"))</f>
        <v>5</v>
      </c>
      <c r="P178" s="137" t="str">
        <f t="shared" si="11"/>
        <v>yyyy-00-13|5</v>
      </c>
    </row>
    <row r="179" spans="1:16" ht="13">
      <c r="A179" s="31" t="str">
        <f>IF('IMPORT PROFIXIO'!A179="","",'IMPORT PROFIXIO'!A179)</f>
        <v>26 6 1373 078</v>
      </c>
      <c r="B179" s="32">
        <f>IF(A179="","",IF(ISNUMBER('IMPORT PROFIXIO'!D179),'IMPORT PROFIXIO'!D179,DATEVALUE('IMPORT PROFIXIO'!D179)))</f>
        <v>46459</v>
      </c>
      <c r="C179" s="33">
        <f>IF(A179="","",IF(ISNUMBER('IMPORT PROFIXIO'!E179),'IMPORT PROFIXIO'!E179,(VALUE(LEFT('IMPORT PROFIXIO'!E179,FIND(":",'IMPORT PROFIXIO'!E179)-1))*60+VALUE(MID('IMPORT PROFIXIO'!E179,FIND(":",'IMPORT PROFIXIO'!E179)+1,2)))/1440))</f>
        <v>0.54166666666666663</v>
      </c>
      <c r="D179" s="31" t="str">
        <f>IF(A179="","",'IMPORT PROFIXIO'!F179)</f>
        <v>Tallbackaskolan</v>
      </c>
      <c r="E179" s="31" t="str">
        <f>IF(A179="","",'IMPORT PROFIXIO'!K179)</f>
        <v>Flickor - F11 Öst - F11 Nivå 2 Öst City</v>
      </c>
      <c r="F179" s="34" t="str">
        <f>IF(A179="","",IFERROR(VLOOKUP(E179,KLASSNING!$A$5:$F$74,2,FALSE()),"SAKNAS"))</f>
        <v>F11</v>
      </c>
      <c r="G179" s="34" t="str">
        <f>IF(A179="","",IFERROR(VLOOKUP(E179,KLASSNING!$A$5:$F$74,3,FALSE()),"SAKNAS"))</f>
        <v>Seriespel</v>
      </c>
      <c r="H179" s="34" t="str">
        <f>IF(A179="","",'IMPORT PROFIXIO'!H179)</f>
        <v>AIK</v>
      </c>
      <c r="I179" s="34" t="str">
        <f>IF(A179="","",'IMPORT PROFIXIO'!I179)</f>
        <v>Sannadals SK</v>
      </c>
      <c r="J179" s="34" t="str">
        <f t="shared" si="8"/>
        <v>F11</v>
      </c>
      <c r="K179" s="34" t="str">
        <f t="shared" si="9"/>
        <v>Ja</v>
      </c>
      <c r="L179" s="34">
        <f>IF(A179="","",IFERROR(VLOOKUP(E179,KLASSNING!$A$5:$F$74,5,FALSE()),0))</f>
        <v>35</v>
      </c>
      <c r="M179" s="35">
        <f t="shared" si="10"/>
        <v>0.56597222222222221</v>
      </c>
      <c r="N179" s="34" t="str">
        <f>IF(A179="","",IF(K179&lt;&gt;"Ja","Ej aktuell",IF(L179&lt;=0,"KONTROLLERA MATCHTID",IF(AND(COUNTIFS(BEMANNINGSPLAN!$A$5:$A$546,B179,BEMANNINGSPLAN!$C$5:$C$546,D179,BEMANNINGSPLAN!$D$5:$D$546,"&lt;="&amp;C179,BEMANNINGSPLAN!$E$5:$E$546,"&gt;"&amp;C179)&gt;0,COUNTIFS(BEMANNINGSPLAN!$A$5:$A$546,B179,BEMANNINGSPLAN!$C$5:$C$546,D179,BEMANNINGSPLAN!$D$5:$D$546,"&lt;"&amp;M179,BEMANNINGSPLAN!$E$5:$E$546,"&gt;="&amp;M179)&gt;0),"Ja","SAKNAS TIDSRADER"))))</f>
        <v>Ja</v>
      </c>
      <c r="O179" s="137">
        <f>IF(OR(B179="",K179&lt;&gt;"Ja"),"",COUNTIFS($B$5:B179,B179,$K$5:K179,"Ja"))</f>
        <v>6</v>
      </c>
      <c r="P179" s="137" t="str">
        <f t="shared" si="11"/>
        <v>yyyy-00-13|6</v>
      </c>
    </row>
    <row r="180" spans="1:16" ht="13">
      <c r="A180" s="31" t="str">
        <f>IF('IMPORT PROFIXIO'!A180="","",'IMPORT PROFIXIO'!A180)</f>
        <v>26 6 1562 090</v>
      </c>
      <c r="B180" s="32">
        <f>IF(A180="","",IF(ISNUMBER('IMPORT PROFIXIO'!D180),'IMPORT PROFIXIO'!D180,DATEVALUE('IMPORT PROFIXIO'!D180)))</f>
        <v>46459</v>
      </c>
      <c r="C180" s="33">
        <f>IF(A180="","",IF(ISNUMBER('IMPORT PROFIXIO'!E180),'IMPORT PROFIXIO'!E180,(VALUE(LEFT('IMPORT PROFIXIO'!E180,FIND(":",'IMPORT PROFIXIO'!E180)-1))*60+VALUE(MID('IMPORT PROFIXIO'!E180,FIND(":",'IMPORT PROFIXIO'!E180)+1,2)))/1440))</f>
        <v>0.58333333333333337</v>
      </c>
      <c r="D180" s="31" t="str">
        <f>IF(A180="","",'IMPORT PROFIXIO'!F180)</f>
        <v>Tallbackaskolan</v>
      </c>
      <c r="E180" s="31" t="str">
        <f>IF(A180="","",'IMPORT PROFIXIO'!K180)</f>
        <v>Pojkar - P12 Öst - P12 Nivå 2 Öst Norra</v>
      </c>
      <c r="F180" s="34" t="str">
        <f>IF(A180="","",IFERROR(VLOOKUP(E180,KLASSNING!$A$5:$F$74,2,FALSE()),"SAKNAS"))</f>
        <v>P12</v>
      </c>
      <c r="G180" s="34" t="str">
        <f>IF(A180="","",IFERROR(VLOOKUP(E180,KLASSNING!$A$5:$F$74,3,FALSE()),"SAKNAS"))</f>
        <v>Seriespel</v>
      </c>
      <c r="H180" s="34" t="str">
        <f>IF(A180="","",'IMPORT PROFIXIO'!H180)</f>
        <v>AIK</v>
      </c>
      <c r="I180" s="34" t="str">
        <f>IF(A180="","",'IMPORT PROFIXIO'!I180)</f>
        <v>Lidingö SK 2</v>
      </c>
      <c r="J180" s="34" t="str">
        <f t="shared" si="8"/>
        <v>P12</v>
      </c>
      <c r="K180" s="34" t="str">
        <f t="shared" si="9"/>
        <v>Ja</v>
      </c>
      <c r="L180" s="34">
        <f>IF(A180="","",IFERROR(VLOOKUP(E180,KLASSNING!$A$5:$F$74,5,FALSE()),0))</f>
        <v>35</v>
      </c>
      <c r="M180" s="35">
        <f t="shared" si="10"/>
        <v>0.60763888888888895</v>
      </c>
      <c r="N180" s="34" t="str">
        <f>IF(A180="","",IF(K180&lt;&gt;"Ja","Ej aktuell",IF(L180&lt;=0,"KONTROLLERA MATCHTID",IF(AND(COUNTIFS(BEMANNINGSPLAN!$A$5:$A$546,B180,BEMANNINGSPLAN!$C$5:$C$546,D180,BEMANNINGSPLAN!$D$5:$D$546,"&lt;="&amp;C180,BEMANNINGSPLAN!$E$5:$E$546,"&gt;"&amp;C180)&gt;0,COUNTIFS(BEMANNINGSPLAN!$A$5:$A$546,B180,BEMANNINGSPLAN!$C$5:$C$546,D180,BEMANNINGSPLAN!$D$5:$D$546,"&lt;"&amp;M180,BEMANNINGSPLAN!$E$5:$E$546,"&gt;="&amp;M180)&gt;0),"Ja","SAKNAS TIDSRADER"))))</f>
        <v>Ja</v>
      </c>
      <c r="O180" s="137">
        <f>IF(OR(B180="",K180&lt;&gt;"Ja"),"",COUNTIFS($B$5:B180,B180,$K$5:K180,"Ja"))</f>
        <v>7</v>
      </c>
      <c r="P180" s="137" t="str">
        <f t="shared" si="11"/>
        <v>yyyy-00-13|7</v>
      </c>
    </row>
    <row r="181" spans="1:16" ht="13">
      <c r="A181" s="31">
        <f>IF('IMPORT PROFIXIO'!A181="","",'IMPORT PROFIXIO'!A181)</f>
        <v>529383</v>
      </c>
      <c r="B181" s="32">
        <f>IF(A181="","",IF(ISNUMBER('IMPORT PROFIXIO'!D181),'IMPORT PROFIXIO'!D181,DATEVALUE('IMPORT PROFIXIO'!D181)))</f>
        <v>46459</v>
      </c>
      <c r="C181" s="33">
        <f>IF(A181="","",IF(ISNUMBER('IMPORT PROFIXIO'!E181),'IMPORT PROFIXIO'!E181,(VALUE(LEFT('IMPORT PROFIXIO'!E181,FIND(":",'IMPORT PROFIXIO'!E181)-1))*60+VALUE(MID('IMPORT PROFIXIO'!E181,FIND(":",'IMPORT PROFIXIO'!E181)+1,2)))/1440))</f>
        <v>0.375</v>
      </c>
      <c r="D181" s="31" t="str">
        <f>IF(A181="","",'IMPORT PROFIXIO'!F181)</f>
        <v>Ulriksdalshallen</v>
      </c>
      <c r="E181" s="31" t="str">
        <f>IF(A181="","",'IMPORT PROFIXIO'!K181)</f>
        <v>Arrangörsskap - Handbollfestival Vår - Omg3/ 13-14mars alt 20-21mars</v>
      </c>
      <c r="F181" s="34" t="str">
        <f>IF(A181="","",IFERROR(VLOOKUP(E181,KLASSNING!$A$5:$F$74,2,FALSE()),"SAKNAS"))</f>
        <v>U8</v>
      </c>
      <c r="G181" s="34" t="str">
        <f>IF(A181="","",IFERROR(VLOOKUP(E181,KLASSNING!$A$5:$F$74,3,FALSE()),"SAKNAS"))</f>
        <v>Handbollfestival</v>
      </c>
      <c r="H181" s="34" t="str">
        <f>IF(A181="","",'IMPORT PROFIXIO'!H181)</f>
        <v>HF Öst</v>
      </c>
      <c r="I181" s="34" t="str">
        <f>IF(A181="","",'IMPORT PROFIXIO'!I181)</f>
        <v>HF Öst 2</v>
      </c>
      <c r="J181" s="34" t="str">
        <f t="shared" si="8"/>
        <v/>
      </c>
      <c r="K181" s="34" t="str">
        <f t="shared" si="9"/>
        <v>Ja</v>
      </c>
      <c r="L181" s="34">
        <f>IF(A181="","",IFERROR(VLOOKUP(E181,KLASSNING!$A$5:$F$74,5,FALSE()),0))</f>
        <v>180</v>
      </c>
      <c r="M181" s="35">
        <f t="shared" si="10"/>
        <v>0.5</v>
      </c>
      <c r="N181" s="34" t="str">
        <f>IF(A181="","",IF(K181&lt;&gt;"Ja","Ej aktuell",IF(L181&lt;=0,"KONTROLLERA MATCHTID",IF(AND(COUNTIFS(BEMANNINGSPLAN!$A$5:$A$546,B181,BEMANNINGSPLAN!$C$5:$C$546,D181,BEMANNINGSPLAN!$D$5:$D$546,"&lt;="&amp;C181,BEMANNINGSPLAN!$E$5:$E$546,"&gt;"&amp;C181)&gt;0,COUNTIFS(BEMANNINGSPLAN!$A$5:$A$546,B181,BEMANNINGSPLAN!$C$5:$C$546,D181,BEMANNINGSPLAN!$D$5:$D$546,"&lt;"&amp;M181,BEMANNINGSPLAN!$E$5:$E$546,"&gt;="&amp;M181)&gt;0),"Ja","SAKNAS TIDSRADER"))))</f>
        <v>Ja</v>
      </c>
      <c r="O181" s="137">
        <f>IF(OR(B181="",K181&lt;&gt;"Ja"),"",COUNTIFS($B$5:B181,B181,$K$5:K181,"Ja"))</f>
        <v>8</v>
      </c>
      <c r="P181" s="137" t="str">
        <f t="shared" si="11"/>
        <v>yyyy-00-13|8</v>
      </c>
    </row>
    <row r="182" spans="1:16" ht="13">
      <c r="A182" s="31">
        <f>IF('IMPORT PROFIXIO'!A182="","",'IMPORT PROFIXIO'!A182)</f>
        <v>530023</v>
      </c>
      <c r="B182" s="32">
        <f>IF(A182="","",IF(ISNUMBER('IMPORT PROFIXIO'!D182),'IMPORT PROFIXIO'!D182,DATEVALUE('IMPORT PROFIXIO'!D182)))</f>
        <v>46459</v>
      </c>
      <c r="C182" s="33">
        <f>IF(A182="","",IF(ISNUMBER('IMPORT PROFIXIO'!E182),'IMPORT PROFIXIO'!E182,(VALUE(LEFT('IMPORT PROFIXIO'!E182,FIND(":",'IMPORT PROFIXIO'!E182)-1))*60+VALUE(MID('IMPORT PROFIXIO'!E182,FIND(":",'IMPORT PROFIXIO'!E182)+1,2)))/1440))</f>
        <v>0.52083333333333337</v>
      </c>
      <c r="D182" s="31" t="str">
        <f>IF(A182="","",'IMPORT PROFIXIO'!F182)</f>
        <v>Ulriksdalshallen</v>
      </c>
      <c r="E182" s="31" t="str">
        <f>IF(A182="","",'IMPORT PROFIXIO'!K182)</f>
        <v>Arrangörsskap - Vårens spel - Omg4/ F10K P9M F9K/ 13-14mars</v>
      </c>
      <c r="F182" s="34" t="str">
        <f>IF(A182="","",IFERROR(VLOOKUP(E182,KLASSNING!$A$5:$F$74,2,FALSE()),"SAKNAS"))</f>
        <v>Kontrollera</v>
      </c>
      <c r="G182" s="34" t="str">
        <f>IF(A182="","",IFERROR(VLOOKUP(E182,KLASSNING!$A$5:$F$74,3,FALSE()),"SAKNAS"))</f>
        <v>Kortplan/miniplan</v>
      </c>
      <c r="H182" s="34" t="str">
        <f>IF(A182="","",'IMPORT PROFIXIO'!H182)</f>
        <v>HF Öst</v>
      </c>
      <c r="I182" s="34" t="str">
        <f>IF(A182="","",'IMPORT PROFIXIO'!I182)</f>
        <v>HF Öst 2</v>
      </c>
      <c r="J182" s="34" t="str">
        <f t="shared" si="8"/>
        <v/>
      </c>
      <c r="K182" s="34" t="str">
        <f t="shared" si="9"/>
        <v>Ja</v>
      </c>
      <c r="L182" s="34">
        <f>IF(A182="","",IFERROR(VLOOKUP(E182,KLASSNING!$A$5:$F$74,5,FALSE()),0))</f>
        <v>180</v>
      </c>
      <c r="M182" s="35">
        <f t="shared" si="10"/>
        <v>0.64583333333333337</v>
      </c>
      <c r="N182" s="34" t="str">
        <f>IF(A182="","",IF(K182&lt;&gt;"Ja","Ej aktuell",IF(L182&lt;=0,"KONTROLLERA MATCHTID",IF(AND(COUNTIFS(BEMANNINGSPLAN!$A$5:$A$546,B182,BEMANNINGSPLAN!$C$5:$C$546,D182,BEMANNINGSPLAN!$D$5:$D$546,"&lt;="&amp;C182,BEMANNINGSPLAN!$E$5:$E$546,"&gt;"&amp;C182)&gt;0,COUNTIFS(BEMANNINGSPLAN!$A$5:$A$546,B182,BEMANNINGSPLAN!$C$5:$C$546,D182,BEMANNINGSPLAN!$D$5:$D$546,"&lt;"&amp;M182,BEMANNINGSPLAN!$E$5:$E$546,"&gt;="&amp;M182)&gt;0),"Ja","SAKNAS TIDSRADER"))))</f>
        <v>Ja</v>
      </c>
      <c r="O182" s="137">
        <f>IF(OR(B182="",K182&lt;&gt;"Ja"),"",COUNTIFS($B$5:B182,B182,$K$5:K182,"Ja"))</f>
        <v>9</v>
      </c>
      <c r="P182" s="137" t="str">
        <f t="shared" si="11"/>
        <v>yyyy-00-13|9</v>
      </c>
    </row>
    <row r="183" spans="1:16" ht="13">
      <c r="A183" s="31" t="str">
        <f>IF('IMPORT PROFIXIO'!A183="","",'IMPORT PROFIXIO'!A183)</f>
        <v>26 6 1524 077</v>
      </c>
      <c r="B183" s="32">
        <f>IF(A183="","",IF(ISNUMBER('IMPORT PROFIXIO'!D183),'IMPORT PROFIXIO'!D183,DATEVALUE('IMPORT PROFIXIO'!D183)))</f>
        <v>46466</v>
      </c>
      <c r="C183" s="33">
        <f>IF(A183="","",IF(ISNUMBER('IMPORT PROFIXIO'!E183),'IMPORT PROFIXIO'!E183,(VALUE(LEFT('IMPORT PROFIXIO'!E183,FIND(":",'IMPORT PROFIXIO'!E183)-1))*60+VALUE(MID('IMPORT PROFIXIO'!E183,FIND(":",'IMPORT PROFIXIO'!E183)+1,2)))/1440))</f>
        <v>0.56944444444444442</v>
      </c>
      <c r="D183" s="31" t="str">
        <f>IF(A183="","",'IMPORT PROFIXIO'!F183)</f>
        <v>Råsta Park</v>
      </c>
      <c r="E183" s="31" t="str">
        <f>IF(A183="","",'IMPORT PROFIXIO'!K183)</f>
        <v>Pojkar - P16 Öst - P16 Nivå 3 Öst</v>
      </c>
      <c r="F183" s="34" t="str">
        <f>IF(A183="","",IFERROR(VLOOKUP(E183,KLASSNING!$A$5:$F$74,2,FALSE()),"SAKNAS"))</f>
        <v>P16</v>
      </c>
      <c r="G183" s="34" t="str">
        <f>IF(A183="","",IFERROR(VLOOKUP(E183,KLASSNING!$A$5:$F$74,3,FALSE()),"SAKNAS"))</f>
        <v>Seriespel</v>
      </c>
      <c r="H183" s="34" t="str">
        <f>IF(A183="","",'IMPORT PROFIXIO'!H183)</f>
        <v>AIK 2</v>
      </c>
      <c r="I183" s="34" t="str">
        <f>IF(A183="","",'IMPORT PROFIXIO'!I183)</f>
        <v>Årsta AIK HF 2</v>
      </c>
      <c r="J183" s="34" t="str">
        <f t="shared" si="8"/>
        <v>P16 2</v>
      </c>
      <c r="K183" s="34" t="str">
        <f t="shared" si="9"/>
        <v>Ja</v>
      </c>
      <c r="L183" s="34">
        <f>IF(A183="","",IFERROR(VLOOKUP(E183,KLASSNING!$A$5:$F$74,5,FALSE()),0))</f>
        <v>55</v>
      </c>
      <c r="M183" s="35">
        <f t="shared" si="10"/>
        <v>0.60763888888888884</v>
      </c>
      <c r="N183" s="34" t="str">
        <f>IF(A183="","",IF(K183&lt;&gt;"Ja","Ej aktuell",IF(L183&lt;=0,"KONTROLLERA MATCHTID",IF(AND(COUNTIFS(BEMANNINGSPLAN!$A$5:$A$546,B183,BEMANNINGSPLAN!$C$5:$C$546,D183,BEMANNINGSPLAN!$D$5:$D$546,"&lt;="&amp;C183,BEMANNINGSPLAN!$E$5:$E$546,"&gt;"&amp;C183)&gt;0,COUNTIFS(BEMANNINGSPLAN!$A$5:$A$546,B183,BEMANNINGSPLAN!$C$5:$C$546,D183,BEMANNINGSPLAN!$D$5:$D$546,"&lt;"&amp;M183,BEMANNINGSPLAN!$E$5:$E$546,"&gt;="&amp;M183)&gt;0),"Ja","SAKNAS TIDSRADER"))))</f>
        <v>Ja</v>
      </c>
      <c r="O183" s="137">
        <f>IF(OR(B183="",K183&lt;&gt;"Ja"),"",COUNTIFS($B$5:B183,B183,$K$5:K183,"Ja"))</f>
        <v>1</v>
      </c>
      <c r="P183" s="137" t="str">
        <f t="shared" si="11"/>
        <v>yyyy-00-20|1</v>
      </c>
    </row>
    <row r="184" spans="1:16" ht="13">
      <c r="A184" s="31" t="str">
        <f>IF('IMPORT PROFIXIO'!A184="","",'IMPORT PROFIXIO'!A184)</f>
        <v>26 6 1141 071</v>
      </c>
      <c r="B184" s="32">
        <f>IF(A184="","",IF(ISNUMBER('IMPORT PROFIXIO'!D184),'IMPORT PROFIXIO'!D184,DATEVALUE('IMPORT PROFIXIO'!D184)))</f>
        <v>46466</v>
      </c>
      <c r="C184" s="33">
        <f>IF(A184="","",IF(ISNUMBER('IMPORT PROFIXIO'!E184),'IMPORT PROFIXIO'!E184,(VALUE(LEFT('IMPORT PROFIXIO'!E184,FIND(":",'IMPORT PROFIXIO'!E184)-1))*60+VALUE(MID('IMPORT PROFIXIO'!E184,FIND(":",'IMPORT PROFIXIO'!E184)+1,2)))/1440))</f>
        <v>0.54166666666666663</v>
      </c>
      <c r="D184" s="31" t="str">
        <f>IF(A184="","",'IMPORT PROFIXIO'!F184)</f>
        <v>Solnahallen</v>
      </c>
      <c r="E184" s="31" t="str">
        <f>IF(A184="","",'IMPORT PROFIXIO'!K184)</f>
        <v>Damer - Dam 4 Öst - Dam 4 Öst Norra</v>
      </c>
      <c r="F184" s="34" t="str">
        <f>IF(A184="","",IFERROR(VLOOKUP(E184,KLASSNING!$A$5:$F$74,2,FALSE()),"SAKNAS"))</f>
        <v>Dam</v>
      </c>
      <c r="G184" s="34" t="str">
        <f>IF(A184="","",IFERROR(VLOOKUP(E184,KLASSNING!$A$5:$F$74,3,FALSE()),"SAKNAS"))</f>
        <v>Seriespel</v>
      </c>
      <c r="H184" s="34" t="str">
        <f>IF(A184="","",'IMPORT PROFIXIO'!H184)</f>
        <v>AIK 2</v>
      </c>
      <c r="I184" s="34" t="str">
        <f>IF(A184="","",'IMPORT PROFIXIO'!I184)</f>
        <v>Djurgårdens HF 2</v>
      </c>
      <c r="J184" s="34" t="str">
        <f t="shared" si="8"/>
        <v>Dam 2</v>
      </c>
      <c r="K184" s="34" t="str">
        <f t="shared" si="9"/>
        <v>Nej</v>
      </c>
      <c r="L184" s="34">
        <f>IF(A184="","",IFERROR(VLOOKUP(E184,KLASSNING!$A$5:$F$74,5,FALSE()),0))</f>
        <v>70</v>
      </c>
      <c r="M184" s="35" t="str">
        <f t="shared" si="10"/>
        <v/>
      </c>
      <c r="N184" s="34" t="str">
        <f>IF(A184="","",IF(K184&lt;&gt;"Ja","Ej aktuell",IF(L184&lt;=0,"KONTROLLERA MATCHTID",IF(AND(COUNTIFS(BEMANNINGSPLAN!$A$5:$A$546,B184,BEMANNINGSPLAN!$C$5:$C$546,D184,BEMANNINGSPLAN!$D$5:$D$546,"&lt;="&amp;C184,BEMANNINGSPLAN!$E$5:$E$546,"&gt;"&amp;C184)&gt;0,COUNTIFS(BEMANNINGSPLAN!$A$5:$A$546,B184,BEMANNINGSPLAN!$C$5:$C$546,D184,BEMANNINGSPLAN!$D$5:$D$546,"&lt;"&amp;M184,BEMANNINGSPLAN!$E$5:$E$546,"&gt;="&amp;M184)&gt;0),"Ja","SAKNAS TIDSRADER"))))</f>
        <v>Ej aktuell</v>
      </c>
      <c r="O184" s="137" t="str">
        <f>IF(OR(B184="",K184&lt;&gt;"Ja"),"",COUNTIFS($B$5:B184,B184,$K$5:K184,"Ja"))</f>
        <v/>
      </c>
      <c r="P184" s="137" t="str">
        <f t="shared" si="11"/>
        <v/>
      </c>
    </row>
    <row r="185" spans="1:16" ht="13">
      <c r="A185" s="31" t="str">
        <f>IF('IMPORT PROFIXIO'!A185="","",'IMPORT PROFIXIO'!A185)</f>
        <v>26 -1 1121 129</v>
      </c>
      <c r="B185" s="32">
        <f>IF(A185="","",IF(ISNUMBER('IMPORT PROFIXIO'!D185),'IMPORT PROFIXIO'!D185,DATEVALUE('IMPORT PROFIXIO'!D185)))</f>
        <v>46466</v>
      </c>
      <c r="C185" s="33">
        <f>IF(A185="","",IF(ISNUMBER('IMPORT PROFIXIO'!E185),'IMPORT PROFIXIO'!E185,(VALUE(LEFT('IMPORT PROFIXIO'!E185,FIND(":",'IMPORT PROFIXIO'!E185)-1))*60+VALUE(MID('IMPORT PROFIXIO'!E185,FIND(":",'IMPORT PROFIXIO'!E185)+1,2)))/1440))</f>
        <v>0.66666666666666663</v>
      </c>
      <c r="D185" s="31" t="str">
        <f>IF(A185="","",'IMPORT PROFIXIO'!F185)</f>
        <v>Solnahallen</v>
      </c>
      <c r="E185" s="31" t="str">
        <f>IF(A185="","",'IMPORT PROFIXIO'!K185)</f>
        <v>Damer - Damallsvenskan</v>
      </c>
      <c r="F185" s="34" t="str">
        <f>IF(A185="","",IFERROR(VLOOKUP(E185,KLASSNING!$A$5:$F$74,2,FALSE()),"SAKNAS"))</f>
        <v>Dam</v>
      </c>
      <c r="G185" s="34" t="str">
        <f>IF(A185="","",IFERROR(VLOOKUP(E185,KLASSNING!$A$5:$F$74,3,FALSE()),"SAKNAS"))</f>
        <v>Seriespel</v>
      </c>
      <c r="H185" s="34" t="str">
        <f>IF(A185="","",'IMPORT PROFIXIO'!H185)</f>
        <v>AIK</v>
      </c>
      <c r="I185" s="34" t="str">
        <f>IF(A185="","",'IMPORT PROFIXIO'!I185)</f>
        <v>HK Drott Halmstad</v>
      </c>
      <c r="J185" s="34" t="str">
        <f t="shared" si="8"/>
        <v>Dam</v>
      </c>
      <c r="K185" s="34" t="str">
        <f t="shared" si="9"/>
        <v>Nej</v>
      </c>
      <c r="L185" s="34">
        <f>IF(A185="","",IFERROR(VLOOKUP(E185,KLASSNING!$A$5:$F$74,5,FALSE()),0))</f>
        <v>70</v>
      </c>
      <c r="M185" s="35" t="str">
        <f t="shared" si="10"/>
        <v/>
      </c>
      <c r="N185" s="34" t="str">
        <f>IF(A185="","",IF(K185&lt;&gt;"Ja","Ej aktuell",IF(L185&lt;=0,"KONTROLLERA MATCHTID",IF(AND(COUNTIFS(BEMANNINGSPLAN!$A$5:$A$546,B185,BEMANNINGSPLAN!$C$5:$C$546,D185,BEMANNINGSPLAN!$D$5:$D$546,"&lt;="&amp;C185,BEMANNINGSPLAN!$E$5:$E$546,"&gt;"&amp;C185)&gt;0,COUNTIFS(BEMANNINGSPLAN!$A$5:$A$546,B185,BEMANNINGSPLAN!$C$5:$C$546,D185,BEMANNINGSPLAN!$D$5:$D$546,"&lt;"&amp;M185,BEMANNINGSPLAN!$E$5:$E$546,"&gt;="&amp;M185)&gt;0),"Ja","SAKNAS TIDSRADER"))))</f>
        <v>Ej aktuell</v>
      </c>
      <c r="O185" s="137" t="str">
        <f>IF(OR(B185="",K185&lt;&gt;"Ja"),"",COUNTIFS($B$5:B185,B185,$K$5:K185,"Ja"))</f>
        <v/>
      </c>
      <c r="P185" s="137" t="str">
        <f t="shared" si="11"/>
        <v/>
      </c>
    </row>
    <row r="186" spans="1:16" ht="13">
      <c r="A186" s="31" t="str">
        <f>IF('IMPORT PROFIXIO'!A186="","",'IMPORT PROFIXIO'!A186)</f>
        <v>26 6 1563 088</v>
      </c>
      <c r="B186" s="32">
        <f>IF(A186="","",IF(ISNUMBER('IMPORT PROFIXIO'!D186),'IMPORT PROFIXIO'!D186,DATEVALUE('IMPORT PROFIXIO'!D186)))</f>
        <v>46466</v>
      </c>
      <c r="C186" s="33">
        <f>IF(A186="","",IF(ISNUMBER('IMPORT PROFIXIO'!E186),'IMPORT PROFIXIO'!E186,(VALUE(LEFT('IMPORT PROFIXIO'!E186,FIND(":",'IMPORT PROFIXIO'!E186)-1))*60+VALUE(MID('IMPORT PROFIXIO'!E186,FIND(":",'IMPORT PROFIXIO'!E186)+1,2)))/1440))</f>
        <v>0.43055555555555558</v>
      </c>
      <c r="D186" s="31" t="str">
        <f>IF(A186="","",'IMPORT PROFIXIO'!F186)</f>
        <v>Tallbackaskolan</v>
      </c>
      <c r="E186" s="31" t="str">
        <f>IF(A186="","",'IMPORT PROFIXIO'!K186)</f>
        <v>Pojkar - P12 Öst - P12 Nivå 2 Öst Södra</v>
      </c>
      <c r="F186" s="34" t="str">
        <f>IF(A186="","",IFERROR(VLOOKUP(E186,KLASSNING!$A$5:$F$74,2,FALSE()),"SAKNAS"))</f>
        <v>P12</v>
      </c>
      <c r="G186" s="34" t="str">
        <f>IF(A186="","",IFERROR(VLOOKUP(E186,KLASSNING!$A$5:$F$74,3,FALSE()),"SAKNAS"))</f>
        <v>Seriespel</v>
      </c>
      <c r="H186" s="34" t="str">
        <f>IF(A186="","",'IMPORT PROFIXIO'!H186)</f>
        <v>AIK 2</v>
      </c>
      <c r="I186" s="34" t="str">
        <f>IF(A186="","",'IMPORT PROFIXIO'!I186)</f>
        <v>Skuru IK 2</v>
      </c>
      <c r="J186" s="34" t="str">
        <f t="shared" si="8"/>
        <v>P12 2</v>
      </c>
      <c r="K186" s="34" t="str">
        <f t="shared" si="9"/>
        <v>Ja</v>
      </c>
      <c r="L186" s="34">
        <f>IF(A186="","",IFERROR(VLOOKUP(E186,KLASSNING!$A$5:$F$74,5,FALSE()),0))</f>
        <v>35</v>
      </c>
      <c r="M186" s="35">
        <f t="shared" si="10"/>
        <v>0.45486111111111116</v>
      </c>
      <c r="N186" s="34" t="str">
        <f>IF(A186="","",IF(K186&lt;&gt;"Ja","Ej aktuell",IF(L186&lt;=0,"KONTROLLERA MATCHTID",IF(AND(COUNTIFS(BEMANNINGSPLAN!$A$5:$A$546,B186,BEMANNINGSPLAN!$C$5:$C$546,D186,BEMANNINGSPLAN!$D$5:$D$546,"&lt;="&amp;C186,BEMANNINGSPLAN!$E$5:$E$546,"&gt;"&amp;C186)&gt;0,COUNTIFS(BEMANNINGSPLAN!$A$5:$A$546,B186,BEMANNINGSPLAN!$C$5:$C$546,D186,BEMANNINGSPLAN!$D$5:$D$546,"&lt;"&amp;M186,BEMANNINGSPLAN!$E$5:$E$546,"&gt;="&amp;M186)&gt;0),"Ja","SAKNAS TIDSRADER"))))</f>
        <v>Ja</v>
      </c>
      <c r="O186" s="137">
        <f>IF(OR(B186="",K186&lt;&gt;"Ja"),"",COUNTIFS($B$5:B186,B186,$K$5:K186,"Ja"))</f>
        <v>2</v>
      </c>
      <c r="P186" s="137" t="str">
        <f t="shared" si="11"/>
        <v>yyyy-00-20|2</v>
      </c>
    </row>
    <row r="187" spans="1:16" ht="13">
      <c r="A187" s="31" t="str">
        <f>IF('IMPORT PROFIXIO'!A187="","",'IMPORT PROFIXIO'!A187)</f>
        <v>26 6 1563 089</v>
      </c>
      <c r="B187" s="32">
        <f>IF(A187="","",IF(ISNUMBER('IMPORT PROFIXIO'!D187),'IMPORT PROFIXIO'!D187,DATEVALUE('IMPORT PROFIXIO'!D187)))</f>
        <v>46466</v>
      </c>
      <c r="C187" s="33">
        <f>IF(A187="","",IF(ISNUMBER('IMPORT PROFIXIO'!E187),'IMPORT PROFIXIO'!E187,(VALUE(LEFT('IMPORT PROFIXIO'!E187,FIND(":",'IMPORT PROFIXIO'!E187)-1))*60+VALUE(MID('IMPORT PROFIXIO'!E187,FIND(":",'IMPORT PROFIXIO'!E187)+1,2)))/1440))</f>
        <v>0.47916666666666669</v>
      </c>
      <c r="D187" s="31" t="str">
        <f>IF(A187="","",'IMPORT PROFIXIO'!F187)</f>
        <v>Tallbackaskolan</v>
      </c>
      <c r="E187" s="31" t="str">
        <f>IF(A187="","",'IMPORT PROFIXIO'!K187)</f>
        <v>Pojkar - P12 Öst - P12 Nivå 2 Öst Södra</v>
      </c>
      <c r="F187" s="34" t="str">
        <f>IF(A187="","",IFERROR(VLOOKUP(E187,KLASSNING!$A$5:$F$74,2,FALSE()),"SAKNAS"))</f>
        <v>P12</v>
      </c>
      <c r="G187" s="34" t="str">
        <f>IF(A187="","",IFERROR(VLOOKUP(E187,KLASSNING!$A$5:$F$74,3,FALSE()),"SAKNAS"))</f>
        <v>Seriespel</v>
      </c>
      <c r="H187" s="34" t="str">
        <f>IF(A187="","",'IMPORT PROFIXIO'!H187)</f>
        <v>Hammarby IF HF</v>
      </c>
      <c r="I187" s="34" t="str">
        <f>IF(A187="","",'IMPORT PROFIXIO'!I187)</f>
        <v>Skuru IK 2</v>
      </c>
      <c r="J187" s="34" t="str">
        <f t="shared" si="8"/>
        <v/>
      </c>
      <c r="K187" s="34" t="str">
        <f t="shared" si="9"/>
        <v>Ja</v>
      </c>
      <c r="L187" s="34">
        <f>IF(A187="","",IFERROR(VLOOKUP(E187,KLASSNING!$A$5:$F$74,5,FALSE()),0))</f>
        <v>35</v>
      </c>
      <c r="M187" s="35">
        <f t="shared" si="10"/>
        <v>0.50347222222222221</v>
      </c>
      <c r="N187" s="34" t="str">
        <f>IF(A187="","",IF(K187&lt;&gt;"Ja","Ej aktuell",IF(L187&lt;=0,"KONTROLLERA MATCHTID",IF(AND(COUNTIFS(BEMANNINGSPLAN!$A$5:$A$546,B187,BEMANNINGSPLAN!$C$5:$C$546,D187,BEMANNINGSPLAN!$D$5:$D$546,"&lt;="&amp;C187,BEMANNINGSPLAN!$E$5:$E$546,"&gt;"&amp;C187)&gt;0,COUNTIFS(BEMANNINGSPLAN!$A$5:$A$546,B187,BEMANNINGSPLAN!$C$5:$C$546,D187,BEMANNINGSPLAN!$D$5:$D$546,"&lt;"&amp;M187,BEMANNINGSPLAN!$E$5:$E$546,"&gt;="&amp;M187)&gt;0),"Ja","SAKNAS TIDSRADER"))))</f>
        <v>Ja</v>
      </c>
      <c r="O187" s="137">
        <f>IF(OR(B187="",K187&lt;&gt;"Ja"),"",COUNTIFS($B$5:B187,B187,$K$5:K187,"Ja"))</f>
        <v>3</v>
      </c>
      <c r="P187" s="137" t="str">
        <f t="shared" si="11"/>
        <v>yyyy-00-20|3</v>
      </c>
    </row>
    <row r="188" spans="1:16" ht="13">
      <c r="A188" s="31" t="str">
        <f>IF('IMPORT PROFIXIO'!A188="","",'IMPORT PROFIXIO'!A188)</f>
        <v>26 6 1563 090</v>
      </c>
      <c r="B188" s="32">
        <f>IF(A188="","",IF(ISNUMBER('IMPORT PROFIXIO'!D188),'IMPORT PROFIXIO'!D188,DATEVALUE('IMPORT PROFIXIO'!D188)))</f>
        <v>46466</v>
      </c>
      <c r="C188" s="33">
        <f>IF(A188="","",IF(ISNUMBER('IMPORT PROFIXIO'!E188),'IMPORT PROFIXIO'!E188,(VALUE(LEFT('IMPORT PROFIXIO'!E188,FIND(":",'IMPORT PROFIXIO'!E188)-1))*60+VALUE(MID('IMPORT PROFIXIO'!E188,FIND(":",'IMPORT PROFIXIO'!E188)+1,2)))/1440))</f>
        <v>0.52777777777777779</v>
      </c>
      <c r="D188" s="31" t="str">
        <f>IF(A188="","",'IMPORT PROFIXIO'!F188)</f>
        <v>Tallbackaskolan</v>
      </c>
      <c r="E188" s="31" t="str">
        <f>IF(A188="","",'IMPORT PROFIXIO'!K188)</f>
        <v>Pojkar - P12 Öst - P12 Nivå 2 Öst Södra</v>
      </c>
      <c r="F188" s="34" t="str">
        <f>IF(A188="","",IFERROR(VLOOKUP(E188,KLASSNING!$A$5:$F$74,2,FALSE()),"SAKNAS"))</f>
        <v>P12</v>
      </c>
      <c r="G188" s="34" t="str">
        <f>IF(A188="","",IFERROR(VLOOKUP(E188,KLASSNING!$A$5:$F$74,3,FALSE()),"SAKNAS"))</f>
        <v>Seriespel</v>
      </c>
      <c r="H188" s="34" t="str">
        <f>IF(A188="","",'IMPORT PROFIXIO'!H188)</f>
        <v>AIK 2</v>
      </c>
      <c r="I188" s="34" t="str">
        <f>IF(A188="","",'IMPORT PROFIXIO'!I188)</f>
        <v>Hammarby IF HF</v>
      </c>
      <c r="J188" s="34" t="str">
        <f t="shared" si="8"/>
        <v>P12 2</v>
      </c>
      <c r="K188" s="34" t="str">
        <f t="shared" si="9"/>
        <v>Ja</v>
      </c>
      <c r="L188" s="34">
        <f>IF(A188="","",IFERROR(VLOOKUP(E188,KLASSNING!$A$5:$F$74,5,FALSE()),0))</f>
        <v>35</v>
      </c>
      <c r="M188" s="35">
        <f t="shared" si="10"/>
        <v>0.55208333333333337</v>
      </c>
      <c r="N188" s="34" t="str">
        <f>IF(A188="","",IF(K188&lt;&gt;"Ja","Ej aktuell",IF(L188&lt;=0,"KONTROLLERA MATCHTID",IF(AND(COUNTIFS(BEMANNINGSPLAN!$A$5:$A$546,B188,BEMANNINGSPLAN!$C$5:$C$546,D188,BEMANNINGSPLAN!$D$5:$D$546,"&lt;="&amp;C188,BEMANNINGSPLAN!$E$5:$E$546,"&gt;"&amp;C188)&gt;0,COUNTIFS(BEMANNINGSPLAN!$A$5:$A$546,B188,BEMANNINGSPLAN!$C$5:$C$546,D188,BEMANNINGSPLAN!$D$5:$D$546,"&lt;"&amp;M188,BEMANNINGSPLAN!$E$5:$E$546,"&gt;="&amp;M188)&gt;0),"Ja","SAKNAS TIDSRADER"))))</f>
        <v>Ja</v>
      </c>
      <c r="O188" s="137">
        <f>IF(OR(B188="",K188&lt;&gt;"Ja"),"",COUNTIFS($B$5:B188,B188,$K$5:K188,"Ja"))</f>
        <v>4</v>
      </c>
      <c r="P188" s="137" t="str">
        <f t="shared" si="11"/>
        <v>yyyy-00-20|4</v>
      </c>
    </row>
    <row r="189" spans="1:16" ht="13">
      <c r="A189" s="31">
        <f>IF('IMPORT PROFIXIO'!A189="","",'IMPORT PROFIXIO'!A189)</f>
        <v>530062</v>
      </c>
      <c r="B189" s="32">
        <f>IF(A189="","",IF(ISNUMBER('IMPORT PROFIXIO'!D189),'IMPORT PROFIXIO'!D189,DATEVALUE('IMPORT PROFIXIO'!D189)))</f>
        <v>46466</v>
      </c>
      <c r="C189" s="33">
        <f>IF(A189="","",IF(ISNUMBER('IMPORT PROFIXIO'!E189),'IMPORT PROFIXIO'!E189,(VALUE(LEFT('IMPORT PROFIXIO'!E189,FIND(":",'IMPORT PROFIXIO'!E189)-1))*60+VALUE(MID('IMPORT PROFIXIO'!E189,FIND(":",'IMPORT PROFIXIO'!E189)+1,2)))/1440))</f>
        <v>0.375</v>
      </c>
      <c r="D189" s="31" t="str">
        <f>IF(A189="","",'IMPORT PROFIXIO'!F189)</f>
        <v>Ulriksdalshallen</v>
      </c>
      <c r="E189" s="31" t="str">
        <f>IF(A189="","",'IMPORT PROFIXIO'!K189)</f>
        <v>Arrangörsskap - Vårens spel - Omg4/ P10K F9M P9K/ 20-21mars</v>
      </c>
      <c r="F189" s="34" t="str">
        <f>IF(A189="","",IFERROR(VLOOKUP(E189,KLASSNING!$A$5:$F$74,2,FALSE()),"SAKNAS"))</f>
        <v>Kontrollera</v>
      </c>
      <c r="G189" s="34" t="str">
        <f>IF(A189="","",IFERROR(VLOOKUP(E189,KLASSNING!$A$5:$F$74,3,FALSE()),"SAKNAS"))</f>
        <v>Kortplan/miniplan</v>
      </c>
      <c r="H189" s="34" t="str">
        <f>IF(A189="","",'IMPORT PROFIXIO'!H189)</f>
        <v>HF Öst</v>
      </c>
      <c r="I189" s="34" t="str">
        <f>IF(A189="","",'IMPORT PROFIXIO'!I189)</f>
        <v>HF Öst 2</v>
      </c>
      <c r="J189" s="34" t="str">
        <f t="shared" si="8"/>
        <v/>
      </c>
      <c r="K189" s="34" t="str">
        <f t="shared" si="9"/>
        <v>Ja</v>
      </c>
      <c r="L189" s="34">
        <f>IF(A189="","",IFERROR(VLOOKUP(E189,KLASSNING!$A$5:$F$74,5,FALSE()),0))</f>
        <v>180</v>
      </c>
      <c r="M189" s="35">
        <f t="shared" si="10"/>
        <v>0.5</v>
      </c>
      <c r="N189" s="34" t="str">
        <f>IF(A189="","",IF(K189&lt;&gt;"Ja","Ej aktuell",IF(L189&lt;=0,"KONTROLLERA MATCHTID",IF(AND(COUNTIFS(BEMANNINGSPLAN!$A$5:$A$546,B189,BEMANNINGSPLAN!$C$5:$C$546,D189,BEMANNINGSPLAN!$D$5:$D$546,"&lt;="&amp;C189,BEMANNINGSPLAN!$E$5:$E$546,"&gt;"&amp;C189)&gt;0,COUNTIFS(BEMANNINGSPLAN!$A$5:$A$546,B189,BEMANNINGSPLAN!$C$5:$C$546,D189,BEMANNINGSPLAN!$D$5:$D$546,"&lt;"&amp;M189,BEMANNINGSPLAN!$E$5:$E$546,"&gt;="&amp;M189)&gt;0),"Ja","SAKNAS TIDSRADER"))))</f>
        <v>Ja</v>
      </c>
      <c r="O189" s="137">
        <f>IF(OR(B189="",K189&lt;&gt;"Ja"),"",COUNTIFS($B$5:B189,B189,$K$5:K189,"Ja"))</f>
        <v>5</v>
      </c>
      <c r="P189" s="137" t="str">
        <f t="shared" si="11"/>
        <v>yyyy-00-20|5</v>
      </c>
    </row>
    <row r="190" spans="1:16" ht="13">
      <c r="A190" s="31" t="str">
        <f>IF('IMPORT PROFIXIO'!A190="","",'IMPORT PROFIXIO'!A190)</f>
        <v>26 6 1351 077</v>
      </c>
      <c r="B190" s="32">
        <f>IF(A190="","",IF(ISNUMBER('IMPORT PROFIXIO'!D190),'IMPORT PROFIXIO'!D190,DATEVALUE('IMPORT PROFIXIO'!D190)))</f>
        <v>46466</v>
      </c>
      <c r="C190" s="33">
        <f>IF(A190="","",IF(ISNUMBER('IMPORT PROFIXIO'!E190),'IMPORT PROFIXIO'!E190,(VALUE(LEFT('IMPORT PROFIXIO'!E190,FIND(":",'IMPORT PROFIXIO'!E190)-1))*60+VALUE(MID('IMPORT PROFIXIO'!E190,FIND(":",'IMPORT PROFIXIO'!E190)+1,2)))/1440))</f>
        <v>0.55555555555555558</v>
      </c>
      <c r="D190" s="31" t="str">
        <f>IF(A190="","",'IMPORT PROFIXIO'!F190)</f>
        <v>Ulriksdalshallen</v>
      </c>
      <c r="E190" s="31" t="str">
        <f>IF(A190="","",'IMPORT PROFIXIO'!K190)</f>
        <v>Flickor - F13 Öst - F13 Nivå 1 Öst</v>
      </c>
      <c r="F190" s="34" t="str">
        <f>IF(A190="","",IFERROR(VLOOKUP(E190,KLASSNING!$A$5:$F$74,2,FALSE()),"SAKNAS"))</f>
        <v>F13</v>
      </c>
      <c r="G190" s="34" t="str">
        <f>IF(A190="","",IFERROR(VLOOKUP(E190,KLASSNING!$A$5:$F$74,3,FALSE()),"SAKNAS"))</f>
        <v>Seriespel</v>
      </c>
      <c r="H190" s="34" t="str">
        <f>IF(A190="","",'IMPORT PROFIXIO'!H190)</f>
        <v>AIK</v>
      </c>
      <c r="I190" s="34" t="str">
        <f>IF(A190="","",'IMPORT PROFIXIO'!I190)</f>
        <v>Skuru IK 2</v>
      </c>
      <c r="J190" s="34" t="str">
        <f t="shared" si="8"/>
        <v>F13</v>
      </c>
      <c r="K190" s="34" t="str">
        <f t="shared" si="9"/>
        <v>Ja</v>
      </c>
      <c r="L190" s="34">
        <f>IF(A190="","",IFERROR(VLOOKUP(E190,KLASSNING!$A$5:$F$74,5,FALSE()),0))</f>
        <v>45</v>
      </c>
      <c r="M190" s="35">
        <f t="shared" si="10"/>
        <v>0.58680555555555558</v>
      </c>
      <c r="N190" s="34" t="str">
        <f>IF(A190="","",IF(K190&lt;&gt;"Ja","Ej aktuell",IF(L190&lt;=0,"KONTROLLERA MATCHTID",IF(AND(COUNTIFS(BEMANNINGSPLAN!$A$5:$A$546,B190,BEMANNINGSPLAN!$C$5:$C$546,D190,BEMANNINGSPLAN!$D$5:$D$546,"&lt;="&amp;C190,BEMANNINGSPLAN!$E$5:$E$546,"&gt;"&amp;C190)&gt;0,COUNTIFS(BEMANNINGSPLAN!$A$5:$A$546,B190,BEMANNINGSPLAN!$C$5:$C$546,D190,BEMANNINGSPLAN!$D$5:$D$546,"&lt;"&amp;M190,BEMANNINGSPLAN!$E$5:$E$546,"&gt;="&amp;M190)&gt;0),"Ja","SAKNAS TIDSRADER"))))</f>
        <v>Ja</v>
      </c>
      <c r="O190" s="137">
        <f>IF(OR(B190="",K190&lt;&gt;"Ja"),"",COUNTIFS($B$5:B190,B190,$K$5:K190,"Ja"))</f>
        <v>6</v>
      </c>
      <c r="P190" s="137" t="str">
        <f t="shared" si="11"/>
        <v>yyyy-00-20|6</v>
      </c>
    </row>
    <row r="191" spans="1:16" ht="13">
      <c r="A191" s="31" t="str">
        <f>IF('IMPORT PROFIXIO'!A191="","",'IMPORT PROFIXIO'!A191)</f>
        <v>26 6 1352 116</v>
      </c>
      <c r="B191" s="32">
        <f>IF(A191="","",IF(ISNUMBER('IMPORT PROFIXIO'!D191),'IMPORT PROFIXIO'!D191,DATEVALUE('IMPORT PROFIXIO'!D191)))</f>
        <v>46466</v>
      </c>
      <c r="C191" s="33">
        <f>IF(A191="","",IF(ISNUMBER('IMPORT PROFIXIO'!E191),'IMPORT PROFIXIO'!E191,(VALUE(LEFT('IMPORT PROFIXIO'!E191,FIND(":",'IMPORT PROFIXIO'!E191)-1))*60+VALUE(MID('IMPORT PROFIXIO'!E191,FIND(":",'IMPORT PROFIXIO'!E191)+1,2)))/1440))</f>
        <v>0.60416666666666663</v>
      </c>
      <c r="D191" s="31" t="str">
        <f>IF(A191="","",'IMPORT PROFIXIO'!F191)</f>
        <v>Ulriksdalshallen</v>
      </c>
      <c r="E191" s="31" t="str">
        <f>IF(A191="","",'IMPORT PROFIXIO'!K191)</f>
        <v>Flickor - F13 Öst - F13 Nivå 2 Öst Norra</v>
      </c>
      <c r="F191" s="34" t="str">
        <f>IF(A191="","",IFERROR(VLOOKUP(E191,KLASSNING!$A$5:$F$74,2,FALSE()),"SAKNAS"))</f>
        <v>F13</v>
      </c>
      <c r="G191" s="34" t="str">
        <f>IF(A191="","",IFERROR(VLOOKUP(E191,KLASSNING!$A$5:$F$74,3,FALSE()),"SAKNAS"))</f>
        <v>Seriespel</v>
      </c>
      <c r="H191" s="34" t="str">
        <f>IF(A191="","",'IMPORT PROFIXIO'!H191)</f>
        <v>AIK 2</v>
      </c>
      <c r="I191" s="34" t="str">
        <f>IF(A191="","",'IMPORT PROFIXIO'!I191)</f>
        <v>HK Ceres Norrtälje</v>
      </c>
      <c r="J191" s="34" t="str">
        <f t="shared" si="8"/>
        <v>F13 2</v>
      </c>
      <c r="K191" s="34" t="str">
        <f t="shared" si="9"/>
        <v>Ja</v>
      </c>
      <c r="L191" s="34">
        <f>IF(A191="","",IFERROR(VLOOKUP(E191,KLASSNING!$A$5:$F$74,5,FALSE()),0))</f>
        <v>45</v>
      </c>
      <c r="M191" s="35">
        <f t="shared" si="10"/>
        <v>0.63541666666666663</v>
      </c>
      <c r="N191" s="34" t="str">
        <f>IF(A191="","",IF(K191&lt;&gt;"Ja","Ej aktuell",IF(L191&lt;=0,"KONTROLLERA MATCHTID",IF(AND(COUNTIFS(BEMANNINGSPLAN!$A$5:$A$546,B191,BEMANNINGSPLAN!$C$5:$C$546,D191,BEMANNINGSPLAN!$D$5:$D$546,"&lt;="&amp;C191,BEMANNINGSPLAN!$E$5:$E$546,"&gt;"&amp;C191)&gt;0,COUNTIFS(BEMANNINGSPLAN!$A$5:$A$546,B191,BEMANNINGSPLAN!$C$5:$C$546,D191,BEMANNINGSPLAN!$D$5:$D$546,"&lt;"&amp;M191,BEMANNINGSPLAN!$E$5:$E$546,"&gt;="&amp;M191)&gt;0),"Ja","SAKNAS TIDSRADER"))))</f>
        <v>Ja</v>
      </c>
      <c r="O191" s="137">
        <f>IF(OR(B191="",K191&lt;&gt;"Ja"),"",COUNTIFS($B$5:B191,B191,$K$5:K191,"Ja"))</f>
        <v>7</v>
      </c>
      <c r="P191" s="137" t="str">
        <f t="shared" si="11"/>
        <v>yyyy-00-20|7</v>
      </c>
    </row>
    <row r="192" spans="1:16" ht="13">
      <c r="A192" s="31" t="str">
        <f>IF('IMPORT PROFIXIO'!A192="","",'IMPORT PROFIXIO'!A192)</f>
        <v>26 6 1343 054</v>
      </c>
      <c r="B192" s="32">
        <f>IF(A192="","",IF(ISNUMBER('IMPORT PROFIXIO'!D192),'IMPORT PROFIXIO'!D192,DATEVALUE('IMPORT PROFIXIO'!D192)))</f>
        <v>46466</v>
      </c>
      <c r="C192" s="33">
        <f>IF(A192="","",IF(ISNUMBER('IMPORT PROFIXIO'!E192),'IMPORT PROFIXIO'!E192,(VALUE(LEFT('IMPORT PROFIXIO'!E192,FIND(":",'IMPORT PROFIXIO'!E192)-1))*60+VALUE(MID('IMPORT PROFIXIO'!E192,FIND(":",'IMPORT PROFIXIO'!E192)+1,2)))/1440))</f>
        <v>0.65277777777777779</v>
      </c>
      <c r="D192" s="31" t="str">
        <f>IF(A192="","",'IMPORT PROFIXIO'!F192)</f>
        <v>Ulriksdalshallen</v>
      </c>
      <c r="E192" s="31" t="str">
        <f>IF(A192="","",'IMPORT PROFIXIO'!K192)</f>
        <v>Flickor - F14 Öst - F14 Nivå 2 Öst Norra</v>
      </c>
      <c r="F192" s="34" t="str">
        <f>IF(A192="","",IFERROR(VLOOKUP(E192,KLASSNING!$A$5:$F$74,2,FALSE()),"SAKNAS"))</f>
        <v>F14</v>
      </c>
      <c r="G192" s="34" t="str">
        <f>IF(A192="","",IFERROR(VLOOKUP(E192,KLASSNING!$A$5:$F$74,3,FALSE()),"SAKNAS"))</f>
        <v>Seriespel</v>
      </c>
      <c r="H192" s="34" t="str">
        <f>IF(A192="","",'IMPORT PROFIXIO'!H192)</f>
        <v>AIK</v>
      </c>
      <c r="I192" s="34" t="str">
        <f>IF(A192="","",'IMPORT PROFIXIO'!I192)</f>
        <v>Spånga HK 1</v>
      </c>
      <c r="J192" s="34" t="str">
        <f t="shared" si="8"/>
        <v>F14</v>
      </c>
      <c r="K192" s="34" t="str">
        <f t="shared" si="9"/>
        <v>Ja</v>
      </c>
      <c r="L192" s="34">
        <f>IF(A192="","",IFERROR(VLOOKUP(E192,KLASSNING!$A$5:$F$74,5,FALSE()),0))</f>
        <v>45</v>
      </c>
      <c r="M192" s="35">
        <f t="shared" si="10"/>
        <v>0.68402777777777779</v>
      </c>
      <c r="N192" s="34" t="str">
        <f>IF(A192="","",IF(K192&lt;&gt;"Ja","Ej aktuell",IF(L192&lt;=0,"KONTROLLERA MATCHTID",IF(AND(COUNTIFS(BEMANNINGSPLAN!$A$5:$A$546,B192,BEMANNINGSPLAN!$C$5:$C$546,D192,BEMANNINGSPLAN!$D$5:$D$546,"&lt;="&amp;C192,BEMANNINGSPLAN!$E$5:$E$546,"&gt;"&amp;C192)&gt;0,COUNTIFS(BEMANNINGSPLAN!$A$5:$A$546,B192,BEMANNINGSPLAN!$C$5:$C$546,D192,BEMANNINGSPLAN!$D$5:$D$546,"&lt;"&amp;M192,BEMANNINGSPLAN!$E$5:$E$546,"&gt;="&amp;M192)&gt;0),"Ja","SAKNAS TIDSRADER"))))</f>
        <v>Ja</v>
      </c>
      <c r="O192" s="137">
        <f>IF(OR(B192="",K192&lt;&gt;"Ja"),"",COUNTIFS($B$5:B192,B192,$K$5:K192,"Ja"))</f>
        <v>8</v>
      </c>
      <c r="P192" s="137" t="str">
        <f t="shared" si="11"/>
        <v>yyyy-00-20|8</v>
      </c>
    </row>
    <row r="193" spans="1:16" ht="13">
      <c r="A193" s="31" t="str">
        <f>IF('IMPORT PROFIXIO'!A193="","",'IMPORT PROFIXIO'!A193)</f>
        <v>26 6 1311 108</v>
      </c>
      <c r="B193" s="32">
        <f>IF(A193="","",IF(ISNUMBER('IMPORT PROFIXIO'!D193),'IMPORT PROFIXIO'!D193,DATEVALUE('IMPORT PROFIXIO'!D193)))</f>
        <v>46490</v>
      </c>
      <c r="C193" s="33">
        <f>IF(A193="","",IF(ISNUMBER('IMPORT PROFIXIO'!E193),'IMPORT PROFIXIO'!E193,(VALUE(LEFT('IMPORT PROFIXIO'!E193,FIND(":",'IMPORT PROFIXIO'!E193)-1))*60+VALUE(MID('IMPORT PROFIXIO'!E193,FIND(":",'IMPORT PROFIXIO'!E193)+1,2)))/1440))</f>
        <v>0.86458333333333337</v>
      </c>
      <c r="D193" s="31" t="str">
        <f>IF(A193="","",'IMPORT PROFIXIO'!F193)</f>
        <v>Råsta Park</v>
      </c>
      <c r="E193" s="31" t="str">
        <f>IF(A193="","",'IMPORT PROFIXIO'!K193)</f>
        <v>Flickor - F19 Öst - F19 Nivå 1 Öst</v>
      </c>
      <c r="F193" s="34" t="str">
        <f>IF(A193="","",IFERROR(VLOOKUP(E193,KLASSNING!$A$5:$F$74,2,FALSE()),"SAKNAS"))</f>
        <v>F19</v>
      </c>
      <c r="G193" s="34" t="str">
        <f>IF(A193="","",IFERROR(VLOOKUP(E193,KLASSNING!$A$5:$F$74,3,FALSE()),"SAKNAS"))</f>
        <v>Seriespel</v>
      </c>
      <c r="H193" s="34" t="str">
        <f>IF(A193="","",'IMPORT PROFIXIO'!H193)</f>
        <v>AIK</v>
      </c>
      <c r="I193" s="34" t="str">
        <f>IF(A193="","",'IMPORT PROFIXIO'!I193)</f>
        <v>Uppsala HK</v>
      </c>
      <c r="J193" s="34" t="str">
        <f t="shared" si="8"/>
        <v>F19</v>
      </c>
      <c r="K193" s="34" t="str">
        <f t="shared" si="9"/>
        <v>Ja</v>
      </c>
      <c r="L193" s="34">
        <f>IF(A193="","",IFERROR(VLOOKUP(E193,KLASSNING!$A$5:$F$74,5,FALSE()),0))</f>
        <v>55</v>
      </c>
      <c r="M193" s="35">
        <f t="shared" si="10"/>
        <v>0.90277777777777779</v>
      </c>
      <c r="N193" s="34" t="str">
        <f>IF(A193="","",IF(K193&lt;&gt;"Ja","Ej aktuell",IF(L193&lt;=0,"KONTROLLERA MATCHTID",IF(AND(COUNTIFS(BEMANNINGSPLAN!$A$5:$A$546,B193,BEMANNINGSPLAN!$C$5:$C$546,D193,BEMANNINGSPLAN!$D$5:$D$546,"&lt;="&amp;C193,BEMANNINGSPLAN!$E$5:$E$546,"&gt;"&amp;C193)&gt;0,COUNTIFS(BEMANNINGSPLAN!$A$5:$A$546,B193,BEMANNINGSPLAN!$C$5:$C$546,D193,BEMANNINGSPLAN!$D$5:$D$546,"&lt;"&amp;M193,BEMANNINGSPLAN!$E$5:$E$546,"&gt;="&amp;M193)&gt;0),"Ja","SAKNAS TIDSRADER"))))</f>
        <v>Ja</v>
      </c>
      <c r="O193" s="137">
        <f>IF(OR(B193="",K193&lt;&gt;"Ja"),"",COUNTIFS($B$5:B193,B193,$K$5:K193,"Ja"))</f>
        <v>1</v>
      </c>
      <c r="P193" s="137" t="str">
        <f t="shared" si="11"/>
        <v>yyyy-00-13|1</v>
      </c>
    </row>
    <row r="194" spans="1:16" ht="13">
      <c r="A194" s="31" t="str">
        <f>IF('IMPORT PROFIXIO'!A194="","",'IMPORT PROFIXIO'!A194)</f>
        <v>26 6 1524 088</v>
      </c>
      <c r="B194" s="32">
        <f>IF(A194="","",IF(ISNUMBER('IMPORT PROFIXIO'!D194),'IMPORT PROFIXIO'!D194,DATEVALUE('IMPORT PROFIXIO'!D194)))</f>
        <v>46494</v>
      </c>
      <c r="C194" s="33">
        <f>IF(A194="","",IF(ISNUMBER('IMPORT PROFIXIO'!E194),'IMPORT PROFIXIO'!E194,(VALUE(LEFT('IMPORT PROFIXIO'!E194,FIND(":",'IMPORT PROFIXIO'!E194)-1))*60+VALUE(MID('IMPORT PROFIXIO'!E194,FIND(":",'IMPORT PROFIXIO'!E194)+1,2)))/1440))</f>
        <v>0.51388888888888884</v>
      </c>
      <c r="D194" s="31" t="str">
        <f>IF(A194="","",'IMPORT PROFIXIO'!F194)</f>
        <v>Råsta Park</v>
      </c>
      <c r="E194" s="31" t="str">
        <f>IF(A194="","",'IMPORT PROFIXIO'!K194)</f>
        <v>Pojkar - P16 Öst - P16 Nivå 3 Öst</v>
      </c>
      <c r="F194" s="34" t="str">
        <f>IF(A194="","",IFERROR(VLOOKUP(E194,KLASSNING!$A$5:$F$74,2,FALSE()),"SAKNAS"))</f>
        <v>P16</v>
      </c>
      <c r="G194" s="34" t="str">
        <f>IF(A194="","",IFERROR(VLOOKUP(E194,KLASSNING!$A$5:$F$74,3,FALSE()),"SAKNAS"))</f>
        <v>Seriespel</v>
      </c>
      <c r="H194" s="34" t="str">
        <f>IF(A194="","",'IMPORT PROFIXIO'!H194)</f>
        <v>AIK 2</v>
      </c>
      <c r="I194" s="34" t="str">
        <f>IF(A194="","",'IMPORT PROFIXIO'!I194)</f>
        <v>IK Bolton 4</v>
      </c>
      <c r="J194" s="34" t="str">
        <f t="shared" si="8"/>
        <v>P16 2</v>
      </c>
      <c r="K194" s="34" t="str">
        <f t="shared" si="9"/>
        <v>Ja</v>
      </c>
      <c r="L194" s="34">
        <f>IF(A194="","",IFERROR(VLOOKUP(E194,KLASSNING!$A$5:$F$74,5,FALSE()),0))</f>
        <v>55</v>
      </c>
      <c r="M194" s="35">
        <f t="shared" si="10"/>
        <v>0.55208333333333326</v>
      </c>
      <c r="N194" s="34" t="str">
        <f>IF(A194="","",IF(K194&lt;&gt;"Ja","Ej aktuell",IF(L194&lt;=0,"KONTROLLERA MATCHTID",IF(AND(COUNTIFS(BEMANNINGSPLAN!$A$5:$A$546,B194,BEMANNINGSPLAN!$C$5:$C$546,D194,BEMANNINGSPLAN!$D$5:$D$546,"&lt;="&amp;C194,BEMANNINGSPLAN!$E$5:$E$546,"&gt;"&amp;C194)&gt;0,COUNTIFS(BEMANNINGSPLAN!$A$5:$A$546,B194,BEMANNINGSPLAN!$C$5:$C$546,D194,BEMANNINGSPLAN!$D$5:$D$546,"&lt;"&amp;M194,BEMANNINGSPLAN!$E$5:$E$546,"&gt;="&amp;M194)&gt;0),"Ja","SAKNAS TIDSRADER"))))</f>
        <v>Ja</v>
      </c>
      <c r="O194" s="137">
        <f>IF(OR(B194="",K194&lt;&gt;"Ja"),"",COUNTIFS($B$5:B194,B194,$K$5:K194,"Ja"))</f>
        <v>1</v>
      </c>
      <c r="P194" s="137" t="str">
        <f t="shared" si="11"/>
        <v>yyyy-00-17|1</v>
      </c>
    </row>
    <row r="195" spans="1:16" ht="13">
      <c r="A195" s="31" t="str">
        <f>IF('IMPORT PROFIXIO'!A195="","",'IMPORT PROFIXIO'!A195)</f>
        <v>26 6 1324 087</v>
      </c>
      <c r="B195" s="32">
        <f>IF(A195="","",IF(ISNUMBER('IMPORT PROFIXIO'!D195),'IMPORT PROFIXIO'!D195,DATEVALUE('IMPORT PROFIXIO'!D195)))</f>
        <v>46494</v>
      </c>
      <c r="C195" s="33">
        <f>IF(A195="","",IF(ISNUMBER('IMPORT PROFIXIO'!E195),'IMPORT PROFIXIO'!E195,(VALUE(LEFT('IMPORT PROFIXIO'!E195,FIND(":",'IMPORT PROFIXIO'!E195)-1))*60+VALUE(MID('IMPORT PROFIXIO'!E195,FIND(":",'IMPORT PROFIXIO'!E195)+1,2)))/1440))</f>
        <v>0.56944444444444442</v>
      </c>
      <c r="D195" s="31" t="str">
        <f>IF(A195="","",'IMPORT PROFIXIO'!F195)</f>
        <v>Råsta Park</v>
      </c>
      <c r="E195" s="31" t="str">
        <f>IF(A195="","",'IMPORT PROFIXIO'!K195)</f>
        <v>Flickor - F16 Öst - F16 Nivå 3 Öst</v>
      </c>
      <c r="F195" s="34" t="str">
        <f>IF(A195="","",IFERROR(VLOOKUP(E195,KLASSNING!$A$5:$F$74,2,FALSE()),"SAKNAS"))</f>
        <v>F16</v>
      </c>
      <c r="G195" s="34" t="str">
        <f>IF(A195="","",IFERROR(VLOOKUP(E195,KLASSNING!$A$5:$F$74,3,FALSE()),"SAKNAS"))</f>
        <v>Seriespel</v>
      </c>
      <c r="H195" s="34" t="str">
        <f>IF(A195="","",'IMPORT PROFIXIO'!H195)</f>
        <v>AIK 2</v>
      </c>
      <c r="I195" s="34" t="str">
        <f>IF(A195="","",'IMPORT PROFIXIO'!I195)</f>
        <v>Lidingö SK 2</v>
      </c>
      <c r="J195" s="34" t="str">
        <f t="shared" si="8"/>
        <v>F16 2</v>
      </c>
      <c r="K195" s="34" t="str">
        <f t="shared" si="9"/>
        <v>Ja</v>
      </c>
      <c r="L195" s="34">
        <f>IF(A195="","",IFERROR(VLOOKUP(E195,KLASSNING!$A$5:$F$74,5,FALSE()),0))</f>
        <v>55</v>
      </c>
      <c r="M195" s="35">
        <f t="shared" si="10"/>
        <v>0.60763888888888884</v>
      </c>
      <c r="N195" s="34" t="str">
        <f>IF(A195="","",IF(K195&lt;&gt;"Ja","Ej aktuell",IF(L195&lt;=0,"KONTROLLERA MATCHTID",IF(AND(COUNTIFS(BEMANNINGSPLAN!$A$5:$A$546,B195,BEMANNINGSPLAN!$C$5:$C$546,D195,BEMANNINGSPLAN!$D$5:$D$546,"&lt;="&amp;C195,BEMANNINGSPLAN!$E$5:$E$546,"&gt;"&amp;C195)&gt;0,COUNTIFS(BEMANNINGSPLAN!$A$5:$A$546,B195,BEMANNINGSPLAN!$C$5:$C$546,D195,BEMANNINGSPLAN!$D$5:$D$546,"&lt;"&amp;M195,BEMANNINGSPLAN!$E$5:$E$546,"&gt;="&amp;M195)&gt;0),"Ja","SAKNAS TIDSRADER"))))</f>
        <v>Ja</v>
      </c>
      <c r="O195" s="137">
        <f>IF(OR(B195="",K195&lt;&gt;"Ja"),"",COUNTIFS($B$5:B195,B195,$K$5:K195,"Ja"))</f>
        <v>2</v>
      </c>
      <c r="P195" s="137" t="str">
        <f t="shared" si="11"/>
        <v>yyyy-00-17|2</v>
      </c>
    </row>
    <row r="196" spans="1:16" ht="13">
      <c r="A196" s="31" t="str">
        <f>IF('IMPORT PROFIXIO'!A196="","",'IMPORT PROFIXIO'!A196)</f>
        <v>26 6 1352 129</v>
      </c>
      <c r="B196" s="32">
        <f>IF(A196="","",IF(ISNUMBER('IMPORT PROFIXIO'!D196),'IMPORT PROFIXIO'!D196,DATEVALUE('IMPORT PROFIXIO'!D196)))</f>
        <v>46494</v>
      </c>
      <c r="C196" s="33">
        <f>IF(A196="","",IF(ISNUMBER('IMPORT PROFIXIO'!E196),'IMPORT PROFIXIO'!E196,(VALUE(LEFT('IMPORT PROFIXIO'!E196,FIND(":",'IMPORT PROFIXIO'!E196)-1))*60+VALUE(MID('IMPORT PROFIXIO'!E196,FIND(":",'IMPORT PROFIXIO'!E196)+1,2)))/1440))</f>
        <v>0.43055555555555558</v>
      </c>
      <c r="D196" s="31" t="str">
        <f>IF(A196="","",'IMPORT PROFIXIO'!F196)</f>
        <v>Tallbackaskolan</v>
      </c>
      <c r="E196" s="31" t="str">
        <f>IF(A196="","",'IMPORT PROFIXIO'!K196)</f>
        <v>Flickor - F13 Öst - F13 Nivå 2 Öst Norra</v>
      </c>
      <c r="F196" s="34" t="str">
        <f>IF(A196="","",IFERROR(VLOOKUP(E196,KLASSNING!$A$5:$F$74,2,FALSE()),"SAKNAS"))</f>
        <v>F13</v>
      </c>
      <c r="G196" s="34" t="str">
        <f>IF(A196="","",IFERROR(VLOOKUP(E196,KLASSNING!$A$5:$F$74,3,FALSE()),"SAKNAS"))</f>
        <v>Seriespel</v>
      </c>
      <c r="H196" s="34" t="str">
        <f>IF(A196="","",'IMPORT PROFIXIO'!H196)</f>
        <v>AIK 2</v>
      </c>
      <c r="I196" s="34" t="str">
        <f>IF(A196="","",'IMPORT PROFIXIO'!I196)</f>
        <v>Årsta AIK HF 1</v>
      </c>
      <c r="J196" s="34" t="str">
        <f t="shared" si="8"/>
        <v>F13 2</v>
      </c>
      <c r="K196" s="34" t="str">
        <f t="shared" si="9"/>
        <v>Ja</v>
      </c>
      <c r="L196" s="34">
        <f>IF(A196="","",IFERROR(VLOOKUP(E196,KLASSNING!$A$5:$F$74,5,FALSE()),0))</f>
        <v>45</v>
      </c>
      <c r="M196" s="35">
        <f t="shared" si="10"/>
        <v>0.46180555555555558</v>
      </c>
      <c r="N196" s="34" t="str">
        <f>IF(A196="","",IF(K196&lt;&gt;"Ja","Ej aktuell",IF(L196&lt;=0,"KONTROLLERA MATCHTID",IF(AND(COUNTIFS(BEMANNINGSPLAN!$A$5:$A$546,B196,BEMANNINGSPLAN!$C$5:$C$546,D196,BEMANNINGSPLAN!$D$5:$D$546,"&lt;="&amp;C196,BEMANNINGSPLAN!$E$5:$E$546,"&gt;"&amp;C196)&gt;0,COUNTIFS(BEMANNINGSPLAN!$A$5:$A$546,B196,BEMANNINGSPLAN!$C$5:$C$546,D196,BEMANNINGSPLAN!$D$5:$D$546,"&lt;"&amp;M196,BEMANNINGSPLAN!$E$5:$E$546,"&gt;="&amp;M196)&gt;0),"Ja","SAKNAS TIDSRADER"))))</f>
        <v>Ja</v>
      </c>
      <c r="O196" s="137">
        <f>IF(OR(B196="",K196&lt;&gt;"Ja"),"",COUNTIFS($B$5:B196,B196,$K$5:K196,"Ja"))</f>
        <v>3</v>
      </c>
      <c r="P196" s="137" t="str">
        <f t="shared" si="11"/>
        <v>yyyy-00-17|3</v>
      </c>
    </row>
    <row r="197" spans="1:16" ht="13">
      <c r="A197" s="31" t="str">
        <f>IF('IMPORT PROFIXIO'!A197="","",'IMPORT PROFIXIO'!A197)</f>
        <v>26 6 1351 088</v>
      </c>
      <c r="B197" s="32">
        <f>IF(A197="","",IF(ISNUMBER('IMPORT PROFIXIO'!D197),'IMPORT PROFIXIO'!D197,DATEVALUE('IMPORT PROFIXIO'!D197)))</f>
        <v>46494</v>
      </c>
      <c r="C197" s="33">
        <f>IF(A197="","",IF(ISNUMBER('IMPORT PROFIXIO'!E197),'IMPORT PROFIXIO'!E197,(VALUE(LEFT('IMPORT PROFIXIO'!E197,FIND(":",'IMPORT PROFIXIO'!E197)-1))*60+VALUE(MID('IMPORT PROFIXIO'!E197,FIND(":",'IMPORT PROFIXIO'!E197)+1,2)))/1440))</f>
        <v>0.48958333333333331</v>
      </c>
      <c r="D197" s="31" t="str">
        <f>IF(A197="","",'IMPORT PROFIXIO'!F197)</f>
        <v>Tallbackaskolan</v>
      </c>
      <c r="E197" s="31" t="str">
        <f>IF(A197="","",'IMPORT PROFIXIO'!K197)</f>
        <v>Flickor - F13 Öst - F13 Nivå 1 Öst</v>
      </c>
      <c r="F197" s="34" t="str">
        <f>IF(A197="","",IFERROR(VLOOKUP(E197,KLASSNING!$A$5:$F$74,2,FALSE()),"SAKNAS"))</f>
        <v>F13</v>
      </c>
      <c r="G197" s="34" t="str">
        <f>IF(A197="","",IFERROR(VLOOKUP(E197,KLASSNING!$A$5:$F$74,3,FALSE()),"SAKNAS"))</f>
        <v>Seriespel</v>
      </c>
      <c r="H197" s="34" t="str">
        <f>IF(A197="","",'IMPORT PROFIXIO'!H197)</f>
        <v>AIK</v>
      </c>
      <c r="I197" s="34" t="str">
        <f>IF(A197="","",'IMPORT PROFIXIO'!I197)</f>
        <v>Tyresö Handboll 1</v>
      </c>
      <c r="J197" s="34" t="str">
        <f t="shared" ref="J197:J260" si="12">IF(A197="","",IF(LEFT(H197,3)="AIK",IF(H197="AIK 2",F197&amp;" 2",F197),IF(LEFT(I197,3)="AIK",IF(I197="AIK 2",F197&amp;" 2",F197),"")))</f>
        <v>F13</v>
      </c>
      <c r="K197" s="34" t="str">
        <f t="shared" ref="K197:K260" si="13">IF(A197="","",IF(D197="Solnahallen","Nej","Ja"))</f>
        <v>Ja</v>
      </c>
      <c r="L197" s="34">
        <f>IF(A197="","",IFERROR(VLOOKUP(E197,KLASSNING!$A$5:$F$74,5,FALSE()),0))</f>
        <v>45</v>
      </c>
      <c r="M197" s="35">
        <f t="shared" ref="M197:M260" si="14">IF(OR(A197="",K197&lt;&gt;"Ja"),"",C197+L197/1440)</f>
        <v>0.52083333333333326</v>
      </c>
      <c r="N197" s="34" t="str">
        <f>IF(A197="","",IF(K197&lt;&gt;"Ja","Ej aktuell",IF(L197&lt;=0,"KONTROLLERA MATCHTID",IF(AND(COUNTIFS(BEMANNINGSPLAN!$A$5:$A$546,B197,BEMANNINGSPLAN!$C$5:$C$546,D197,BEMANNINGSPLAN!$D$5:$D$546,"&lt;="&amp;C197,BEMANNINGSPLAN!$E$5:$E$546,"&gt;"&amp;C197)&gt;0,COUNTIFS(BEMANNINGSPLAN!$A$5:$A$546,B197,BEMANNINGSPLAN!$C$5:$C$546,D197,BEMANNINGSPLAN!$D$5:$D$546,"&lt;"&amp;M197,BEMANNINGSPLAN!$E$5:$E$546,"&gt;="&amp;M197)&gt;0),"Ja","SAKNAS TIDSRADER"))))</f>
        <v>Ja</v>
      </c>
      <c r="O197" s="137">
        <f>IF(OR(B197="",K197&lt;&gt;"Ja"),"",COUNTIFS($B$5:B197,B197,$K$5:K197,"Ja"))</f>
        <v>4</v>
      </c>
      <c r="P197" s="137" t="str">
        <f t="shared" ref="P197:P260" si="15">IF(O197="","",TEXT(B197,"yyyy-mm-dd")&amp;"|"&amp;O197)</f>
        <v>yyyy-00-17|4</v>
      </c>
    </row>
    <row r="198" spans="1:16" ht="13">
      <c r="A198" s="31" t="str">
        <f>IF('IMPORT PROFIXIO'!A198="","",'IMPORT PROFIXIO'!A198)</f>
        <v/>
      </c>
      <c r="B198" s="32" t="str">
        <f>IF(A198="","",IF(ISNUMBER('IMPORT PROFIXIO'!D198),'IMPORT PROFIXIO'!D198,DATEVALUE('IMPORT PROFIXIO'!D198)))</f>
        <v/>
      </c>
      <c r="C198" s="33" t="str">
        <f>IF(A198="","",IF(ISNUMBER('IMPORT PROFIXIO'!E198),'IMPORT PROFIXIO'!E198,(VALUE(LEFT('IMPORT PROFIXIO'!E198,FIND(":",'IMPORT PROFIXIO'!E198)-1))*60+VALUE(MID('IMPORT PROFIXIO'!E198,FIND(":",'IMPORT PROFIXIO'!E198)+1,2)))/1440))</f>
        <v/>
      </c>
      <c r="D198" s="31" t="str">
        <f>IF(A198="","",'IMPORT PROFIXIO'!F198)</f>
        <v/>
      </c>
      <c r="E198" s="31" t="str">
        <f>IF(A198="","",'IMPORT PROFIXIO'!K198)</f>
        <v/>
      </c>
      <c r="F198" s="34" t="str">
        <f>IF(A198="","",IFERROR(VLOOKUP(E198,KLASSNING!$A$5:$F$74,2,FALSE()),"SAKNAS"))</f>
        <v/>
      </c>
      <c r="G198" s="34" t="str">
        <f>IF(A198="","",IFERROR(VLOOKUP(E198,KLASSNING!$A$5:$F$74,3,FALSE()),"SAKNAS"))</f>
        <v/>
      </c>
      <c r="H198" s="34" t="str">
        <f>IF(A198="","",'IMPORT PROFIXIO'!H198)</f>
        <v/>
      </c>
      <c r="I198" s="34" t="str">
        <f>IF(A198="","",'IMPORT PROFIXIO'!I198)</f>
        <v/>
      </c>
      <c r="J198" s="34" t="str">
        <f t="shared" si="12"/>
        <v/>
      </c>
      <c r="K198" s="34" t="str">
        <f t="shared" si="13"/>
        <v/>
      </c>
      <c r="L198" s="34" t="str">
        <f>IF(A198="","",IFERROR(VLOOKUP(E198,KLASSNING!$A$5:$F$74,5,FALSE()),0))</f>
        <v/>
      </c>
      <c r="M198" s="35" t="str">
        <f t="shared" si="14"/>
        <v/>
      </c>
      <c r="N198" s="34" t="str">
        <f>IF(A198="","",IF(K198&lt;&gt;"Ja","Ej aktuell",IF(L198&lt;=0,"KONTROLLERA MATCHTID",IF(AND(COUNTIFS(BEMANNINGSPLAN!$A$5:$A$546,B198,BEMANNINGSPLAN!$C$5:$C$546,D198,BEMANNINGSPLAN!$D$5:$D$546,"&lt;="&amp;C198,BEMANNINGSPLAN!$E$5:$E$546,"&gt;"&amp;C198)&gt;0,COUNTIFS(BEMANNINGSPLAN!$A$5:$A$546,B198,BEMANNINGSPLAN!$C$5:$C$546,D198,BEMANNINGSPLAN!$D$5:$D$546,"&lt;"&amp;M198,BEMANNINGSPLAN!$E$5:$E$546,"&gt;="&amp;M198)&gt;0),"Ja","SAKNAS TIDSRADER"))))</f>
        <v/>
      </c>
      <c r="O198" s="137" t="str">
        <f>IF(OR(B198="",K198&lt;&gt;"Ja"),"",COUNTIFS($B$5:B198,B198,$K$5:K198,"Ja"))</f>
        <v/>
      </c>
      <c r="P198" s="137" t="str">
        <f t="shared" si="15"/>
        <v/>
      </c>
    </row>
    <row r="199" spans="1:16" ht="13">
      <c r="A199" s="31" t="str">
        <f>IF('IMPORT PROFIXIO'!A199="","",'IMPORT PROFIXIO'!A199)</f>
        <v/>
      </c>
      <c r="B199" s="32" t="str">
        <f>IF(A199="","",IF(ISNUMBER('IMPORT PROFIXIO'!D199),'IMPORT PROFIXIO'!D199,DATEVALUE('IMPORT PROFIXIO'!D199)))</f>
        <v/>
      </c>
      <c r="C199" s="33" t="str">
        <f>IF(A199="","",IF(ISNUMBER('IMPORT PROFIXIO'!E199),'IMPORT PROFIXIO'!E199,(VALUE(LEFT('IMPORT PROFIXIO'!E199,FIND(":",'IMPORT PROFIXIO'!E199)-1))*60+VALUE(MID('IMPORT PROFIXIO'!E199,FIND(":",'IMPORT PROFIXIO'!E199)+1,2)))/1440))</f>
        <v/>
      </c>
      <c r="D199" s="31" t="str">
        <f>IF(A199="","",'IMPORT PROFIXIO'!F199)</f>
        <v/>
      </c>
      <c r="E199" s="31" t="str">
        <f>IF(A199="","",'IMPORT PROFIXIO'!K199)</f>
        <v/>
      </c>
      <c r="F199" s="34" t="str">
        <f>IF(A199="","",IFERROR(VLOOKUP(E199,KLASSNING!$A$5:$F$74,2,FALSE()),"SAKNAS"))</f>
        <v/>
      </c>
      <c r="G199" s="34" t="str">
        <f>IF(A199="","",IFERROR(VLOOKUP(E199,KLASSNING!$A$5:$F$74,3,FALSE()),"SAKNAS"))</f>
        <v/>
      </c>
      <c r="H199" s="34" t="str">
        <f>IF(A199="","",'IMPORT PROFIXIO'!H199)</f>
        <v/>
      </c>
      <c r="I199" s="34" t="str">
        <f>IF(A199="","",'IMPORT PROFIXIO'!I199)</f>
        <v/>
      </c>
      <c r="J199" s="34" t="str">
        <f t="shared" si="12"/>
        <v/>
      </c>
      <c r="K199" s="34" t="str">
        <f t="shared" si="13"/>
        <v/>
      </c>
      <c r="L199" s="34" t="str">
        <f>IF(A199="","",IFERROR(VLOOKUP(E199,KLASSNING!$A$5:$F$74,5,FALSE()),0))</f>
        <v/>
      </c>
      <c r="M199" s="35" t="str">
        <f t="shared" si="14"/>
        <v/>
      </c>
      <c r="N199" s="34" t="str">
        <f>IF(A199="","",IF(K199&lt;&gt;"Ja","Ej aktuell",IF(L199&lt;=0,"KONTROLLERA MATCHTID",IF(AND(COUNTIFS(BEMANNINGSPLAN!$A$5:$A$546,B199,BEMANNINGSPLAN!$C$5:$C$546,D199,BEMANNINGSPLAN!$D$5:$D$546,"&lt;="&amp;C199,BEMANNINGSPLAN!$E$5:$E$546,"&gt;"&amp;C199)&gt;0,COUNTIFS(BEMANNINGSPLAN!$A$5:$A$546,B199,BEMANNINGSPLAN!$C$5:$C$546,D199,BEMANNINGSPLAN!$D$5:$D$546,"&lt;"&amp;M199,BEMANNINGSPLAN!$E$5:$E$546,"&gt;="&amp;M199)&gt;0),"Ja","SAKNAS TIDSRADER"))))</f>
        <v/>
      </c>
      <c r="O199" s="137" t="str">
        <f>IF(OR(B199="",K199&lt;&gt;"Ja"),"",COUNTIFS($B$5:B199,B199,$K$5:K199,"Ja"))</f>
        <v/>
      </c>
      <c r="P199" s="137" t="str">
        <f t="shared" si="15"/>
        <v/>
      </c>
    </row>
    <row r="200" spans="1:16" ht="13">
      <c r="A200" s="31" t="str">
        <f>IF('IMPORT PROFIXIO'!A200="","",'IMPORT PROFIXIO'!A200)</f>
        <v/>
      </c>
      <c r="B200" s="32" t="str">
        <f>IF(A200="","",IF(ISNUMBER('IMPORT PROFIXIO'!D200),'IMPORT PROFIXIO'!D200,DATEVALUE('IMPORT PROFIXIO'!D200)))</f>
        <v/>
      </c>
      <c r="C200" s="33" t="str">
        <f>IF(A200="","",IF(ISNUMBER('IMPORT PROFIXIO'!E200),'IMPORT PROFIXIO'!E200,(VALUE(LEFT('IMPORT PROFIXIO'!E200,FIND(":",'IMPORT PROFIXIO'!E200)-1))*60+VALUE(MID('IMPORT PROFIXIO'!E200,FIND(":",'IMPORT PROFIXIO'!E200)+1,2)))/1440))</f>
        <v/>
      </c>
      <c r="D200" s="31" t="str">
        <f>IF(A200="","",'IMPORT PROFIXIO'!F200)</f>
        <v/>
      </c>
      <c r="E200" s="31" t="str">
        <f>IF(A200="","",'IMPORT PROFIXIO'!K200)</f>
        <v/>
      </c>
      <c r="F200" s="34" t="str">
        <f>IF(A200="","",IFERROR(VLOOKUP(E200,KLASSNING!$A$5:$F$74,2,FALSE()),"SAKNAS"))</f>
        <v/>
      </c>
      <c r="G200" s="34" t="str">
        <f>IF(A200="","",IFERROR(VLOOKUP(E200,KLASSNING!$A$5:$F$74,3,FALSE()),"SAKNAS"))</f>
        <v/>
      </c>
      <c r="H200" s="34" t="str">
        <f>IF(A200="","",'IMPORT PROFIXIO'!H200)</f>
        <v/>
      </c>
      <c r="I200" s="34" t="str">
        <f>IF(A200="","",'IMPORT PROFIXIO'!I200)</f>
        <v/>
      </c>
      <c r="J200" s="34" t="str">
        <f t="shared" si="12"/>
        <v/>
      </c>
      <c r="K200" s="34" t="str">
        <f t="shared" si="13"/>
        <v/>
      </c>
      <c r="L200" s="34" t="str">
        <f>IF(A200="","",IFERROR(VLOOKUP(E200,KLASSNING!$A$5:$F$74,5,FALSE()),0))</f>
        <v/>
      </c>
      <c r="M200" s="35" t="str">
        <f t="shared" si="14"/>
        <v/>
      </c>
      <c r="N200" s="34" t="str">
        <f>IF(A200="","",IF(K200&lt;&gt;"Ja","Ej aktuell",IF(L200&lt;=0,"KONTROLLERA MATCHTID",IF(AND(COUNTIFS(BEMANNINGSPLAN!$A$5:$A$546,B200,BEMANNINGSPLAN!$C$5:$C$546,D200,BEMANNINGSPLAN!$D$5:$D$546,"&lt;="&amp;C200,BEMANNINGSPLAN!$E$5:$E$546,"&gt;"&amp;C200)&gt;0,COUNTIFS(BEMANNINGSPLAN!$A$5:$A$546,B200,BEMANNINGSPLAN!$C$5:$C$546,D200,BEMANNINGSPLAN!$D$5:$D$546,"&lt;"&amp;M200,BEMANNINGSPLAN!$E$5:$E$546,"&gt;="&amp;M200)&gt;0),"Ja","SAKNAS TIDSRADER"))))</f>
        <v/>
      </c>
      <c r="O200" s="137" t="str">
        <f>IF(OR(B200="",K200&lt;&gt;"Ja"),"",COUNTIFS($B$5:B200,B200,$K$5:K200,"Ja"))</f>
        <v/>
      </c>
      <c r="P200" s="137" t="str">
        <f t="shared" si="15"/>
        <v/>
      </c>
    </row>
    <row r="201" spans="1:16" ht="13">
      <c r="A201" s="31" t="str">
        <f>IF('IMPORT PROFIXIO'!A201="","",'IMPORT PROFIXIO'!A201)</f>
        <v/>
      </c>
      <c r="B201" s="32" t="str">
        <f>IF(A201="","",IF(ISNUMBER('IMPORT PROFIXIO'!D201),'IMPORT PROFIXIO'!D201,DATEVALUE('IMPORT PROFIXIO'!D201)))</f>
        <v/>
      </c>
      <c r="C201" s="33" t="str">
        <f>IF(A201="","",IF(ISNUMBER('IMPORT PROFIXIO'!E201),'IMPORT PROFIXIO'!E201,(VALUE(LEFT('IMPORT PROFIXIO'!E201,FIND(":",'IMPORT PROFIXIO'!E201)-1))*60+VALUE(MID('IMPORT PROFIXIO'!E201,FIND(":",'IMPORT PROFIXIO'!E201)+1,2)))/1440))</f>
        <v/>
      </c>
      <c r="D201" s="31" t="str">
        <f>IF(A201="","",'IMPORT PROFIXIO'!F201)</f>
        <v/>
      </c>
      <c r="E201" s="31" t="str">
        <f>IF(A201="","",'IMPORT PROFIXIO'!K201)</f>
        <v/>
      </c>
      <c r="F201" s="34" t="str">
        <f>IF(A201="","",IFERROR(VLOOKUP(E201,KLASSNING!$A$5:$F$74,2,FALSE()),"SAKNAS"))</f>
        <v/>
      </c>
      <c r="G201" s="34" t="str">
        <f>IF(A201="","",IFERROR(VLOOKUP(E201,KLASSNING!$A$5:$F$74,3,FALSE()),"SAKNAS"))</f>
        <v/>
      </c>
      <c r="H201" s="34" t="str">
        <f>IF(A201="","",'IMPORT PROFIXIO'!H201)</f>
        <v/>
      </c>
      <c r="I201" s="34" t="str">
        <f>IF(A201="","",'IMPORT PROFIXIO'!I201)</f>
        <v/>
      </c>
      <c r="J201" s="34" t="str">
        <f t="shared" si="12"/>
        <v/>
      </c>
      <c r="K201" s="34" t="str">
        <f t="shared" si="13"/>
        <v/>
      </c>
      <c r="L201" s="34" t="str">
        <f>IF(A201="","",IFERROR(VLOOKUP(E201,KLASSNING!$A$5:$F$74,5,FALSE()),0))</f>
        <v/>
      </c>
      <c r="M201" s="35" t="str">
        <f t="shared" si="14"/>
        <v/>
      </c>
      <c r="N201" s="34" t="str">
        <f>IF(A201="","",IF(K201&lt;&gt;"Ja","Ej aktuell",IF(L201&lt;=0,"KONTROLLERA MATCHTID",IF(AND(COUNTIFS(BEMANNINGSPLAN!$A$5:$A$546,B201,BEMANNINGSPLAN!$C$5:$C$546,D201,BEMANNINGSPLAN!$D$5:$D$546,"&lt;="&amp;C201,BEMANNINGSPLAN!$E$5:$E$546,"&gt;"&amp;C201)&gt;0,COUNTIFS(BEMANNINGSPLAN!$A$5:$A$546,B201,BEMANNINGSPLAN!$C$5:$C$546,D201,BEMANNINGSPLAN!$D$5:$D$546,"&lt;"&amp;M201,BEMANNINGSPLAN!$E$5:$E$546,"&gt;="&amp;M201)&gt;0),"Ja","SAKNAS TIDSRADER"))))</f>
        <v/>
      </c>
      <c r="O201" s="137" t="str">
        <f>IF(OR(B201="",K201&lt;&gt;"Ja"),"",COUNTIFS($B$5:B201,B201,$K$5:K201,"Ja"))</f>
        <v/>
      </c>
      <c r="P201" s="137" t="str">
        <f t="shared" si="15"/>
        <v/>
      </c>
    </row>
    <row r="202" spans="1:16" ht="13">
      <c r="A202" s="31" t="str">
        <f>IF('IMPORT PROFIXIO'!A202="","",'IMPORT PROFIXIO'!A202)</f>
        <v/>
      </c>
      <c r="B202" s="32" t="str">
        <f>IF(A202="","",IF(ISNUMBER('IMPORT PROFIXIO'!D202),'IMPORT PROFIXIO'!D202,DATEVALUE('IMPORT PROFIXIO'!D202)))</f>
        <v/>
      </c>
      <c r="C202" s="33" t="str">
        <f>IF(A202="","",IF(ISNUMBER('IMPORT PROFIXIO'!E202),'IMPORT PROFIXIO'!E202,(VALUE(LEFT('IMPORT PROFIXIO'!E202,FIND(":",'IMPORT PROFIXIO'!E202)-1))*60+VALUE(MID('IMPORT PROFIXIO'!E202,FIND(":",'IMPORT PROFIXIO'!E202)+1,2)))/1440))</f>
        <v/>
      </c>
      <c r="D202" s="31" t="str">
        <f>IF(A202="","",'IMPORT PROFIXIO'!F202)</f>
        <v/>
      </c>
      <c r="E202" s="31" t="str">
        <f>IF(A202="","",'IMPORT PROFIXIO'!K202)</f>
        <v/>
      </c>
      <c r="F202" s="34" t="str">
        <f>IF(A202="","",IFERROR(VLOOKUP(E202,KLASSNING!$A$5:$F$74,2,FALSE()),"SAKNAS"))</f>
        <v/>
      </c>
      <c r="G202" s="34" t="str">
        <f>IF(A202="","",IFERROR(VLOOKUP(E202,KLASSNING!$A$5:$F$74,3,FALSE()),"SAKNAS"))</f>
        <v/>
      </c>
      <c r="H202" s="34" t="str">
        <f>IF(A202="","",'IMPORT PROFIXIO'!H202)</f>
        <v/>
      </c>
      <c r="I202" s="34" t="str">
        <f>IF(A202="","",'IMPORT PROFIXIO'!I202)</f>
        <v/>
      </c>
      <c r="J202" s="34" t="str">
        <f t="shared" si="12"/>
        <v/>
      </c>
      <c r="K202" s="34" t="str">
        <f t="shared" si="13"/>
        <v/>
      </c>
      <c r="L202" s="34" t="str">
        <f>IF(A202="","",IFERROR(VLOOKUP(E202,KLASSNING!$A$5:$F$74,5,FALSE()),0))</f>
        <v/>
      </c>
      <c r="M202" s="35" t="str">
        <f t="shared" si="14"/>
        <v/>
      </c>
      <c r="N202" s="34" t="str">
        <f>IF(A202="","",IF(K202&lt;&gt;"Ja","Ej aktuell",IF(L202&lt;=0,"KONTROLLERA MATCHTID",IF(AND(COUNTIFS(BEMANNINGSPLAN!$A$5:$A$546,B202,BEMANNINGSPLAN!$C$5:$C$546,D202,BEMANNINGSPLAN!$D$5:$D$546,"&lt;="&amp;C202,BEMANNINGSPLAN!$E$5:$E$546,"&gt;"&amp;C202)&gt;0,COUNTIFS(BEMANNINGSPLAN!$A$5:$A$546,B202,BEMANNINGSPLAN!$C$5:$C$546,D202,BEMANNINGSPLAN!$D$5:$D$546,"&lt;"&amp;M202,BEMANNINGSPLAN!$E$5:$E$546,"&gt;="&amp;M202)&gt;0),"Ja","SAKNAS TIDSRADER"))))</f>
        <v/>
      </c>
      <c r="O202" s="137" t="str">
        <f>IF(OR(B202="",K202&lt;&gt;"Ja"),"",COUNTIFS($B$5:B202,B202,$K$5:K202,"Ja"))</f>
        <v/>
      </c>
      <c r="P202" s="137" t="str">
        <f t="shared" si="15"/>
        <v/>
      </c>
    </row>
    <row r="203" spans="1:16" ht="13">
      <c r="A203" s="31" t="str">
        <f>IF('IMPORT PROFIXIO'!A203="","",'IMPORT PROFIXIO'!A203)</f>
        <v/>
      </c>
      <c r="B203" s="32" t="str">
        <f>IF(A203="","",IF(ISNUMBER('IMPORT PROFIXIO'!D203),'IMPORT PROFIXIO'!D203,DATEVALUE('IMPORT PROFIXIO'!D203)))</f>
        <v/>
      </c>
      <c r="C203" s="33" t="str">
        <f>IF(A203="","",IF(ISNUMBER('IMPORT PROFIXIO'!E203),'IMPORT PROFIXIO'!E203,(VALUE(LEFT('IMPORT PROFIXIO'!E203,FIND(":",'IMPORT PROFIXIO'!E203)-1))*60+VALUE(MID('IMPORT PROFIXIO'!E203,FIND(":",'IMPORT PROFIXIO'!E203)+1,2)))/1440))</f>
        <v/>
      </c>
      <c r="D203" s="31" t="str">
        <f>IF(A203="","",'IMPORT PROFIXIO'!F203)</f>
        <v/>
      </c>
      <c r="E203" s="31" t="str">
        <f>IF(A203="","",'IMPORT PROFIXIO'!K203)</f>
        <v/>
      </c>
      <c r="F203" s="34" t="str">
        <f>IF(A203="","",IFERROR(VLOOKUP(E203,KLASSNING!$A$5:$F$74,2,FALSE()),"SAKNAS"))</f>
        <v/>
      </c>
      <c r="G203" s="34" t="str">
        <f>IF(A203="","",IFERROR(VLOOKUP(E203,KLASSNING!$A$5:$F$74,3,FALSE()),"SAKNAS"))</f>
        <v/>
      </c>
      <c r="H203" s="34" t="str">
        <f>IF(A203="","",'IMPORT PROFIXIO'!H203)</f>
        <v/>
      </c>
      <c r="I203" s="34" t="str">
        <f>IF(A203="","",'IMPORT PROFIXIO'!I203)</f>
        <v/>
      </c>
      <c r="J203" s="34" t="str">
        <f t="shared" si="12"/>
        <v/>
      </c>
      <c r="K203" s="34" t="str">
        <f t="shared" si="13"/>
        <v/>
      </c>
      <c r="L203" s="34" t="str">
        <f>IF(A203="","",IFERROR(VLOOKUP(E203,KLASSNING!$A$5:$F$74,5,FALSE()),0))</f>
        <v/>
      </c>
      <c r="M203" s="35" t="str">
        <f t="shared" si="14"/>
        <v/>
      </c>
      <c r="N203" s="34" t="str">
        <f>IF(A203="","",IF(K203&lt;&gt;"Ja","Ej aktuell",IF(L203&lt;=0,"KONTROLLERA MATCHTID",IF(AND(COUNTIFS(BEMANNINGSPLAN!$A$5:$A$546,B203,BEMANNINGSPLAN!$C$5:$C$546,D203,BEMANNINGSPLAN!$D$5:$D$546,"&lt;="&amp;C203,BEMANNINGSPLAN!$E$5:$E$546,"&gt;"&amp;C203)&gt;0,COUNTIFS(BEMANNINGSPLAN!$A$5:$A$546,B203,BEMANNINGSPLAN!$C$5:$C$546,D203,BEMANNINGSPLAN!$D$5:$D$546,"&lt;"&amp;M203,BEMANNINGSPLAN!$E$5:$E$546,"&gt;="&amp;M203)&gt;0),"Ja","SAKNAS TIDSRADER"))))</f>
        <v/>
      </c>
      <c r="O203" s="137" t="str">
        <f>IF(OR(B203="",K203&lt;&gt;"Ja"),"",COUNTIFS($B$5:B203,B203,$K$5:K203,"Ja"))</f>
        <v/>
      </c>
      <c r="P203" s="137" t="str">
        <f t="shared" si="15"/>
        <v/>
      </c>
    </row>
    <row r="204" spans="1:16" ht="13">
      <c r="A204" s="31" t="str">
        <f>IF('IMPORT PROFIXIO'!A204="","",'IMPORT PROFIXIO'!A204)</f>
        <v/>
      </c>
      <c r="B204" s="32" t="str">
        <f>IF(A204="","",IF(ISNUMBER('IMPORT PROFIXIO'!D204),'IMPORT PROFIXIO'!D204,DATEVALUE('IMPORT PROFIXIO'!D204)))</f>
        <v/>
      </c>
      <c r="C204" s="33" t="str">
        <f>IF(A204="","",IF(ISNUMBER('IMPORT PROFIXIO'!E204),'IMPORT PROFIXIO'!E204,(VALUE(LEFT('IMPORT PROFIXIO'!E204,FIND(":",'IMPORT PROFIXIO'!E204)-1))*60+VALUE(MID('IMPORT PROFIXIO'!E204,FIND(":",'IMPORT PROFIXIO'!E204)+1,2)))/1440))</f>
        <v/>
      </c>
      <c r="D204" s="31" t="str">
        <f>IF(A204="","",'IMPORT PROFIXIO'!F204)</f>
        <v/>
      </c>
      <c r="E204" s="31" t="str">
        <f>IF(A204="","",'IMPORT PROFIXIO'!K204)</f>
        <v/>
      </c>
      <c r="F204" s="34" t="str">
        <f>IF(A204="","",IFERROR(VLOOKUP(E204,KLASSNING!$A$5:$F$74,2,FALSE()),"SAKNAS"))</f>
        <v/>
      </c>
      <c r="G204" s="34" t="str">
        <f>IF(A204="","",IFERROR(VLOOKUP(E204,KLASSNING!$A$5:$F$74,3,FALSE()),"SAKNAS"))</f>
        <v/>
      </c>
      <c r="H204" s="34" t="str">
        <f>IF(A204="","",'IMPORT PROFIXIO'!H204)</f>
        <v/>
      </c>
      <c r="I204" s="34" t="str">
        <f>IF(A204="","",'IMPORT PROFIXIO'!I204)</f>
        <v/>
      </c>
      <c r="J204" s="34" t="str">
        <f t="shared" si="12"/>
        <v/>
      </c>
      <c r="K204" s="34" t="str">
        <f t="shared" si="13"/>
        <v/>
      </c>
      <c r="L204" s="34" t="str">
        <f>IF(A204="","",IFERROR(VLOOKUP(E204,KLASSNING!$A$5:$F$74,5,FALSE()),0))</f>
        <v/>
      </c>
      <c r="M204" s="35" t="str">
        <f t="shared" si="14"/>
        <v/>
      </c>
      <c r="N204" s="34" t="str">
        <f>IF(A204="","",IF(K204&lt;&gt;"Ja","Ej aktuell",IF(L204&lt;=0,"KONTROLLERA MATCHTID",IF(AND(COUNTIFS(BEMANNINGSPLAN!$A$5:$A$546,B204,BEMANNINGSPLAN!$C$5:$C$546,D204,BEMANNINGSPLAN!$D$5:$D$546,"&lt;="&amp;C204,BEMANNINGSPLAN!$E$5:$E$546,"&gt;"&amp;C204)&gt;0,COUNTIFS(BEMANNINGSPLAN!$A$5:$A$546,B204,BEMANNINGSPLAN!$C$5:$C$546,D204,BEMANNINGSPLAN!$D$5:$D$546,"&lt;"&amp;M204,BEMANNINGSPLAN!$E$5:$E$546,"&gt;="&amp;M204)&gt;0),"Ja","SAKNAS TIDSRADER"))))</f>
        <v/>
      </c>
      <c r="O204" s="137" t="str">
        <f>IF(OR(B204="",K204&lt;&gt;"Ja"),"",COUNTIFS($B$5:B204,B204,$K$5:K204,"Ja"))</f>
        <v/>
      </c>
      <c r="P204" s="137" t="str">
        <f t="shared" si="15"/>
        <v/>
      </c>
    </row>
    <row r="205" spans="1:16" ht="13">
      <c r="A205" s="31" t="str">
        <f>IF('IMPORT PROFIXIO'!A205="","",'IMPORT PROFIXIO'!A205)</f>
        <v/>
      </c>
      <c r="B205" s="32" t="str">
        <f>IF(A205="","",IF(ISNUMBER('IMPORT PROFIXIO'!D205),'IMPORT PROFIXIO'!D205,DATEVALUE('IMPORT PROFIXIO'!D205)))</f>
        <v/>
      </c>
      <c r="C205" s="33" t="str">
        <f>IF(A205="","",IF(ISNUMBER('IMPORT PROFIXIO'!E205),'IMPORT PROFIXIO'!E205,(VALUE(LEFT('IMPORT PROFIXIO'!E205,FIND(":",'IMPORT PROFIXIO'!E205)-1))*60+VALUE(MID('IMPORT PROFIXIO'!E205,FIND(":",'IMPORT PROFIXIO'!E205)+1,2)))/1440))</f>
        <v/>
      </c>
      <c r="D205" s="31" t="str">
        <f>IF(A205="","",'IMPORT PROFIXIO'!F205)</f>
        <v/>
      </c>
      <c r="E205" s="31" t="str">
        <f>IF(A205="","",'IMPORT PROFIXIO'!K205)</f>
        <v/>
      </c>
      <c r="F205" s="34" t="str">
        <f>IF(A205="","",IFERROR(VLOOKUP(E205,KLASSNING!$A$5:$F$74,2,FALSE()),"SAKNAS"))</f>
        <v/>
      </c>
      <c r="G205" s="34" t="str">
        <f>IF(A205="","",IFERROR(VLOOKUP(E205,KLASSNING!$A$5:$F$74,3,FALSE()),"SAKNAS"))</f>
        <v/>
      </c>
      <c r="H205" s="34" t="str">
        <f>IF(A205="","",'IMPORT PROFIXIO'!H205)</f>
        <v/>
      </c>
      <c r="I205" s="34" t="str">
        <f>IF(A205="","",'IMPORT PROFIXIO'!I205)</f>
        <v/>
      </c>
      <c r="J205" s="34" t="str">
        <f t="shared" si="12"/>
        <v/>
      </c>
      <c r="K205" s="34" t="str">
        <f t="shared" si="13"/>
        <v/>
      </c>
      <c r="L205" s="34" t="str">
        <f>IF(A205="","",IFERROR(VLOOKUP(E205,KLASSNING!$A$5:$F$74,5,FALSE()),0))</f>
        <v/>
      </c>
      <c r="M205" s="35" t="str">
        <f t="shared" si="14"/>
        <v/>
      </c>
      <c r="N205" s="34" t="str">
        <f>IF(A205="","",IF(K205&lt;&gt;"Ja","Ej aktuell",IF(L205&lt;=0,"KONTROLLERA MATCHTID",IF(AND(COUNTIFS(BEMANNINGSPLAN!$A$5:$A$546,B205,BEMANNINGSPLAN!$C$5:$C$546,D205,BEMANNINGSPLAN!$D$5:$D$546,"&lt;="&amp;C205,BEMANNINGSPLAN!$E$5:$E$546,"&gt;"&amp;C205)&gt;0,COUNTIFS(BEMANNINGSPLAN!$A$5:$A$546,B205,BEMANNINGSPLAN!$C$5:$C$546,D205,BEMANNINGSPLAN!$D$5:$D$546,"&lt;"&amp;M205,BEMANNINGSPLAN!$E$5:$E$546,"&gt;="&amp;M205)&gt;0),"Ja","SAKNAS TIDSRADER"))))</f>
        <v/>
      </c>
      <c r="O205" s="137" t="str">
        <f>IF(OR(B205="",K205&lt;&gt;"Ja"),"",COUNTIFS($B$5:B205,B205,$K$5:K205,"Ja"))</f>
        <v/>
      </c>
      <c r="P205" s="137" t="str">
        <f t="shared" si="15"/>
        <v/>
      </c>
    </row>
    <row r="206" spans="1:16" ht="13">
      <c r="A206" s="31" t="str">
        <f>IF('IMPORT PROFIXIO'!A206="","",'IMPORT PROFIXIO'!A206)</f>
        <v/>
      </c>
      <c r="B206" s="32" t="str">
        <f>IF(A206="","",IF(ISNUMBER('IMPORT PROFIXIO'!D206),'IMPORT PROFIXIO'!D206,DATEVALUE('IMPORT PROFIXIO'!D206)))</f>
        <v/>
      </c>
      <c r="C206" s="33" t="str">
        <f>IF(A206="","",IF(ISNUMBER('IMPORT PROFIXIO'!E206),'IMPORT PROFIXIO'!E206,(VALUE(LEFT('IMPORT PROFIXIO'!E206,FIND(":",'IMPORT PROFIXIO'!E206)-1))*60+VALUE(MID('IMPORT PROFIXIO'!E206,FIND(":",'IMPORT PROFIXIO'!E206)+1,2)))/1440))</f>
        <v/>
      </c>
      <c r="D206" s="31" t="str">
        <f>IF(A206="","",'IMPORT PROFIXIO'!F206)</f>
        <v/>
      </c>
      <c r="E206" s="31" t="str">
        <f>IF(A206="","",'IMPORT PROFIXIO'!K206)</f>
        <v/>
      </c>
      <c r="F206" s="34" t="str">
        <f>IF(A206="","",IFERROR(VLOOKUP(E206,KLASSNING!$A$5:$F$74,2,FALSE()),"SAKNAS"))</f>
        <v/>
      </c>
      <c r="G206" s="34" t="str">
        <f>IF(A206="","",IFERROR(VLOOKUP(E206,KLASSNING!$A$5:$F$74,3,FALSE()),"SAKNAS"))</f>
        <v/>
      </c>
      <c r="H206" s="34" t="str">
        <f>IF(A206="","",'IMPORT PROFIXIO'!H206)</f>
        <v/>
      </c>
      <c r="I206" s="34" t="str">
        <f>IF(A206="","",'IMPORT PROFIXIO'!I206)</f>
        <v/>
      </c>
      <c r="J206" s="34" t="str">
        <f t="shared" si="12"/>
        <v/>
      </c>
      <c r="K206" s="34" t="str">
        <f t="shared" si="13"/>
        <v/>
      </c>
      <c r="L206" s="34" t="str">
        <f>IF(A206="","",IFERROR(VLOOKUP(E206,KLASSNING!$A$5:$F$74,5,FALSE()),0))</f>
        <v/>
      </c>
      <c r="M206" s="35" t="str">
        <f t="shared" si="14"/>
        <v/>
      </c>
      <c r="N206" s="34" t="str">
        <f>IF(A206="","",IF(K206&lt;&gt;"Ja","Ej aktuell",IF(L206&lt;=0,"KONTROLLERA MATCHTID",IF(AND(COUNTIFS(BEMANNINGSPLAN!$A$5:$A$546,B206,BEMANNINGSPLAN!$C$5:$C$546,D206,BEMANNINGSPLAN!$D$5:$D$546,"&lt;="&amp;C206,BEMANNINGSPLAN!$E$5:$E$546,"&gt;"&amp;C206)&gt;0,COUNTIFS(BEMANNINGSPLAN!$A$5:$A$546,B206,BEMANNINGSPLAN!$C$5:$C$546,D206,BEMANNINGSPLAN!$D$5:$D$546,"&lt;"&amp;M206,BEMANNINGSPLAN!$E$5:$E$546,"&gt;="&amp;M206)&gt;0),"Ja","SAKNAS TIDSRADER"))))</f>
        <v/>
      </c>
      <c r="O206" s="137" t="str">
        <f>IF(OR(B206="",K206&lt;&gt;"Ja"),"",COUNTIFS($B$5:B206,B206,$K$5:K206,"Ja"))</f>
        <v/>
      </c>
      <c r="P206" s="137" t="str">
        <f t="shared" si="15"/>
        <v/>
      </c>
    </row>
    <row r="207" spans="1:16" ht="13">
      <c r="A207" s="31" t="str">
        <f>IF('IMPORT PROFIXIO'!A207="","",'IMPORT PROFIXIO'!A207)</f>
        <v/>
      </c>
      <c r="B207" s="32" t="str">
        <f>IF(A207="","",IF(ISNUMBER('IMPORT PROFIXIO'!D207),'IMPORT PROFIXIO'!D207,DATEVALUE('IMPORT PROFIXIO'!D207)))</f>
        <v/>
      </c>
      <c r="C207" s="33" t="str">
        <f>IF(A207="","",IF(ISNUMBER('IMPORT PROFIXIO'!E207),'IMPORT PROFIXIO'!E207,(VALUE(LEFT('IMPORT PROFIXIO'!E207,FIND(":",'IMPORT PROFIXIO'!E207)-1))*60+VALUE(MID('IMPORT PROFIXIO'!E207,FIND(":",'IMPORT PROFIXIO'!E207)+1,2)))/1440))</f>
        <v/>
      </c>
      <c r="D207" s="31" t="str">
        <f>IF(A207="","",'IMPORT PROFIXIO'!F207)</f>
        <v/>
      </c>
      <c r="E207" s="31" t="str">
        <f>IF(A207="","",'IMPORT PROFIXIO'!K207)</f>
        <v/>
      </c>
      <c r="F207" s="34" t="str">
        <f>IF(A207="","",IFERROR(VLOOKUP(E207,KLASSNING!$A$5:$F$74,2,FALSE()),"SAKNAS"))</f>
        <v/>
      </c>
      <c r="G207" s="34" t="str">
        <f>IF(A207="","",IFERROR(VLOOKUP(E207,KLASSNING!$A$5:$F$74,3,FALSE()),"SAKNAS"))</f>
        <v/>
      </c>
      <c r="H207" s="34" t="str">
        <f>IF(A207="","",'IMPORT PROFIXIO'!H207)</f>
        <v/>
      </c>
      <c r="I207" s="34" t="str">
        <f>IF(A207="","",'IMPORT PROFIXIO'!I207)</f>
        <v/>
      </c>
      <c r="J207" s="34" t="str">
        <f t="shared" si="12"/>
        <v/>
      </c>
      <c r="K207" s="34" t="str">
        <f t="shared" si="13"/>
        <v/>
      </c>
      <c r="L207" s="34" t="str">
        <f>IF(A207="","",IFERROR(VLOOKUP(E207,KLASSNING!$A$5:$F$74,5,FALSE()),0))</f>
        <v/>
      </c>
      <c r="M207" s="35" t="str">
        <f t="shared" si="14"/>
        <v/>
      </c>
      <c r="N207" s="34" t="str">
        <f>IF(A207="","",IF(K207&lt;&gt;"Ja","Ej aktuell",IF(L207&lt;=0,"KONTROLLERA MATCHTID",IF(AND(COUNTIFS(BEMANNINGSPLAN!$A$5:$A$546,B207,BEMANNINGSPLAN!$C$5:$C$546,D207,BEMANNINGSPLAN!$D$5:$D$546,"&lt;="&amp;C207,BEMANNINGSPLAN!$E$5:$E$546,"&gt;"&amp;C207)&gt;0,COUNTIFS(BEMANNINGSPLAN!$A$5:$A$546,B207,BEMANNINGSPLAN!$C$5:$C$546,D207,BEMANNINGSPLAN!$D$5:$D$546,"&lt;"&amp;M207,BEMANNINGSPLAN!$E$5:$E$546,"&gt;="&amp;M207)&gt;0),"Ja","SAKNAS TIDSRADER"))))</f>
        <v/>
      </c>
      <c r="O207" s="137" t="str">
        <f>IF(OR(B207="",K207&lt;&gt;"Ja"),"",COUNTIFS($B$5:B207,B207,$K$5:K207,"Ja"))</f>
        <v/>
      </c>
      <c r="P207" s="137" t="str">
        <f t="shared" si="15"/>
        <v/>
      </c>
    </row>
    <row r="208" spans="1:16" ht="13">
      <c r="A208" s="31" t="str">
        <f>IF('IMPORT PROFIXIO'!A208="","",'IMPORT PROFIXIO'!A208)</f>
        <v/>
      </c>
      <c r="B208" s="32" t="str">
        <f>IF(A208="","",IF(ISNUMBER('IMPORT PROFIXIO'!D208),'IMPORT PROFIXIO'!D208,DATEVALUE('IMPORT PROFIXIO'!D208)))</f>
        <v/>
      </c>
      <c r="C208" s="33" t="str">
        <f>IF(A208="","",IF(ISNUMBER('IMPORT PROFIXIO'!E208),'IMPORT PROFIXIO'!E208,(VALUE(LEFT('IMPORT PROFIXIO'!E208,FIND(":",'IMPORT PROFIXIO'!E208)-1))*60+VALUE(MID('IMPORT PROFIXIO'!E208,FIND(":",'IMPORT PROFIXIO'!E208)+1,2)))/1440))</f>
        <v/>
      </c>
      <c r="D208" s="31" t="str">
        <f>IF(A208="","",'IMPORT PROFIXIO'!F208)</f>
        <v/>
      </c>
      <c r="E208" s="31" t="str">
        <f>IF(A208="","",'IMPORT PROFIXIO'!K208)</f>
        <v/>
      </c>
      <c r="F208" s="34" t="str">
        <f>IF(A208="","",IFERROR(VLOOKUP(E208,KLASSNING!$A$5:$F$74,2,FALSE()),"SAKNAS"))</f>
        <v/>
      </c>
      <c r="G208" s="34" t="str">
        <f>IF(A208="","",IFERROR(VLOOKUP(E208,KLASSNING!$A$5:$F$74,3,FALSE()),"SAKNAS"))</f>
        <v/>
      </c>
      <c r="H208" s="34" t="str">
        <f>IF(A208="","",'IMPORT PROFIXIO'!H208)</f>
        <v/>
      </c>
      <c r="I208" s="34" t="str">
        <f>IF(A208="","",'IMPORT PROFIXIO'!I208)</f>
        <v/>
      </c>
      <c r="J208" s="34" t="str">
        <f t="shared" si="12"/>
        <v/>
      </c>
      <c r="K208" s="34" t="str">
        <f t="shared" si="13"/>
        <v/>
      </c>
      <c r="L208" s="34" t="str">
        <f>IF(A208="","",IFERROR(VLOOKUP(E208,KLASSNING!$A$5:$F$74,5,FALSE()),0))</f>
        <v/>
      </c>
      <c r="M208" s="35" t="str">
        <f t="shared" si="14"/>
        <v/>
      </c>
      <c r="N208" s="34" t="str">
        <f>IF(A208="","",IF(K208&lt;&gt;"Ja","Ej aktuell",IF(L208&lt;=0,"KONTROLLERA MATCHTID",IF(AND(COUNTIFS(BEMANNINGSPLAN!$A$5:$A$546,B208,BEMANNINGSPLAN!$C$5:$C$546,D208,BEMANNINGSPLAN!$D$5:$D$546,"&lt;="&amp;C208,BEMANNINGSPLAN!$E$5:$E$546,"&gt;"&amp;C208)&gt;0,COUNTIFS(BEMANNINGSPLAN!$A$5:$A$546,B208,BEMANNINGSPLAN!$C$5:$C$546,D208,BEMANNINGSPLAN!$D$5:$D$546,"&lt;"&amp;M208,BEMANNINGSPLAN!$E$5:$E$546,"&gt;="&amp;M208)&gt;0),"Ja","SAKNAS TIDSRADER"))))</f>
        <v/>
      </c>
      <c r="O208" s="137" t="str">
        <f>IF(OR(B208="",K208&lt;&gt;"Ja"),"",COUNTIFS($B$5:B208,B208,$K$5:K208,"Ja"))</f>
        <v/>
      </c>
      <c r="P208" s="137" t="str">
        <f t="shared" si="15"/>
        <v/>
      </c>
    </row>
    <row r="209" spans="1:16" ht="13">
      <c r="A209" s="31" t="str">
        <f>IF('IMPORT PROFIXIO'!A209="","",'IMPORT PROFIXIO'!A209)</f>
        <v/>
      </c>
      <c r="B209" s="32" t="str">
        <f>IF(A209="","",IF(ISNUMBER('IMPORT PROFIXIO'!D209),'IMPORT PROFIXIO'!D209,DATEVALUE('IMPORT PROFIXIO'!D209)))</f>
        <v/>
      </c>
      <c r="C209" s="33" t="str">
        <f>IF(A209="","",IF(ISNUMBER('IMPORT PROFIXIO'!E209),'IMPORT PROFIXIO'!E209,(VALUE(LEFT('IMPORT PROFIXIO'!E209,FIND(":",'IMPORT PROFIXIO'!E209)-1))*60+VALUE(MID('IMPORT PROFIXIO'!E209,FIND(":",'IMPORT PROFIXIO'!E209)+1,2)))/1440))</f>
        <v/>
      </c>
      <c r="D209" s="31" t="str">
        <f>IF(A209="","",'IMPORT PROFIXIO'!F209)</f>
        <v/>
      </c>
      <c r="E209" s="31" t="str">
        <f>IF(A209="","",'IMPORT PROFIXIO'!K209)</f>
        <v/>
      </c>
      <c r="F209" s="34" t="str">
        <f>IF(A209="","",IFERROR(VLOOKUP(E209,KLASSNING!$A$5:$F$74,2,FALSE()),"SAKNAS"))</f>
        <v/>
      </c>
      <c r="G209" s="34" t="str">
        <f>IF(A209="","",IFERROR(VLOOKUP(E209,KLASSNING!$A$5:$F$74,3,FALSE()),"SAKNAS"))</f>
        <v/>
      </c>
      <c r="H209" s="34" t="str">
        <f>IF(A209="","",'IMPORT PROFIXIO'!H209)</f>
        <v/>
      </c>
      <c r="I209" s="34" t="str">
        <f>IF(A209="","",'IMPORT PROFIXIO'!I209)</f>
        <v/>
      </c>
      <c r="J209" s="34" t="str">
        <f t="shared" si="12"/>
        <v/>
      </c>
      <c r="K209" s="34" t="str">
        <f t="shared" si="13"/>
        <v/>
      </c>
      <c r="L209" s="34" t="str">
        <f>IF(A209="","",IFERROR(VLOOKUP(E209,KLASSNING!$A$5:$F$74,5,FALSE()),0))</f>
        <v/>
      </c>
      <c r="M209" s="35" t="str">
        <f t="shared" si="14"/>
        <v/>
      </c>
      <c r="N209" s="34" t="str">
        <f>IF(A209="","",IF(K209&lt;&gt;"Ja","Ej aktuell",IF(L209&lt;=0,"KONTROLLERA MATCHTID",IF(AND(COUNTIFS(BEMANNINGSPLAN!$A$5:$A$546,B209,BEMANNINGSPLAN!$C$5:$C$546,D209,BEMANNINGSPLAN!$D$5:$D$546,"&lt;="&amp;C209,BEMANNINGSPLAN!$E$5:$E$546,"&gt;"&amp;C209)&gt;0,COUNTIFS(BEMANNINGSPLAN!$A$5:$A$546,B209,BEMANNINGSPLAN!$C$5:$C$546,D209,BEMANNINGSPLAN!$D$5:$D$546,"&lt;"&amp;M209,BEMANNINGSPLAN!$E$5:$E$546,"&gt;="&amp;M209)&gt;0),"Ja","SAKNAS TIDSRADER"))))</f>
        <v/>
      </c>
      <c r="O209" s="137" t="str">
        <f>IF(OR(B209="",K209&lt;&gt;"Ja"),"",COUNTIFS($B$5:B209,B209,$K$5:K209,"Ja"))</f>
        <v/>
      </c>
      <c r="P209" s="137" t="str">
        <f t="shared" si="15"/>
        <v/>
      </c>
    </row>
    <row r="210" spans="1:16" ht="13">
      <c r="A210" s="31" t="str">
        <f>IF('IMPORT PROFIXIO'!A210="","",'IMPORT PROFIXIO'!A210)</f>
        <v/>
      </c>
      <c r="B210" s="32" t="str">
        <f>IF(A210="","",IF(ISNUMBER('IMPORT PROFIXIO'!D210),'IMPORT PROFIXIO'!D210,DATEVALUE('IMPORT PROFIXIO'!D210)))</f>
        <v/>
      </c>
      <c r="C210" s="33" t="str">
        <f>IF(A210="","",IF(ISNUMBER('IMPORT PROFIXIO'!E210),'IMPORT PROFIXIO'!E210,(VALUE(LEFT('IMPORT PROFIXIO'!E210,FIND(":",'IMPORT PROFIXIO'!E210)-1))*60+VALUE(MID('IMPORT PROFIXIO'!E210,FIND(":",'IMPORT PROFIXIO'!E210)+1,2)))/1440))</f>
        <v/>
      </c>
      <c r="D210" s="31" t="str">
        <f>IF(A210="","",'IMPORT PROFIXIO'!F210)</f>
        <v/>
      </c>
      <c r="E210" s="31" t="str">
        <f>IF(A210="","",'IMPORT PROFIXIO'!K210)</f>
        <v/>
      </c>
      <c r="F210" s="34" t="str">
        <f>IF(A210="","",IFERROR(VLOOKUP(E210,KLASSNING!$A$5:$F$74,2,FALSE()),"SAKNAS"))</f>
        <v/>
      </c>
      <c r="G210" s="34" t="str">
        <f>IF(A210="","",IFERROR(VLOOKUP(E210,KLASSNING!$A$5:$F$74,3,FALSE()),"SAKNAS"))</f>
        <v/>
      </c>
      <c r="H210" s="34" t="str">
        <f>IF(A210="","",'IMPORT PROFIXIO'!H210)</f>
        <v/>
      </c>
      <c r="I210" s="34" t="str">
        <f>IF(A210="","",'IMPORT PROFIXIO'!I210)</f>
        <v/>
      </c>
      <c r="J210" s="34" t="str">
        <f t="shared" si="12"/>
        <v/>
      </c>
      <c r="K210" s="34" t="str">
        <f t="shared" si="13"/>
        <v/>
      </c>
      <c r="L210" s="34" t="str">
        <f>IF(A210="","",IFERROR(VLOOKUP(E210,KLASSNING!$A$5:$F$74,5,FALSE()),0))</f>
        <v/>
      </c>
      <c r="M210" s="35" t="str">
        <f t="shared" si="14"/>
        <v/>
      </c>
      <c r="N210" s="34" t="str">
        <f>IF(A210="","",IF(K210&lt;&gt;"Ja","Ej aktuell",IF(L210&lt;=0,"KONTROLLERA MATCHTID",IF(AND(COUNTIFS(BEMANNINGSPLAN!$A$5:$A$546,B210,BEMANNINGSPLAN!$C$5:$C$546,D210,BEMANNINGSPLAN!$D$5:$D$546,"&lt;="&amp;C210,BEMANNINGSPLAN!$E$5:$E$546,"&gt;"&amp;C210)&gt;0,COUNTIFS(BEMANNINGSPLAN!$A$5:$A$546,B210,BEMANNINGSPLAN!$C$5:$C$546,D210,BEMANNINGSPLAN!$D$5:$D$546,"&lt;"&amp;M210,BEMANNINGSPLAN!$E$5:$E$546,"&gt;="&amp;M210)&gt;0),"Ja","SAKNAS TIDSRADER"))))</f>
        <v/>
      </c>
      <c r="O210" s="137" t="str">
        <f>IF(OR(B210="",K210&lt;&gt;"Ja"),"",COUNTIFS($B$5:B210,B210,$K$5:K210,"Ja"))</f>
        <v/>
      </c>
      <c r="P210" s="137" t="str">
        <f t="shared" si="15"/>
        <v/>
      </c>
    </row>
    <row r="211" spans="1:16" ht="13">
      <c r="A211" s="31" t="str">
        <f>IF('IMPORT PROFIXIO'!A211="","",'IMPORT PROFIXIO'!A211)</f>
        <v/>
      </c>
      <c r="B211" s="32" t="str">
        <f>IF(A211="","",IF(ISNUMBER('IMPORT PROFIXIO'!D211),'IMPORT PROFIXIO'!D211,DATEVALUE('IMPORT PROFIXIO'!D211)))</f>
        <v/>
      </c>
      <c r="C211" s="33" t="str">
        <f>IF(A211="","",IF(ISNUMBER('IMPORT PROFIXIO'!E211),'IMPORT PROFIXIO'!E211,(VALUE(LEFT('IMPORT PROFIXIO'!E211,FIND(":",'IMPORT PROFIXIO'!E211)-1))*60+VALUE(MID('IMPORT PROFIXIO'!E211,FIND(":",'IMPORT PROFIXIO'!E211)+1,2)))/1440))</f>
        <v/>
      </c>
      <c r="D211" s="31" t="str">
        <f>IF(A211="","",'IMPORT PROFIXIO'!F211)</f>
        <v/>
      </c>
      <c r="E211" s="31" t="str">
        <f>IF(A211="","",'IMPORT PROFIXIO'!K211)</f>
        <v/>
      </c>
      <c r="F211" s="34" t="str">
        <f>IF(A211="","",IFERROR(VLOOKUP(E211,KLASSNING!$A$5:$F$74,2,FALSE()),"SAKNAS"))</f>
        <v/>
      </c>
      <c r="G211" s="34" t="str">
        <f>IF(A211="","",IFERROR(VLOOKUP(E211,KLASSNING!$A$5:$F$74,3,FALSE()),"SAKNAS"))</f>
        <v/>
      </c>
      <c r="H211" s="34" t="str">
        <f>IF(A211="","",'IMPORT PROFIXIO'!H211)</f>
        <v/>
      </c>
      <c r="I211" s="34" t="str">
        <f>IF(A211="","",'IMPORT PROFIXIO'!I211)</f>
        <v/>
      </c>
      <c r="J211" s="34" t="str">
        <f t="shared" si="12"/>
        <v/>
      </c>
      <c r="K211" s="34" t="str">
        <f t="shared" si="13"/>
        <v/>
      </c>
      <c r="L211" s="34" t="str">
        <f>IF(A211="","",IFERROR(VLOOKUP(E211,KLASSNING!$A$5:$F$74,5,FALSE()),0))</f>
        <v/>
      </c>
      <c r="M211" s="35" t="str">
        <f t="shared" si="14"/>
        <v/>
      </c>
      <c r="N211" s="34" t="str">
        <f>IF(A211="","",IF(K211&lt;&gt;"Ja","Ej aktuell",IF(L211&lt;=0,"KONTROLLERA MATCHTID",IF(AND(COUNTIFS(BEMANNINGSPLAN!$A$5:$A$546,B211,BEMANNINGSPLAN!$C$5:$C$546,D211,BEMANNINGSPLAN!$D$5:$D$546,"&lt;="&amp;C211,BEMANNINGSPLAN!$E$5:$E$546,"&gt;"&amp;C211)&gt;0,COUNTIFS(BEMANNINGSPLAN!$A$5:$A$546,B211,BEMANNINGSPLAN!$C$5:$C$546,D211,BEMANNINGSPLAN!$D$5:$D$546,"&lt;"&amp;M211,BEMANNINGSPLAN!$E$5:$E$546,"&gt;="&amp;M211)&gt;0),"Ja","SAKNAS TIDSRADER"))))</f>
        <v/>
      </c>
      <c r="O211" s="137" t="str">
        <f>IF(OR(B211="",K211&lt;&gt;"Ja"),"",COUNTIFS($B$5:B211,B211,$K$5:K211,"Ja"))</f>
        <v/>
      </c>
      <c r="P211" s="137" t="str">
        <f t="shared" si="15"/>
        <v/>
      </c>
    </row>
    <row r="212" spans="1:16" ht="13">
      <c r="A212" s="31" t="str">
        <f>IF('IMPORT PROFIXIO'!A212="","",'IMPORT PROFIXIO'!A212)</f>
        <v/>
      </c>
      <c r="B212" s="32" t="str">
        <f>IF(A212="","",IF(ISNUMBER('IMPORT PROFIXIO'!D212),'IMPORT PROFIXIO'!D212,DATEVALUE('IMPORT PROFIXIO'!D212)))</f>
        <v/>
      </c>
      <c r="C212" s="33" t="str">
        <f>IF(A212="","",IF(ISNUMBER('IMPORT PROFIXIO'!E212),'IMPORT PROFIXIO'!E212,(VALUE(LEFT('IMPORT PROFIXIO'!E212,FIND(":",'IMPORT PROFIXIO'!E212)-1))*60+VALUE(MID('IMPORT PROFIXIO'!E212,FIND(":",'IMPORT PROFIXIO'!E212)+1,2)))/1440))</f>
        <v/>
      </c>
      <c r="D212" s="31" t="str">
        <f>IF(A212="","",'IMPORT PROFIXIO'!F212)</f>
        <v/>
      </c>
      <c r="E212" s="31" t="str">
        <f>IF(A212="","",'IMPORT PROFIXIO'!K212)</f>
        <v/>
      </c>
      <c r="F212" s="34" t="str">
        <f>IF(A212="","",IFERROR(VLOOKUP(E212,KLASSNING!$A$5:$F$74,2,FALSE()),"SAKNAS"))</f>
        <v/>
      </c>
      <c r="G212" s="34" t="str">
        <f>IF(A212="","",IFERROR(VLOOKUP(E212,KLASSNING!$A$5:$F$74,3,FALSE()),"SAKNAS"))</f>
        <v/>
      </c>
      <c r="H212" s="34" t="str">
        <f>IF(A212="","",'IMPORT PROFIXIO'!H212)</f>
        <v/>
      </c>
      <c r="I212" s="34" t="str">
        <f>IF(A212="","",'IMPORT PROFIXIO'!I212)</f>
        <v/>
      </c>
      <c r="J212" s="34" t="str">
        <f t="shared" si="12"/>
        <v/>
      </c>
      <c r="K212" s="34" t="str">
        <f t="shared" si="13"/>
        <v/>
      </c>
      <c r="L212" s="34" t="str">
        <f>IF(A212="","",IFERROR(VLOOKUP(E212,KLASSNING!$A$5:$F$74,5,FALSE()),0))</f>
        <v/>
      </c>
      <c r="M212" s="35" t="str">
        <f t="shared" si="14"/>
        <v/>
      </c>
      <c r="N212" s="34" t="str">
        <f>IF(A212="","",IF(K212&lt;&gt;"Ja","Ej aktuell",IF(L212&lt;=0,"KONTROLLERA MATCHTID",IF(AND(COUNTIFS(BEMANNINGSPLAN!$A$5:$A$546,B212,BEMANNINGSPLAN!$C$5:$C$546,D212,BEMANNINGSPLAN!$D$5:$D$546,"&lt;="&amp;C212,BEMANNINGSPLAN!$E$5:$E$546,"&gt;"&amp;C212)&gt;0,COUNTIFS(BEMANNINGSPLAN!$A$5:$A$546,B212,BEMANNINGSPLAN!$C$5:$C$546,D212,BEMANNINGSPLAN!$D$5:$D$546,"&lt;"&amp;M212,BEMANNINGSPLAN!$E$5:$E$546,"&gt;="&amp;M212)&gt;0),"Ja","SAKNAS TIDSRADER"))))</f>
        <v/>
      </c>
      <c r="O212" s="137" t="str">
        <f>IF(OR(B212="",K212&lt;&gt;"Ja"),"",COUNTIFS($B$5:B212,B212,$K$5:K212,"Ja"))</f>
        <v/>
      </c>
      <c r="P212" s="137" t="str">
        <f t="shared" si="15"/>
        <v/>
      </c>
    </row>
    <row r="213" spans="1:16" ht="13">
      <c r="A213" s="31" t="str">
        <f>IF('IMPORT PROFIXIO'!A213="","",'IMPORT PROFIXIO'!A213)</f>
        <v/>
      </c>
      <c r="B213" s="32" t="str">
        <f>IF(A213="","",IF(ISNUMBER('IMPORT PROFIXIO'!D213),'IMPORT PROFIXIO'!D213,DATEVALUE('IMPORT PROFIXIO'!D213)))</f>
        <v/>
      </c>
      <c r="C213" s="33" t="str">
        <f>IF(A213="","",IF(ISNUMBER('IMPORT PROFIXIO'!E213),'IMPORT PROFIXIO'!E213,(VALUE(LEFT('IMPORT PROFIXIO'!E213,FIND(":",'IMPORT PROFIXIO'!E213)-1))*60+VALUE(MID('IMPORT PROFIXIO'!E213,FIND(":",'IMPORT PROFIXIO'!E213)+1,2)))/1440))</f>
        <v/>
      </c>
      <c r="D213" s="31" t="str">
        <f>IF(A213="","",'IMPORT PROFIXIO'!F213)</f>
        <v/>
      </c>
      <c r="E213" s="31" t="str">
        <f>IF(A213="","",'IMPORT PROFIXIO'!K213)</f>
        <v/>
      </c>
      <c r="F213" s="34" t="str">
        <f>IF(A213="","",IFERROR(VLOOKUP(E213,KLASSNING!$A$5:$F$74,2,FALSE()),"SAKNAS"))</f>
        <v/>
      </c>
      <c r="G213" s="34" t="str">
        <f>IF(A213="","",IFERROR(VLOOKUP(E213,KLASSNING!$A$5:$F$74,3,FALSE()),"SAKNAS"))</f>
        <v/>
      </c>
      <c r="H213" s="34" t="str">
        <f>IF(A213="","",'IMPORT PROFIXIO'!H213)</f>
        <v/>
      </c>
      <c r="I213" s="34" t="str">
        <f>IF(A213="","",'IMPORT PROFIXIO'!I213)</f>
        <v/>
      </c>
      <c r="J213" s="34" t="str">
        <f t="shared" si="12"/>
        <v/>
      </c>
      <c r="K213" s="34" t="str">
        <f t="shared" si="13"/>
        <v/>
      </c>
      <c r="L213" s="34" t="str">
        <f>IF(A213="","",IFERROR(VLOOKUP(E213,KLASSNING!$A$5:$F$74,5,FALSE()),0))</f>
        <v/>
      </c>
      <c r="M213" s="35" t="str">
        <f t="shared" si="14"/>
        <v/>
      </c>
      <c r="N213" s="34" t="str">
        <f>IF(A213="","",IF(K213&lt;&gt;"Ja","Ej aktuell",IF(L213&lt;=0,"KONTROLLERA MATCHTID",IF(AND(COUNTIFS(BEMANNINGSPLAN!$A$5:$A$546,B213,BEMANNINGSPLAN!$C$5:$C$546,D213,BEMANNINGSPLAN!$D$5:$D$546,"&lt;="&amp;C213,BEMANNINGSPLAN!$E$5:$E$546,"&gt;"&amp;C213)&gt;0,COUNTIFS(BEMANNINGSPLAN!$A$5:$A$546,B213,BEMANNINGSPLAN!$C$5:$C$546,D213,BEMANNINGSPLAN!$D$5:$D$546,"&lt;"&amp;M213,BEMANNINGSPLAN!$E$5:$E$546,"&gt;="&amp;M213)&gt;0),"Ja","SAKNAS TIDSRADER"))))</f>
        <v/>
      </c>
      <c r="O213" s="137" t="str">
        <f>IF(OR(B213="",K213&lt;&gt;"Ja"),"",COUNTIFS($B$5:B213,B213,$K$5:K213,"Ja"))</f>
        <v/>
      </c>
      <c r="P213" s="137" t="str">
        <f t="shared" si="15"/>
        <v/>
      </c>
    </row>
    <row r="214" spans="1:16" ht="13">
      <c r="A214" s="31" t="str">
        <f>IF('IMPORT PROFIXIO'!A214="","",'IMPORT PROFIXIO'!A214)</f>
        <v/>
      </c>
      <c r="B214" s="32" t="str">
        <f>IF(A214="","",IF(ISNUMBER('IMPORT PROFIXIO'!D214),'IMPORT PROFIXIO'!D214,DATEVALUE('IMPORT PROFIXIO'!D214)))</f>
        <v/>
      </c>
      <c r="C214" s="33" t="str">
        <f>IF(A214="","",IF(ISNUMBER('IMPORT PROFIXIO'!E214),'IMPORT PROFIXIO'!E214,(VALUE(LEFT('IMPORT PROFIXIO'!E214,FIND(":",'IMPORT PROFIXIO'!E214)-1))*60+VALUE(MID('IMPORT PROFIXIO'!E214,FIND(":",'IMPORT PROFIXIO'!E214)+1,2)))/1440))</f>
        <v/>
      </c>
      <c r="D214" s="31" t="str">
        <f>IF(A214="","",'IMPORT PROFIXIO'!F214)</f>
        <v/>
      </c>
      <c r="E214" s="31" t="str">
        <f>IF(A214="","",'IMPORT PROFIXIO'!K214)</f>
        <v/>
      </c>
      <c r="F214" s="34" t="str">
        <f>IF(A214="","",IFERROR(VLOOKUP(E214,KLASSNING!$A$5:$F$74,2,FALSE()),"SAKNAS"))</f>
        <v/>
      </c>
      <c r="G214" s="34" t="str">
        <f>IF(A214="","",IFERROR(VLOOKUP(E214,KLASSNING!$A$5:$F$74,3,FALSE()),"SAKNAS"))</f>
        <v/>
      </c>
      <c r="H214" s="34" t="str">
        <f>IF(A214="","",'IMPORT PROFIXIO'!H214)</f>
        <v/>
      </c>
      <c r="I214" s="34" t="str">
        <f>IF(A214="","",'IMPORT PROFIXIO'!I214)</f>
        <v/>
      </c>
      <c r="J214" s="34" t="str">
        <f t="shared" si="12"/>
        <v/>
      </c>
      <c r="K214" s="34" t="str">
        <f t="shared" si="13"/>
        <v/>
      </c>
      <c r="L214" s="34" t="str">
        <f>IF(A214="","",IFERROR(VLOOKUP(E214,KLASSNING!$A$5:$F$74,5,FALSE()),0))</f>
        <v/>
      </c>
      <c r="M214" s="35" t="str">
        <f t="shared" si="14"/>
        <v/>
      </c>
      <c r="N214" s="34" t="str">
        <f>IF(A214="","",IF(K214&lt;&gt;"Ja","Ej aktuell",IF(L214&lt;=0,"KONTROLLERA MATCHTID",IF(AND(COUNTIFS(BEMANNINGSPLAN!$A$5:$A$546,B214,BEMANNINGSPLAN!$C$5:$C$546,D214,BEMANNINGSPLAN!$D$5:$D$546,"&lt;="&amp;C214,BEMANNINGSPLAN!$E$5:$E$546,"&gt;"&amp;C214)&gt;0,COUNTIFS(BEMANNINGSPLAN!$A$5:$A$546,B214,BEMANNINGSPLAN!$C$5:$C$546,D214,BEMANNINGSPLAN!$D$5:$D$546,"&lt;"&amp;M214,BEMANNINGSPLAN!$E$5:$E$546,"&gt;="&amp;M214)&gt;0),"Ja","SAKNAS TIDSRADER"))))</f>
        <v/>
      </c>
      <c r="O214" s="137" t="str">
        <f>IF(OR(B214="",K214&lt;&gt;"Ja"),"",COUNTIFS($B$5:B214,B214,$K$5:K214,"Ja"))</f>
        <v/>
      </c>
      <c r="P214" s="137" t="str">
        <f t="shared" si="15"/>
        <v/>
      </c>
    </row>
    <row r="215" spans="1:16" ht="13">
      <c r="A215" s="31" t="str">
        <f>IF('IMPORT PROFIXIO'!A215="","",'IMPORT PROFIXIO'!A215)</f>
        <v/>
      </c>
      <c r="B215" s="32" t="str">
        <f>IF(A215="","",IF(ISNUMBER('IMPORT PROFIXIO'!D215),'IMPORT PROFIXIO'!D215,DATEVALUE('IMPORT PROFIXIO'!D215)))</f>
        <v/>
      </c>
      <c r="C215" s="33" t="str">
        <f>IF(A215="","",IF(ISNUMBER('IMPORT PROFIXIO'!E215),'IMPORT PROFIXIO'!E215,(VALUE(LEFT('IMPORT PROFIXIO'!E215,FIND(":",'IMPORT PROFIXIO'!E215)-1))*60+VALUE(MID('IMPORT PROFIXIO'!E215,FIND(":",'IMPORT PROFIXIO'!E215)+1,2)))/1440))</f>
        <v/>
      </c>
      <c r="D215" s="31" t="str">
        <f>IF(A215="","",'IMPORT PROFIXIO'!F215)</f>
        <v/>
      </c>
      <c r="E215" s="31" t="str">
        <f>IF(A215="","",'IMPORT PROFIXIO'!K215)</f>
        <v/>
      </c>
      <c r="F215" s="34" t="str">
        <f>IF(A215="","",IFERROR(VLOOKUP(E215,KLASSNING!$A$5:$F$74,2,FALSE()),"SAKNAS"))</f>
        <v/>
      </c>
      <c r="G215" s="34" t="str">
        <f>IF(A215="","",IFERROR(VLOOKUP(E215,KLASSNING!$A$5:$F$74,3,FALSE()),"SAKNAS"))</f>
        <v/>
      </c>
      <c r="H215" s="34" t="str">
        <f>IF(A215="","",'IMPORT PROFIXIO'!H215)</f>
        <v/>
      </c>
      <c r="I215" s="34" t="str">
        <f>IF(A215="","",'IMPORT PROFIXIO'!I215)</f>
        <v/>
      </c>
      <c r="J215" s="34" t="str">
        <f t="shared" si="12"/>
        <v/>
      </c>
      <c r="K215" s="34" t="str">
        <f t="shared" si="13"/>
        <v/>
      </c>
      <c r="L215" s="34" t="str">
        <f>IF(A215="","",IFERROR(VLOOKUP(E215,KLASSNING!$A$5:$F$74,5,FALSE()),0))</f>
        <v/>
      </c>
      <c r="M215" s="35" t="str">
        <f t="shared" si="14"/>
        <v/>
      </c>
      <c r="N215" s="34" t="str">
        <f>IF(A215="","",IF(K215&lt;&gt;"Ja","Ej aktuell",IF(L215&lt;=0,"KONTROLLERA MATCHTID",IF(AND(COUNTIFS(BEMANNINGSPLAN!$A$5:$A$546,B215,BEMANNINGSPLAN!$C$5:$C$546,D215,BEMANNINGSPLAN!$D$5:$D$546,"&lt;="&amp;C215,BEMANNINGSPLAN!$E$5:$E$546,"&gt;"&amp;C215)&gt;0,COUNTIFS(BEMANNINGSPLAN!$A$5:$A$546,B215,BEMANNINGSPLAN!$C$5:$C$546,D215,BEMANNINGSPLAN!$D$5:$D$546,"&lt;"&amp;M215,BEMANNINGSPLAN!$E$5:$E$546,"&gt;="&amp;M215)&gt;0),"Ja","SAKNAS TIDSRADER"))))</f>
        <v/>
      </c>
      <c r="O215" s="137" t="str">
        <f>IF(OR(B215="",K215&lt;&gt;"Ja"),"",COUNTIFS($B$5:B215,B215,$K$5:K215,"Ja"))</f>
        <v/>
      </c>
      <c r="P215" s="137" t="str">
        <f t="shared" si="15"/>
        <v/>
      </c>
    </row>
    <row r="216" spans="1:16" ht="13">
      <c r="A216" s="31" t="str">
        <f>IF('IMPORT PROFIXIO'!A216="","",'IMPORT PROFIXIO'!A216)</f>
        <v/>
      </c>
      <c r="B216" s="32" t="str">
        <f>IF(A216="","",IF(ISNUMBER('IMPORT PROFIXIO'!D216),'IMPORT PROFIXIO'!D216,DATEVALUE('IMPORT PROFIXIO'!D216)))</f>
        <v/>
      </c>
      <c r="C216" s="33" t="str">
        <f>IF(A216="","",IF(ISNUMBER('IMPORT PROFIXIO'!E216),'IMPORT PROFIXIO'!E216,(VALUE(LEFT('IMPORT PROFIXIO'!E216,FIND(":",'IMPORT PROFIXIO'!E216)-1))*60+VALUE(MID('IMPORT PROFIXIO'!E216,FIND(":",'IMPORT PROFIXIO'!E216)+1,2)))/1440))</f>
        <v/>
      </c>
      <c r="D216" s="31" t="str">
        <f>IF(A216="","",'IMPORT PROFIXIO'!F216)</f>
        <v/>
      </c>
      <c r="E216" s="31" t="str">
        <f>IF(A216="","",'IMPORT PROFIXIO'!K216)</f>
        <v/>
      </c>
      <c r="F216" s="34" t="str">
        <f>IF(A216="","",IFERROR(VLOOKUP(E216,KLASSNING!$A$5:$F$74,2,FALSE()),"SAKNAS"))</f>
        <v/>
      </c>
      <c r="G216" s="34" t="str">
        <f>IF(A216="","",IFERROR(VLOOKUP(E216,KLASSNING!$A$5:$F$74,3,FALSE()),"SAKNAS"))</f>
        <v/>
      </c>
      <c r="H216" s="34" t="str">
        <f>IF(A216="","",'IMPORT PROFIXIO'!H216)</f>
        <v/>
      </c>
      <c r="I216" s="34" t="str">
        <f>IF(A216="","",'IMPORT PROFIXIO'!I216)</f>
        <v/>
      </c>
      <c r="J216" s="34" t="str">
        <f t="shared" si="12"/>
        <v/>
      </c>
      <c r="K216" s="34" t="str">
        <f t="shared" si="13"/>
        <v/>
      </c>
      <c r="L216" s="34" t="str">
        <f>IF(A216="","",IFERROR(VLOOKUP(E216,KLASSNING!$A$5:$F$74,5,FALSE()),0))</f>
        <v/>
      </c>
      <c r="M216" s="35" t="str">
        <f t="shared" si="14"/>
        <v/>
      </c>
      <c r="N216" s="34" t="str">
        <f>IF(A216="","",IF(K216&lt;&gt;"Ja","Ej aktuell",IF(L216&lt;=0,"KONTROLLERA MATCHTID",IF(AND(COUNTIFS(BEMANNINGSPLAN!$A$5:$A$546,B216,BEMANNINGSPLAN!$C$5:$C$546,D216,BEMANNINGSPLAN!$D$5:$D$546,"&lt;="&amp;C216,BEMANNINGSPLAN!$E$5:$E$546,"&gt;"&amp;C216)&gt;0,COUNTIFS(BEMANNINGSPLAN!$A$5:$A$546,B216,BEMANNINGSPLAN!$C$5:$C$546,D216,BEMANNINGSPLAN!$D$5:$D$546,"&lt;"&amp;M216,BEMANNINGSPLAN!$E$5:$E$546,"&gt;="&amp;M216)&gt;0),"Ja","SAKNAS TIDSRADER"))))</f>
        <v/>
      </c>
      <c r="O216" s="137" t="str">
        <f>IF(OR(B216="",K216&lt;&gt;"Ja"),"",COUNTIFS($B$5:B216,B216,$K$5:K216,"Ja"))</f>
        <v/>
      </c>
      <c r="P216" s="137" t="str">
        <f t="shared" si="15"/>
        <v/>
      </c>
    </row>
    <row r="217" spans="1:16" ht="13">
      <c r="A217" s="31" t="str">
        <f>IF('IMPORT PROFIXIO'!A217="","",'IMPORT PROFIXIO'!A217)</f>
        <v/>
      </c>
      <c r="B217" s="32" t="str">
        <f>IF(A217="","",IF(ISNUMBER('IMPORT PROFIXIO'!D217),'IMPORT PROFIXIO'!D217,DATEVALUE('IMPORT PROFIXIO'!D217)))</f>
        <v/>
      </c>
      <c r="C217" s="33" t="str">
        <f>IF(A217="","",IF(ISNUMBER('IMPORT PROFIXIO'!E217),'IMPORT PROFIXIO'!E217,(VALUE(LEFT('IMPORT PROFIXIO'!E217,FIND(":",'IMPORT PROFIXIO'!E217)-1))*60+VALUE(MID('IMPORT PROFIXIO'!E217,FIND(":",'IMPORT PROFIXIO'!E217)+1,2)))/1440))</f>
        <v/>
      </c>
      <c r="D217" s="31" t="str">
        <f>IF(A217="","",'IMPORT PROFIXIO'!F217)</f>
        <v/>
      </c>
      <c r="E217" s="31" t="str">
        <f>IF(A217="","",'IMPORT PROFIXIO'!K217)</f>
        <v/>
      </c>
      <c r="F217" s="34" t="str">
        <f>IF(A217="","",IFERROR(VLOOKUP(E217,KLASSNING!$A$5:$F$74,2,FALSE()),"SAKNAS"))</f>
        <v/>
      </c>
      <c r="G217" s="34" t="str">
        <f>IF(A217="","",IFERROR(VLOOKUP(E217,KLASSNING!$A$5:$F$74,3,FALSE()),"SAKNAS"))</f>
        <v/>
      </c>
      <c r="H217" s="34" t="str">
        <f>IF(A217="","",'IMPORT PROFIXIO'!H217)</f>
        <v/>
      </c>
      <c r="I217" s="34" t="str">
        <f>IF(A217="","",'IMPORT PROFIXIO'!I217)</f>
        <v/>
      </c>
      <c r="J217" s="34" t="str">
        <f t="shared" si="12"/>
        <v/>
      </c>
      <c r="K217" s="34" t="str">
        <f t="shared" si="13"/>
        <v/>
      </c>
      <c r="L217" s="34" t="str">
        <f>IF(A217="","",IFERROR(VLOOKUP(E217,KLASSNING!$A$5:$F$74,5,FALSE()),0))</f>
        <v/>
      </c>
      <c r="M217" s="35" t="str">
        <f t="shared" si="14"/>
        <v/>
      </c>
      <c r="N217" s="34" t="str">
        <f>IF(A217="","",IF(K217&lt;&gt;"Ja","Ej aktuell",IF(L217&lt;=0,"KONTROLLERA MATCHTID",IF(AND(COUNTIFS(BEMANNINGSPLAN!$A$5:$A$546,B217,BEMANNINGSPLAN!$C$5:$C$546,D217,BEMANNINGSPLAN!$D$5:$D$546,"&lt;="&amp;C217,BEMANNINGSPLAN!$E$5:$E$546,"&gt;"&amp;C217)&gt;0,COUNTIFS(BEMANNINGSPLAN!$A$5:$A$546,B217,BEMANNINGSPLAN!$C$5:$C$546,D217,BEMANNINGSPLAN!$D$5:$D$546,"&lt;"&amp;M217,BEMANNINGSPLAN!$E$5:$E$546,"&gt;="&amp;M217)&gt;0),"Ja","SAKNAS TIDSRADER"))))</f>
        <v/>
      </c>
      <c r="O217" s="137" t="str">
        <f>IF(OR(B217="",K217&lt;&gt;"Ja"),"",COUNTIFS($B$5:B217,B217,$K$5:K217,"Ja"))</f>
        <v/>
      </c>
      <c r="P217" s="137" t="str">
        <f t="shared" si="15"/>
        <v/>
      </c>
    </row>
    <row r="218" spans="1:16" ht="13">
      <c r="A218" s="31" t="str">
        <f>IF('IMPORT PROFIXIO'!A218="","",'IMPORT PROFIXIO'!A218)</f>
        <v/>
      </c>
      <c r="B218" s="32" t="str">
        <f>IF(A218="","",IF(ISNUMBER('IMPORT PROFIXIO'!D218),'IMPORT PROFIXIO'!D218,DATEVALUE('IMPORT PROFIXIO'!D218)))</f>
        <v/>
      </c>
      <c r="C218" s="33" t="str">
        <f>IF(A218="","",IF(ISNUMBER('IMPORT PROFIXIO'!E218),'IMPORT PROFIXIO'!E218,(VALUE(LEFT('IMPORT PROFIXIO'!E218,FIND(":",'IMPORT PROFIXIO'!E218)-1))*60+VALUE(MID('IMPORT PROFIXIO'!E218,FIND(":",'IMPORT PROFIXIO'!E218)+1,2)))/1440))</f>
        <v/>
      </c>
      <c r="D218" s="31" t="str">
        <f>IF(A218="","",'IMPORT PROFIXIO'!F218)</f>
        <v/>
      </c>
      <c r="E218" s="31" t="str">
        <f>IF(A218="","",'IMPORT PROFIXIO'!K218)</f>
        <v/>
      </c>
      <c r="F218" s="34" t="str">
        <f>IF(A218="","",IFERROR(VLOOKUP(E218,KLASSNING!$A$5:$F$74,2,FALSE()),"SAKNAS"))</f>
        <v/>
      </c>
      <c r="G218" s="34" t="str">
        <f>IF(A218="","",IFERROR(VLOOKUP(E218,KLASSNING!$A$5:$F$74,3,FALSE()),"SAKNAS"))</f>
        <v/>
      </c>
      <c r="H218" s="34" t="str">
        <f>IF(A218="","",'IMPORT PROFIXIO'!H218)</f>
        <v/>
      </c>
      <c r="I218" s="34" t="str">
        <f>IF(A218="","",'IMPORT PROFIXIO'!I218)</f>
        <v/>
      </c>
      <c r="J218" s="34" t="str">
        <f t="shared" si="12"/>
        <v/>
      </c>
      <c r="K218" s="34" t="str">
        <f t="shared" si="13"/>
        <v/>
      </c>
      <c r="L218" s="34" t="str">
        <f>IF(A218="","",IFERROR(VLOOKUP(E218,KLASSNING!$A$5:$F$74,5,FALSE()),0))</f>
        <v/>
      </c>
      <c r="M218" s="35" t="str">
        <f t="shared" si="14"/>
        <v/>
      </c>
      <c r="N218" s="34" t="str">
        <f>IF(A218="","",IF(K218&lt;&gt;"Ja","Ej aktuell",IF(L218&lt;=0,"KONTROLLERA MATCHTID",IF(AND(COUNTIFS(BEMANNINGSPLAN!$A$5:$A$546,B218,BEMANNINGSPLAN!$C$5:$C$546,D218,BEMANNINGSPLAN!$D$5:$D$546,"&lt;="&amp;C218,BEMANNINGSPLAN!$E$5:$E$546,"&gt;"&amp;C218)&gt;0,COUNTIFS(BEMANNINGSPLAN!$A$5:$A$546,B218,BEMANNINGSPLAN!$C$5:$C$546,D218,BEMANNINGSPLAN!$D$5:$D$546,"&lt;"&amp;M218,BEMANNINGSPLAN!$E$5:$E$546,"&gt;="&amp;M218)&gt;0),"Ja","SAKNAS TIDSRADER"))))</f>
        <v/>
      </c>
      <c r="O218" s="137" t="str">
        <f>IF(OR(B218="",K218&lt;&gt;"Ja"),"",COUNTIFS($B$5:B218,B218,$K$5:K218,"Ja"))</f>
        <v/>
      </c>
      <c r="P218" s="137" t="str">
        <f t="shared" si="15"/>
        <v/>
      </c>
    </row>
    <row r="219" spans="1:16" ht="13">
      <c r="A219" s="31" t="str">
        <f>IF('IMPORT PROFIXIO'!A219="","",'IMPORT PROFIXIO'!A219)</f>
        <v/>
      </c>
      <c r="B219" s="32" t="str">
        <f>IF(A219="","",IF(ISNUMBER('IMPORT PROFIXIO'!D219),'IMPORT PROFIXIO'!D219,DATEVALUE('IMPORT PROFIXIO'!D219)))</f>
        <v/>
      </c>
      <c r="C219" s="33" t="str">
        <f>IF(A219="","",IF(ISNUMBER('IMPORT PROFIXIO'!E219),'IMPORT PROFIXIO'!E219,(VALUE(LEFT('IMPORT PROFIXIO'!E219,FIND(":",'IMPORT PROFIXIO'!E219)-1))*60+VALUE(MID('IMPORT PROFIXIO'!E219,FIND(":",'IMPORT PROFIXIO'!E219)+1,2)))/1440))</f>
        <v/>
      </c>
      <c r="D219" s="31" t="str">
        <f>IF(A219="","",'IMPORT PROFIXIO'!F219)</f>
        <v/>
      </c>
      <c r="E219" s="31" t="str">
        <f>IF(A219="","",'IMPORT PROFIXIO'!K219)</f>
        <v/>
      </c>
      <c r="F219" s="34" t="str">
        <f>IF(A219="","",IFERROR(VLOOKUP(E219,KLASSNING!$A$5:$F$74,2,FALSE()),"SAKNAS"))</f>
        <v/>
      </c>
      <c r="G219" s="34" t="str">
        <f>IF(A219="","",IFERROR(VLOOKUP(E219,KLASSNING!$A$5:$F$74,3,FALSE()),"SAKNAS"))</f>
        <v/>
      </c>
      <c r="H219" s="34" t="str">
        <f>IF(A219="","",'IMPORT PROFIXIO'!H219)</f>
        <v/>
      </c>
      <c r="I219" s="34" t="str">
        <f>IF(A219="","",'IMPORT PROFIXIO'!I219)</f>
        <v/>
      </c>
      <c r="J219" s="34" t="str">
        <f t="shared" si="12"/>
        <v/>
      </c>
      <c r="K219" s="34" t="str">
        <f t="shared" si="13"/>
        <v/>
      </c>
      <c r="L219" s="34" t="str">
        <f>IF(A219="","",IFERROR(VLOOKUP(E219,KLASSNING!$A$5:$F$74,5,FALSE()),0))</f>
        <v/>
      </c>
      <c r="M219" s="35" t="str">
        <f t="shared" si="14"/>
        <v/>
      </c>
      <c r="N219" s="34" t="str">
        <f>IF(A219="","",IF(K219&lt;&gt;"Ja","Ej aktuell",IF(L219&lt;=0,"KONTROLLERA MATCHTID",IF(AND(COUNTIFS(BEMANNINGSPLAN!$A$5:$A$546,B219,BEMANNINGSPLAN!$C$5:$C$546,D219,BEMANNINGSPLAN!$D$5:$D$546,"&lt;="&amp;C219,BEMANNINGSPLAN!$E$5:$E$546,"&gt;"&amp;C219)&gt;0,COUNTIFS(BEMANNINGSPLAN!$A$5:$A$546,B219,BEMANNINGSPLAN!$C$5:$C$546,D219,BEMANNINGSPLAN!$D$5:$D$546,"&lt;"&amp;M219,BEMANNINGSPLAN!$E$5:$E$546,"&gt;="&amp;M219)&gt;0),"Ja","SAKNAS TIDSRADER"))))</f>
        <v/>
      </c>
      <c r="O219" s="137" t="str">
        <f>IF(OR(B219="",K219&lt;&gt;"Ja"),"",COUNTIFS($B$5:B219,B219,$K$5:K219,"Ja"))</f>
        <v/>
      </c>
      <c r="P219" s="137" t="str">
        <f t="shared" si="15"/>
        <v/>
      </c>
    </row>
    <row r="220" spans="1:16" ht="13">
      <c r="A220" s="31" t="str">
        <f>IF('IMPORT PROFIXIO'!A220="","",'IMPORT PROFIXIO'!A220)</f>
        <v/>
      </c>
      <c r="B220" s="32" t="str">
        <f>IF(A220="","",IF(ISNUMBER('IMPORT PROFIXIO'!D220),'IMPORT PROFIXIO'!D220,DATEVALUE('IMPORT PROFIXIO'!D220)))</f>
        <v/>
      </c>
      <c r="C220" s="33" t="str">
        <f>IF(A220="","",IF(ISNUMBER('IMPORT PROFIXIO'!E220),'IMPORT PROFIXIO'!E220,(VALUE(LEFT('IMPORT PROFIXIO'!E220,FIND(":",'IMPORT PROFIXIO'!E220)-1))*60+VALUE(MID('IMPORT PROFIXIO'!E220,FIND(":",'IMPORT PROFIXIO'!E220)+1,2)))/1440))</f>
        <v/>
      </c>
      <c r="D220" s="31" t="str">
        <f>IF(A220="","",'IMPORT PROFIXIO'!F220)</f>
        <v/>
      </c>
      <c r="E220" s="31" t="str">
        <f>IF(A220="","",'IMPORT PROFIXIO'!K220)</f>
        <v/>
      </c>
      <c r="F220" s="34" t="str">
        <f>IF(A220="","",IFERROR(VLOOKUP(E220,KLASSNING!$A$5:$F$74,2,FALSE()),"SAKNAS"))</f>
        <v/>
      </c>
      <c r="G220" s="34" t="str">
        <f>IF(A220="","",IFERROR(VLOOKUP(E220,KLASSNING!$A$5:$F$74,3,FALSE()),"SAKNAS"))</f>
        <v/>
      </c>
      <c r="H220" s="34" t="str">
        <f>IF(A220="","",'IMPORT PROFIXIO'!H220)</f>
        <v/>
      </c>
      <c r="I220" s="34" t="str">
        <f>IF(A220="","",'IMPORT PROFIXIO'!I220)</f>
        <v/>
      </c>
      <c r="J220" s="34" t="str">
        <f t="shared" si="12"/>
        <v/>
      </c>
      <c r="K220" s="34" t="str">
        <f t="shared" si="13"/>
        <v/>
      </c>
      <c r="L220" s="34" t="str">
        <f>IF(A220="","",IFERROR(VLOOKUP(E220,KLASSNING!$A$5:$F$74,5,FALSE()),0))</f>
        <v/>
      </c>
      <c r="M220" s="35" t="str">
        <f t="shared" si="14"/>
        <v/>
      </c>
      <c r="N220" s="34" t="str">
        <f>IF(A220="","",IF(K220&lt;&gt;"Ja","Ej aktuell",IF(L220&lt;=0,"KONTROLLERA MATCHTID",IF(AND(COUNTIFS(BEMANNINGSPLAN!$A$5:$A$546,B220,BEMANNINGSPLAN!$C$5:$C$546,D220,BEMANNINGSPLAN!$D$5:$D$546,"&lt;="&amp;C220,BEMANNINGSPLAN!$E$5:$E$546,"&gt;"&amp;C220)&gt;0,COUNTIFS(BEMANNINGSPLAN!$A$5:$A$546,B220,BEMANNINGSPLAN!$C$5:$C$546,D220,BEMANNINGSPLAN!$D$5:$D$546,"&lt;"&amp;M220,BEMANNINGSPLAN!$E$5:$E$546,"&gt;="&amp;M220)&gt;0),"Ja","SAKNAS TIDSRADER"))))</f>
        <v/>
      </c>
      <c r="O220" s="137" t="str">
        <f>IF(OR(B220="",K220&lt;&gt;"Ja"),"",COUNTIFS($B$5:B220,B220,$K$5:K220,"Ja"))</f>
        <v/>
      </c>
      <c r="P220" s="137" t="str">
        <f t="shared" si="15"/>
        <v/>
      </c>
    </row>
    <row r="221" spans="1:16" ht="13">
      <c r="A221" s="31" t="str">
        <f>IF('IMPORT PROFIXIO'!A221="","",'IMPORT PROFIXIO'!A221)</f>
        <v/>
      </c>
      <c r="B221" s="32" t="str">
        <f>IF(A221="","",IF(ISNUMBER('IMPORT PROFIXIO'!D221),'IMPORT PROFIXIO'!D221,DATEVALUE('IMPORT PROFIXIO'!D221)))</f>
        <v/>
      </c>
      <c r="C221" s="33" t="str">
        <f>IF(A221="","",IF(ISNUMBER('IMPORT PROFIXIO'!E221),'IMPORT PROFIXIO'!E221,(VALUE(LEFT('IMPORT PROFIXIO'!E221,FIND(":",'IMPORT PROFIXIO'!E221)-1))*60+VALUE(MID('IMPORT PROFIXIO'!E221,FIND(":",'IMPORT PROFIXIO'!E221)+1,2)))/1440))</f>
        <v/>
      </c>
      <c r="D221" s="31" t="str">
        <f>IF(A221="","",'IMPORT PROFIXIO'!F221)</f>
        <v/>
      </c>
      <c r="E221" s="31" t="str">
        <f>IF(A221="","",'IMPORT PROFIXIO'!K221)</f>
        <v/>
      </c>
      <c r="F221" s="34" t="str">
        <f>IF(A221="","",IFERROR(VLOOKUP(E221,KLASSNING!$A$5:$F$74,2,FALSE()),"SAKNAS"))</f>
        <v/>
      </c>
      <c r="G221" s="34" t="str">
        <f>IF(A221="","",IFERROR(VLOOKUP(E221,KLASSNING!$A$5:$F$74,3,FALSE()),"SAKNAS"))</f>
        <v/>
      </c>
      <c r="H221" s="34" t="str">
        <f>IF(A221="","",'IMPORT PROFIXIO'!H221)</f>
        <v/>
      </c>
      <c r="I221" s="34" t="str">
        <f>IF(A221="","",'IMPORT PROFIXIO'!I221)</f>
        <v/>
      </c>
      <c r="J221" s="34" t="str">
        <f t="shared" si="12"/>
        <v/>
      </c>
      <c r="K221" s="34" t="str">
        <f t="shared" si="13"/>
        <v/>
      </c>
      <c r="L221" s="34" t="str">
        <f>IF(A221="","",IFERROR(VLOOKUP(E221,KLASSNING!$A$5:$F$74,5,FALSE()),0))</f>
        <v/>
      </c>
      <c r="M221" s="35" t="str">
        <f t="shared" si="14"/>
        <v/>
      </c>
      <c r="N221" s="34" t="str">
        <f>IF(A221="","",IF(K221&lt;&gt;"Ja","Ej aktuell",IF(L221&lt;=0,"KONTROLLERA MATCHTID",IF(AND(COUNTIFS(BEMANNINGSPLAN!$A$5:$A$546,B221,BEMANNINGSPLAN!$C$5:$C$546,D221,BEMANNINGSPLAN!$D$5:$D$546,"&lt;="&amp;C221,BEMANNINGSPLAN!$E$5:$E$546,"&gt;"&amp;C221)&gt;0,COUNTIFS(BEMANNINGSPLAN!$A$5:$A$546,B221,BEMANNINGSPLAN!$C$5:$C$546,D221,BEMANNINGSPLAN!$D$5:$D$546,"&lt;"&amp;M221,BEMANNINGSPLAN!$E$5:$E$546,"&gt;="&amp;M221)&gt;0),"Ja","SAKNAS TIDSRADER"))))</f>
        <v/>
      </c>
      <c r="O221" s="137" t="str">
        <f>IF(OR(B221="",K221&lt;&gt;"Ja"),"",COUNTIFS($B$5:B221,B221,$K$5:K221,"Ja"))</f>
        <v/>
      </c>
      <c r="P221" s="137" t="str">
        <f t="shared" si="15"/>
        <v/>
      </c>
    </row>
    <row r="222" spans="1:16" ht="13">
      <c r="A222" s="31" t="str">
        <f>IF('IMPORT PROFIXIO'!A222="","",'IMPORT PROFIXIO'!A222)</f>
        <v/>
      </c>
      <c r="B222" s="32" t="str">
        <f>IF(A222="","",IF(ISNUMBER('IMPORT PROFIXIO'!D222),'IMPORT PROFIXIO'!D222,DATEVALUE('IMPORT PROFIXIO'!D222)))</f>
        <v/>
      </c>
      <c r="C222" s="33" t="str">
        <f>IF(A222="","",IF(ISNUMBER('IMPORT PROFIXIO'!E222),'IMPORT PROFIXIO'!E222,(VALUE(LEFT('IMPORT PROFIXIO'!E222,FIND(":",'IMPORT PROFIXIO'!E222)-1))*60+VALUE(MID('IMPORT PROFIXIO'!E222,FIND(":",'IMPORT PROFIXIO'!E222)+1,2)))/1440))</f>
        <v/>
      </c>
      <c r="D222" s="31" t="str">
        <f>IF(A222="","",'IMPORT PROFIXIO'!F222)</f>
        <v/>
      </c>
      <c r="E222" s="31" t="str">
        <f>IF(A222="","",'IMPORT PROFIXIO'!K222)</f>
        <v/>
      </c>
      <c r="F222" s="34" t="str">
        <f>IF(A222="","",IFERROR(VLOOKUP(E222,KLASSNING!$A$5:$F$74,2,FALSE()),"SAKNAS"))</f>
        <v/>
      </c>
      <c r="G222" s="34" t="str">
        <f>IF(A222="","",IFERROR(VLOOKUP(E222,KLASSNING!$A$5:$F$74,3,FALSE()),"SAKNAS"))</f>
        <v/>
      </c>
      <c r="H222" s="34" t="str">
        <f>IF(A222="","",'IMPORT PROFIXIO'!H222)</f>
        <v/>
      </c>
      <c r="I222" s="34" t="str">
        <f>IF(A222="","",'IMPORT PROFIXIO'!I222)</f>
        <v/>
      </c>
      <c r="J222" s="34" t="str">
        <f t="shared" si="12"/>
        <v/>
      </c>
      <c r="K222" s="34" t="str">
        <f t="shared" si="13"/>
        <v/>
      </c>
      <c r="L222" s="34" t="str">
        <f>IF(A222="","",IFERROR(VLOOKUP(E222,KLASSNING!$A$5:$F$74,5,FALSE()),0))</f>
        <v/>
      </c>
      <c r="M222" s="35" t="str">
        <f t="shared" si="14"/>
        <v/>
      </c>
      <c r="N222" s="34" t="str">
        <f>IF(A222="","",IF(K222&lt;&gt;"Ja","Ej aktuell",IF(L222&lt;=0,"KONTROLLERA MATCHTID",IF(AND(COUNTIFS(BEMANNINGSPLAN!$A$5:$A$546,B222,BEMANNINGSPLAN!$C$5:$C$546,D222,BEMANNINGSPLAN!$D$5:$D$546,"&lt;="&amp;C222,BEMANNINGSPLAN!$E$5:$E$546,"&gt;"&amp;C222)&gt;0,COUNTIFS(BEMANNINGSPLAN!$A$5:$A$546,B222,BEMANNINGSPLAN!$C$5:$C$546,D222,BEMANNINGSPLAN!$D$5:$D$546,"&lt;"&amp;M222,BEMANNINGSPLAN!$E$5:$E$546,"&gt;="&amp;M222)&gt;0),"Ja","SAKNAS TIDSRADER"))))</f>
        <v/>
      </c>
      <c r="O222" s="137" t="str">
        <f>IF(OR(B222="",K222&lt;&gt;"Ja"),"",COUNTIFS($B$5:B222,B222,$K$5:K222,"Ja"))</f>
        <v/>
      </c>
      <c r="P222" s="137" t="str">
        <f t="shared" si="15"/>
        <v/>
      </c>
    </row>
    <row r="223" spans="1:16" ht="13">
      <c r="A223" s="31" t="str">
        <f>IF('IMPORT PROFIXIO'!A223="","",'IMPORT PROFIXIO'!A223)</f>
        <v/>
      </c>
      <c r="B223" s="32" t="str">
        <f>IF(A223="","",IF(ISNUMBER('IMPORT PROFIXIO'!D223),'IMPORT PROFIXIO'!D223,DATEVALUE('IMPORT PROFIXIO'!D223)))</f>
        <v/>
      </c>
      <c r="C223" s="33" t="str">
        <f>IF(A223="","",IF(ISNUMBER('IMPORT PROFIXIO'!E223),'IMPORT PROFIXIO'!E223,(VALUE(LEFT('IMPORT PROFIXIO'!E223,FIND(":",'IMPORT PROFIXIO'!E223)-1))*60+VALUE(MID('IMPORT PROFIXIO'!E223,FIND(":",'IMPORT PROFIXIO'!E223)+1,2)))/1440))</f>
        <v/>
      </c>
      <c r="D223" s="31" t="str">
        <f>IF(A223="","",'IMPORT PROFIXIO'!F223)</f>
        <v/>
      </c>
      <c r="E223" s="31" t="str">
        <f>IF(A223="","",'IMPORT PROFIXIO'!K223)</f>
        <v/>
      </c>
      <c r="F223" s="34" t="str">
        <f>IF(A223="","",IFERROR(VLOOKUP(E223,KLASSNING!$A$5:$F$74,2,FALSE()),"SAKNAS"))</f>
        <v/>
      </c>
      <c r="G223" s="34" t="str">
        <f>IF(A223="","",IFERROR(VLOOKUP(E223,KLASSNING!$A$5:$F$74,3,FALSE()),"SAKNAS"))</f>
        <v/>
      </c>
      <c r="H223" s="34" t="str">
        <f>IF(A223="","",'IMPORT PROFIXIO'!H223)</f>
        <v/>
      </c>
      <c r="I223" s="34" t="str">
        <f>IF(A223="","",'IMPORT PROFIXIO'!I223)</f>
        <v/>
      </c>
      <c r="J223" s="34" t="str">
        <f t="shared" si="12"/>
        <v/>
      </c>
      <c r="K223" s="34" t="str">
        <f t="shared" si="13"/>
        <v/>
      </c>
      <c r="L223" s="34" t="str">
        <f>IF(A223="","",IFERROR(VLOOKUP(E223,KLASSNING!$A$5:$F$74,5,FALSE()),0))</f>
        <v/>
      </c>
      <c r="M223" s="35" t="str">
        <f t="shared" si="14"/>
        <v/>
      </c>
      <c r="N223" s="34" t="str">
        <f>IF(A223="","",IF(K223&lt;&gt;"Ja","Ej aktuell",IF(L223&lt;=0,"KONTROLLERA MATCHTID",IF(AND(COUNTIFS(BEMANNINGSPLAN!$A$5:$A$546,B223,BEMANNINGSPLAN!$C$5:$C$546,D223,BEMANNINGSPLAN!$D$5:$D$546,"&lt;="&amp;C223,BEMANNINGSPLAN!$E$5:$E$546,"&gt;"&amp;C223)&gt;0,COUNTIFS(BEMANNINGSPLAN!$A$5:$A$546,B223,BEMANNINGSPLAN!$C$5:$C$546,D223,BEMANNINGSPLAN!$D$5:$D$546,"&lt;"&amp;M223,BEMANNINGSPLAN!$E$5:$E$546,"&gt;="&amp;M223)&gt;0),"Ja","SAKNAS TIDSRADER"))))</f>
        <v/>
      </c>
      <c r="O223" s="137" t="str">
        <f>IF(OR(B223="",K223&lt;&gt;"Ja"),"",COUNTIFS($B$5:B223,B223,$K$5:K223,"Ja"))</f>
        <v/>
      </c>
      <c r="P223" s="137" t="str">
        <f t="shared" si="15"/>
        <v/>
      </c>
    </row>
    <row r="224" spans="1:16" ht="13">
      <c r="A224" s="31" t="str">
        <f>IF('IMPORT PROFIXIO'!A224="","",'IMPORT PROFIXIO'!A224)</f>
        <v/>
      </c>
      <c r="B224" s="32" t="str">
        <f>IF(A224="","",IF(ISNUMBER('IMPORT PROFIXIO'!D224),'IMPORT PROFIXIO'!D224,DATEVALUE('IMPORT PROFIXIO'!D224)))</f>
        <v/>
      </c>
      <c r="C224" s="33" t="str">
        <f>IF(A224="","",IF(ISNUMBER('IMPORT PROFIXIO'!E224),'IMPORT PROFIXIO'!E224,(VALUE(LEFT('IMPORT PROFIXIO'!E224,FIND(":",'IMPORT PROFIXIO'!E224)-1))*60+VALUE(MID('IMPORT PROFIXIO'!E224,FIND(":",'IMPORT PROFIXIO'!E224)+1,2)))/1440))</f>
        <v/>
      </c>
      <c r="D224" s="31" t="str">
        <f>IF(A224="","",'IMPORT PROFIXIO'!F224)</f>
        <v/>
      </c>
      <c r="E224" s="31" t="str">
        <f>IF(A224="","",'IMPORT PROFIXIO'!K224)</f>
        <v/>
      </c>
      <c r="F224" s="34" t="str">
        <f>IF(A224="","",IFERROR(VLOOKUP(E224,KLASSNING!$A$5:$F$74,2,FALSE()),"SAKNAS"))</f>
        <v/>
      </c>
      <c r="G224" s="34" t="str">
        <f>IF(A224="","",IFERROR(VLOOKUP(E224,KLASSNING!$A$5:$F$74,3,FALSE()),"SAKNAS"))</f>
        <v/>
      </c>
      <c r="H224" s="34" t="str">
        <f>IF(A224="","",'IMPORT PROFIXIO'!H224)</f>
        <v/>
      </c>
      <c r="I224" s="34" t="str">
        <f>IF(A224="","",'IMPORT PROFIXIO'!I224)</f>
        <v/>
      </c>
      <c r="J224" s="34" t="str">
        <f t="shared" si="12"/>
        <v/>
      </c>
      <c r="K224" s="34" t="str">
        <f t="shared" si="13"/>
        <v/>
      </c>
      <c r="L224" s="34" t="str">
        <f>IF(A224="","",IFERROR(VLOOKUP(E224,KLASSNING!$A$5:$F$74,5,FALSE()),0))</f>
        <v/>
      </c>
      <c r="M224" s="35" t="str">
        <f t="shared" si="14"/>
        <v/>
      </c>
      <c r="N224" s="34" t="str">
        <f>IF(A224="","",IF(K224&lt;&gt;"Ja","Ej aktuell",IF(L224&lt;=0,"KONTROLLERA MATCHTID",IF(AND(COUNTIFS(BEMANNINGSPLAN!$A$5:$A$546,B224,BEMANNINGSPLAN!$C$5:$C$546,D224,BEMANNINGSPLAN!$D$5:$D$546,"&lt;="&amp;C224,BEMANNINGSPLAN!$E$5:$E$546,"&gt;"&amp;C224)&gt;0,COUNTIFS(BEMANNINGSPLAN!$A$5:$A$546,B224,BEMANNINGSPLAN!$C$5:$C$546,D224,BEMANNINGSPLAN!$D$5:$D$546,"&lt;"&amp;M224,BEMANNINGSPLAN!$E$5:$E$546,"&gt;="&amp;M224)&gt;0),"Ja","SAKNAS TIDSRADER"))))</f>
        <v/>
      </c>
      <c r="O224" s="137" t="str">
        <f>IF(OR(B224="",K224&lt;&gt;"Ja"),"",COUNTIFS($B$5:B224,B224,$K$5:K224,"Ja"))</f>
        <v/>
      </c>
      <c r="P224" s="137" t="str">
        <f t="shared" si="15"/>
        <v/>
      </c>
    </row>
    <row r="225" spans="1:16" ht="13">
      <c r="A225" s="31" t="str">
        <f>IF('IMPORT PROFIXIO'!A225="","",'IMPORT PROFIXIO'!A225)</f>
        <v/>
      </c>
      <c r="B225" s="32" t="str">
        <f>IF(A225="","",IF(ISNUMBER('IMPORT PROFIXIO'!D225),'IMPORT PROFIXIO'!D225,DATEVALUE('IMPORT PROFIXIO'!D225)))</f>
        <v/>
      </c>
      <c r="C225" s="33" t="str">
        <f>IF(A225="","",IF(ISNUMBER('IMPORT PROFIXIO'!E225),'IMPORT PROFIXIO'!E225,(VALUE(LEFT('IMPORT PROFIXIO'!E225,FIND(":",'IMPORT PROFIXIO'!E225)-1))*60+VALUE(MID('IMPORT PROFIXIO'!E225,FIND(":",'IMPORT PROFIXIO'!E225)+1,2)))/1440))</f>
        <v/>
      </c>
      <c r="D225" s="31" t="str">
        <f>IF(A225="","",'IMPORT PROFIXIO'!F225)</f>
        <v/>
      </c>
      <c r="E225" s="31" t="str">
        <f>IF(A225="","",'IMPORT PROFIXIO'!K225)</f>
        <v/>
      </c>
      <c r="F225" s="34" t="str">
        <f>IF(A225="","",IFERROR(VLOOKUP(E225,KLASSNING!$A$5:$F$74,2,FALSE()),"SAKNAS"))</f>
        <v/>
      </c>
      <c r="G225" s="34" t="str">
        <f>IF(A225="","",IFERROR(VLOOKUP(E225,KLASSNING!$A$5:$F$74,3,FALSE()),"SAKNAS"))</f>
        <v/>
      </c>
      <c r="H225" s="34" t="str">
        <f>IF(A225="","",'IMPORT PROFIXIO'!H225)</f>
        <v/>
      </c>
      <c r="I225" s="34" t="str">
        <f>IF(A225="","",'IMPORT PROFIXIO'!I225)</f>
        <v/>
      </c>
      <c r="J225" s="34" t="str">
        <f t="shared" si="12"/>
        <v/>
      </c>
      <c r="K225" s="34" t="str">
        <f t="shared" si="13"/>
        <v/>
      </c>
      <c r="L225" s="34" t="str">
        <f>IF(A225="","",IFERROR(VLOOKUP(E225,KLASSNING!$A$5:$F$74,5,FALSE()),0))</f>
        <v/>
      </c>
      <c r="M225" s="35" t="str">
        <f t="shared" si="14"/>
        <v/>
      </c>
      <c r="N225" s="34" t="str">
        <f>IF(A225="","",IF(K225&lt;&gt;"Ja","Ej aktuell",IF(L225&lt;=0,"KONTROLLERA MATCHTID",IF(AND(COUNTIFS(BEMANNINGSPLAN!$A$5:$A$546,B225,BEMANNINGSPLAN!$C$5:$C$546,D225,BEMANNINGSPLAN!$D$5:$D$546,"&lt;="&amp;C225,BEMANNINGSPLAN!$E$5:$E$546,"&gt;"&amp;C225)&gt;0,COUNTIFS(BEMANNINGSPLAN!$A$5:$A$546,B225,BEMANNINGSPLAN!$C$5:$C$546,D225,BEMANNINGSPLAN!$D$5:$D$546,"&lt;"&amp;M225,BEMANNINGSPLAN!$E$5:$E$546,"&gt;="&amp;M225)&gt;0),"Ja","SAKNAS TIDSRADER"))))</f>
        <v/>
      </c>
      <c r="O225" s="137" t="str">
        <f>IF(OR(B225="",K225&lt;&gt;"Ja"),"",COUNTIFS($B$5:B225,B225,$K$5:K225,"Ja"))</f>
        <v/>
      </c>
      <c r="P225" s="137" t="str">
        <f t="shared" si="15"/>
        <v/>
      </c>
    </row>
    <row r="226" spans="1:16" ht="13">
      <c r="A226" s="31" t="str">
        <f>IF('IMPORT PROFIXIO'!A226="","",'IMPORT PROFIXIO'!A226)</f>
        <v/>
      </c>
      <c r="B226" s="32" t="str">
        <f>IF(A226="","",IF(ISNUMBER('IMPORT PROFIXIO'!D226),'IMPORT PROFIXIO'!D226,DATEVALUE('IMPORT PROFIXIO'!D226)))</f>
        <v/>
      </c>
      <c r="C226" s="33" t="str">
        <f>IF(A226="","",IF(ISNUMBER('IMPORT PROFIXIO'!E226),'IMPORT PROFIXIO'!E226,(VALUE(LEFT('IMPORT PROFIXIO'!E226,FIND(":",'IMPORT PROFIXIO'!E226)-1))*60+VALUE(MID('IMPORT PROFIXIO'!E226,FIND(":",'IMPORT PROFIXIO'!E226)+1,2)))/1440))</f>
        <v/>
      </c>
      <c r="D226" s="31" t="str">
        <f>IF(A226="","",'IMPORT PROFIXIO'!F226)</f>
        <v/>
      </c>
      <c r="E226" s="31" t="str">
        <f>IF(A226="","",'IMPORT PROFIXIO'!K226)</f>
        <v/>
      </c>
      <c r="F226" s="34" t="str">
        <f>IF(A226="","",IFERROR(VLOOKUP(E226,KLASSNING!$A$5:$F$74,2,FALSE()),"SAKNAS"))</f>
        <v/>
      </c>
      <c r="G226" s="34" t="str">
        <f>IF(A226="","",IFERROR(VLOOKUP(E226,KLASSNING!$A$5:$F$74,3,FALSE()),"SAKNAS"))</f>
        <v/>
      </c>
      <c r="H226" s="34" t="str">
        <f>IF(A226="","",'IMPORT PROFIXIO'!H226)</f>
        <v/>
      </c>
      <c r="I226" s="34" t="str">
        <f>IF(A226="","",'IMPORT PROFIXIO'!I226)</f>
        <v/>
      </c>
      <c r="J226" s="34" t="str">
        <f t="shared" si="12"/>
        <v/>
      </c>
      <c r="K226" s="34" t="str">
        <f t="shared" si="13"/>
        <v/>
      </c>
      <c r="L226" s="34" t="str">
        <f>IF(A226="","",IFERROR(VLOOKUP(E226,KLASSNING!$A$5:$F$74,5,FALSE()),0))</f>
        <v/>
      </c>
      <c r="M226" s="35" t="str">
        <f t="shared" si="14"/>
        <v/>
      </c>
      <c r="N226" s="34" t="str">
        <f>IF(A226="","",IF(K226&lt;&gt;"Ja","Ej aktuell",IF(L226&lt;=0,"KONTROLLERA MATCHTID",IF(AND(COUNTIFS(BEMANNINGSPLAN!$A$5:$A$546,B226,BEMANNINGSPLAN!$C$5:$C$546,D226,BEMANNINGSPLAN!$D$5:$D$546,"&lt;="&amp;C226,BEMANNINGSPLAN!$E$5:$E$546,"&gt;"&amp;C226)&gt;0,COUNTIFS(BEMANNINGSPLAN!$A$5:$A$546,B226,BEMANNINGSPLAN!$C$5:$C$546,D226,BEMANNINGSPLAN!$D$5:$D$546,"&lt;"&amp;M226,BEMANNINGSPLAN!$E$5:$E$546,"&gt;="&amp;M226)&gt;0),"Ja","SAKNAS TIDSRADER"))))</f>
        <v/>
      </c>
      <c r="O226" s="137" t="str">
        <f>IF(OR(B226="",K226&lt;&gt;"Ja"),"",COUNTIFS($B$5:B226,B226,$K$5:K226,"Ja"))</f>
        <v/>
      </c>
      <c r="P226" s="137" t="str">
        <f t="shared" si="15"/>
        <v/>
      </c>
    </row>
    <row r="227" spans="1:16" ht="13">
      <c r="A227" s="31" t="str">
        <f>IF('IMPORT PROFIXIO'!A227="","",'IMPORT PROFIXIO'!A227)</f>
        <v/>
      </c>
      <c r="B227" s="32" t="str">
        <f>IF(A227="","",IF(ISNUMBER('IMPORT PROFIXIO'!D227),'IMPORT PROFIXIO'!D227,DATEVALUE('IMPORT PROFIXIO'!D227)))</f>
        <v/>
      </c>
      <c r="C227" s="33" t="str">
        <f>IF(A227="","",IF(ISNUMBER('IMPORT PROFIXIO'!E227),'IMPORT PROFIXIO'!E227,(VALUE(LEFT('IMPORT PROFIXIO'!E227,FIND(":",'IMPORT PROFIXIO'!E227)-1))*60+VALUE(MID('IMPORT PROFIXIO'!E227,FIND(":",'IMPORT PROFIXIO'!E227)+1,2)))/1440))</f>
        <v/>
      </c>
      <c r="D227" s="31" t="str">
        <f>IF(A227="","",'IMPORT PROFIXIO'!F227)</f>
        <v/>
      </c>
      <c r="E227" s="31" t="str">
        <f>IF(A227="","",'IMPORT PROFIXIO'!K227)</f>
        <v/>
      </c>
      <c r="F227" s="34" t="str">
        <f>IF(A227="","",IFERROR(VLOOKUP(E227,KLASSNING!$A$5:$F$74,2,FALSE()),"SAKNAS"))</f>
        <v/>
      </c>
      <c r="G227" s="34" t="str">
        <f>IF(A227="","",IFERROR(VLOOKUP(E227,KLASSNING!$A$5:$F$74,3,FALSE()),"SAKNAS"))</f>
        <v/>
      </c>
      <c r="H227" s="34" t="str">
        <f>IF(A227="","",'IMPORT PROFIXIO'!H227)</f>
        <v/>
      </c>
      <c r="I227" s="34" t="str">
        <f>IF(A227="","",'IMPORT PROFIXIO'!I227)</f>
        <v/>
      </c>
      <c r="J227" s="34" t="str">
        <f t="shared" si="12"/>
        <v/>
      </c>
      <c r="K227" s="34" t="str">
        <f t="shared" si="13"/>
        <v/>
      </c>
      <c r="L227" s="34" t="str">
        <f>IF(A227="","",IFERROR(VLOOKUP(E227,KLASSNING!$A$5:$F$74,5,FALSE()),0))</f>
        <v/>
      </c>
      <c r="M227" s="35" t="str">
        <f t="shared" si="14"/>
        <v/>
      </c>
      <c r="N227" s="34" t="str">
        <f>IF(A227="","",IF(K227&lt;&gt;"Ja","Ej aktuell",IF(L227&lt;=0,"KONTROLLERA MATCHTID",IF(AND(COUNTIFS(BEMANNINGSPLAN!$A$5:$A$546,B227,BEMANNINGSPLAN!$C$5:$C$546,D227,BEMANNINGSPLAN!$D$5:$D$546,"&lt;="&amp;C227,BEMANNINGSPLAN!$E$5:$E$546,"&gt;"&amp;C227)&gt;0,COUNTIFS(BEMANNINGSPLAN!$A$5:$A$546,B227,BEMANNINGSPLAN!$C$5:$C$546,D227,BEMANNINGSPLAN!$D$5:$D$546,"&lt;"&amp;M227,BEMANNINGSPLAN!$E$5:$E$546,"&gt;="&amp;M227)&gt;0),"Ja","SAKNAS TIDSRADER"))))</f>
        <v/>
      </c>
      <c r="O227" s="137" t="str">
        <f>IF(OR(B227="",K227&lt;&gt;"Ja"),"",COUNTIFS($B$5:B227,B227,$K$5:K227,"Ja"))</f>
        <v/>
      </c>
      <c r="P227" s="137" t="str">
        <f t="shared" si="15"/>
        <v/>
      </c>
    </row>
    <row r="228" spans="1:16" ht="13">
      <c r="A228" s="31" t="str">
        <f>IF('IMPORT PROFIXIO'!A228="","",'IMPORT PROFIXIO'!A228)</f>
        <v/>
      </c>
      <c r="B228" s="32" t="str">
        <f>IF(A228="","",IF(ISNUMBER('IMPORT PROFIXIO'!D228),'IMPORT PROFIXIO'!D228,DATEVALUE('IMPORT PROFIXIO'!D228)))</f>
        <v/>
      </c>
      <c r="C228" s="33" t="str">
        <f>IF(A228="","",IF(ISNUMBER('IMPORT PROFIXIO'!E228),'IMPORT PROFIXIO'!E228,(VALUE(LEFT('IMPORT PROFIXIO'!E228,FIND(":",'IMPORT PROFIXIO'!E228)-1))*60+VALUE(MID('IMPORT PROFIXIO'!E228,FIND(":",'IMPORT PROFIXIO'!E228)+1,2)))/1440))</f>
        <v/>
      </c>
      <c r="D228" s="31" t="str">
        <f>IF(A228="","",'IMPORT PROFIXIO'!F228)</f>
        <v/>
      </c>
      <c r="E228" s="31" t="str">
        <f>IF(A228="","",'IMPORT PROFIXIO'!K228)</f>
        <v/>
      </c>
      <c r="F228" s="34" t="str">
        <f>IF(A228="","",IFERROR(VLOOKUP(E228,KLASSNING!$A$5:$F$74,2,FALSE()),"SAKNAS"))</f>
        <v/>
      </c>
      <c r="G228" s="34" t="str">
        <f>IF(A228="","",IFERROR(VLOOKUP(E228,KLASSNING!$A$5:$F$74,3,FALSE()),"SAKNAS"))</f>
        <v/>
      </c>
      <c r="H228" s="34" t="str">
        <f>IF(A228="","",'IMPORT PROFIXIO'!H228)</f>
        <v/>
      </c>
      <c r="I228" s="34" t="str">
        <f>IF(A228="","",'IMPORT PROFIXIO'!I228)</f>
        <v/>
      </c>
      <c r="J228" s="34" t="str">
        <f t="shared" si="12"/>
        <v/>
      </c>
      <c r="K228" s="34" t="str">
        <f t="shared" si="13"/>
        <v/>
      </c>
      <c r="L228" s="34" t="str">
        <f>IF(A228="","",IFERROR(VLOOKUP(E228,KLASSNING!$A$5:$F$74,5,FALSE()),0))</f>
        <v/>
      </c>
      <c r="M228" s="35" t="str">
        <f t="shared" si="14"/>
        <v/>
      </c>
      <c r="N228" s="34" t="str">
        <f>IF(A228="","",IF(K228&lt;&gt;"Ja","Ej aktuell",IF(L228&lt;=0,"KONTROLLERA MATCHTID",IF(AND(COUNTIFS(BEMANNINGSPLAN!$A$5:$A$546,B228,BEMANNINGSPLAN!$C$5:$C$546,D228,BEMANNINGSPLAN!$D$5:$D$546,"&lt;="&amp;C228,BEMANNINGSPLAN!$E$5:$E$546,"&gt;"&amp;C228)&gt;0,COUNTIFS(BEMANNINGSPLAN!$A$5:$A$546,B228,BEMANNINGSPLAN!$C$5:$C$546,D228,BEMANNINGSPLAN!$D$5:$D$546,"&lt;"&amp;M228,BEMANNINGSPLAN!$E$5:$E$546,"&gt;="&amp;M228)&gt;0),"Ja","SAKNAS TIDSRADER"))))</f>
        <v/>
      </c>
      <c r="O228" s="137" t="str">
        <f>IF(OR(B228="",K228&lt;&gt;"Ja"),"",COUNTIFS($B$5:B228,B228,$K$5:K228,"Ja"))</f>
        <v/>
      </c>
      <c r="P228" s="137" t="str">
        <f t="shared" si="15"/>
        <v/>
      </c>
    </row>
    <row r="229" spans="1:16" ht="13">
      <c r="A229" s="31" t="str">
        <f>IF('IMPORT PROFIXIO'!A229="","",'IMPORT PROFIXIO'!A229)</f>
        <v/>
      </c>
      <c r="B229" s="32" t="str">
        <f>IF(A229="","",IF(ISNUMBER('IMPORT PROFIXIO'!D229),'IMPORT PROFIXIO'!D229,DATEVALUE('IMPORT PROFIXIO'!D229)))</f>
        <v/>
      </c>
      <c r="C229" s="33" t="str">
        <f>IF(A229="","",IF(ISNUMBER('IMPORT PROFIXIO'!E229),'IMPORT PROFIXIO'!E229,(VALUE(LEFT('IMPORT PROFIXIO'!E229,FIND(":",'IMPORT PROFIXIO'!E229)-1))*60+VALUE(MID('IMPORT PROFIXIO'!E229,FIND(":",'IMPORT PROFIXIO'!E229)+1,2)))/1440))</f>
        <v/>
      </c>
      <c r="D229" s="31" t="str">
        <f>IF(A229="","",'IMPORT PROFIXIO'!F229)</f>
        <v/>
      </c>
      <c r="E229" s="31" t="str">
        <f>IF(A229="","",'IMPORT PROFIXIO'!K229)</f>
        <v/>
      </c>
      <c r="F229" s="34" t="str">
        <f>IF(A229="","",IFERROR(VLOOKUP(E229,KLASSNING!$A$5:$F$74,2,FALSE()),"SAKNAS"))</f>
        <v/>
      </c>
      <c r="G229" s="34" t="str">
        <f>IF(A229="","",IFERROR(VLOOKUP(E229,KLASSNING!$A$5:$F$74,3,FALSE()),"SAKNAS"))</f>
        <v/>
      </c>
      <c r="H229" s="34" t="str">
        <f>IF(A229="","",'IMPORT PROFIXIO'!H229)</f>
        <v/>
      </c>
      <c r="I229" s="34" t="str">
        <f>IF(A229="","",'IMPORT PROFIXIO'!I229)</f>
        <v/>
      </c>
      <c r="J229" s="34" t="str">
        <f t="shared" si="12"/>
        <v/>
      </c>
      <c r="K229" s="34" t="str">
        <f t="shared" si="13"/>
        <v/>
      </c>
      <c r="L229" s="34" t="str">
        <f>IF(A229="","",IFERROR(VLOOKUP(E229,KLASSNING!$A$5:$F$74,5,FALSE()),0))</f>
        <v/>
      </c>
      <c r="M229" s="35" t="str">
        <f t="shared" si="14"/>
        <v/>
      </c>
      <c r="N229" s="34" t="str">
        <f>IF(A229="","",IF(K229&lt;&gt;"Ja","Ej aktuell",IF(L229&lt;=0,"KONTROLLERA MATCHTID",IF(AND(COUNTIFS(BEMANNINGSPLAN!$A$5:$A$546,B229,BEMANNINGSPLAN!$C$5:$C$546,D229,BEMANNINGSPLAN!$D$5:$D$546,"&lt;="&amp;C229,BEMANNINGSPLAN!$E$5:$E$546,"&gt;"&amp;C229)&gt;0,COUNTIFS(BEMANNINGSPLAN!$A$5:$A$546,B229,BEMANNINGSPLAN!$C$5:$C$546,D229,BEMANNINGSPLAN!$D$5:$D$546,"&lt;"&amp;M229,BEMANNINGSPLAN!$E$5:$E$546,"&gt;="&amp;M229)&gt;0),"Ja","SAKNAS TIDSRADER"))))</f>
        <v/>
      </c>
      <c r="O229" s="137" t="str">
        <f>IF(OR(B229="",K229&lt;&gt;"Ja"),"",COUNTIFS($B$5:B229,B229,$K$5:K229,"Ja"))</f>
        <v/>
      </c>
      <c r="P229" s="137" t="str">
        <f t="shared" si="15"/>
        <v/>
      </c>
    </row>
    <row r="230" spans="1:16" ht="13">
      <c r="A230" s="31" t="str">
        <f>IF('IMPORT PROFIXIO'!A230="","",'IMPORT PROFIXIO'!A230)</f>
        <v/>
      </c>
      <c r="B230" s="32" t="str">
        <f>IF(A230="","",IF(ISNUMBER('IMPORT PROFIXIO'!D230),'IMPORT PROFIXIO'!D230,DATEVALUE('IMPORT PROFIXIO'!D230)))</f>
        <v/>
      </c>
      <c r="C230" s="33" t="str">
        <f>IF(A230="","",IF(ISNUMBER('IMPORT PROFIXIO'!E230),'IMPORT PROFIXIO'!E230,(VALUE(LEFT('IMPORT PROFIXIO'!E230,FIND(":",'IMPORT PROFIXIO'!E230)-1))*60+VALUE(MID('IMPORT PROFIXIO'!E230,FIND(":",'IMPORT PROFIXIO'!E230)+1,2)))/1440))</f>
        <v/>
      </c>
      <c r="D230" s="31" t="str">
        <f>IF(A230="","",'IMPORT PROFIXIO'!F230)</f>
        <v/>
      </c>
      <c r="E230" s="31" t="str">
        <f>IF(A230="","",'IMPORT PROFIXIO'!K230)</f>
        <v/>
      </c>
      <c r="F230" s="34" t="str">
        <f>IF(A230="","",IFERROR(VLOOKUP(E230,KLASSNING!$A$5:$F$74,2,FALSE()),"SAKNAS"))</f>
        <v/>
      </c>
      <c r="G230" s="34" t="str">
        <f>IF(A230="","",IFERROR(VLOOKUP(E230,KLASSNING!$A$5:$F$74,3,FALSE()),"SAKNAS"))</f>
        <v/>
      </c>
      <c r="H230" s="34" t="str">
        <f>IF(A230="","",'IMPORT PROFIXIO'!H230)</f>
        <v/>
      </c>
      <c r="I230" s="34" t="str">
        <f>IF(A230="","",'IMPORT PROFIXIO'!I230)</f>
        <v/>
      </c>
      <c r="J230" s="34" t="str">
        <f t="shared" si="12"/>
        <v/>
      </c>
      <c r="K230" s="34" t="str">
        <f t="shared" si="13"/>
        <v/>
      </c>
      <c r="L230" s="34" t="str">
        <f>IF(A230="","",IFERROR(VLOOKUP(E230,KLASSNING!$A$5:$F$74,5,FALSE()),0))</f>
        <v/>
      </c>
      <c r="M230" s="35" t="str">
        <f t="shared" si="14"/>
        <v/>
      </c>
      <c r="N230" s="34" t="str">
        <f>IF(A230="","",IF(K230&lt;&gt;"Ja","Ej aktuell",IF(L230&lt;=0,"KONTROLLERA MATCHTID",IF(AND(COUNTIFS(BEMANNINGSPLAN!$A$5:$A$546,B230,BEMANNINGSPLAN!$C$5:$C$546,D230,BEMANNINGSPLAN!$D$5:$D$546,"&lt;="&amp;C230,BEMANNINGSPLAN!$E$5:$E$546,"&gt;"&amp;C230)&gt;0,COUNTIFS(BEMANNINGSPLAN!$A$5:$A$546,B230,BEMANNINGSPLAN!$C$5:$C$546,D230,BEMANNINGSPLAN!$D$5:$D$546,"&lt;"&amp;M230,BEMANNINGSPLAN!$E$5:$E$546,"&gt;="&amp;M230)&gt;0),"Ja","SAKNAS TIDSRADER"))))</f>
        <v/>
      </c>
      <c r="O230" s="137" t="str">
        <f>IF(OR(B230="",K230&lt;&gt;"Ja"),"",COUNTIFS($B$5:B230,B230,$K$5:K230,"Ja"))</f>
        <v/>
      </c>
      <c r="P230" s="137" t="str">
        <f t="shared" si="15"/>
        <v/>
      </c>
    </row>
    <row r="231" spans="1:16" ht="13">
      <c r="A231" s="31" t="str">
        <f>IF('IMPORT PROFIXIO'!A231="","",'IMPORT PROFIXIO'!A231)</f>
        <v/>
      </c>
      <c r="B231" s="32" t="str">
        <f>IF(A231="","",IF(ISNUMBER('IMPORT PROFIXIO'!D231),'IMPORT PROFIXIO'!D231,DATEVALUE('IMPORT PROFIXIO'!D231)))</f>
        <v/>
      </c>
      <c r="C231" s="33" t="str">
        <f>IF(A231="","",IF(ISNUMBER('IMPORT PROFIXIO'!E231),'IMPORT PROFIXIO'!E231,(VALUE(LEFT('IMPORT PROFIXIO'!E231,FIND(":",'IMPORT PROFIXIO'!E231)-1))*60+VALUE(MID('IMPORT PROFIXIO'!E231,FIND(":",'IMPORT PROFIXIO'!E231)+1,2)))/1440))</f>
        <v/>
      </c>
      <c r="D231" s="31" t="str">
        <f>IF(A231="","",'IMPORT PROFIXIO'!F231)</f>
        <v/>
      </c>
      <c r="E231" s="31" t="str">
        <f>IF(A231="","",'IMPORT PROFIXIO'!K231)</f>
        <v/>
      </c>
      <c r="F231" s="34" t="str">
        <f>IF(A231="","",IFERROR(VLOOKUP(E231,KLASSNING!$A$5:$F$74,2,FALSE()),"SAKNAS"))</f>
        <v/>
      </c>
      <c r="G231" s="34" t="str">
        <f>IF(A231="","",IFERROR(VLOOKUP(E231,KLASSNING!$A$5:$F$74,3,FALSE()),"SAKNAS"))</f>
        <v/>
      </c>
      <c r="H231" s="34" t="str">
        <f>IF(A231="","",'IMPORT PROFIXIO'!H231)</f>
        <v/>
      </c>
      <c r="I231" s="34" t="str">
        <f>IF(A231="","",'IMPORT PROFIXIO'!I231)</f>
        <v/>
      </c>
      <c r="J231" s="34" t="str">
        <f t="shared" si="12"/>
        <v/>
      </c>
      <c r="K231" s="34" t="str">
        <f t="shared" si="13"/>
        <v/>
      </c>
      <c r="L231" s="34" t="str">
        <f>IF(A231="","",IFERROR(VLOOKUP(E231,KLASSNING!$A$5:$F$74,5,FALSE()),0))</f>
        <v/>
      </c>
      <c r="M231" s="35" t="str">
        <f t="shared" si="14"/>
        <v/>
      </c>
      <c r="N231" s="34" t="str">
        <f>IF(A231="","",IF(K231&lt;&gt;"Ja","Ej aktuell",IF(L231&lt;=0,"KONTROLLERA MATCHTID",IF(AND(COUNTIFS(BEMANNINGSPLAN!$A$5:$A$546,B231,BEMANNINGSPLAN!$C$5:$C$546,D231,BEMANNINGSPLAN!$D$5:$D$546,"&lt;="&amp;C231,BEMANNINGSPLAN!$E$5:$E$546,"&gt;"&amp;C231)&gt;0,COUNTIFS(BEMANNINGSPLAN!$A$5:$A$546,B231,BEMANNINGSPLAN!$C$5:$C$546,D231,BEMANNINGSPLAN!$D$5:$D$546,"&lt;"&amp;M231,BEMANNINGSPLAN!$E$5:$E$546,"&gt;="&amp;M231)&gt;0),"Ja","SAKNAS TIDSRADER"))))</f>
        <v/>
      </c>
      <c r="O231" s="137" t="str">
        <f>IF(OR(B231="",K231&lt;&gt;"Ja"),"",COUNTIFS($B$5:B231,B231,$K$5:K231,"Ja"))</f>
        <v/>
      </c>
      <c r="P231" s="137" t="str">
        <f t="shared" si="15"/>
        <v/>
      </c>
    </row>
    <row r="232" spans="1:16" ht="13">
      <c r="A232" s="31" t="str">
        <f>IF('IMPORT PROFIXIO'!A232="","",'IMPORT PROFIXIO'!A232)</f>
        <v/>
      </c>
      <c r="B232" s="32" t="str">
        <f>IF(A232="","",IF(ISNUMBER('IMPORT PROFIXIO'!D232),'IMPORT PROFIXIO'!D232,DATEVALUE('IMPORT PROFIXIO'!D232)))</f>
        <v/>
      </c>
      <c r="C232" s="33" t="str">
        <f>IF(A232="","",IF(ISNUMBER('IMPORT PROFIXIO'!E232),'IMPORT PROFIXIO'!E232,(VALUE(LEFT('IMPORT PROFIXIO'!E232,FIND(":",'IMPORT PROFIXIO'!E232)-1))*60+VALUE(MID('IMPORT PROFIXIO'!E232,FIND(":",'IMPORT PROFIXIO'!E232)+1,2)))/1440))</f>
        <v/>
      </c>
      <c r="D232" s="31" t="str">
        <f>IF(A232="","",'IMPORT PROFIXIO'!F232)</f>
        <v/>
      </c>
      <c r="E232" s="31" t="str">
        <f>IF(A232="","",'IMPORT PROFIXIO'!K232)</f>
        <v/>
      </c>
      <c r="F232" s="34" t="str">
        <f>IF(A232="","",IFERROR(VLOOKUP(E232,KLASSNING!$A$5:$F$74,2,FALSE()),"SAKNAS"))</f>
        <v/>
      </c>
      <c r="G232" s="34" t="str">
        <f>IF(A232="","",IFERROR(VLOOKUP(E232,KLASSNING!$A$5:$F$74,3,FALSE()),"SAKNAS"))</f>
        <v/>
      </c>
      <c r="H232" s="34" t="str">
        <f>IF(A232="","",'IMPORT PROFIXIO'!H232)</f>
        <v/>
      </c>
      <c r="I232" s="34" t="str">
        <f>IF(A232="","",'IMPORT PROFIXIO'!I232)</f>
        <v/>
      </c>
      <c r="J232" s="34" t="str">
        <f t="shared" si="12"/>
        <v/>
      </c>
      <c r="K232" s="34" t="str">
        <f t="shared" si="13"/>
        <v/>
      </c>
      <c r="L232" s="34" t="str">
        <f>IF(A232="","",IFERROR(VLOOKUP(E232,KLASSNING!$A$5:$F$74,5,FALSE()),0))</f>
        <v/>
      </c>
      <c r="M232" s="35" t="str">
        <f t="shared" si="14"/>
        <v/>
      </c>
      <c r="N232" s="34" t="str">
        <f>IF(A232="","",IF(K232&lt;&gt;"Ja","Ej aktuell",IF(L232&lt;=0,"KONTROLLERA MATCHTID",IF(AND(COUNTIFS(BEMANNINGSPLAN!$A$5:$A$546,B232,BEMANNINGSPLAN!$C$5:$C$546,D232,BEMANNINGSPLAN!$D$5:$D$546,"&lt;="&amp;C232,BEMANNINGSPLAN!$E$5:$E$546,"&gt;"&amp;C232)&gt;0,COUNTIFS(BEMANNINGSPLAN!$A$5:$A$546,B232,BEMANNINGSPLAN!$C$5:$C$546,D232,BEMANNINGSPLAN!$D$5:$D$546,"&lt;"&amp;M232,BEMANNINGSPLAN!$E$5:$E$546,"&gt;="&amp;M232)&gt;0),"Ja","SAKNAS TIDSRADER"))))</f>
        <v/>
      </c>
      <c r="O232" s="137" t="str">
        <f>IF(OR(B232="",K232&lt;&gt;"Ja"),"",COUNTIFS($B$5:B232,B232,$K$5:K232,"Ja"))</f>
        <v/>
      </c>
      <c r="P232" s="137" t="str">
        <f t="shared" si="15"/>
        <v/>
      </c>
    </row>
    <row r="233" spans="1:16" ht="13">
      <c r="A233" s="31" t="str">
        <f>IF('IMPORT PROFIXIO'!A233="","",'IMPORT PROFIXIO'!A233)</f>
        <v/>
      </c>
      <c r="B233" s="32" t="str">
        <f>IF(A233="","",IF(ISNUMBER('IMPORT PROFIXIO'!D233),'IMPORT PROFIXIO'!D233,DATEVALUE('IMPORT PROFIXIO'!D233)))</f>
        <v/>
      </c>
      <c r="C233" s="33" t="str">
        <f>IF(A233="","",IF(ISNUMBER('IMPORT PROFIXIO'!E233),'IMPORT PROFIXIO'!E233,(VALUE(LEFT('IMPORT PROFIXIO'!E233,FIND(":",'IMPORT PROFIXIO'!E233)-1))*60+VALUE(MID('IMPORT PROFIXIO'!E233,FIND(":",'IMPORT PROFIXIO'!E233)+1,2)))/1440))</f>
        <v/>
      </c>
      <c r="D233" s="31" t="str">
        <f>IF(A233="","",'IMPORT PROFIXIO'!F233)</f>
        <v/>
      </c>
      <c r="E233" s="31" t="str">
        <f>IF(A233="","",'IMPORT PROFIXIO'!K233)</f>
        <v/>
      </c>
      <c r="F233" s="34" t="str">
        <f>IF(A233="","",IFERROR(VLOOKUP(E233,KLASSNING!$A$5:$F$74,2,FALSE()),"SAKNAS"))</f>
        <v/>
      </c>
      <c r="G233" s="34" t="str">
        <f>IF(A233="","",IFERROR(VLOOKUP(E233,KLASSNING!$A$5:$F$74,3,FALSE()),"SAKNAS"))</f>
        <v/>
      </c>
      <c r="H233" s="34" t="str">
        <f>IF(A233="","",'IMPORT PROFIXIO'!H233)</f>
        <v/>
      </c>
      <c r="I233" s="34" t="str">
        <f>IF(A233="","",'IMPORT PROFIXIO'!I233)</f>
        <v/>
      </c>
      <c r="J233" s="34" t="str">
        <f t="shared" si="12"/>
        <v/>
      </c>
      <c r="K233" s="34" t="str">
        <f t="shared" si="13"/>
        <v/>
      </c>
      <c r="L233" s="34" t="str">
        <f>IF(A233="","",IFERROR(VLOOKUP(E233,KLASSNING!$A$5:$F$74,5,FALSE()),0))</f>
        <v/>
      </c>
      <c r="M233" s="35" t="str">
        <f t="shared" si="14"/>
        <v/>
      </c>
      <c r="N233" s="34" t="str">
        <f>IF(A233="","",IF(K233&lt;&gt;"Ja","Ej aktuell",IF(L233&lt;=0,"KONTROLLERA MATCHTID",IF(AND(COUNTIFS(BEMANNINGSPLAN!$A$5:$A$546,B233,BEMANNINGSPLAN!$C$5:$C$546,D233,BEMANNINGSPLAN!$D$5:$D$546,"&lt;="&amp;C233,BEMANNINGSPLAN!$E$5:$E$546,"&gt;"&amp;C233)&gt;0,COUNTIFS(BEMANNINGSPLAN!$A$5:$A$546,B233,BEMANNINGSPLAN!$C$5:$C$546,D233,BEMANNINGSPLAN!$D$5:$D$546,"&lt;"&amp;M233,BEMANNINGSPLAN!$E$5:$E$546,"&gt;="&amp;M233)&gt;0),"Ja","SAKNAS TIDSRADER"))))</f>
        <v/>
      </c>
      <c r="O233" s="137" t="str">
        <f>IF(OR(B233="",K233&lt;&gt;"Ja"),"",COUNTIFS($B$5:B233,B233,$K$5:K233,"Ja"))</f>
        <v/>
      </c>
      <c r="P233" s="137" t="str">
        <f t="shared" si="15"/>
        <v/>
      </c>
    </row>
    <row r="234" spans="1:16" ht="13">
      <c r="A234" s="31" t="str">
        <f>IF('IMPORT PROFIXIO'!A234="","",'IMPORT PROFIXIO'!A234)</f>
        <v/>
      </c>
      <c r="B234" s="32" t="str">
        <f>IF(A234="","",IF(ISNUMBER('IMPORT PROFIXIO'!D234),'IMPORT PROFIXIO'!D234,DATEVALUE('IMPORT PROFIXIO'!D234)))</f>
        <v/>
      </c>
      <c r="C234" s="33" t="str">
        <f>IF(A234="","",IF(ISNUMBER('IMPORT PROFIXIO'!E234),'IMPORT PROFIXIO'!E234,(VALUE(LEFT('IMPORT PROFIXIO'!E234,FIND(":",'IMPORT PROFIXIO'!E234)-1))*60+VALUE(MID('IMPORT PROFIXIO'!E234,FIND(":",'IMPORT PROFIXIO'!E234)+1,2)))/1440))</f>
        <v/>
      </c>
      <c r="D234" s="31" t="str">
        <f>IF(A234="","",'IMPORT PROFIXIO'!F234)</f>
        <v/>
      </c>
      <c r="E234" s="31" t="str">
        <f>IF(A234="","",'IMPORT PROFIXIO'!K234)</f>
        <v/>
      </c>
      <c r="F234" s="34" t="str">
        <f>IF(A234="","",IFERROR(VLOOKUP(E234,KLASSNING!$A$5:$F$74,2,FALSE()),"SAKNAS"))</f>
        <v/>
      </c>
      <c r="G234" s="34" t="str">
        <f>IF(A234="","",IFERROR(VLOOKUP(E234,KLASSNING!$A$5:$F$74,3,FALSE()),"SAKNAS"))</f>
        <v/>
      </c>
      <c r="H234" s="34" t="str">
        <f>IF(A234="","",'IMPORT PROFIXIO'!H234)</f>
        <v/>
      </c>
      <c r="I234" s="34" t="str">
        <f>IF(A234="","",'IMPORT PROFIXIO'!I234)</f>
        <v/>
      </c>
      <c r="J234" s="34" t="str">
        <f t="shared" si="12"/>
        <v/>
      </c>
      <c r="K234" s="34" t="str">
        <f t="shared" si="13"/>
        <v/>
      </c>
      <c r="L234" s="34" t="str">
        <f>IF(A234="","",IFERROR(VLOOKUP(E234,KLASSNING!$A$5:$F$74,5,FALSE()),0))</f>
        <v/>
      </c>
      <c r="M234" s="35" t="str">
        <f t="shared" si="14"/>
        <v/>
      </c>
      <c r="N234" s="34" t="str">
        <f>IF(A234="","",IF(K234&lt;&gt;"Ja","Ej aktuell",IF(L234&lt;=0,"KONTROLLERA MATCHTID",IF(AND(COUNTIFS(BEMANNINGSPLAN!$A$5:$A$546,B234,BEMANNINGSPLAN!$C$5:$C$546,D234,BEMANNINGSPLAN!$D$5:$D$546,"&lt;="&amp;C234,BEMANNINGSPLAN!$E$5:$E$546,"&gt;"&amp;C234)&gt;0,COUNTIFS(BEMANNINGSPLAN!$A$5:$A$546,B234,BEMANNINGSPLAN!$C$5:$C$546,D234,BEMANNINGSPLAN!$D$5:$D$546,"&lt;"&amp;M234,BEMANNINGSPLAN!$E$5:$E$546,"&gt;="&amp;M234)&gt;0),"Ja","SAKNAS TIDSRADER"))))</f>
        <v/>
      </c>
      <c r="O234" s="137" t="str">
        <f>IF(OR(B234="",K234&lt;&gt;"Ja"),"",COUNTIFS($B$5:B234,B234,$K$5:K234,"Ja"))</f>
        <v/>
      </c>
      <c r="P234" s="137" t="str">
        <f t="shared" si="15"/>
        <v/>
      </c>
    </row>
    <row r="235" spans="1:16" ht="13">
      <c r="A235" s="31" t="str">
        <f>IF('IMPORT PROFIXIO'!A235="","",'IMPORT PROFIXIO'!A235)</f>
        <v/>
      </c>
      <c r="B235" s="32" t="str">
        <f>IF(A235="","",IF(ISNUMBER('IMPORT PROFIXIO'!D235),'IMPORT PROFIXIO'!D235,DATEVALUE('IMPORT PROFIXIO'!D235)))</f>
        <v/>
      </c>
      <c r="C235" s="33" t="str">
        <f>IF(A235="","",IF(ISNUMBER('IMPORT PROFIXIO'!E235),'IMPORT PROFIXIO'!E235,(VALUE(LEFT('IMPORT PROFIXIO'!E235,FIND(":",'IMPORT PROFIXIO'!E235)-1))*60+VALUE(MID('IMPORT PROFIXIO'!E235,FIND(":",'IMPORT PROFIXIO'!E235)+1,2)))/1440))</f>
        <v/>
      </c>
      <c r="D235" s="31" t="str">
        <f>IF(A235="","",'IMPORT PROFIXIO'!F235)</f>
        <v/>
      </c>
      <c r="E235" s="31" t="str">
        <f>IF(A235="","",'IMPORT PROFIXIO'!K235)</f>
        <v/>
      </c>
      <c r="F235" s="34" t="str">
        <f>IF(A235="","",IFERROR(VLOOKUP(E235,KLASSNING!$A$5:$F$74,2,FALSE()),"SAKNAS"))</f>
        <v/>
      </c>
      <c r="G235" s="34" t="str">
        <f>IF(A235="","",IFERROR(VLOOKUP(E235,KLASSNING!$A$5:$F$74,3,FALSE()),"SAKNAS"))</f>
        <v/>
      </c>
      <c r="H235" s="34" t="str">
        <f>IF(A235="","",'IMPORT PROFIXIO'!H235)</f>
        <v/>
      </c>
      <c r="I235" s="34" t="str">
        <f>IF(A235="","",'IMPORT PROFIXIO'!I235)</f>
        <v/>
      </c>
      <c r="J235" s="34" t="str">
        <f t="shared" si="12"/>
        <v/>
      </c>
      <c r="K235" s="34" t="str">
        <f t="shared" si="13"/>
        <v/>
      </c>
      <c r="L235" s="34" t="str">
        <f>IF(A235="","",IFERROR(VLOOKUP(E235,KLASSNING!$A$5:$F$74,5,FALSE()),0))</f>
        <v/>
      </c>
      <c r="M235" s="35" t="str">
        <f t="shared" si="14"/>
        <v/>
      </c>
      <c r="N235" s="34" t="str">
        <f>IF(A235="","",IF(K235&lt;&gt;"Ja","Ej aktuell",IF(L235&lt;=0,"KONTROLLERA MATCHTID",IF(AND(COUNTIFS(BEMANNINGSPLAN!$A$5:$A$546,B235,BEMANNINGSPLAN!$C$5:$C$546,D235,BEMANNINGSPLAN!$D$5:$D$546,"&lt;="&amp;C235,BEMANNINGSPLAN!$E$5:$E$546,"&gt;"&amp;C235)&gt;0,COUNTIFS(BEMANNINGSPLAN!$A$5:$A$546,B235,BEMANNINGSPLAN!$C$5:$C$546,D235,BEMANNINGSPLAN!$D$5:$D$546,"&lt;"&amp;M235,BEMANNINGSPLAN!$E$5:$E$546,"&gt;="&amp;M235)&gt;0),"Ja","SAKNAS TIDSRADER"))))</f>
        <v/>
      </c>
      <c r="O235" s="137" t="str">
        <f>IF(OR(B235="",K235&lt;&gt;"Ja"),"",COUNTIFS($B$5:B235,B235,$K$5:K235,"Ja"))</f>
        <v/>
      </c>
      <c r="P235" s="137" t="str">
        <f t="shared" si="15"/>
        <v/>
      </c>
    </row>
    <row r="236" spans="1:16" ht="13">
      <c r="A236" s="31" t="str">
        <f>IF('IMPORT PROFIXIO'!A236="","",'IMPORT PROFIXIO'!A236)</f>
        <v/>
      </c>
      <c r="B236" s="32" t="str">
        <f>IF(A236="","",IF(ISNUMBER('IMPORT PROFIXIO'!D236),'IMPORT PROFIXIO'!D236,DATEVALUE('IMPORT PROFIXIO'!D236)))</f>
        <v/>
      </c>
      <c r="C236" s="33" t="str">
        <f>IF(A236="","",IF(ISNUMBER('IMPORT PROFIXIO'!E236),'IMPORT PROFIXIO'!E236,(VALUE(LEFT('IMPORT PROFIXIO'!E236,FIND(":",'IMPORT PROFIXIO'!E236)-1))*60+VALUE(MID('IMPORT PROFIXIO'!E236,FIND(":",'IMPORT PROFIXIO'!E236)+1,2)))/1440))</f>
        <v/>
      </c>
      <c r="D236" s="31" t="str">
        <f>IF(A236="","",'IMPORT PROFIXIO'!F236)</f>
        <v/>
      </c>
      <c r="E236" s="31" t="str">
        <f>IF(A236="","",'IMPORT PROFIXIO'!K236)</f>
        <v/>
      </c>
      <c r="F236" s="34" t="str">
        <f>IF(A236="","",IFERROR(VLOOKUP(E236,KLASSNING!$A$5:$F$74,2,FALSE()),"SAKNAS"))</f>
        <v/>
      </c>
      <c r="G236" s="34" t="str">
        <f>IF(A236="","",IFERROR(VLOOKUP(E236,KLASSNING!$A$5:$F$74,3,FALSE()),"SAKNAS"))</f>
        <v/>
      </c>
      <c r="H236" s="34" t="str">
        <f>IF(A236="","",'IMPORT PROFIXIO'!H236)</f>
        <v/>
      </c>
      <c r="I236" s="34" t="str">
        <f>IF(A236="","",'IMPORT PROFIXIO'!I236)</f>
        <v/>
      </c>
      <c r="J236" s="34" t="str">
        <f t="shared" si="12"/>
        <v/>
      </c>
      <c r="K236" s="34" t="str">
        <f t="shared" si="13"/>
        <v/>
      </c>
      <c r="L236" s="34" t="str">
        <f>IF(A236="","",IFERROR(VLOOKUP(E236,KLASSNING!$A$5:$F$74,5,FALSE()),0))</f>
        <v/>
      </c>
      <c r="M236" s="35" t="str">
        <f t="shared" si="14"/>
        <v/>
      </c>
      <c r="N236" s="34" t="str">
        <f>IF(A236="","",IF(K236&lt;&gt;"Ja","Ej aktuell",IF(L236&lt;=0,"KONTROLLERA MATCHTID",IF(AND(COUNTIFS(BEMANNINGSPLAN!$A$5:$A$546,B236,BEMANNINGSPLAN!$C$5:$C$546,D236,BEMANNINGSPLAN!$D$5:$D$546,"&lt;="&amp;C236,BEMANNINGSPLAN!$E$5:$E$546,"&gt;"&amp;C236)&gt;0,COUNTIFS(BEMANNINGSPLAN!$A$5:$A$546,B236,BEMANNINGSPLAN!$C$5:$C$546,D236,BEMANNINGSPLAN!$D$5:$D$546,"&lt;"&amp;M236,BEMANNINGSPLAN!$E$5:$E$546,"&gt;="&amp;M236)&gt;0),"Ja","SAKNAS TIDSRADER"))))</f>
        <v/>
      </c>
      <c r="O236" s="137" t="str">
        <f>IF(OR(B236="",K236&lt;&gt;"Ja"),"",COUNTIFS($B$5:B236,B236,$K$5:K236,"Ja"))</f>
        <v/>
      </c>
      <c r="P236" s="137" t="str">
        <f t="shared" si="15"/>
        <v/>
      </c>
    </row>
    <row r="237" spans="1:16" ht="13">
      <c r="A237" s="31" t="str">
        <f>IF('IMPORT PROFIXIO'!A237="","",'IMPORT PROFIXIO'!A237)</f>
        <v/>
      </c>
      <c r="B237" s="32" t="str">
        <f>IF(A237="","",IF(ISNUMBER('IMPORT PROFIXIO'!D237),'IMPORT PROFIXIO'!D237,DATEVALUE('IMPORT PROFIXIO'!D237)))</f>
        <v/>
      </c>
      <c r="C237" s="33" t="str">
        <f>IF(A237="","",IF(ISNUMBER('IMPORT PROFIXIO'!E237),'IMPORT PROFIXIO'!E237,(VALUE(LEFT('IMPORT PROFIXIO'!E237,FIND(":",'IMPORT PROFIXIO'!E237)-1))*60+VALUE(MID('IMPORT PROFIXIO'!E237,FIND(":",'IMPORT PROFIXIO'!E237)+1,2)))/1440))</f>
        <v/>
      </c>
      <c r="D237" s="31" t="str">
        <f>IF(A237="","",'IMPORT PROFIXIO'!F237)</f>
        <v/>
      </c>
      <c r="E237" s="31" t="str">
        <f>IF(A237="","",'IMPORT PROFIXIO'!K237)</f>
        <v/>
      </c>
      <c r="F237" s="34" t="str">
        <f>IF(A237="","",IFERROR(VLOOKUP(E237,KLASSNING!$A$5:$F$74,2,FALSE()),"SAKNAS"))</f>
        <v/>
      </c>
      <c r="G237" s="34" t="str">
        <f>IF(A237="","",IFERROR(VLOOKUP(E237,KLASSNING!$A$5:$F$74,3,FALSE()),"SAKNAS"))</f>
        <v/>
      </c>
      <c r="H237" s="34" t="str">
        <f>IF(A237="","",'IMPORT PROFIXIO'!H237)</f>
        <v/>
      </c>
      <c r="I237" s="34" t="str">
        <f>IF(A237="","",'IMPORT PROFIXIO'!I237)</f>
        <v/>
      </c>
      <c r="J237" s="34" t="str">
        <f t="shared" si="12"/>
        <v/>
      </c>
      <c r="K237" s="34" t="str">
        <f t="shared" si="13"/>
        <v/>
      </c>
      <c r="L237" s="34" t="str">
        <f>IF(A237="","",IFERROR(VLOOKUP(E237,KLASSNING!$A$5:$F$74,5,FALSE()),0))</f>
        <v/>
      </c>
      <c r="M237" s="35" t="str">
        <f t="shared" si="14"/>
        <v/>
      </c>
      <c r="N237" s="34" t="str">
        <f>IF(A237="","",IF(K237&lt;&gt;"Ja","Ej aktuell",IF(L237&lt;=0,"KONTROLLERA MATCHTID",IF(AND(COUNTIFS(BEMANNINGSPLAN!$A$5:$A$546,B237,BEMANNINGSPLAN!$C$5:$C$546,D237,BEMANNINGSPLAN!$D$5:$D$546,"&lt;="&amp;C237,BEMANNINGSPLAN!$E$5:$E$546,"&gt;"&amp;C237)&gt;0,COUNTIFS(BEMANNINGSPLAN!$A$5:$A$546,B237,BEMANNINGSPLAN!$C$5:$C$546,D237,BEMANNINGSPLAN!$D$5:$D$546,"&lt;"&amp;M237,BEMANNINGSPLAN!$E$5:$E$546,"&gt;="&amp;M237)&gt;0),"Ja","SAKNAS TIDSRADER"))))</f>
        <v/>
      </c>
      <c r="O237" s="137" t="str">
        <f>IF(OR(B237="",K237&lt;&gt;"Ja"),"",COUNTIFS($B$5:B237,B237,$K$5:K237,"Ja"))</f>
        <v/>
      </c>
      <c r="P237" s="137" t="str">
        <f t="shared" si="15"/>
        <v/>
      </c>
    </row>
    <row r="238" spans="1:16" ht="13">
      <c r="A238" s="31" t="str">
        <f>IF('IMPORT PROFIXIO'!A238="","",'IMPORT PROFIXIO'!A238)</f>
        <v/>
      </c>
      <c r="B238" s="32" t="str">
        <f>IF(A238="","",IF(ISNUMBER('IMPORT PROFIXIO'!D238),'IMPORT PROFIXIO'!D238,DATEVALUE('IMPORT PROFIXIO'!D238)))</f>
        <v/>
      </c>
      <c r="C238" s="33" t="str">
        <f>IF(A238="","",IF(ISNUMBER('IMPORT PROFIXIO'!E238),'IMPORT PROFIXIO'!E238,(VALUE(LEFT('IMPORT PROFIXIO'!E238,FIND(":",'IMPORT PROFIXIO'!E238)-1))*60+VALUE(MID('IMPORT PROFIXIO'!E238,FIND(":",'IMPORT PROFIXIO'!E238)+1,2)))/1440))</f>
        <v/>
      </c>
      <c r="D238" s="31" t="str">
        <f>IF(A238="","",'IMPORT PROFIXIO'!F238)</f>
        <v/>
      </c>
      <c r="E238" s="31" t="str">
        <f>IF(A238="","",'IMPORT PROFIXIO'!K238)</f>
        <v/>
      </c>
      <c r="F238" s="34" t="str">
        <f>IF(A238="","",IFERROR(VLOOKUP(E238,KLASSNING!$A$5:$F$74,2,FALSE()),"SAKNAS"))</f>
        <v/>
      </c>
      <c r="G238" s="34" t="str">
        <f>IF(A238="","",IFERROR(VLOOKUP(E238,KLASSNING!$A$5:$F$74,3,FALSE()),"SAKNAS"))</f>
        <v/>
      </c>
      <c r="H238" s="34" t="str">
        <f>IF(A238="","",'IMPORT PROFIXIO'!H238)</f>
        <v/>
      </c>
      <c r="I238" s="34" t="str">
        <f>IF(A238="","",'IMPORT PROFIXIO'!I238)</f>
        <v/>
      </c>
      <c r="J238" s="34" t="str">
        <f t="shared" si="12"/>
        <v/>
      </c>
      <c r="K238" s="34" t="str">
        <f t="shared" si="13"/>
        <v/>
      </c>
      <c r="L238" s="34" t="str">
        <f>IF(A238="","",IFERROR(VLOOKUP(E238,KLASSNING!$A$5:$F$74,5,FALSE()),0))</f>
        <v/>
      </c>
      <c r="M238" s="35" t="str">
        <f t="shared" si="14"/>
        <v/>
      </c>
      <c r="N238" s="34" t="str">
        <f>IF(A238="","",IF(K238&lt;&gt;"Ja","Ej aktuell",IF(L238&lt;=0,"KONTROLLERA MATCHTID",IF(AND(COUNTIFS(BEMANNINGSPLAN!$A$5:$A$546,B238,BEMANNINGSPLAN!$C$5:$C$546,D238,BEMANNINGSPLAN!$D$5:$D$546,"&lt;="&amp;C238,BEMANNINGSPLAN!$E$5:$E$546,"&gt;"&amp;C238)&gt;0,COUNTIFS(BEMANNINGSPLAN!$A$5:$A$546,B238,BEMANNINGSPLAN!$C$5:$C$546,D238,BEMANNINGSPLAN!$D$5:$D$546,"&lt;"&amp;M238,BEMANNINGSPLAN!$E$5:$E$546,"&gt;="&amp;M238)&gt;0),"Ja","SAKNAS TIDSRADER"))))</f>
        <v/>
      </c>
      <c r="O238" s="137" t="str">
        <f>IF(OR(B238="",K238&lt;&gt;"Ja"),"",COUNTIFS($B$5:B238,B238,$K$5:K238,"Ja"))</f>
        <v/>
      </c>
      <c r="P238" s="137" t="str">
        <f t="shared" si="15"/>
        <v/>
      </c>
    </row>
    <row r="239" spans="1:16" ht="13">
      <c r="A239" s="31" t="str">
        <f>IF('IMPORT PROFIXIO'!A239="","",'IMPORT PROFIXIO'!A239)</f>
        <v/>
      </c>
      <c r="B239" s="32" t="str">
        <f>IF(A239="","",IF(ISNUMBER('IMPORT PROFIXIO'!D239),'IMPORT PROFIXIO'!D239,DATEVALUE('IMPORT PROFIXIO'!D239)))</f>
        <v/>
      </c>
      <c r="C239" s="33" t="str">
        <f>IF(A239="","",IF(ISNUMBER('IMPORT PROFIXIO'!E239),'IMPORT PROFIXIO'!E239,(VALUE(LEFT('IMPORT PROFIXIO'!E239,FIND(":",'IMPORT PROFIXIO'!E239)-1))*60+VALUE(MID('IMPORT PROFIXIO'!E239,FIND(":",'IMPORT PROFIXIO'!E239)+1,2)))/1440))</f>
        <v/>
      </c>
      <c r="D239" s="31" t="str">
        <f>IF(A239="","",'IMPORT PROFIXIO'!F239)</f>
        <v/>
      </c>
      <c r="E239" s="31" t="str">
        <f>IF(A239="","",'IMPORT PROFIXIO'!K239)</f>
        <v/>
      </c>
      <c r="F239" s="34" t="str">
        <f>IF(A239="","",IFERROR(VLOOKUP(E239,KLASSNING!$A$5:$F$74,2,FALSE()),"SAKNAS"))</f>
        <v/>
      </c>
      <c r="G239" s="34" t="str">
        <f>IF(A239="","",IFERROR(VLOOKUP(E239,KLASSNING!$A$5:$F$74,3,FALSE()),"SAKNAS"))</f>
        <v/>
      </c>
      <c r="H239" s="34" t="str">
        <f>IF(A239="","",'IMPORT PROFIXIO'!H239)</f>
        <v/>
      </c>
      <c r="I239" s="34" t="str">
        <f>IF(A239="","",'IMPORT PROFIXIO'!I239)</f>
        <v/>
      </c>
      <c r="J239" s="34" t="str">
        <f t="shared" si="12"/>
        <v/>
      </c>
      <c r="K239" s="34" t="str">
        <f t="shared" si="13"/>
        <v/>
      </c>
      <c r="L239" s="34" t="str">
        <f>IF(A239="","",IFERROR(VLOOKUP(E239,KLASSNING!$A$5:$F$74,5,FALSE()),0))</f>
        <v/>
      </c>
      <c r="M239" s="35" t="str">
        <f t="shared" si="14"/>
        <v/>
      </c>
      <c r="N239" s="34" t="str">
        <f>IF(A239="","",IF(K239&lt;&gt;"Ja","Ej aktuell",IF(L239&lt;=0,"KONTROLLERA MATCHTID",IF(AND(COUNTIFS(BEMANNINGSPLAN!$A$5:$A$546,B239,BEMANNINGSPLAN!$C$5:$C$546,D239,BEMANNINGSPLAN!$D$5:$D$546,"&lt;="&amp;C239,BEMANNINGSPLAN!$E$5:$E$546,"&gt;"&amp;C239)&gt;0,COUNTIFS(BEMANNINGSPLAN!$A$5:$A$546,B239,BEMANNINGSPLAN!$C$5:$C$546,D239,BEMANNINGSPLAN!$D$5:$D$546,"&lt;"&amp;M239,BEMANNINGSPLAN!$E$5:$E$546,"&gt;="&amp;M239)&gt;0),"Ja","SAKNAS TIDSRADER"))))</f>
        <v/>
      </c>
      <c r="O239" s="137" t="str">
        <f>IF(OR(B239="",K239&lt;&gt;"Ja"),"",COUNTIFS($B$5:B239,B239,$K$5:K239,"Ja"))</f>
        <v/>
      </c>
      <c r="P239" s="137" t="str">
        <f t="shared" si="15"/>
        <v/>
      </c>
    </row>
    <row r="240" spans="1:16" ht="13">
      <c r="A240" s="31" t="str">
        <f>IF('IMPORT PROFIXIO'!A240="","",'IMPORT PROFIXIO'!A240)</f>
        <v/>
      </c>
      <c r="B240" s="32" t="str">
        <f>IF(A240="","",IF(ISNUMBER('IMPORT PROFIXIO'!D240),'IMPORT PROFIXIO'!D240,DATEVALUE('IMPORT PROFIXIO'!D240)))</f>
        <v/>
      </c>
      <c r="C240" s="33" t="str">
        <f>IF(A240="","",IF(ISNUMBER('IMPORT PROFIXIO'!E240),'IMPORT PROFIXIO'!E240,(VALUE(LEFT('IMPORT PROFIXIO'!E240,FIND(":",'IMPORT PROFIXIO'!E240)-1))*60+VALUE(MID('IMPORT PROFIXIO'!E240,FIND(":",'IMPORT PROFIXIO'!E240)+1,2)))/1440))</f>
        <v/>
      </c>
      <c r="D240" s="31" t="str">
        <f>IF(A240="","",'IMPORT PROFIXIO'!F240)</f>
        <v/>
      </c>
      <c r="E240" s="31" t="str">
        <f>IF(A240="","",'IMPORT PROFIXIO'!K240)</f>
        <v/>
      </c>
      <c r="F240" s="34" t="str">
        <f>IF(A240="","",IFERROR(VLOOKUP(E240,KLASSNING!$A$5:$F$74,2,FALSE()),"SAKNAS"))</f>
        <v/>
      </c>
      <c r="G240" s="34" t="str">
        <f>IF(A240="","",IFERROR(VLOOKUP(E240,KLASSNING!$A$5:$F$74,3,FALSE()),"SAKNAS"))</f>
        <v/>
      </c>
      <c r="H240" s="34" t="str">
        <f>IF(A240="","",'IMPORT PROFIXIO'!H240)</f>
        <v/>
      </c>
      <c r="I240" s="34" t="str">
        <f>IF(A240="","",'IMPORT PROFIXIO'!I240)</f>
        <v/>
      </c>
      <c r="J240" s="34" t="str">
        <f t="shared" si="12"/>
        <v/>
      </c>
      <c r="K240" s="34" t="str">
        <f t="shared" si="13"/>
        <v/>
      </c>
      <c r="L240" s="34" t="str">
        <f>IF(A240="","",IFERROR(VLOOKUP(E240,KLASSNING!$A$5:$F$74,5,FALSE()),0))</f>
        <v/>
      </c>
      <c r="M240" s="35" t="str">
        <f t="shared" si="14"/>
        <v/>
      </c>
      <c r="N240" s="34" t="str">
        <f>IF(A240="","",IF(K240&lt;&gt;"Ja","Ej aktuell",IF(L240&lt;=0,"KONTROLLERA MATCHTID",IF(AND(COUNTIFS(BEMANNINGSPLAN!$A$5:$A$546,B240,BEMANNINGSPLAN!$C$5:$C$546,D240,BEMANNINGSPLAN!$D$5:$D$546,"&lt;="&amp;C240,BEMANNINGSPLAN!$E$5:$E$546,"&gt;"&amp;C240)&gt;0,COUNTIFS(BEMANNINGSPLAN!$A$5:$A$546,B240,BEMANNINGSPLAN!$C$5:$C$546,D240,BEMANNINGSPLAN!$D$5:$D$546,"&lt;"&amp;M240,BEMANNINGSPLAN!$E$5:$E$546,"&gt;="&amp;M240)&gt;0),"Ja","SAKNAS TIDSRADER"))))</f>
        <v/>
      </c>
      <c r="O240" s="137" t="str">
        <f>IF(OR(B240="",K240&lt;&gt;"Ja"),"",COUNTIFS($B$5:B240,B240,$K$5:K240,"Ja"))</f>
        <v/>
      </c>
      <c r="P240" s="137" t="str">
        <f t="shared" si="15"/>
        <v/>
      </c>
    </row>
    <row r="241" spans="1:16" ht="13">
      <c r="A241" s="31" t="str">
        <f>IF('IMPORT PROFIXIO'!A241="","",'IMPORT PROFIXIO'!A241)</f>
        <v/>
      </c>
      <c r="B241" s="32" t="str">
        <f>IF(A241="","",IF(ISNUMBER('IMPORT PROFIXIO'!D241),'IMPORT PROFIXIO'!D241,DATEVALUE('IMPORT PROFIXIO'!D241)))</f>
        <v/>
      </c>
      <c r="C241" s="33" t="str">
        <f>IF(A241="","",IF(ISNUMBER('IMPORT PROFIXIO'!E241),'IMPORT PROFIXIO'!E241,(VALUE(LEFT('IMPORT PROFIXIO'!E241,FIND(":",'IMPORT PROFIXIO'!E241)-1))*60+VALUE(MID('IMPORT PROFIXIO'!E241,FIND(":",'IMPORT PROFIXIO'!E241)+1,2)))/1440))</f>
        <v/>
      </c>
      <c r="D241" s="31" t="str">
        <f>IF(A241="","",'IMPORT PROFIXIO'!F241)</f>
        <v/>
      </c>
      <c r="E241" s="31" t="str">
        <f>IF(A241="","",'IMPORT PROFIXIO'!K241)</f>
        <v/>
      </c>
      <c r="F241" s="34" t="str">
        <f>IF(A241="","",IFERROR(VLOOKUP(E241,KLASSNING!$A$5:$F$74,2,FALSE()),"SAKNAS"))</f>
        <v/>
      </c>
      <c r="G241" s="34" t="str">
        <f>IF(A241="","",IFERROR(VLOOKUP(E241,KLASSNING!$A$5:$F$74,3,FALSE()),"SAKNAS"))</f>
        <v/>
      </c>
      <c r="H241" s="34" t="str">
        <f>IF(A241="","",'IMPORT PROFIXIO'!H241)</f>
        <v/>
      </c>
      <c r="I241" s="34" t="str">
        <f>IF(A241="","",'IMPORT PROFIXIO'!I241)</f>
        <v/>
      </c>
      <c r="J241" s="34" t="str">
        <f t="shared" si="12"/>
        <v/>
      </c>
      <c r="K241" s="34" t="str">
        <f t="shared" si="13"/>
        <v/>
      </c>
      <c r="L241" s="34" t="str">
        <f>IF(A241="","",IFERROR(VLOOKUP(E241,KLASSNING!$A$5:$F$74,5,FALSE()),0))</f>
        <v/>
      </c>
      <c r="M241" s="35" t="str">
        <f t="shared" si="14"/>
        <v/>
      </c>
      <c r="N241" s="34" t="str">
        <f>IF(A241="","",IF(K241&lt;&gt;"Ja","Ej aktuell",IF(L241&lt;=0,"KONTROLLERA MATCHTID",IF(AND(COUNTIFS(BEMANNINGSPLAN!$A$5:$A$546,B241,BEMANNINGSPLAN!$C$5:$C$546,D241,BEMANNINGSPLAN!$D$5:$D$546,"&lt;="&amp;C241,BEMANNINGSPLAN!$E$5:$E$546,"&gt;"&amp;C241)&gt;0,COUNTIFS(BEMANNINGSPLAN!$A$5:$A$546,B241,BEMANNINGSPLAN!$C$5:$C$546,D241,BEMANNINGSPLAN!$D$5:$D$546,"&lt;"&amp;M241,BEMANNINGSPLAN!$E$5:$E$546,"&gt;="&amp;M241)&gt;0),"Ja","SAKNAS TIDSRADER"))))</f>
        <v/>
      </c>
      <c r="O241" s="137" t="str">
        <f>IF(OR(B241="",K241&lt;&gt;"Ja"),"",COUNTIFS($B$5:B241,B241,$K$5:K241,"Ja"))</f>
        <v/>
      </c>
      <c r="P241" s="137" t="str">
        <f t="shared" si="15"/>
        <v/>
      </c>
    </row>
    <row r="242" spans="1:16" ht="13">
      <c r="A242" s="31" t="str">
        <f>IF('IMPORT PROFIXIO'!A242="","",'IMPORT PROFIXIO'!A242)</f>
        <v/>
      </c>
      <c r="B242" s="32" t="str">
        <f>IF(A242="","",IF(ISNUMBER('IMPORT PROFIXIO'!D242),'IMPORT PROFIXIO'!D242,DATEVALUE('IMPORT PROFIXIO'!D242)))</f>
        <v/>
      </c>
      <c r="C242" s="33" t="str">
        <f>IF(A242="","",IF(ISNUMBER('IMPORT PROFIXIO'!E242),'IMPORT PROFIXIO'!E242,(VALUE(LEFT('IMPORT PROFIXIO'!E242,FIND(":",'IMPORT PROFIXIO'!E242)-1))*60+VALUE(MID('IMPORT PROFIXIO'!E242,FIND(":",'IMPORT PROFIXIO'!E242)+1,2)))/1440))</f>
        <v/>
      </c>
      <c r="D242" s="31" t="str">
        <f>IF(A242="","",'IMPORT PROFIXIO'!F242)</f>
        <v/>
      </c>
      <c r="E242" s="31" t="str">
        <f>IF(A242="","",'IMPORT PROFIXIO'!K242)</f>
        <v/>
      </c>
      <c r="F242" s="34" t="str">
        <f>IF(A242="","",IFERROR(VLOOKUP(E242,KLASSNING!$A$5:$F$74,2,FALSE()),"SAKNAS"))</f>
        <v/>
      </c>
      <c r="G242" s="34" t="str">
        <f>IF(A242="","",IFERROR(VLOOKUP(E242,KLASSNING!$A$5:$F$74,3,FALSE()),"SAKNAS"))</f>
        <v/>
      </c>
      <c r="H242" s="34" t="str">
        <f>IF(A242="","",'IMPORT PROFIXIO'!H242)</f>
        <v/>
      </c>
      <c r="I242" s="34" t="str">
        <f>IF(A242="","",'IMPORT PROFIXIO'!I242)</f>
        <v/>
      </c>
      <c r="J242" s="34" t="str">
        <f t="shared" si="12"/>
        <v/>
      </c>
      <c r="K242" s="34" t="str">
        <f t="shared" si="13"/>
        <v/>
      </c>
      <c r="L242" s="34" t="str">
        <f>IF(A242="","",IFERROR(VLOOKUP(E242,KLASSNING!$A$5:$F$74,5,FALSE()),0))</f>
        <v/>
      </c>
      <c r="M242" s="35" t="str">
        <f t="shared" si="14"/>
        <v/>
      </c>
      <c r="N242" s="34" t="str">
        <f>IF(A242="","",IF(K242&lt;&gt;"Ja","Ej aktuell",IF(L242&lt;=0,"KONTROLLERA MATCHTID",IF(AND(COUNTIFS(BEMANNINGSPLAN!$A$5:$A$546,B242,BEMANNINGSPLAN!$C$5:$C$546,D242,BEMANNINGSPLAN!$D$5:$D$546,"&lt;="&amp;C242,BEMANNINGSPLAN!$E$5:$E$546,"&gt;"&amp;C242)&gt;0,COUNTIFS(BEMANNINGSPLAN!$A$5:$A$546,B242,BEMANNINGSPLAN!$C$5:$C$546,D242,BEMANNINGSPLAN!$D$5:$D$546,"&lt;"&amp;M242,BEMANNINGSPLAN!$E$5:$E$546,"&gt;="&amp;M242)&gt;0),"Ja","SAKNAS TIDSRADER"))))</f>
        <v/>
      </c>
      <c r="O242" s="137" t="str">
        <f>IF(OR(B242="",K242&lt;&gt;"Ja"),"",COUNTIFS($B$5:B242,B242,$K$5:K242,"Ja"))</f>
        <v/>
      </c>
      <c r="P242" s="137" t="str">
        <f t="shared" si="15"/>
        <v/>
      </c>
    </row>
    <row r="243" spans="1:16" ht="13">
      <c r="A243" s="31" t="str">
        <f>IF('IMPORT PROFIXIO'!A243="","",'IMPORT PROFIXIO'!A243)</f>
        <v/>
      </c>
      <c r="B243" s="32" t="str">
        <f>IF(A243="","",IF(ISNUMBER('IMPORT PROFIXIO'!D243),'IMPORT PROFIXIO'!D243,DATEVALUE('IMPORT PROFIXIO'!D243)))</f>
        <v/>
      </c>
      <c r="C243" s="33" t="str">
        <f>IF(A243="","",IF(ISNUMBER('IMPORT PROFIXIO'!E243),'IMPORT PROFIXIO'!E243,(VALUE(LEFT('IMPORT PROFIXIO'!E243,FIND(":",'IMPORT PROFIXIO'!E243)-1))*60+VALUE(MID('IMPORT PROFIXIO'!E243,FIND(":",'IMPORT PROFIXIO'!E243)+1,2)))/1440))</f>
        <v/>
      </c>
      <c r="D243" s="31" t="str">
        <f>IF(A243="","",'IMPORT PROFIXIO'!F243)</f>
        <v/>
      </c>
      <c r="E243" s="31" t="str">
        <f>IF(A243="","",'IMPORT PROFIXIO'!K243)</f>
        <v/>
      </c>
      <c r="F243" s="34" t="str">
        <f>IF(A243="","",IFERROR(VLOOKUP(E243,KLASSNING!$A$5:$F$74,2,FALSE()),"SAKNAS"))</f>
        <v/>
      </c>
      <c r="G243" s="34" t="str">
        <f>IF(A243="","",IFERROR(VLOOKUP(E243,KLASSNING!$A$5:$F$74,3,FALSE()),"SAKNAS"))</f>
        <v/>
      </c>
      <c r="H243" s="34" t="str">
        <f>IF(A243="","",'IMPORT PROFIXIO'!H243)</f>
        <v/>
      </c>
      <c r="I243" s="34" t="str">
        <f>IF(A243="","",'IMPORT PROFIXIO'!I243)</f>
        <v/>
      </c>
      <c r="J243" s="34" t="str">
        <f t="shared" si="12"/>
        <v/>
      </c>
      <c r="K243" s="34" t="str">
        <f t="shared" si="13"/>
        <v/>
      </c>
      <c r="L243" s="34" t="str">
        <f>IF(A243="","",IFERROR(VLOOKUP(E243,KLASSNING!$A$5:$F$74,5,FALSE()),0))</f>
        <v/>
      </c>
      <c r="M243" s="35" t="str">
        <f t="shared" si="14"/>
        <v/>
      </c>
      <c r="N243" s="34" t="str">
        <f>IF(A243="","",IF(K243&lt;&gt;"Ja","Ej aktuell",IF(L243&lt;=0,"KONTROLLERA MATCHTID",IF(AND(COUNTIFS(BEMANNINGSPLAN!$A$5:$A$546,B243,BEMANNINGSPLAN!$C$5:$C$546,D243,BEMANNINGSPLAN!$D$5:$D$546,"&lt;="&amp;C243,BEMANNINGSPLAN!$E$5:$E$546,"&gt;"&amp;C243)&gt;0,COUNTIFS(BEMANNINGSPLAN!$A$5:$A$546,B243,BEMANNINGSPLAN!$C$5:$C$546,D243,BEMANNINGSPLAN!$D$5:$D$546,"&lt;"&amp;M243,BEMANNINGSPLAN!$E$5:$E$546,"&gt;="&amp;M243)&gt;0),"Ja","SAKNAS TIDSRADER"))))</f>
        <v/>
      </c>
      <c r="O243" s="137" t="str">
        <f>IF(OR(B243="",K243&lt;&gt;"Ja"),"",COUNTIFS($B$5:B243,B243,$K$5:K243,"Ja"))</f>
        <v/>
      </c>
      <c r="P243" s="137" t="str">
        <f t="shared" si="15"/>
        <v/>
      </c>
    </row>
    <row r="244" spans="1:16" ht="13">
      <c r="A244" s="31" t="str">
        <f>IF('IMPORT PROFIXIO'!A244="","",'IMPORT PROFIXIO'!A244)</f>
        <v/>
      </c>
      <c r="B244" s="32" t="str">
        <f>IF(A244="","",IF(ISNUMBER('IMPORT PROFIXIO'!D244),'IMPORT PROFIXIO'!D244,DATEVALUE('IMPORT PROFIXIO'!D244)))</f>
        <v/>
      </c>
      <c r="C244" s="33" t="str">
        <f>IF(A244="","",IF(ISNUMBER('IMPORT PROFIXIO'!E244),'IMPORT PROFIXIO'!E244,(VALUE(LEFT('IMPORT PROFIXIO'!E244,FIND(":",'IMPORT PROFIXIO'!E244)-1))*60+VALUE(MID('IMPORT PROFIXIO'!E244,FIND(":",'IMPORT PROFIXIO'!E244)+1,2)))/1440))</f>
        <v/>
      </c>
      <c r="D244" s="31" t="str">
        <f>IF(A244="","",'IMPORT PROFIXIO'!F244)</f>
        <v/>
      </c>
      <c r="E244" s="31" t="str">
        <f>IF(A244="","",'IMPORT PROFIXIO'!K244)</f>
        <v/>
      </c>
      <c r="F244" s="34" t="str">
        <f>IF(A244="","",IFERROR(VLOOKUP(E244,KLASSNING!$A$5:$F$74,2,FALSE()),"SAKNAS"))</f>
        <v/>
      </c>
      <c r="G244" s="34" t="str">
        <f>IF(A244="","",IFERROR(VLOOKUP(E244,KLASSNING!$A$5:$F$74,3,FALSE()),"SAKNAS"))</f>
        <v/>
      </c>
      <c r="H244" s="34" t="str">
        <f>IF(A244="","",'IMPORT PROFIXIO'!H244)</f>
        <v/>
      </c>
      <c r="I244" s="34" t="str">
        <f>IF(A244="","",'IMPORT PROFIXIO'!I244)</f>
        <v/>
      </c>
      <c r="J244" s="34" t="str">
        <f t="shared" si="12"/>
        <v/>
      </c>
      <c r="K244" s="34" t="str">
        <f t="shared" si="13"/>
        <v/>
      </c>
      <c r="L244" s="34" t="str">
        <f>IF(A244="","",IFERROR(VLOOKUP(E244,KLASSNING!$A$5:$F$74,5,FALSE()),0))</f>
        <v/>
      </c>
      <c r="M244" s="35" t="str">
        <f t="shared" si="14"/>
        <v/>
      </c>
      <c r="N244" s="34" t="str">
        <f>IF(A244="","",IF(K244&lt;&gt;"Ja","Ej aktuell",IF(L244&lt;=0,"KONTROLLERA MATCHTID",IF(AND(COUNTIFS(BEMANNINGSPLAN!$A$5:$A$546,B244,BEMANNINGSPLAN!$C$5:$C$546,D244,BEMANNINGSPLAN!$D$5:$D$546,"&lt;="&amp;C244,BEMANNINGSPLAN!$E$5:$E$546,"&gt;"&amp;C244)&gt;0,COUNTIFS(BEMANNINGSPLAN!$A$5:$A$546,B244,BEMANNINGSPLAN!$C$5:$C$546,D244,BEMANNINGSPLAN!$D$5:$D$546,"&lt;"&amp;M244,BEMANNINGSPLAN!$E$5:$E$546,"&gt;="&amp;M244)&gt;0),"Ja","SAKNAS TIDSRADER"))))</f>
        <v/>
      </c>
      <c r="O244" s="137" t="str">
        <f>IF(OR(B244="",K244&lt;&gt;"Ja"),"",COUNTIFS($B$5:B244,B244,$K$5:K244,"Ja"))</f>
        <v/>
      </c>
      <c r="P244" s="137" t="str">
        <f t="shared" si="15"/>
        <v/>
      </c>
    </row>
    <row r="245" spans="1:16" ht="13">
      <c r="A245" s="31" t="str">
        <f>IF('IMPORT PROFIXIO'!A245="","",'IMPORT PROFIXIO'!A245)</f>
        <v/>
      </c>
      <c r="B245" s="32" t="str">
        <f>IF(A245="","",IF(ISNUMBER('IMPORT PROFIXIO'!D245),'IMPORT PROFIXIO'!D245,DATEVALUE('IMPORT PROFIXIO'!D245)))</f>
        <v/>
      </c>
      <c r="C245" s="33" t="str">
        <f>IF(A245="","",IF(ISNUMBER('IMPORT PROFIXIO'!E245),'IMPORT PROFIXIO'!E245,(VALUE(LEFT('IMPORT PROFIXIO'!E245,FIND(":",'IMPORT PROFIXIO'!E245)-1))*60+VALUE(MID('IMPORT PROFIXIO'!E245,FIND(":",'IMPORT PROFIXIO'!E245)+1,2)))/1440))</f>
        <v/>
      </c>
      <c r="D245" s="31" t="str">
        <f>IF(A245="","",'IMPORT PROFIXIO'!F245)</f>
        <v/>
      </c>
      <c r="E245" s="31" t="str">
        <f>IF(A245="","",'IMPORT PROFIXIO'!K245)</f>
        <v/>
      </c>
      <c r="F245" s="34" t="str">
        <f>IF(A245="","",IFERROR(VLOOKUP(E245,KLASSNING!$A$5:$F$74,2,FALSE()),"SAKNAS"))</f>
        <v/>
      </c>
      <c r="G245" s="34" t="str">
        <f>IF(A245="","",IFERROR(VLOOKUP(E245,KLASSNING!$A$5:$F$74,3,FALSE()),"SAKNAS"))</f>
        <v/>
      </c>
      <c r="H245" s="34" t="str">
        <f>IF(A245="","",'IMPORT PROFIXIO'!H245)</f>
        <v/>
      </c>
      <c r="I245" s="34" t="str">
        <f>IF(A245="","",'IMPORT PROFIXIO'!I245)</f>
        <v/>
      </c>
      <c r="J245" s="34" t="str">
        <f t="shared" si="12"/>
        <v/>
      </c>
      <c r="K245" s="34" t="str">
        <f t="shared" si="13"/>
        <v/>
      </c>
      <c r="L245" s="34" t="str">
        <f>IF(A245="","",IFERROR(VLOOKUP(E245,KLASSNING!$A$5:$F$74,5,FALSE()),0))</f>
        <v/>
      </c>
      <c r="M245" s="35" t="str">
        <f t="shared" si="14"/>
        <v/>
      </c>
      <c r="N245" s="34" t="str">
        <f>IF(A245="","",IF(K245&lt;&gt;"Ja","Ej aktuell",IF(L245&lt;=0,"KONTROLLERA MATCHTID",IF(AND(COUNTIFS(BEMANNINGSPLAN!$A$5:$A$546,B245,BEMANNINGSPLAN!$C$5:$C$546,D245,BEMANNINGSPLAN!$D$5:$D$546,"&lt;="&amp;C245,BEMANNINGSPLAN!$E$5:$E$546,"&gt;"&amp;C245)&gt;0,COUNTIFS(BEMANNINGSPLAN!$A$5:$A$546,B245,BEMANNINGSPLAN!$C$5:$C$546,D245,BEMANNINGSPLAN!$D$5:$D$546,"&lt;"&amp;M245,BEMANNINGSPLAN!$E$5:$E$546,"&gt;="&amp;M245)&gt;0),"Ja","SAKNAS TIDSRADER"))))</f>
        <v/>
      </c>
      <c r="O245" s="137" t="str">
        <f>IF(OR(B245="",K245&lt;&gt;"Ja"),"",COUNTIFS($B$5:B245,B245,$K$5:K245,"Ja"))</f>
        <v/>
      </c>
      <c r="P245" s="137" t="str">
        <f t="shared" si="15"/>
        <v/>
      </c>
    </row>
    <row r="246" spans="1:16" ht="13">
      <c r="A246" s="31" t="str">
        <f>IF('IMPORT PROFIXIO'!A246="","",'IMPORT PROFIXIO'!A246)</f>
        <v/>
      </c>
      <c r="B246" s="32" t="str">
        <f>IF(A246="","",IF(ISNUMBER('IMPORT PROFIXIO'!D246),'IMPORT PROFIXIO'!D246,DATEVALUE('IMPORT PROFIXIO'!D246)))</f>
        <v/>
      </c>
      <c r="C246" s="33" t="str">
        <f>IF(A246="","",IF(ISNUMBER('IMPORT PROFIXIO'!E246),'IMPORT PROFIXIO'!E246,(VALUE(LEFT('IMPORT PROFIXIO'!E246,FIND(":",'IMPORT PROFIXIO'!E246)-1))*60+VALUE(MID('IMPORT PROFIXIO'!E246,FIND(":",'IMPORT PROFIXIO'!E246)+1,2)))/1440))</f>
        <v/>
      </c>
      <c r="D246" s="31" t="str">
        <f>IF(A246="","",'IMPORT PROFIXIO'!F246)</f>
        <v/>
      </c>
      <c r="E246" s="31" t="str">
        <f>IF(A246="","",'IMPORT PROFIXIO'!K246)</f>
        <v/>
      </c>
      <c r="F246" s="34" t="str">
        <f>IF(A246="","",IFERROR(VLOOKUP(E246,KLASSNING!$A$5:$F$74,2,FALSE()),"SAKNAS"))</f>
        <v/>
      </c>
      <c r="G246" s="34" t="str">
        <f>IF(A246="","",IFERROR(VLOOKUP(E246,KLASSNING!$A$5:$F$74,3,FALSE()),"SAKNAS"))</f>
        <v/>
      </c>
      <c r="H246" s="34" t="str">
        <f>IF(A246="","",'IMPORT PROFIXIO'!H246)</f>
        <v/>
      </c>
      <c r="I246" s="34" t="str">
        <f>IF(A246="","",'IMPORT PROFIXIO'!I246)</f>
        <v/>
      </c>
      <c r="J246" s="34" t="str">
        <f t="shared" si="12"/>
        <v/>
      </c>
      <c r="K246" s="34" t="str">
        <f t="shared" si="13"/>
        <v/>
      </c>
      <c r="L246" s="34" t="str">
        <f>IF(A246="","",IFERROR(VLOOKUP(E246,KLASSNING!$A$5:$F$74,5,FALSE()),0))</f>
        <v/>
      </c>
      <c r="M246" s="35" t="str">
        <f t="shared" si="14"/>
        <v/>
      </c>
      <c r="N246" s="34" t="str">
        <f>IF(A246="","",IF(K246&lt;&gt;"Ja","Ej aktuell",IF(L246&lt;=0,"KONTROLLERA MATCHTID",IF(AND(COUNTIFS(BEMANNINGSPLAN!$A$5:$A$546,B246,BEMANNINGSPLAN!$C$5:$C$546,D246,BEMANNINGSPLAN!$D$5:$D$546,"&lt;="&amp;C246,BEMANNINGSPLAN!$E$5:$E$546,"&gt;"&amp;C246)&gt;0,COUNTIFS(BEMANNINGSPLAN!$A$5:$A$546,B246,BEMANNINGSPLAN!$C$5:$C$546,D246,BEMANNINGSPLAN!$D$5:$D$546,"&lt;"&amp;M246,BEMANNINGSPLAN!$E$5:$E$546,"&gt;="&amp;M246)&gt;0),"Ja","SAKNAS TIDSRADER"))))</f>
        <v/>
      </c>
      <c r="O246" s="137" t="str">
        <f>IF(OR(B246="",K246&lt;&gt;"Ja"),"",COUNTIFS($B$5:B246,B246,$K$5:K246,"Ja"))</f>
        <v/>
      </c>
      <c r="P246" s="137" t="str">
        <f t="shared" si="15"/>
        <v/>
      </c>
    </row>
    <row r="247" spans="1:16" ht="13">
      <c r="A247" s="31" t="str">
        <f>IF('IMPORT PROFIXIO'!A247="","",'IMPORT PROFIXIO'!A247)</f>
        <v/>
      </c>
      <c r="B247" s="32" t="str">
        <f>IF(A247="","",IF(ISNUMBER('IMPORT PROFIXIO'!D247),'IMPORT PROFIXIO'!D247,DATEVALUE('IMPORT PROFIXIO'!D247)))</f>
        <v/>
      </c>
      <c r="C247" s="33" t="str">
        <f>IF(A247="","",IF(ISNUMBER('IMPORT PROFIXIO'!E247),'IMPORT PROFIXIO'!E247,(VALUE(LEFT('IMPORT PROFIXIO'!E247,FIND(":",'IMPORT PROFIXIO'!E247)-1))*60+VALUE(MID('IMPORT PROFIXIO'!E247,FIND(":",'IMPORT PROFIXIO'!E247)+1,2)))/1440))</f>
        <v/>
      </c>
      <c r="D247" s="31" t="str">
        <f>IF(A247="","",'IMPORT PROFIXIO'!F247)</f>
        <v/>
      </c>
      <c r="E247" s="31" t="str">
        <f>IF(A247="","",'IMPORT PROFIXIO'!K247)</f>
        <v/>
      </c>
      <c r="F247" s="34" t="str">
        <f>IF(A247="","",IFERROR(VLOOKUP(E247,KLASSNING!$A$5:$F$74,2,FALSE()),"SAKNAS"))</f>
        <v/>
      </c>
      <c r="G247" s="34" t="str">
        <f>IF(A247="","",IFERROR(VLOOKUP(E247,KLASSNING!$A$5:$F$74,3,FALSE()),"SAKNAS"))</f>
        <v/>
      </c>
      <c r="H247" s="34" t="str">
        <f>IF(A247="","",'IMPORT PROFIXIO'!H247)</f>
        <v/>
      </c>
      <c r="I247" s="34" t="str">
        <f>IF(A247="","",'IMPORT PROFIXIO'!I247)</f>
        <v/>
      </c>
      <c r="J247" s="34" t="str">
        <f t="shared" si="12"/>
        <v/>
      </c>
      <c r="K247" s="34" t="str">
        <f t="shared" si="13"/>
        <v/>
      </c>
      <c r="L247" s="34" t="str">
        <f>IF(A247="","",IFERROR(VLOOKUP(E247,KLASSNING!$A$5:$F$74,5,FALSE()),0))</f>
        <v/>
      </c>
      <c r="M247" s="35" t="str">
        <f t="shared" si="14"/>
        <v/>
      </c>
      <c r="N247" s="34" t="str">
        <f>IF(A247="","",IF(K247&lt;&gt;"Ja","Ej aktuell",IF(L247&lt;=0,"KONTROLLERA MATCHTID",IF(AND(COUNTIFS(BEMANNINGSPLAN!$A$5:$A$546,B247,BEMANNINGSPLAN!$C$5:$C$546,D247,BEMANNINGSPLAN!$D$5:$D$546,"&lt;="&amp;C247,BEMANNINGSPLAN!$E$5:$E$546,"&gt;"&amp;C247)&gt;0,COUNTIFS(BEMANNINGSPLAN!$A$5:$A$546,B247,BEMANNINGSPLAN!$C$5:$C$546,D247,BEMANNINGSPLAN!$D$5:$D$546,"&lt;"&amp;M247,BEMANNINGSPLAN!$E$5:$E$546,"&gt;="&amp;M247)&gt;0),"Ja","SAKNAS TIDSRADER"))))</f>
        <v/>
      </c>
      <c r="O247" s="137" t="str">
        <f>IF(OR(B247="",K247&lt;&gt;"Ja"),"",COUNTIFS($B$5:B247,B247,$K$5:K247,"Ja"))</f>
        <v/>
      </c>
      <c r="P247" s="137" t="str">
        <f t="shared" si="15"/>
        <v/>
      </c>
    </row>
    <row r="248" spans="1:16" ht="13">
      <c r="A248" s="31" t="str">
        <f>IF('IMPORT PROFIXIO'!A248="","",'IMPORT PROFIXIO'!A248)</f>
        <v/>
      </c>
      <c r="B248" s="32" t="str">
        <f>IF(A248="","",IF(ISNUMBER('IMPORT PROFIXIO'!D248),'IMPORT PROFIXIO'!D248,DATEVALUE('IMPORT PROFIXIO'!D248)))</f>
        <v/>
      </c>
      <c r="C248" s="33" t="str">
        <f>IF(A248="","",IF(ISNUMBER('IMPORT PROFIXIO'!E248),'IMPORT PROFIXIO'!E248,(VALUE(LEFT('IMPORT PROFIXIO'!E248,FIND(":",'IMPORT PROFIXIO'!E248)-1))*60+VALUE(MID('IMPORT PROFIXIO'!E248,FIND(":",'IMPORT PROFIXIO'!E248)+1,2)))/1440))</f>
        <v/>
      </c>
      <c r="D248" s="31" t="str">
        <f>IF(A248="","",'IMPORT PROFIXIO'!F248)</f>
        <v/>
      </c>
      <c r="E248" s="31" t="str">
        <f>IF(A248="","",'IMPORT PROFIXIO'!K248)</f>
        <v/>
      </c>
      <c r="F248" s="34" t="str">
        <f>IF(A248="","",IFERROR(VLOOKUP(E248,KLASSNING!$A$5:$F$74,2,FALSE()),"SAKNAS"))</f>
        <v/>
      </c>
      <c r="G248" s="34" t="str">
        <f>IF(A248="","",IFERROR(VLOOKUP(E248,KLASSNING!$A$5:$F$74,3,FALSE()),"SAKNAS"))</f>
        <v/>
      </c>
      <c r="H248" s="34" t="str">
        <f>IF(A248="","",'IMPORT PROFIXIO'!H248)</f>
        <v/>
      </c>
      <c r="I248" s="34" t="str">
        <f>IF(A248="","",'IMPORT PROFIXIO'!I248)</f>
        <v/>
      </c>
      <c r="J248" s="34" t="str">
        <f t="shared" si="12"/>
        <v/>
      </c>
      <c r="K248" s="34" t="str">
        <f t="shared" si="13"/>
        <v/>
      </c>
      <c r="L248" s="34" t="str">
        <f>IF(A248="","",IFERROR(VLOOKUP(E248,KLASSNING!$A$5:$F$74,5,FALSE()),0))</f>
        <v/>
      </c>
      <c r="M248" s="35" t="str">
        <f t="shared" si="14"/>
        <v/>
      </c>
      <c r="N248" s="34" t="str">
        <f>IF(A248="","",IF(K248&lt;&gt;"Ja","Ej aktuell",IF(L248&lt;=0,"KONTROLLERA MATCHTID",IF(AND(COUNTIFS(BEMANNINGSPLAN!$A$5:$A$546,B248,BEMANNINGSPLAN!$C$5:$C$546,D248,BEMANNINGSPLAN!$D$5:$D$546,"&lt;="&amp;C248,BEMANNINGSPLAN!$E$5:$E$546,"&gt;"&amp;C248)&gt;0,COUNTIFS(BEMANNINGSPLAN!$A$5:$A$546,B248,BEMANNINGSPLAN!$C$5:$C$546,D248,BEMANNINGSPLAN!$D$5:$D$546,"&lt;"&amp;M248,BEMANNINGSPLAN!$E$5:$E$546,"&gt;="&amp;M248)&gt;0),"Ja","SAKNAS TIDSRADER"))))</f>
        <v/>
      </c>
      <c r="O248" s="137" t="str">
        <f>IF(OR(B248="",K248&lt;&gt;"Ja"),"",COUNTIFS($B$5:B248,B248,$K$5:K248,"Ja"))</f>
        <v/>
      </c>
      <c r="P248" s="137" t="str">
        <f t="shared" si="15"/>
        <v/>
      </c>
    </row>
    <row r="249" spans="1:16" ht="13">
      <c r="A249" s="31" t="str">
        <f>IF('IMPORT PROFIXIO'!A249="","",'IMPORT PROFIXIO'!A249)</f>
        <v/>
      </c>
      <c r="B249" s="32" t="str">
        <f>IF(A249="","",IF(ISNUMBER('IMPORT PROFIXIO'!D249),'IMPORT PROFIXIO'!D249,DATEVALUE('IMPORT PROFIXIO'!D249)))</f>
        <v/>
      </c>
      <c r="C249" s="33" t="str">
        <f>IF(A249="","",IF(ISNUMBER('IMPORT PROFIXIO'!E249),'IMPORT PROFIXIO'!E249,(VALUE(LEFT('IMPORT PROFIXIO'!E249,FIND(":",'IMPORT PROFIXIO'!E249)-1))*60+VALUE(MID('IMPORT PROFIXIO'!E249,FIND(":",'IMPORT PROFIXIO'!E249)+1,2)))/1440))</f>
        <v/>
      </c>
      <c r="D249" s="31" t="str">
        <f>IF(A249="","",'IMPORT PROFIXIO'!F249)</f>
        <v/>
      </c>
      <c r="E249" s="31" t="str">
        <f>IF(A249="","",'IMPORT PROFIXIO'!K249)</f>
        <v/>
      </c>
      <c r="F249" s="34" t="str">
        <f>IF(A249="","",IFERROR(VLOOKUP(E249,KLASSNING!$A$5:$F$74,2,FALSE()),"SAKNAS"))</f>
        <v/>
      </c>
      <c r="G249" s="34" t="str">
        <f>IF(A249="","",IFERROR(VLOOKUP(E249,KLASSNING!$A$5:$F$74,3,FALSE()),"SAKNAS"))</f>
        <v/>
      </c>
      <c r="H249" s="34" t="str">
        <f>IF(A249="","",'IMPORT PROFIXIO'!H249)</f>
        <v/>
      </c>
      <c r="I249" s="34" t="str">
        <f>IF(A249="","",'IMPORT PROFIXIO'!I249)</f>
        <v/>
      </c>
      <c r="J249" s="34" t="str">
        <f t="shared" si="12"/>
        <v/>
      </c>
      <c r="K249" s="34" t="str">
        <f t="shared" si="13"/>
        <v/>
      </c>
      <c r="L249" s="34" t="str">
        <f>IF(A249="","",IFERROR(VLOOKUP(E249,KLASSNING!$A$5:$F$74,5,FALSE()),0))</f>
        <v/>
      </c>
      <c r="M249" s="35" t="str">
        <f t="shared" si="14"/>
        <v/>
      </c>
      <c r="N249" s="34" t="str">
        <f>IF(A249="","",IF(K249&lt;&gt;"Ja","Ej aktuell",IF(L249&lt;=0,"KONTROLLERA MATCHTID",IF(AND(COUNTIFS(BEMANNINGSPLAN!$A$5:$A$546,B249,BEMANNINGSPLAN!$C$5:$C$546,D249,BEMANNINGSPLAN!$D$5:$D$546,"&lt;="&amp;C249,BEMANNINGSPLAN!$E$5:$E$546,"&gt;"&amp;C249)&gt;0,COUNTIFS(BEMANNINGSPLAN!$A$5:$A$546,B249,BEMANNINGSPLAN!$C$5:$C$546,D249,BEMANNINGSPLAN!$D$5:$D$546,"&lt;"&amp;M249,BEMANNINGSPLAN!$E$5:$E$546,"&gt;="&amp;M249)&gt;0),"Ja","SAKNAS TIDSRADER"))))</f>
        <v/>
      </c>
      <c r="O249" s="137" t="str">
        <f>IF(OR(B249="",K249&lt;&gt;"Ja"),"",COUNTIFS($B$5:B249,B249,$K$5:K249,"Ja"))</f>
        <v/>
      </c>
      <c r="P249" s="137" t="str">
        <f t="shared" si="15"/>
        <v/>
      </c>
    </row>
    <row r="250" spans="1:16" ht="13">
      <c r="A250" s="31" t="str">
        <f>IF('IMPORT PROFIXIO'!A250="","",'IMPORT PROFIXIO'!A250)</f>
        <v/>
      </c>
      <c r="B250" s="32" t="str">
        <f>IF(A250="","",IF(ISNUMBER('IMPORT PROFIXIO'!D250),'IMPORT PROFIXIO'!D250,DATEVALUE('IMPORT PROFIXIO'!D250)))</f>
        <v/>
      </c>
      <c r="C250" s="33" t="str">
        <f>IF(A250="","",IF(ISNUMBER('IMPORT PROFIXIO'!E250),'IMPORT PROFIXIO'!E250,(VALUE(LEFT('IMPORT PROFIXIO'!E250,FIND(":",'IMPORT PROFIXIO'!E250)-1))*60+VALUE(MID('IMPORT PROFIXIO'!E250,FIND(":",'IMPORT PROFIXIO'!E250)+1,2)))/1440))</f>
        <v/>
      </c>
      <c r="D250" s="31" t="str">
        <f>IF(A250="","",'IMPORT PROFIXIO'!F250)</f>
        <v/>
      </c>
      <c r="E250" s="31" t="str">
        <f>IF(A250="","",'IMPORT PROFIXIO'!K250)</f>
        <v/>
      </c>
      <c r="F250" s="34" t="str">
        <f>IF(A250="","",IFERROR(VLOOKUP(E250,KLASSNING!$A$5:$F$74,2,FALSE()),"SAKNAS"))</f>
        <v/>
      </c>
      <c r="G250" s="34" t="str">
        <f>IF(A250="","",IFERROR(VLOOKUP(E250,KLASSNING!$A$5:$F$74,3,FALSE()),"SAKNAS"))</f>
        <v/>
      </c>
      <c r="H250" s="34" t="str">
        <f>IF(A250="","",'IMPORT PROFIXIO'!H250)</f>
        <v/>
      </c>
      <c r="I250" s="34" t="str">
        <f>IF(A250="","",'IMPORT PROFIXIO'!I250)</f>
        <v/>
      </c>
      <c r="J250" s="34" t="str">
        <f t="shared" si="12"/>
        <v/>
      </c>
      <c r="K250" s="34" t="str">
        <f t="shared" si="13"/>
        <v/>
      </c>
      <c r="L250" s="34" t="str">
        <f>IF(A250="","",IFERROR(VLOOKUP(E250,KLASSNING!$A$5:$F$74,5,FALSE()),0))</f>
        <v/>
      </c>
      <c r="M250" s="35" t="str">
        <f t="shared" si="14"/>
        <v/>
      </c>
      <c r="N250" s="34" t="str">
        <f>IF(A250="","",IF(K250&lt;&gt;"Ja","Ej aktuell",IF(L250&lt;=0,"KONTROLLERA MATCHTID",IF(AND(COUNTIFS(BEMANNINGSPLAN!$A$5:$A$546,B250,BEMANNINGSPLAN!$C$5:$C$546,D250,BEMANNINGSPLAN!$D$5:$D$546,"&lt;="&amp;C250,BEMANNINGSPLAN!$E$5:$E$546,"&gt;"&amp;C250)&gt;0,COUNTIFS(BEMANNINGSPLAN!$A$5:$A$546,B250,BEMANNINGSPLAN!$C$5:$C$546,D250,BEMANNINGSPLAN!$D$5:$D$546,"&lt;"&amp;M250,BEMANNINGSPLAN!$E$5:$E$546,"&gt;="&amp;M250)&gt;0),"Ja","SAKNAS TIDSRADER"))))</f>
        <v/>
      </c>
      <c r="O250" s="137" t="str">
        <f>IF(OR(B250="",K250&lt;&gt;"Ja"),"",COUNTIFS($B$5:B250,B250,$K$5:K250,"Ja"))</f>
        <v/>
      </c>
      <c r="P250" s="137" t="str">
        <f t="shared" si="15"/>
        <v/>
      </c>
    </row>
    <row r="251" spans="1:16" ht="13">
      <c r="A251" s="31" t="str">
        <f>IF('IMPORT PROFIXIO'!A251="","",'IMPORT PROFIXIO'!A251)</f>
        <v/>
      </c>
      <c r="B251" s="32" t="str">
        <f>IF(A251="","",IF(ISNUMBER('IMPORT PROFIXIO'!D251),'IMPORT PROFIXIO'!D251,DATEVALUE('IMPORT PROFIXIO'!D251)))</f>
        <v/>
      </c>
      <c r="C251" s="33" t="str">
        <f>IF(A251="","",IF(ISNUMBER('IMPORT PROFIXIO'!E251),'IMPORT PROFIXIO'!E251,(VALUE(LEFT('IMPORT PROFIXIO'!E251,FIND(":",'IMPORT PROFIXIO'!E251)-1))*60+VALUE(MID('IMPORT PROFIXIO'!E251,FIND(":",'IMPORT PROFIXIO'!E251)+1,2)))/1440))</f>
        <v/>
      </c>
      <c r="D251" s="31" t="str">
        <f>IF(A251="","",'IMPORT PROFIXIO'!F251)</f>
        <v/>
      </c>
      <c r="E251" s="31" t="str">
        <f>IF(A251="","",'IMPORT PROFIXIO'!K251)</f>
        <v/>
      </c>
      <c r="F251" s="34" t="str">
        <f>IF(A251="","",IFERROR(VLOOKUP(E251,KLASSNING!$A$5:$F$74,2,FALSE()),"SAKNAS"))</f>
        <v/>
      </c>
      <c r="G251" s="34" t="str">
        <f>IF(A251="","",IFERROR(VLOOKUP(E251,KLASSNING!$A$5:$F$74,3,FALSE()),"SAKNAS"))</f>
        <v/>
      </c>
      <c r="H251" s="34" t="str">
        <f>IF(A251="","",'IMPORT PROFIXIO'!H251)</f>
        <v/>
      </c>
      <c r="I251" s="34" t="str">
        <f>IF(A251="","",'IMPORT PROFIXIO'!I251)</f>
        <v/>
      </c>
      <c r="J251" s="34" t="str">
        <f t="shared" si="12"/>
        <v/>
      </c>
      <c r="K251" s="34" t="str">
        <f t="shared" si="13"/>
        <v/>
      </c>
      <c r="L251" s="34" t="str">
        <f>IF(A251="","",IFERROR(VLOOKUP(E251,KLASSNING!$A$5:$F$74,5,FALSE()),0))</f>
        <v/>
      </c>
      <c r="M251" s="35" t="str">
        <f t="shared" si="14"/>
        <v/>
      </c>
      <c r="N251" s="34" t="str">
        <f>IF(A251="","",IF(K251&lt;&gt;"Ja","Ej aktuell",IF(L251&lt;=0,"KONTROLLERA MATCHTID",IF(AND(COUNTIFS(BEMANNINGSPLAN!$A$5:$A$546,B251,BEMANNINGSPLAN!$C$5:$C$546,D251,BEMANNINGSPLAN!$D$5:$D$546,"&lt;="&amp;C251,BEMANNINGSPLAN!$E$5:$E$546,"&gt;"&amp;C251)&gt;0,COUNTIFS(BEMANNINGSPLAN!$A$5:$A$546,B251,BEMANNINGSPLAN!$C$5:$C$546,D251,BEMANNINGSPLAN!$D$5:$D$546,"&lt;"&amp;M251,BEMANNINGSPLAN!$E$5:$E$546,"&gt;="&amp;M251)&gt;0),"Ja","SAKNAS TIDSRADER"))))</f>
        <v/>
      </c>
      <c r="O251" s="137" t="str">
        <f>IF(OR(B251="",K251&lt;&gt;"Ja"),"",COUNTIFS($B$5:B251,B251,$K$5:K251,"Ja"))</f>
        <v/>
      </c>
      <c r="P251" s="137" t="str">
        <f t="shared" si="15"/>
        <v/>
      </c>
    </row>
    <row r="252" spans="1:16" ht="13">
      <c r="A252" s="31" t="str">
        <f>IF('IMPORT PROFIXIO'!A252="","",'IMPORT PROFIXIO'!A252)</f>
        <v/>
      </c>
      <c r="B252" s="32" t="str">
        <f>IF(A252="","",IF(ISNUMBER('IMPORT PROFIXIO'!D252),'IMPORT PROFIXIO'!D252,DATEVALUE('IMPORT PROFIXIO'!D252)))</f>
        <v/>
      </c>
      <c r="C252" s="33" t="str">
        <f>IF(A252="","",IF(ISNUMBER('IMPORT PROFIXIO'!E252),'IMPORT PROFIXIO'!E252,(VALUE(LEFT('IMPORT PROFIXIO'!E252,FIND(":",'IMPORT PROFIXIO'!E252)-1))*60+VALUE(MID('IMPORT PROFIXIO'!E252,FIND(":",'IMPORT PROFIXIO'!E252)+1,2)))/1440))</f>
        <v/>
      </c>
      <c r="D252" s="31" t="str">
        <f>IF(A252="","",'IMPORT PROFIXIO'!F252)</f>
        <v/>
      </c>
      <c r="E252" s="31" t="str">
        <f>IF(A252="","",'IMPORT PROFIXIO'!K252)</f>
        <v/>
      </c>
      <c r="F252" s="34" t="str">
        <f>IF(A252="","",IFERROR(VLOOKUP(E252,KLASSNING!$A$5:$F$74,2,FALSE()),"SAKNAS"))</f>
        <v/>
      </c>
      <c r="G252" s="34" t="str">
        <f>IF(A252="","",IFERROR(VLOOKUP(E252,KLASSNING!$A$5:$F$74,3,FALSE()),"SAKNAS"))</f>
        <v/>
      </c>
      <c r="H252" s="34" t="str">
        <f>IF(A252="","",'IMPORT PROFIXIO'!H252)</f>
        <v/>
      </c>
      <c r="I252" s="34" t="str">
        <f>IF(A252="","",'IMPORT PROFIXIO'!I252)</f>
        <v/>
      </c>
      <c r="J252" s="34" t="str">
        <f t="shared" si="12"/>
        <v/>
      </c>
      <c r="K252" s="34" t="str">
        <f t="shared" si="13"/>
        <v/>
      </c>
      <c r="L252" s="34" t="str">
        <f>IF(A252="","",IFERROR(VLOOKUP(E252,KLASSNING!$A$5:$F$74,5,FALSE()),0))</f>
        <v/>
      </c>
      <c r="M252" s="35" t="str">
        <f t="shared" si="14"/>
        <v/>
      </c>
      <c r="N252" s="34" t="str">
        <f>IF(A252="","",IF(K252&lt;&gt;"Ja","Ej aktuell",IF(L252&lt;=0,"KONTROLLERA MATCHTID",IF(AND(COUNTIFS(BEMANNINGSPLAN!$A$5:$A$546,B252,BEMANNINGSPLAN!$C$5:$C$546,D252,BEMANNINGSPLAN!$D$5:$D$546,"&lt;="&amp;C252,BEMANNINGSPLAN!$E$5:$E$546,"&gt;"&amp;C252)&gt;0,COUNTIFS(BEMANNINGSPLAN!$A$5:$A$546,B252,BEMANNINGSPLAN!$C$5:$C$546,D252,BEMANNINGSPLAN!$D$5:$D$546,"&lt;"&amp;M252,BEMANNINGSPLAN!$E$5:$E$546,"&gt;="&amp;M252)&gt;0),"Ja","SAKNAS TIDSRADER"))))</f>
        <v/>
      </c>
      <c r="O252" s="137" t="str">
        <f>IF(OR(B252="",K252&lt;&gt;"Ja"),"",COUNTIFS($B$5:B252,B252,$K$5:K252,"Ja"))</f>
        <v/>
      </c>
      <c r="P252" s="137" t="str">
        <f t="shared" si="15"/>
        <v/>
      </c>
    </row>
    <row r="253" spans="1:16" ht="13">
      <c r="A253" s="31" t="str">
        <f>IF('IMPORT PROFIXIO'!A253="","",'IMPORT PROFIXIO'!A253)</f>
        <v/>
      </c>
      <c r="B253" s="32" t="str">
        <f>IF(A253="","",IF(ISNUMBER('IMPORT PROFIXIO'!D253),'IMPORT PROFIXIO'!D253,DATEVALUE('IMPORT PROFIXIO'!D253)))</f>
        <v/>
      </c>
      <c r="C253" s="33" t="str">
        <f>IF(A253="","",IF(ISNUMBER('IMPORT PROFIXIO'!E253),'IMPORT PROFIXIO'!E253,(VALUE(LEFT('IMPORT PROFIXIO'!E253,FIND(":",'IMPORT PROFIXIO'!E253)-1))*60+VALUE(MID('IMPORT PROFIXIO'!E253,FIND(":",'IMPORT PROFIXIO'!E253)+1,2)))/1440))</f>
        <v/>
      </c>
      <c r="D253" s="31" t="str">
        <f>IF(A253="","",'IMPORT PROFIXIO'!F253)</f>
        <v/>
      </c>
      <c r="E253" s="31" t="str">
        <f>IF(A253="","",'IMPORT PROFIXIO'!K253)</f>
        <v/>
      </c>
      <c r="F253" s="34" t="str">
        <f>IF(A253="","",IFERROR(VLOOKUP(E253,KLASSNING!$A$5:$F$74,2,FALSE()),"SAKNAS"))</f>
        <v/>
      </c>
      <c r="G253" s="34" t="str">
        <f>IF(A253="","",IFERROR(VLOOKUP(E253,KLASSNING!$A$5:$F$74,3,FALSE()),"SAKNAS"))</f>
        <v/>
      </c>
      <c r="H253" s="34" t="str">
        <f>IF(A253="","",'IMPORT PROFIXIO'!H253)</f>
        <v/>
      </c>
      <c r="I253" s="34" t="str">
        <f>IF(A253="","",'IMPORT PROFIXIO'!I253)</f>
        <v/>
      </c>
      <c r="J253" s="34" t="str">
        <f t="shared" si="12"/>
        <v/>
      </c>
      <c r="K253" s="34" t="str">
        <f t="shared" si="13"/>
        <v/>
      </c>
      <c r="L253" s="34" t="str">
        <f>IF(A253="","",IFERROR(VLOOKUP(E253,KLASSNING!$A$5:$F$74,5,FALSE()),0))</f>
        <v/>
      </c>
      <c r="M253" s="35" t="str">
        <f t="shared" si="14"/>
        <v/>
      </c>
      <c r="N253" s="34" t="str">
        <f>IF(A253="","",IF(K253&lt;&gt;"Ja","Ej aktuell",IF(L253&lt;=0,"KONTROLLERA MATCHTID",IF(AND(COUNTIFS(BEMANNINGSPLAN!$A$5:$A$546,B253,BEMANNINGSPLAN!$C$5:$C$546,D253,BEMANNINGSPLAN!$D$5:$D$546,"&lt;="&amp;C253,BEMANNINGSPLAN!$E$5:$E$546,"&gt;"&amp;C253)&gt;0,COUNTIFS(BEMANNINGSPLAN!$A$5:$A$546,B253,BEMANNINGSPLAN!$C$5:$C$546,D253,BEMANNINGSPLAN!$D$5:$D$546,"&lt;"&amp;M253,BEMANNINGSPLAN!$E$5:$E$546,"&gt;="&amp;M253)&gt;0),"Ja","SAKNAS TIDSRADER"))))</f>
        <v/>
      </c>
      <c r="O253" s="137" t="str">
        <f>IF(OR(B253="",K253&lt;&gt;"Ja"),"",COUNTIFS($B$5:B253,B253,$K$5:K253,"Ja"))</f>
        <v/>
      </c>
      <c r="P253" s="137" t="str">
        <f t="shared" si="15"/>
        <v/>
      </c>
    </row>
    <row r="254" spans="1:16" ht="13">
      <c r="A254" s="31" t="str">
        <f>IF('IMPORT PROFIXIO'!A254="","",'IMPORT PROFIXIO'!A254)</f>
        <v/>
      </c>
      <c r="B254" s="32" t="str">
        <f>IF(A254="","",IF(ISNUMBER('IMPORT PROFIXIO'!D254),'IMPORT PROFIXIO'!D254,DATEVALUE('IMPORT PROFIXIO'!D254)))</f>
        <v/>
      </c>
      <c r="C254" s="33" t="str">
        <f>IF(A254="","",IF(ISNUMBER('IMPORT PROFIXIO'!E254),'IMPORT PROFIXIO'!E254,(VALUE(LEFT('IMPORT PROFIXIO'!E254,FIND(":",'IMPORT PROFIXIO'!E254)-1))*60+VALUE(MID('IMPORT PROFIXIO'!E254,FIND(":",'IMPORT PROFIXIO'!E254)+1,2)))/1440))</f>
        <v/>
      </c>
      <c r="D254" s="31" t="str">
        <f>IF(A254="","",'IMPORT PROFIXIO'!F254)</f>
        <v/>
      </c>
      <c r="E254" s="31" t="str">
        <f>IF(A254="","",'IMPORT PROFIXIO'!K254)</f>
        <v/>
      </c>
      <c r="F254" s="34" t="str">
        <f>IF(A254="","",IFERROR(VLOOKUP(E254,KLASSNING!$A$5:$F$74,2,FALSE()),"SAKNAS"))</f>
        <v/>
      </c>
      <c r="G254" s="34" t="str">
        <f>IF(A254="","",IFERROR(VLOOKUP(E254,KLASSNING!$A$5:$F$74,3,FALSE()),"SAKNAS"))</f>
        <v/>
      </c>
      <c r="H254" s="34" t="str">
        <f>IF(A254="","",'IMPORT PROFIXIO'!H254)</f>
        <v/>
      </c>
      <c r="I254" s="34" t="str">
        <f>IF(A254="","",'IMPORT PROFIXIO'!I254)</f>
        <v/>
      </c>
      <c r="J254" s="34" t="str">
        <f t="shared" si="12"/>
        <v/>
      </c>
      <c r="K254" s="34" t="str">
        <f t="shared" si="13"/>
        <v/>
      </c>
      <c r="L254" s="34" t="str">
        <f>IF(A254="","",IFERROR(VLOOKUP(E254,KLASSNING!$A$5:$F$74,5,FALSE()),0))</f>
        <v/>
      </c>
      <c r="M254" s="35" t="str">
        <f t="shared" si="14"/>
        <v/>
      </c>
      <c r="N254" s="34" t="str">
        <f>IF(A254="","",IF(K254&lt;&gt;"Ja","Ej aktuell",IF(L254&lt;=0,"KONTROLLERA MATCHTID",IF(AND(COUNTIFS(BEMANNINGSPLAN!$A$5:$A$546,B254,BEMANNINGSPLAN!$C$5:$C$546,D254,BEMANNINGSPLAN!$D$5:$D$546,"&lt;="&amp;C254,BEMANNINGSPLAN!$E$5:$E$546,"&gt;"&amp;C254)&gt;0,COUNTIFS(BEMANNINGSPLAN!$A$5:$A$546,B254,BEMANNINGSPLAN!$C$5:$C$546,D254,BEMANNINGSPLAN!$D$5:$D$546,"&lt;"&amp;M254,BEMANNINGSPLAN!$E$5:$E$546,"&gt;="&amp;M254)&gt;0),"Ja","SAKNAS TIDSRADER"))))</f>
        <v/>
      </c>
      <c r="O254" s="137" t="str">
        <f>IF(OR(B254="",K254&lt;&gt;"Ja"),"",COUNTIFS($B$5:B254,B254,$K$5:K254,"Ja"))</f>
        <v/>
      </c>
      <c r="P254" s="137" t="str">
        <f t="shared" si="15"/>
        <v/>
      </c>
    </row>
    <row r="255" spans="1:16" ht="13">
      <c r="A255" s="31" t="str">
        <f>IF('IMPORT PROFIXIO'!A255="","",'IMPORT PROFIXIO'!A255)</f>
        <v/>
      </c>
      <c r="B255" s="32" t="str">
        <f>IF(A255="","",IF(ISNUMBER('IMPORT PROFIXIO'!D255),'IMPORT PROFIXIO'!D255,DATEVALUE('IMPORT PROFIXIO'!D255)))</f>
        <v/>
      </c>
      <c r="C255" s="33" t="str">
        <f>IF(A255="","",IF(ISNUMBER('IMPORT PROFIXIO'!E255),'IMPORT PROFIXIO'!E255,(VALUE(LEFT('IMPORT PROFIXIO'!E255,FIND(":",'IMPORT PROFIXIO'!E255)-1))*60+VALUE(MID('IMPORT PROFIXIO'!E255,FIND(":",'IMPORT PROFIXIO'!E255)+1,2)))/1440))</f>
        <v/>
      </c>
      <c r="D255" s="31" t="str">
        <f>IF(A255="","",'IMPORT PROFIXIO'!F255)</f>
        <v/>
      </c>
      <c r="E255" s="31" t="str">
        <f>IF(A255="","",'IMPORT PROFIXIO'!K255)</f>
        <v/>
      </c>
      <c r="F255" s="34" t="str">
        <f>IF(A255="","",IFERROR(VLOOKUP(E255,KLASSNING!$A$5:$F$74,2,FALSE()),"SAKNAS"))</f>
        <v/>
      </c>
      <c r="G255" s="34" t="str">
        <f>IF(A255="","",IFERROR(VLOOKUP(E255,KLASSNING!$A$5:$F$74,3,FALSE()),"SAKNAS"))</f>
        <v/>
      </c>
      <c r="H255" s="34" t="str">
        <f>IF(A255="","",'IMPORT PROFIXIO'!H255)</f>
        <v/>
      </c>
      <c r="I255" s="34" t="str">
        <f>IF(A255="","",'IMPORT PROFIXIO'!I255)</f>
        <v/>
      </c>
      <c r="J255" s="34" t="str">
        <f t="shared" si="12"/>
        <v/>
      </c>
      <c r="K255" s="34" t="str">
        <f t="shared" si="13"/>
        <v/>
      </c>
      <c r="L255" s="34" t="str">
        <f>IF(A255="","",IFERROR(VLOOKUP(E255,KLASSNING!$A$5:$F$74,5,FALSE()),0))</f>
        <v/>
      </c>
      <c r="M255" s="35" t="str">
        <f t="shared" si="14"/>
        <v/>
      </c>
      <c r="N255" s="34" t="str">
        <f>IF(A255="","",IF(K255&lt;&gt;"Ja","Ej aktuell",IF(L255&lt;=0,"KONTROLLERA MATCHTID",IF(AND(COUNTIFS(BEMANNINGSPLAN!$A$5:$A$546,B255,BEMANNINGSPLAN!$C$5:$C$546,D255,BEMANNINGSPLAN!$D$5:$D$546,"&lt;="&amp;C255,BEMANNINGSPLAN!$E$5:$E$546,"&gt;"&amp;C255)&gt;0,COUNTIFS(BEMANNINGSPLAN!$A$5:$A$546,B255,BEMANNINGSPLAN!$C$5:$C$546,D255,BEMANNINGSPLAN!$D$5:$D$546,"&lt;"&amp;M255,BEMANNINGSPLAN!$E$5:$E$546,"&gt;="&amp;M255)&gt;0),"Ja","SAKNAS TIDSRADER"))))</f>
        <v/>
      </c>
      <c r="O255" s="137" t="str">
        <f>IF(OR(B255="",K255&lt;&gt;"Ja"),"",COUNTIFS($B$5:B255,B255,$K$5:K255,"Ja"))</f>
        <v/>
      </c>
      <c r="P255" s="137" t="str">
        <f t="shared" si="15"/>
        <v/>
      </c>
    </row>
    <row r="256" spans="1:16" ht="13">
      <c r="A256" s="31" t="str">
        <f>IF('IMPORT PROFIXIO'!A256="","",'IMPORT PROFIXIO'!A256)</f>
        <v/>
      </c>
      <c r="B256" s="32" t="str">
        <f>IF(A256="","",IF(ISNUMBER('IMPORT PROFIXIO'!D256),'IMPORT PROFIXIO'!D256,DATEVALUE('IMPORT PROFIXIO'!D256)))</f>
        <v/>
      </c>
      <c r="C256" s="33" t="str">
        <f>IF(A256="","",IF(ISNUMBER('IMPORT PROFIXIO'!E256),'IMPORT PROFIXIO'!E256,(VALUE(LEFT('IMPORT PROFIXIO'!E256,FIND(":",'IMPORT PROFIXIO'!E256)-1))*60+VALUE(MID('IMPORT PROFIXIO'!E256,FIND(":",'IMPORT PROFIXIO'!E256)+1,2)))/1440))</f>
        <v/>
      </c>
      <c r="D256" s="31" t="str">
        <f>IF(A256="","",'IMPORT PROFIXIO'!F256)</f>
        <v/>
      </c>
      <c r="E256" s="31" t="str">
        <f>IF(A256="","",'IMPORT PROFIXIO'!K256)</f>
        <v/>
      </c>
      <c r="F256" s="34" t="str">
        <f>IF(A256="","",IFERROR(VLOOKUP(E256,KLASSNING!$A$5:$F$74,2,FALSE()),"SAKNAS"))</f>
        <v/>
      </c>
      <c r="G256" s="34" t="str">
        <f>IF(A256="","",IFERROR(VLOOKUP(E256,KLASSNING!$A$5:$F$74,3,FALSE()),"SAKNAS"))</f>
        <v/>
      </c>
      <c r="H256" s="34" t="str">
        <f>IF(A256="","",'IMPORT PROFIXIO'!H256)</f>
        <v/>
      </c>
      <c r="I256" s="34" t="str">
        <f>IF(A256="","",'IMPORT PROFIXIO'!I256)</f>
        <v/>
      </c>
      <c r="J256" s="34" t="str">
        <f t="shared" si="12"/>
        <v/>
      </c>
      <c r="K256" s="34" t="str">
        <f t="shared" si="13"/>
        <v/>
      </c>
      <c r="L256" s="34" t="str">
        <f>IF(A256="","",IFERROR(VLOOKUP(E256,KLASSNING!$A$5:$F$74,5,FALSE()),0))</f>
        <v/>
      </c>
      <c r="M256" s="35" t="str">
        <f t="shared" si="14"/>
        <v/>
      </c>
      <c r="N256" s="34" t="str">
        <f>IF(A256="","",IF(K256&lt;&gt;"Ja","Ej aktuell",IF(L256&lt;=0,"KONTROLLERA MATCHTID",IF(AND(COUNTIFS(BEMANNINGSPLAN!$A$5:$A$546,B256,BEMANNINGSPLAN!$C$5:$C$546,D256,BEMANNINGSPLAN!$D$5:$D$546,"&lt;="&amp;C256,BEMANNINGSPLAN!$E$5:$E$546,"&gt;"&amp;C256)&gt;0,COUNTIFS(BEMANNINGSPLAN!$A$5:$A$546,B256,BEMANNINGSPLAN!$C$5:$C$546,D256,BEMANNINGSPLAN!$D$5:$D$546,"&lt;"&amp;M256,BEMANNINGSPLAN!$E$5:$E$546,"&gt;="&amp;M256)&gt;0),"Ja","SAKNAS TIDSRADER"))))</f>
        <v/>
      </c>
      <c r="O256" s="137" t="str">
        <f>IF(OR(B256="",K256&lt;&gt;"Ja"),"",COUNTIFS($B$5:B256,B256,$K$5:K256,"Ja"))</f>
        <v/>
      </c>
      <c r="P256" s="137" t="str">
        <f t="shared" si="15"/>
        <v/>
      </c>
    </row>
    <row r="257" spans="1:16" ht="13">
      <c r="A257" s="31" t="str">
        <f>IF('IMPORT PROFIXIO'!A257="","",'IMPORT PROFIXIO'!A257)</f>
        <v/>
      </c>
      <c r="B257" s="32" t="str">
        <f>IF(A257="","",IF(ISNUMBER('IMPORT PROFIXIO'!D257),'IMPORT PROFIXIO'!D257,DATEVALUE('IMPORT PROFIXIO'!D257)))</f>
        <v/>
      </c>
      <c r="C257" s="33" t="str">
        <f>IF(A257="","",IF(ISNUMBER('IMPORT PROFIXIO'!E257),'IMPORT PROFIXIO'!E257,(VALUE(LEFT('IMPORT PROFIXIO'!E257,FIND(":",'IMPORT PROFIXIO'!E257)-1))*60+VALUE(MID('IMPORT PROFIXIO'!E257,FIND(":",'IMPORT PROFIXIO'!E257)+1,2)))/1440))</f>
        <v/>
      </c>
      <c r="D257" s="31" t="str">
        <f>IF(A257="","",'IMPORT PROFIXIO'!F257)</f>
        <v/>
      </c>
      <c r="E257" s="31" t="str">
        <f>IF(A257="","",'IMPORT PROFIXIO'!K257)</f>
        <v/>
      </c>
      <c r="F257" s="34" t="str">
        <f>IF(A257="","",IFERROR(VLOOKUP(E257,KLASSNING!$A$5:$F$74,2,FALSE()),"SAKNAS"))</f>
        <v/>
      </c>
      <c r="G257" s="34" t="str">
        <f>IF(A257="","",IFERROR(VLOOKUP(E257,KLASSNING!$A$5:$F$74,3,FALSE()),"SAKNAS"))</f>
        <v/>
      </c>
      <c r="H257" s="34" t="str">
        <f>IF(A257="","",'IMPORT PROFIXIO'!H257)</f>
        <v/>
      </c>
      <c r="I257" s="34" t="str">
        <f>IF(A257="","",'IMPORT PROFIXIO'!I257)</f>
        <v/>
      </c>
      <c r="J257" s="34" t="str">
        <f t="shared" si="12"/>
        <v/>
      </c>
      <c r="K257" s="34" t="str">
        <f t="shared" si="13"/>
        <v/>
      </c>
      <c r="L257" s="34" t="str">
        <f>IF(A257="","",IFERROR(VLOOKUP(E257,KLASSNING!$A$5:$F$74,5,FALSE()),0))</f>
        <v/>
      </c>
      <c r="M257" s="35" t="str">
        <f t="shared" si="14"/>
        <v/>
      </c>
      <c r="N257" s="34" t="str">
        <f>IF(A257="","",IF(K257&lt;&gt;"Ja","Ej aktuell",IF(L257&lt;=0,"KONTROLLERA MATCHTID",IF(AND(COUNTIFS(BEMANNINGSPLAN!$A$5:$A$546,B257,BEMANNINGSPLAN!$C$5:$C$546,D257,BEMANNINGSPLAN!$D$5:$D$546,"&lt;="&amp;C257,BEMANNINGSPLAN!$E$5:$E$546,"&gt;"&amp;C257)&gt;0,COUNTIFS(BEMANNINGSPLAN!$A$5:$A$546,B257,BEMANNINGSPLAN!$C$5:$C$546,D257,BEMANNINGSPLAN!$D$5:$D$546,"&lt;"&amp;M257,BEMANNINGSPLAN!$E$5:$E$546,"&gt;="&amp;M257)&gt;0),"Ja","SAKNAS TIDSRADER"))))</f>
        <v/>
      </c>
      <c r="O257" s="137" t="str">
        <f>IF(OR(B257="",K257&lt;&gt;"Ja"),"",COUNTIFS($B$5:B257,B257,$K$5:K257,"Ja"))</f>
        <v/>
      </c>
      <c r="P257" s="137" t="str">
        <f t="shared" si="15"/>
        <v/>
      </c>
    </row>
    <row r="258" spans="1:16" ht="13">
      <c r="A258" s="31" t="str">
        <f>IF('IMPORT PROFIXIO'!A258="","",'IMPORT PROFIXIO'!A258)</f>
        <v/>
      </c>
      <c r="B258" s="32" t="str">
        <f>IF(A258="","",IF(ISNUMBER('IMPORT PROFIXIO'!D258),'IMPORT PROFIXIO'!D258,DATEVALUE('IMPORT PROFIXIO'!D258)))</f>
        <v/>
      </c>
      <c r="C258" s="33" t="str">
        <f>IF(A258="","",IF(ISNUMBER('IMPORT PROFIXIO'!E258),'IMPORT PROFIXIO'!E258,(VALUE(LEFT('IMPORT PROFIXIO'!E258,FIND(":",'IMPORT PROFIXIO'!E258)-1))*60+VALUE(MID('IMPORT PROFIXIO'!E258,FIND(":",'IMPORT PROFIXIO'!E258)+1,2)))/1440))</f>
        <v/>
      </c>
      <c r="D258" s="31" t="str">
        <f>IF(A258="","",'IMPORT PROFIXIO'!F258)</f>
        <v/>
      </c>
      <c r="E258" s="31" t="str">
        <f>IF(A258="","",'IMPORT PROFIXIO'!K258)</f>
        <v/>
      </c>
      <c r="F258" s="34" t="str">
        <f>IF(A258="","",IFERROR(VLOOKUP(E258,KLASSNING!$A$5:$F$74,2,FALSE()),"SAKNAS"))</f>
        <v/>
      </c>
      <c r="G258" s="34" t="str">
        <f>IF(A258="","",IFERROR(VLOOKUP(E258,KLASSNING!$A$5:$F$74,3,FALSE()),"SAKNAS"))</f>
        <v/>
      </c>
      <c r="H258" s="34" t="str">
        <f>IF(A258="","",'IMPORT PROFIXIO'!H258)</f>
        <v/>
      </c>
      <c r="I258" s="34" t="str">
        <f>IF(A258="","",'IMPORT PROFIXIO'!I258)</f>
        <v/>
      </c>
      <c r="J258" s="34" t="str">
        <f t="shared" si="12"/>
        <v/>
      </c>
      <c r="K258" s="34" t="str">
        <f t="shared" si="13"/>
        <v/>
      </c>
      <c r="L258" s="34" t="str">
        <f>IF(A258="","",IFERROR(VLOOKUP(E258,KLASSNING!$A$5:$F$74,5,FALSE()),0))</f>
        <v/>
      </c>
      <c r="M258" s="35" t="str">
        <f t="shared" si="14"/>
        <v/>
      </c>
      <c r="N258" s="34" t="str">
        <f>IF(A258="","",IF(K258&lt;&gt;"Ja","Ej aktuell",IF(L258&lt;=0,"KONTROLLERA MATCHTID",IF(AND(COUNTIFS(BEMANNINGSPLAN!$A$5:$A$546,B258,BEMANNINGSPLAN!$C$5:$C$546,D258,BEMANNINGSPLAN!$D$5:$D$546,"&lt;="&amp;C258,BEMANNINGSPLAN!$E$5:$E$546,"&gt;"&amp;C258)&gt;0,COUNTIFS(BEMANNINGSPLAN!$A$5:$A$546,B258,BEMANNINGSPLAN!$C$5:$C$546,D258,BEMANNINGSPLAN!$D$5:$D$546,"&lt;"&amp;M258,BEMANNINGSPLAN!$E$5:$E$546,"&gt;="&amp;M258)&gt;0),"Ja","SAKNAS TIDSRADER"))))</f>
        <v/>
      </c>
      <c r="O258" s="137" t="str">
        <f>IF(OR(B258="",K258&lt;&gt;"Ja"),"",COUNTIFS($B$5:B258,B258,$K$5:K258,"Ja"))</f>
        <v/>
      </c>
      <c r="P258" s="137" t="str">
        <f t="shared" si="15"/>
        <v/>
      </c>
    </row>
    <row r="259" spans="1:16" ht="13">
      <c r="A259" s="31" t="str">
        <f>IF('IMPORT PROFIXIO'!A259="","",'IMPORT PROFIXIO'!A259)</f>
        <v/>
      </c>
      <c r="B259" s="32" t="str">
        <f>IF(A259="","",IF(ISNUMBER('IMPORT PROFIXIO'!D259),'IMPORT PROFIXIO'!D259,DATEVALUE('IMPORT PROFIXIO'!D259)))</f>
        <v/>
      </c>
      <c r="C259" s="33" t="str">
        <f>IF(A259="","",IF(ISNUMBER('IMPORT PROFIXIO'!E259),'IMPORT PROFIXIO'!E259,(VALUE(LEFT('IMPORT PROFIXIO'!E259,FIND(":",'IMPORT PROFIXIO'!E259)-1))*60+VALUE(MID('IMPORT PROFIXIO'!E259,FIND(":",'IMPORT PROFIXIO'!E259)+1,2)))/1440))</f>
        <v/>
      </c>
      <c r="D259" s="31" t="str">
        <f>IF(A259="","",'IMPORT PROFIXIO'!F259)</f>
        <v/>
      </c>
      <c r="E259" s="31" t="str">
        <f>IF(A259="","",'IMPORT PROFIXIO'!K259)</f>
        <v/>
      </c>
      <c r="F259" s="34" t="str">
        <f>IF(A259="","",IFERROR(VLOOKUP(E259,KLASSNING!$A$5:$F$74,2,FALSE()),"SAKNAS"))</f>
        <v/>
      </c>
      <c r="G259" s="34" t="str">
        <f>IF(A259="","",IFERROR(VLOOKUP(E259,KLASSNING!$A$5:$F$74,3,FALSE()),"SAKNAS"))</f>
        <v/>
      </c>
      <c r="H259" s="34" t="str">
        <f>IF(A259="","",'IMPORT PROFIXIO'!H259)</f>
        <v/>
      </c>
      <c r="I259" s="34" t="str">
        <f>IF(A259="","",'IMPORT PROFIXIO'!I259)</f>
        <v/>
      </c>
      <c r="J259" s="34" t="str">
        <f t="shared" si="12"/>
        <v/>
      </c>
      <c r="K259" s="34" t="str">
        <f t="shared" si="13"/>
        <v/>
      </c>
      <c r="L259" s="34" t="str">
        <f>IF(A259="","",IFERROR(VLOOKUP(E259,KLASSNING!$A$5:$F$74,5,FALSE()),0))</f>
        <v/>
      </c>
      <c r="M259" s="35" t="str">
        <f t="shared" si="14"/>
        <v/>
      </c>
      <c r="N259" s="34" t="str">
        <f>IF(A259="","",IF(K259&lt;&gt;"Ja","Ej aktuell",IF(L259&lt;=0,"KONTROLLERA MATCHTID",IF(AND(COUNTIFS(BEMANNINGSPLAN!$A$5:$A$546,B259,BEMANNINGSPLAN!$C$5:$C$546,D259,BEMANNINGSPLAN!$D$5:$D$546,"&lt;="&amp;C259,BEMANNINGSPLAN!$E$5:$E$546,"&gt;"&amp;C259)&gt;0,COUNTIFS(BEMANNINGSPLAN!$A$5:$A$546,B259,BEMANNINGSPLAN!$C$5:$C$546,D259,BEMANNINGSPLAN!$D$5:$D$546,"&lt;"&amp;M259,BEMANNINGSPLAN!$E$5:$E$546,"&gt;="&amp;M259)&gt;0),"Ja","SAKNAS TIDSRADER"))))</f>
        <v/>
      </c>
      <c r="O259" s="137" t="str">
        <f>IF(OR(B259="",K259&lt;&gt;"Ja"),"",COUNTIFS($B$5:B259,B259,$K$5:K259,"Ja"))</f>
        <v/>
      </c>
      <c r="P259" s="137" t="str">
        <f t="shared" si="15"/>
        <v/>
      </c>
    </row>
    <row r="260" spans="1:16" ht="13">
      <c r="A260" s="31" t="str">
        <f>IF('IMPORT PROFIXIO'!A260="","",'IMPORT PROFIXIO'!A260)</f>
        <v/>
      </c>
      <c r="B260" s="32" t="str">
        <f>IF(A260="","",IF(ISNUMBER('IMPORT PROFIXIO'!D260),'IMPORT PROFIXIO'!D260,DATEVALUE('IMPORT PROFIXIO'!D260)))</f>
        <v/>
      </c>
      <c r="C260" s="33" t="str">
        <f>IF(A260="","",IF(ISNUMBER('IMPORT PROFIXIO'!E260),'IMPORT PROFIXIO'!E260,(VALUE(LEFT('IMPORT PROFIXIO'!E260,FIND(":",'IMPORT PROFIXIO'!E260)-1))*60+VALUE(MID('IMPORT PROFIXIO'!E260,FIND(":",'IMPORT PROFIXIO'!E260)+1,2)))/1440))</f>
        <v/>
      </c>
      <c r="D260" s="31" t="str">
        <f>IF(A260="","",'IMPORT PROFIXIO'!F260)</f>
        <v/>
      </c>
      <c r="E260" s="31" t="str">
        <f>IF(A260="","",'IMPORT PROFIXIO'!K260)</f>
        <v/>
      </c>
      <c r="F260" s="34" t="str">
        <f>IF(A260="","",IFERROR(VLOOKUP(E260,KLASSNING!$A$5:$F$74,2,FALSE()),"SAKNAS"))</f>
        <v/>
      </c>
      <c r="G260" s="34" t="str">
        <f>IF(A260="","",IFERROR(VLOOKUP(E260,KLASSNING!$A$5:$F$74,3,FALSE()),"SAKNAS"))</f>
        <v/>
      </c>
      <c r="H260" s="34" t="str">
        <f>IF(A260="","",'IMPORT PROFIXIO'!H260)</f>
        <v/>
      </c>
      <c r="I260" s="34" t="str">
        <f>IF(A260="","",'IMPORT PROFIXIO'!I260)</f>
        <v/>
      </c>
      <c r="J260" s="34" t="str">
        <f t="shared" si="12"/>
        <v/>
      </c>
      <c r="K260" s="34" t="str">
        <f t="shared" si="13"/>
        <v/>
      </c>
      <c r="L260" s="34" t="str">
        <f>IF(A260="","",IFERROR(VLOOKUP(E260,KLASSNING!$A$5:$F$74,5,FALSE()),0))</f>
        <v/>
      </c>
      <c r="M260" s="35" t="str">
        <f t="shared" si="14"/>
        <v/>
      </c>
      <c r="N260" s="34" t="str">
        <f>IF(A260="","",IF(K260&lt;&gt;"Ja","Ej aktuell",IF(L260&lt;=0,"KONTROLLERA MATCHTID",IF(AND(COUNTIFS(BEMANNINGSPLAN!$A$5:$A$546,B260,BEMANNINGSPLAN!$C$5:$C$546,D260,BEMANNINGSPLAN!$D$5:$D$546,"&lt;="&amp;C260,BEMANNINGSPLAN!$E$5:$E$546,"&gt;"&amp;C260)&gt;0,COUNTIFS(BEMANNINGSPLAN!$A$5:$A$546,B260,BEMANNINGSPLAN!$C$5:$C$546,D260,BEMANNINGSPLAN!$D$5:$D$546,"&lt;"&amp;M260,BEMANNINGSPLAN!$E$5:$E$546,"&gt;="&amp;M260)&gt;0),"Ja","SAKNAS TIDSRADER"))))</f>
        <v/>
      </c>
      <c r="O260" s="137" t="str">
        <f>IF(OR(B260="",K260&lt;&gt;"Ja"),"",COUNTIFS($B$5:B260,B260,$K$5:K260,"Ja"))</f>
        <v/>
      </c>
      <c r="P260" s="137" t="str">
        <f t="shared" si="15"/>
        <v/>
      </c>
    </row>
    <row r="261" spans="1:16" ht="13">
      <c r="A261" s="31" t="str">
        <f>IF('IMPORT PROFIXIO'!A261="","",'IMPORT PROFIXIO'!A261)</f>
        <v/>
      </c>
      <c r="B261" s="32" t="str">
        <f>IF(A261="","",IF(ISNUMBER('IMPORT PROFIXIO'!D261),'IMPORT PROFIXIO'!D261,DATEVALUE('IMPORT PROFIXIO'!D261)))</f>
        <v/>
      </c>
      <c r="C261" s="33" t="str">
        <f>IF(A261="","",IF(ISNUMBER('IMPORT PROFIXIO'!E261),'IMPORT PROFIXIO'!E261,(VALUE(LEFT('IMPORT PROFIXIO'!E261,FIND(":",'IMPORT PROFIXIO'!E261)-1))*60+VALUE(MID('IMPORT PROFIXIO'!E261,FIND(":",'IMPORT PROFIXIO'!E261)+1,2)))/1440))</f>
        <v/>
      </c>
      <c r="D261" s="31" t="str">
        <f>IF(A261="","",'IMPORT PROFIXIO'!F261)</f>
        <v/>
      </c>
      <c r="E261" s="31" t="str">
        <f>IF(A261="","",'IMPORT PROFIXIO'!K261)</f>
        <v/>
      </c>
      <c r="F261" s="34" t="str">
        <f>IF(A261="","",IFERROR(VLOOKUP(E261,KLASSNING!$A$5:$F$74,2,FALSE()),"SAKNAS"))</f>
        <v/>
      </c>
      <c r="G261" s="34" t="str">
        <f>IF(A261="","",IFERROR(VLOOKUP(E261,KLASSNING!$A$5:$F$74,3,FALSE()),"SAKNAS"))</f>
        <v/>
      </c>
      <c r="H261" s="34" t="str">
        <f>IF(A261="","",'IMPORT PROFIXIO'!H261)</f>
        <v/>
      </c>
      <c r="I261" s="34" t="str">
        <f>IF(A261="","",'IMPORT PROFIXIO'!I261)</f>
        <v/>
      </c>
      <c r="J261" s="34" t="str">
        <f t="shared" ref="J261:J324" si="16">IF(A261="","",IF(LEFT(H261,3)="AIK",IF(H261="AIK 2",F261&amp;" 2",F261),IF(LEFT(I261,3)="AIK",IF(I261="AIK 2",F261&amp;" 2",F261),"")))</f>
        <v/>
      </c>
      <c r="K261" s="34" t="str">
        <f t="shared" ref="K261:K324" si="17">IF(A261="","",IF(D261="Solnahallen","Nej","Ja"))</f>
        <v/>
      </c>
      <c r="L261" s="34" t="str">
        <f>IF(A261="","",IFERROR(VLOOKUP(E261,KLASSNING!$A$5:$F$74,5,FALSE()),0))</f>
        <v/>
      </c>
      <c r="M261" s="35" t="str">
        <f t="shared" ref="M261:M324" si="18">IF(OR(A261="",K261&lt;&gt;"Ja"),"",C261+L261/1440)</f>
        <v/>
      </c>
      <c r="N261" s="34" t="str">
        <f>IF(A261="","",IF(K261&lt;&gt;"Ja","Ej aktuell",IF(L261&lt;=0,"KONTROLLERA MATCHTID",IF(AND(COUNTIFS(BEMANNINGSPLAN!$A$5:$A$546,B261,BEMANNINGSPLAN!$C$5:$C$546,D261,BEMANNINGSPLAN!$D$5:$D$546,"&lt;="&amp;C261,BEMANNINGSPLAN!$E$5:$E$546,"&gt;"&amp;C261)&gt;0,COUNTIFS(BEMANNINGSPLAN!$A$5:$A$546,B261,BEMANNINGSPLAN!$C$5:$C$546,D261,BEMANNINGSPLAN!$D$5:$D$546,"&lt;"&amp;M261,BEMANNINGSPLAN!$E$5:$E$546,"&gt;="&amp;M261)&gt;0),"Ja","SAKNAS TIDSRADER"))))</f>
        <v/>
      </c>
      <c r="O261" s="137" t="str">
        <f>IF(OR(B261="",K261&lt;&gt;"Ja"),"",COUNTIFS($B$5:B261,B261,$K$5:K261,"Ja"))</f>
        <v/>
      </c>
      <c r="P261" s="137" t="str">
        <f t="shared" ref="P261:P324" si="19">IF(O261="","",TEXT(B261,"yyyy-mm-dd")&amp;"|"&amp;O261)</f>
        <v/>
      </c>
    </row>
    <row r="262" spans="1:16" ht="13">
      <c r="A262" s="31" t="str">
        <f>IF('IMPORT PROFIXIO'!A262="","",'IMPORT PROFIXIO'!A262)</f>
        <v/>
      </c>
      <c r="B262" s="32" t="str">
        <f>IF(A262="","",IF(ISNUMBER('IMPORT PROFIXIO'!D262),'IMPORT PROFIXIO'!D262,DATEVALUE('IMPORT PROFIXIO'!D262)))</f>
        <v/>
      </c>
      <c r="C262" s="33" t="str">
        <f>IF(A262="","",IF(ISNUMBER('IMPORT PROFIXIO'!E262),'IMPORT PROFIXIO'!E262,(VALUE(LEFT('IMPORT PROFIXIO'!E262,FIND(":",'IMPORT PROFIXIO'!E262)-1))*60+VALUE(MID('IMPORT PROFIXIO'!E262,FIND(":",'IMPORT PROFIXIO'!E262)+1,2)))/1440))</f>
        <v/>
      </c>
      <c r="D262" s="31" t="str">
        <f>IF(A262="","",'IMPORT PROFIXIO'!F262)</f>
        <v/>
      </c>
      <c r="E262" s="31" t="str">
        <f>IF(A262="","",'IMPORT PROFIXIO'!K262)</f>
        <v/>
      </c>
      <c r="F262" s="34" t="str">
        <f>IF(A262="","",IFERROR(VLOOKUP(E262,KLASSNING!$A$5:$F$74,2,FALSE()),"SAKNAS"))</f>
        <v/>
      </c>
      <c r="G262" s="34" t="str">
        <f>IF(A262="","",IFERROR(VLOOKUP(E262,KLASSNING!$A$5:$F$74,3,FALSE()),"SAKNAS"))</f>
        <v/>
      </c>
      <c r="H262" s="34" t="str">
        <f>IF(A262="","",'IMPORT PROFIXIO'!H262)</f>
        <v/>
      </c>
      <c r="I262" s="34" t="str">
        <f>IF(A262="","",'IMPORT PROFIXIO'!I262)</f>
        <v/>
      </c>
      <c r="J262" s="34" t="str">
        <f t="shared" si="16"/>
        <v/>
      </c>
      <c r="K262" s="34" t="str">
        <f t="shared" si="17"/>
        <v/>
      </c>
      <c r="L262" s="34" t="str">
        <f>IF(A262="","",IFERROR(VLOOKUP(E262,KLASSNING!$A$5:$F$74,5,FALSE()),0))</f>
        <v/>
      </c>
      <c r="M262" s="35" t="str">
        <f t="shared" si="18"/>
        <v/>
      </c>
      <c r="N262" s="34" t="str">
        <f>IF(A262="","",IF(K262&lt;&gt;"Ja","Ej aktuell",IF(L262&lt;=0,"KONTROLLERA MATCHTID",IF(AND(COUNTIFS(BEMANNINGSPLAN!$A$5:$A$546,B262,BEMANNINGSPLAN!$C$5:$C$546,D262,BEMANNINGSPLAN!$D$5:$D$546,"&lt;="&amp;C262,BEMANNINGSPLAN!$E$5:$E$546,"&gt;"&amp;C262)&gt;0,COUNTIFS(BEMANNINGSPLAN!$A$5:$A$546,B262,BEMANNINGSPLAN!$C$5:$C$546,D262,BEMANNINGSPLAN!$D$5:$D$546,"&lt;"&amp;M262,BEMANNINGSPLAN!$E$5:$E$546,"&gt;="&amp;M262)&gt;0),"Ja","SAKNAS TIDSRADER"))))</f>
        <v/>
      </c>
      <c r="O262" s="137" t="str">
        <f>IF(OR(B262="",K262&lt;&gt;"Ja"),"",COUNTIFS($B$5:B262,B262,$K$5:K262,"Ja"))</f>
        <v/>
      </c>
      <c r="P262" s="137" t="str">
        <f t="shared" si="19"/>
        <v/>
      </c>
    </row>
    <row r="263" spans="1:16" ht="13">
      <c r="A263" s="31" t="str">
        <f>IF('IMPORT PROFIXIO'!A263="","",'IMPORT PROFIXIO'!A263)</f>
        <v/>
      </c>
      <c r="B263" s="32" t="str">
        <f>IF(A263="","",IF(ISNUMBER('IMPORT PROFIXIO'!D263),'IMPORT PROFIXIO'!D263,DATEVALUE('IMPORT PROFIXIO'!D263)))</f>
        <v/>
      </c>
      <c r="C263" s="33" t="str">
        <f>IF(A263="","",IF(ISNUMBER('IMPORT PROFIXIO'!E263),'IMPORT PROFIXIO'!E263,(VALUE(LEFT('IMPORT PROFIXIO'!E263,FIND(":",'IMPORT PROFIXIO'!E263)-1))*60+VALUE(MID('IMPORT PROFIXIO'!E263,FIND(":",'IMPORT PROFIXIO'!E263)+1,2)))/1440))</f>
        <v/>
      </c>
      <c r="D263" s="31" t="str">
        <f>IF(A263="","",'IMPORT PROFIXIO'!F263)</f>
        <v/>
      </c>
      <c r="E263" s="31" t="str">
        <f>IF(A263="","",'IMPORT PROFIXIO'!K263)</f>
        <v/>
      </c>
      <c r="F263" s="34" t="str">
        <f>IF(A263="","",IFERROR(VLOOKUP(E263,KLASSNING!$A$5:$F$74,2,FALSE()),"SAKNAS"))</f>
        <v/>
      </c>
      <c r="G263" s="34" t="str">
        <f>IF(A263="","",IFERROR(VLOOKUP(E263,KLASSNING!$A$5:$F$74,3,FALSE()),"SAKNAS"))</f>
        <v/>
      </c>
      <c r="H263" s="34" t="str">
        <f>IF(A263="","",'IMPORT PROFIXIO'!H263)</f>
        <v/>
      </c>
      <c r="I263" s="34" t="str">
        <f>IF(A263="","",'IMPORT PROFIXIO'!I263)</f>
        <v/>
      </c>
      <c r="J263" s="34" t="str">
        <f t="shared" si="16"/>
        <v/>
      </c>
      <c r="K263" s="34" t="str">
        <f t="shared" si="17"/>
        <v/>
      </c>
      <c r="L263" s="34" t="str">
        <f>IF(A263="","",IFERROR(VLOOKUP(E263,KLASSNING!$A$5:$F$74,5,FALSE()),0))</f>
        <v/>
      </c>
      <c r="M263" s="35" t="str">
        <f t="shared" si="18"/>
        <v/>
      </c>
      <c r="N263" s="34" t="str">
        <f>IF(A263="","",IF(K263&lt;&gt;"Ja","Ej aktuell",IF(L263&lt;=0,"KONTROLLERA MATCHTID",IF(AND(COUNTIFS(BEMANNINGSPLAN!$A$5:$A$546,B263,BEMANNINGSPLAN!$C$5:$C$546,D263,BEMANNINGSPLAN!$D$5:$D$546,"&lt;="&amp;C263,BEMANNINGSPLAN!$E$5:$E$546,"&gt;"&amp;C263)&gt;0,COUNTIFS(BEMANNINGSPLAN!$A$5:$A$546,B263,BEMANNINGSPLAN!$C$5:$C$546,D263,BEMANNINGSPLAN!$D$5:$D$546,"&lt;"&amp;M263,BEMANNINGSPLAN!$E$5:$E$546,"&gt;="&amp;M263)&gt;0),"Ja","SAKNAS TIDSRADER"))))</f>
        <v/>
      </c>
      <c r="O263" s="137" t="str">
        <f>IF(OR(B263="",K263&lt;&gt;"Ja"),"",COUNTIFS($B$5:B263,B263,$K$5:K263,"Ja"))</f>
        <v/>
      </c>
      <c r="P263" s="137" t="str">
        <f t="shared" si="19"/>
        <v/>
      </c>
    </row>
    <row r="264" spans="1:16" ht="13">
      <c r="A264" s="31" t="str">
        <f>IF('IMPORT PROFIXIO'!A264="","",'IMPORT PROFIXIO'!A264)</f>
        <v/>
      </c>
      <c r="B264" s="32" t="str">
        <f>IF(A264="","",IF(ISNUMBER('IMPORT PROFIXIO'!D264),'IMPORT PROFIXIO'!D264,DATEVALUE('IMPORT PROFIXIO'!D264)))</f>
        <v/>
      </c>
      <c r="C264" s="33" t="str">
        <f>IF(A264="","",IF(ISNUMBER('IMPORT PROFIXIO'!E264),'IMPORT PROFIXIO'!E264,(VALUE(LEFT('IMPORT PROFIXIO'!E264,FIND(":",'IMPORT PROFIXIO'!E264)-1))*60+VALUE(MID('IMPORT PROFIXIO'!E264,FIND(":",'IMPORT PROFIXIO'!E264)+1,2)))/1440))</f>
        <v/>
      </c>
      <c r="D264" s="31" t="str">
        <f>IF(A264="","",'IMPORT PROFIXIO'!F264)</f>
        <v/>
      </c>
      <c r="E264" s="31" t="str">
        <f>IF(A264="","",'IMPORT PROFIXIO'!K264)</f>
        <v/>
      </c>
      <c r="F264" s="34" t="str">
        <f>IF(A264="","",IFERROR(VLOOKUP(E264,KLASSNING!$A$5:$F$74,2,FALSE()),"SAKNAS"))</f>
        <v/>
      </c>
      <c r="G264" s="34" t="str">
        <f>IF(A264="","",IFERROR(VLOOKUP(E264,KLASSNING!$A$5:$F$74,3,FALSE()),"SAKNAS"))</f>
        <v/>
      </c>
      <c r="H264" s="34" t="str">
        <f>IF(A264="","",'IMPORT PROFIXIO'!H264)</f>
        <v/>
      </c>
      <c r="I264" s="34" t="str">
        <f>IF(A264="","",'IMPORT PROFIXIO'!I264)</f>
        <v/>
      </c>
      <c r="J264" s="34" t="str">
        <f t="shared" si="16"/>
        <v/>
      </c>
      <c r="K264" s="34" t="str">
        <f t="shared" si="17"/>
        <v/>
      </c>
      <c r="L264" s="34" t="str">
        <f>IF(A264="","",IFERROR(VLOOKUP(E264,KLASSNING!$A$5:$F$74,5,FALSE()),0))</f>
        <v/>
      </c>
      <c r="M264" s="35" t="str">
        <f t="shared" si="18"/>
        <v/>
      </c>
      <c r="N264" s="34" t="str">
        <f>IF(A264="","",IF(K264&lt;&gt;"Ja","Ej aktuell",IF(L264&lt;=0,"KONTROLLERA MATCHTID",IF(AND(COUNTIFS(BEMANNINGSPLAN!$A$5:$A$546,B264,BEMANNINGSPLAN!$C$5:$C$546,D264,BEMANNINGSPLAN!$D$5:$D$546,"&lt;="&amp;C264,BEMANNINGSPLAN!$E$5:$E$546,"&gt;"&amp;C264)&gt;0,COUNTIFS(BEMANNINGSPLAN!$A$5:$A$546,B264,BEMANNINGSPLAN!$C$5:$C$546,D264,BEMANNINGSPLAN!$D$5:$D$546,"&lt;"&amp;M264,BEMANNINGSPLAN!$E$5:$E$546,"&gt;="&amp;M264)&gt;0),"Ja","SAKNAS TIDSRADER"))))</f>
        <v/>
      </c>
      <c r="O264" s="137" t="str">
        <f>IF(OR(B264="",K264&lt;&gt;"Ja"),"",COUNTIFS($B$5:B264,B264,$K$5:K264,"Ja"))</f>
        <v/>
      </c>
      <c r="P264" s="137" t="str">
        <f t="shared" si="19"/>
        <v/>
      </c>
    </row>
    <row r="265" spans="1:16" ht="13">
      <c r="A265" s="31" t="str">
        <f>IF('IMPORT PROFIXIO'!A265="","",'IMPORT PROFIXIO'!A265)</f>
        <v/>
      </c>
      <c r="B265" s="32" t="str">
        <f>IF(A265="","",IF(ISNUMBER('IMPORT PROFIXIO'!D265),'IMPORT PROFIXIO'!D265,DATEVALUE('IMPORT PROFIXIO'!D265)))</f>
        <v/>
      </c>
      <c r="C265" s="33" t="str">
        <f>IF(A265="","",IF(ISNUMBER('IMPORT PROFIXIO'!E265),'IMPORT PROFIXIO'!E265,(VALUE(LEFT('IMPORT PROFIXIO'!E265,FIND(":",'IMPORT PROFIXIO'!E265)-1))*60+VALUE(MID('IMPORT PROFIXIO'!E265,FIND(":",'IMPORT PROFIXIO'!E265)+1,2)))/1440))</f>
        <v/>
      </c>
      <c r="D265" s="31" t="str">
        <f>IF(A265="","",'IMPORT PROFIXIO'!F265)</f>
        <v/>
      </c>
      <c r="E265" s="31" t="str">
        <f>IF(A265="","",'IMPORT PROFIXIO'!K265)</f>
        <v/>
      </c>
      <c r="F265" s="34" t="str">
        <f>IF(A265="","",IFERROR(VLOOKUP(E265,KLASSNING!$A$5:$F$74,2,FALSE()),"SAKNAS"))</f>
        <v/>
      </c>
      <c r="G265" s="34" t="str">
        <f>IF(A265="","",IFERROR(VLOOKUP(E265,KLASSNING!$A$5:$F$74,3,FALSE()),"SAKNAS"))</f>
        <v/>
      </c>
      <c r="H265" s="34" t="str">
        <f>IF(A265="","",'IMPORT PROFIXIO'!H265)</f>
        <v/>
      </c>
      <c r="I265" s="34" t="str">
        <f>IF(A265="","",'IMPORT PROFIXIO'!I265)</f>
        <v/>
      </c>
      <c r="J265" s="34" t="str">
        <f t="shared" si="16"/>
        <v/>
      </c>
      <c r="K265" s="34" t="str">
        <f t="shared" si="17"/>
        <v/>
      </c>
      <c r="L265" s="34" t="str">
        <f>IF(A265="","",IFERROR(VLOOKUP(E265,KLASSNING!$A$5:$F$74,5,FALSE()),0))</f>
        <v/>
      </c>
      <c r="M265" s="35" t="str">
        <f t="shared" si="18"/>
        <v/>
      </c>
      <c r="N265" s="34" t="str">
        <f>IF(A265="","",IF(K265&lt;&gt;"Ja","Ej aktuell",IF(L265&lt;=0,"KONTROLLERA MATCHTID",IF(AND(COUNTIFS(BEMANNINGSPLAN!$A$5:$A$546,B265,BEMANNINGSPLAN!$C$5:$C$546,D265,BEMANNINGSPLAN!$D$5:$D$546,"&lt;="&amp;C265,BEMANNINGSPLAN!$E$5:$E$546,"&gt;"&amp;C265)&gt;0,COUNTIFS(BEMANNINGSPLAN!$A$5:$A$546,B265,BEMANNINGSPLAN!$C$5:$C$546,D265,BEMANNINGSPLAN!$D$5:$D$546,"&lt;"&amp;M265,BEMANNINGSPLAN!$E$5:$E$546,"&gt;="&amp;M265)&gt;0),"Ja","SAKNAS TIDSRADER"))))</f>
        <v/>
      </c>
      <c r="O265" s="137" t="str">
        <f>IF(OR(B265="",K265&lt;&gt;"Ja"),"",COUNTIFS($B$5:B265,B265,$K$5:K265,"Ja"))</f>
        <v/>
      </c>
      <c r="P265" s="137" t="str">
        <f t="shared" si="19"/>
        <v/>
      </c>
    </row>
    <row r="266" spans="1:16" ht="13">
      <c r="A266" s="31" t="str">
        <f>IF('IMPORT PROFIXIO'!A266="","",'IMPORT PROFIXIO'!A266)</f>
        <v/>
      </c>
      <c r="B266" s="32" t="str">
        <f>IF(A266="","",IF(ISNUMBER('IMPORT PROFIXIO'!D266),'IMPORT PROFIXIO'!D266,DATEVALUE('IMPORT PROFIXIO'!D266)))</f>
        <v/>
      </c>
      <c r="C266" s="33" t="str">
        <f>IF(A266="","",IF(ISNUMBER('IMPORT PROFIXIO'!E266),'IMPORT PROFIXIO'!E266,(VALUE(LEFT('IMPORT PROFIXIO'!E266,FIND(":",'IMPORT PROFIXIO'!E266)-1))*60+VALUE(MID('IMPORT PROFIXIO'!E266,FIND(":",'IMPORT PROFIXIO'!E266)+1,2)))/1440))</f>
        <v/>
      </c>
      <c r="D266" s="31" t="str">
        <f>IF(A266="","",'IMPORT PROFIXIO'!F266)</f>
        <v/>
      </c>
      <c r="E266" s="31" t="str">
        <f>IF(A266="","",'IMPORT PROFIXIO'!K266)</f>
        <v/>
      </c>
      <c r="F266" s="34" t="str">
        <f>IF(A266="","",IFERROR(VLOOKUP(E266,KLASSNING!$A$5:$F$74,2,FALSE()),"SAKNAS"))</f>
        <v/>
      </c>
      <c r="G266" s="34" t="str">
        <f>IF(A266="","",IFERROR(VLOOKUP(E266,KLASSNING!$A$5:$F$74,3,FALSE()),"SAKNAS"))</f>
        <v/>
      </c>
      <c r="H266" s="34" t="str">
        <f>IF(A266="","",'IMPORT PROFIXIO'!H266)</f>
        <v/>
      </c>
      <c r="I266" s="34" t="str">
        <f>IF(A266="","",'IMPORT PROFIXIO'!I266)</f>
        <v/>
      </c>
      <c r="J266" s="34" t="str">
        <f t="shared" si="16"/>
        <v/>
      </c>
      <c r="K266" s="34" t="str">
        <f t="shared" si="17"/>
        <v/>
      </c>
      <c r="L266" s="34" t="str">
        <f>IF(A266="","",IFERROR(VLOOKUP(E266,KLASSNING!$A$5:$F$74,5,FALSE()),0))</f>
        <v/>
      </c>
      <c r="M266" s="35" t="str">
        <f t="shared" si="18"/>
        <v/>
      </c>
      <c r="N266" s="34" t="str">
        <f>IF(A266="","",IF(K266&lt;&gt;"Ja","Ej aktuell",IF(L266&lt;=0,"KONTROLLERA MATCHTID",IF(AND(COUNTIFS(BEMANNINGSPLAN!$A$5:$A$546,B266,BEMANNINGSPLAN!$C$5:$C$546,D266,BEMANNINGSPLAN!$D$5:$D$546,"&lt;="&amp;C266,BEMANNINGSPLAN!$E$5:$E$546,"&gt;"&amp;C266)&gt;0,COUNTIFS(BEMANNINGSPLAN!$A$5:$A$546,B266,BEMANNINGSPLAN!$C$5:$C$546,D266,BEMANNINGSPLAN!$D$5:$D$546,"&lt;"&amp;M266,BEMANNINGSPLAN!$E$5:$E$546,"&gt;="&amp;M266)&gt;0),"Ja","SAKNAS TIDSRADER"))))</f>
        <v/>
      </c>
      <c r="O266" s="137" t="str">
        <f>IF(OR(B266="",K266&lt;&gt;"Ja"),"",COUNTIFS($B$5:B266,B266,$K$5:K266,"Ja"))</f>
        <v/>
      </c>
      <c r="P266" s="137" t="str">
        <f t="shared" si="19"/>
        <v/>
      </c>
    </row>
    <row r="267" spans="1:16" ht="13">
      <c r="A267" s="31" t="str">
        <f>IF('IMPORT PROFIXIO'!A267="","",'IMPORT PROFIXIO'!A267)</f>
        <v/>
      </c>
      <c r="B267" s="32" t="str">
        <f>IF(A267="","",IF(ISNUMBER('IMPORT PROFIXIO'!D267),'IMPORT PROFIXIO'!D267,DATEVALUE('IMPORT PROFIXIO'!D267)))</f>
        <v/>
      </c>
      <c r="C267" s="33" t="str">
        <f>IF(A267="","",IF(ISNUMBER('IMPORT PROFIXIO'!E267),'IMPORT PROFIXIO'!E267,(VALUE(LEFT('IMPORT PROFIXIO'!E267,FIND(":",'IMPORT PROFIXIO'!E267)-1))*60+VALUE(MID('IMPORT PROFIXIO'!E267,FIND(":",'IMPORT PROFIXIO'!E267)+1,2)))/1440))</f>
        <v/>
      </c>
      <c r="D267" s="31" t="str">
        <f>IF(A267="","",'IMPORT PROFIXIO'!F267)</f>
        <v/>
      </c>
      <c r="E267" s="31" t="str">
        <f>IF(A267="","",'IMPORT PROFIXIO'!K267)</f>
        <v/>
      </c>
      <c r="F267" s="34" t="str">
        <f>IF(A267="","",IFERROR(VLOOKUP(E267,KLASSNING!$A$5:$F$74,2,FALSE()),"SAKNAS"))</f>
        <v/>
      </c>
      <c r="G267" s="34" t="str">
        <f>IF(A267="","",IFERROR(VLOOKUP(E267,KLASSNING!$A$5:$F$74,3,FALSE()),"SAKNAS"))</f>
        <v/>
      </c>
      <c r="H267" s="34" t="str">
        <f>IF(A267="","",'IMPORT PROFIXIO'!H267)</f>
        <v/>
      </c>
      <c r="I267" s="34" t="str">
        <f>IF(A267="","",'IMPORT PROFIXIO'!I267)</f>
        <v/>
      </c>
      <c r="J267" s="34" t="str">
        <f t="shared" si="16"/>
        <v/>
      </c>
      <c r="K267" s="34" t="str">
        <f t="shared" si="17"/>
        <v/>
      </c>
      <c r="L267" s="34" t="str">
        <f>IF(A267="","",IFERROR(VLOOKUP(E267,KLASSNING!$A$5:$F$74,5,FALSE()),0))</f>
        <v/>
      </c>
      <c r="M267" s="35" t="str">
        <f t="shared" si="18"/>
        <v/>
      </c>
      <c r="N267" s="34" t="str">
        <f>IF(A267="","",IF(K267&lt;&gt;"Ja","Ej aktuell",IF(L267&lt;=0,"KONTROLLERA MATCHTID",IF(AND(COUNTIFS(BEMANNINGSPLAN!$A$5:$A$546,B267,BEMANNINGSPLAN!$C$5:$C$546,D267,BEMANNINGSPLAN!$D$5:$D$546,"&lt;="&amp;C267,BEMANNINGSPLAN!$E$5:$E$546,"&gt;"&amp;C267)&gt;0,COUNTIFS(BEMANNINGSPLAN!$A$5:$A$546,B267,BEMANNINGSPLAN!$C$5:$C$546,D267,BEMANNINGSPLAN!$D$5:$D$546,"&lt;"&amp;M267,BEMANNINGSPLAN!$E$5:$E$546,"&gt;="&amp;M267)&gt;0),"Ja","SAKNAS TIDSRADER"))))</f>
        <v/>
      </c>
      <c r="O267" s="137" t="str">
        <f>IF(OR(B267="",K267&lt;&gt;"Ja"),"",COUNTIFS($B$5:B267,B267,$K$5:K267,"Ja"))</f>
        <v/>
      </c>
      <c r="P267" s="137" t="str">
        <f t="shared" si="19"/>
        <v/>
      </c>
    </row>
    <row r="268" spans="1:16" ht="13">
      <c r="A268" s="31" t="str">
        <f>IF('IMPORT PROFIXIO'!A268="","",'IMPORT PROFIXIO'!A268)</f>
        <v/>
      </c>
      <c r="B268" s="32" t="str">
        <f>IF(A268="","",IF(ISNUMBER('IMPORT PROFIXIO'!D268),'IMPORT PROFIXIO'!D268,DATEVALUE('IMPORT PROFIXIO'!D268)))</f>
        <v/>
      </c>
      <c r="C268" s="33" t="str">
        <f>IF(A268="","",IF(ISNUMBER('IMPORT PROFIXIO'!E268),'IMPORT PROFIXIO'!E268,(VALUE(LEFT('IMPORT PROFIXIO'!E268,FIND(":",'IMPORT PROFIXIO'!E268)-1))*60+VALUE(MID('IMPORT PROFIXIO'!E268,FIND(":",'IMPORT PROFIXIO'!E268)+1,2)))/1440))</f>
        <v/>
      </c>
      <c r="D268" s="31" t="str">
        <f>IF(A268="","",'IMPORT PROFIXIO'!F268)</f>
        <v/>
      </c>
      <c r="E268" s="31" t="str">
        <f>IF(A268="","",'IMPORT PROFIXIO'!K268)</f>
        <v/>
      </c>
      <c r="F268" s="34" t="str">
        <f>IF(A268="","",IFERROR(VLOOKUP(E268,KLASSNING!$A$5:$F$74,2,FALSE()),"SAKNAS"))</f>
        <v/>
      </c>
      <c r="G268" s="34" t="str">
        <f>IF(A268="","",IFERROR(VLOOKUP(E268,KLASSNING!$A$5:$F$74,3,FALSE()),"SAKNAS"))</f>
        <v/>
      </c>
      <c r="H268" s="34" t="str">
        <f>IF(A268="","",'IMPORT PROFIXIO'!H268)</f>
        <v/>
      </c>
      <c r="I268" s="34" t="str">
        <f>IF(A268="","",'IMPORT PROFIXIO'!I268)</f>
        <v/>
      </c>
      <c r="J268" s="34" t="str">
        <f t="shared" si="16"/>
        <v/>
      </c>
      <c r="K268" s="34" t="str">
        <f t="shared" si="17"/>
        <v/>
      </c>
      <c r="L268" s="34" t="str">
        <f>IF(A268="","",IFERROR(VLOOKUP(E268,KLASSNING!$A$5:$F$74,5,FALSE()),0))</f>
        <v/>
      </c>
      <c r="M268" s="35" t="str">
        <f t="shared" si="18"/>
        <v/>
      </c>
      <c r="N268" s="34" t="str">
        <f>IF(A268="","",IF(K268&lt;&gt;"Ja","Ej aktuell",IF(L268&lt;=0,"KONTROLLERA MATCHTID",IF(AND(COUNTIFS(BEMANNINGSPLAN!$A$5:$A$546,B268,BEMANNINGSPLAN!$C$5:$C$546,D268,BEMANNINGSPLAN!$D$5:$D$546,"&lt;="&amp;C268,BEMANNINGSPLAN!$E$5:$E$546,"&gt;"&amp;C268)&gt;0,COUNTIFS(BEMANNINGSPLAN!$A$5:$A$546,B268,BEMANNINGSPLAN!$C$5:$C$546,D268,BEMANNINGSPLAN!$D$5:$D$546,"&lt;"&amp;M268,BEMANNINGSPLAN!$E$5:$E$546,"&gt;="&amp;M268)&gt;0),"Ja","SAKNAS TIDSRADER"))))</f>
        <v/>
      </c>
      <c r="O268" s="137" t="str">
        <f>IF(OR(B268="",K268&lt;&gt;"Ja"),"",COUNTIFS($B$5:B268,B268,$K$5:K268,"Ja"))</f>
        <v/>
      </c>
      <c r="P268" s="137" t="str">
        <f t="shared" si="19"/>
        <v/>
      </c>
    </row>
    <row r="269" spans="1:16" ht="13">
      <c r="A269" s="31" t="str">
        <f>IF('IMPORT PROFIXIO'!A269="","",'IMPORT PROFIXIO'!A269)</f>
        <v/>
      </c>
      <c r="B269" s="32" t="str">
        <f>IF(A269="","",IF(ISNUMBER('IMPORT PROFIXIO'!D269),'IMPORT PROFIXIO'!D269,DATEVALUE('IMPORT PROFIXIO'!D269)))</f>
        <v/>
      </c>
      <c r="C269" s="33" t="str">
        <f>IF(A269="","",IF(ISNUMBER('IMPORT PROFIXIO'!E269),'IMPORT PROFIXIO'!E269,(VALUE(LEFT('IMPORT PROFIXIO'!E269,FIND(":",'IMPORT PROFIXIO'!E269)-1))*60+VALUE(MID('IMPORT PROFIXIO'!E269,FIND(":",'IMPORT PROFIXIO'!E269)+1,2)))/1440))</f>
        <v/>
      </c>
      <c r="D269" s="31" t="str">
        <f>IF(A269="","",'IMPORT PROFIXIO'!F269)</f>
        <v/>
      </c>
      <c r="E269" s="31" t="str">
        <f>IF(A269="","",'IMPORT PROFIXIO'!K269)</f>
        <v/>
      </c>
      <c r="F269" s="34" t="str">
        <f>IF(A269="","",IFERROR(VLOOKUP(E269,KLASSNING!$A$5:$F$74,2,FALSE()),"SAKNAS"))</f>
        <v/>
      </c>
      <c r="G269" s="34" t="str">
        <f>IF(A269="","",IFERROR(VLOOKUP(E269,KLASSNING!$A$5:$F$74,3,FALSE()),"SAKNAS"))</f>
        <v/>
      </c>
      <c r="H269" s="34" t="str">
        <f>IF(A269="","",'IMPORT PROFIXIO'!H269)</f>
        <v/>
      </c>
      <c r="I269" s="34" t="str">
        <f>IF(A269="","",'IMPORT PROFIXIO'!I269)</f>
        <v/>
      </c>
      <c r="J269" s="34" t="str">
        <f t="shared" si="16"/>
        <v/>
      </c>
      <c r="K269" s="34" t="str">
        <f t="shared" si="17"/>
        <v/>
      </c>
      <c r="L269" s="34" t="str">
        <f>IF(A269="","",IFERROR(VLOOKUP(E269,KLASSNING!$A$5:$F$74,5,FALSE()),0))</f>
        <v/>
      </c>
      <c r="M269" s="35" t="str">
        <f t="shared" si="18"/>
        <v/>
      </c>
      <c r="N269" s="34" t="str">
        <f>IF(A269="","",IF(K269&lt;&gt;"Ja","Ej aktuell",IF(L269&lt;=0,"KONTROLLERA MATCHTID",IF(AND(COUNTIFS(BEMANNINGSPLAN!$A$5:$A$546,B269,BEMANNINGSPLAN!$C$5:$C$546,D269,BEMANNINGSPLAN!$D$5:$D$546,"&lt;="&amp;C269,BEMANNINGSPLAN!$E$5:$E$546,"&gt;"&amp;C269)&gt;0,COUNTIFS(BEMANNINGSPLAN!$A$5:$A$546,B269,BEMANNINGSPLAN!$C$5:$C$546,D269,BEMANNINGSPLAN!$D$5:$D$546,"&lt;"&amp;M269,BEMANNINGSPLAN!$E$5:$E$546,"&gt;="&amp;M269)&gt;0),"Ja","SAKNAS TIDSRADER"))))</f>
        <v/>
      </c>
      <c r="O269" s="137" t="str">
        <f>IF(OR(B269="",K269&lt;&gt;"Ja"),"",COUNTIFS($B$5:B269,B269,$K$5:K269,"Ja"))</f>
        <v/>
      </c>
      <c r="P269" s="137" t="str">
        <f t="shared" si="19"/>
        <v/>
      </c>
    </row>
    <row r="270" spans="1:16" ht="13">
      <c r="A270" s="31" t="str">
        <f>IF('IMPORT PROFIXIO'!A270="","",'IMPORT PROFIXIO'!A270)</f>
        <v/>
      </c>
      <c r="B270" s="32" t="str">
        <f>IF(A270="","",IF(ISNUMBER('IMPORT PROFIXIO'!D270),'IMPORT PROFIXIO'!D270,DATEVALUE('IMPORT PROFIXIO'!D270)))</f>
        <v/>
      </c>
      <c r="C270" s="33" t="str">
        <f>IF(A270="","",IF(ISNUMBER('IMPORT PROFIXIO'!E270),'IMPORT PROFIXIO'!E270,(VALUE(LEFT('IMPORT PROFIXIO'!E270,FIND(":",'IMPORT PROFIXIO'!E270)-1))*60+VALUE(MID('IMPORT PROFIXIO'!E270,FIND(":",'IMPORT PROFIXIO'!E270)+1,2)))/1440))</f>
        <v/>
      </c>
      <c r="D270" s="31" t="str">
        <f>IF(A270="","",'IMPORT PROFIXIO'!F270)</f>
        <v/>
      </c>
      <c r="E270" s="31" t="str">
        <f>IF(A270="","",'IMPORT PROFIXIO'!K270)</f>
        <v/>
      </c>
      <c r="F270" s="34" t="str">
        <f>IF(A270="","",IFERROR(VLOOKUP(E270,KLASSNING!$A$5:$F$74,2,FALSE()),"SAKNAS"))</f>
        <v/>
      </c>
      <c r="G270" s="34" t="str">
        <f>IF(A270="","",IFERROR(VLOOKUP(E270,KLASSNING!$A$5:$F$74,3,FALSE()),"SAKNAS"))</f>
        <v/>
      </c>
      <c r="H270" s="34" t="str">
        <f>IF(A270="","",'IMPORT PROFIXIO'!H270)</f>
        <v/>
      </c>
      <c r="I270" s="34" t="str">
        <f>IF(A270="","",'IMPORT PROFIXIO'!I270)</f>
        <v/>
      </c>
      <c r="J270" s="34" t="str">
        <f t="shared" si="16"/>
        <v/>
      </c>
      <c r="K270" s="34" t="str">
        <f t="shared" si="17"/>
        <v/>
      </c>
      <c r="L270" s="34" t="str">
        <f>IF(A270="","",IFERROR(VLOOKUP(E270,KLASSNING!$A$5:$F$74,5,FALSE()),0))</f>
        <v/>
      </c>
      <c r="M270" s="35" t="str">
        <f t="shared" si="18"/>
        <v/>
      </c>
      <c r="N270" s="34" t="str">
        <f>IF(A270="","",IF(K270&lt;&gt;"Ja","Ej aktuell",IF(L270&lt;=0,"KONTROLLERA MATCHTID",IF(AND(COUNTIFS(BEMANNINGSPLAN!$A$5:$A$546,B270,BEMANNINGSPLAN!$C$5:$C$546,D270,BEMANNINGSPLAN!$D$5:$D$546,"&lt;="&amp;C270,BEMANNINGSPLAN!$E$5:$E$546,"&gt;"&amp;C270)&gt;0,COUNTIFS(BEMANNINGSPLAN!$A$5:$A$546,B270,BEMANNINGSPLAN!$C$5:$C$546,D270,BEMANNINGSPLAN!$D$5:$D$546,"&lt;"&amp;M270,BEMANNINGSPLAN!$E$5:$E$546,"&gt;="&amp;M270)&gt;0),"Ja","SAKNAS TIDSRADER"))))</f>
        <v/>
      </c>
      <c r="O270" s="137" t="str">
        <f>IF(OR(B270="",K270&lt;&gt;"Ja"),"",COUNTIFS($B$5:B270,B270,$K$5:K270,"Ja"))</f>
        <v/>
      </c>
      <c r="P270" s="137" t="str">
        <f t="shared" si="19"/>
        <v/>
      </c>
    </row>
    <row r="271" spans="1:16" ht="13">
      <c r="A271" s="31" t="str">
        <f>IF('IMPORT PROFIXIO'!A271="","",'IMPORT PROFIXIO'!A271)</f>
        <v/>
      </c>
      <c r="B271" s="32" t="str">
        <f>IF(A271="","",IF(ISNUMBER('IMPORT PROFIXIO'!D271),'IMPORT PROFIXIO'!D271,DATEVALUE('IMPORT PROFIXIO'!D271)))</f>
        <v/>
      </c>
      <c r="C271" s="33" t="str">
        <f>IF(A271="","",IF(ISNUMBER('IMPORT PROFIXIO'!E271),'IMPORT PROFIXIO'!E271,(VALUE(LEFT('IMPORT PROFIXIO'!E271,FIND(":",'IMPORT PROFIXIO'!E271)-1))*60+VALUE(MID('IMPORT PROFIXIO'!E271,FIND(":",'IMPORT PROFIXIO'!E271)+1,2)))/1440))</f>
        <v/>
      </c>
      <c r="D271" s="31" t="str">
        <f>IF(A271="","",'IMPORT PROFIXIO'!F271)</f>
        <v/>
      </c>
      <c r="E271" s="31" t="str">
        <f>IF(A271="","",'IMPORT PROFIXIO'!K271)</f>
        <v/>
      </c>
      <c r="F271" s="34" t="str">
        <f>IF(A271="","",IFERROR(VLOOKUP(E271,KLASSNING!$A$5:$F$74,2,FALSE()),"SAKNAS"))</f>
        <v/>
      </c>
      <c r="G271" s="34" t="str">
        <f>IF(A271="","",IFERROR(VLOOKUP(E271,KLASSNING!$A$5:$F$74,3,FALSE()),"SAKNAS"))</f>
        <v/>
      </c>
      <c r="H271" s="34" t="str">
        <f>IF(A271="","",'IMPORT PROFIXIO'!H271)</f>
        <v/>
      </c>
      <c r="I271" s="34" t="str">
        <f>IF(A271="","",'IMPORT PROFIXIO'!I271)</f>
        <v/>
      </c>
      <c r="J271" s="34" t="str">
        <f t="shared" si="16"/>
        <v/>
      </c>
      <c r="K271" s="34" t="str">
        <f t="shared" si="17"/>
        <v/>
      </c>
      <c r="L271" s="34" t="str">
        <f>IF(A271="","",IFERROR(VLOOKUP(E271,KLASSNING!$A$5:$F$74,5,FALSE()),0))</f>
        <v/>
      </c>
      <c r="M271" s="35" t="str">
        <f t="shared" si="18"/>
        <v/>
      </c>
      <c r="N271" s="34" t="str">
        <f>IF(A271="","",IF(K271&lt;&gt;"Ja","Ej aktuell",IF(L271&lt;=0,"KONTROLLERA MATCHTID",IF(AND(COUNTIFS(BEMANNINGSPLAN!$A$5:$A$546,B271,BEMANNINGSPLAN!$C$5:$C$546,D271,BEMANNINGSPLAN!$D$5:$D$546,"&lt;="&amp;C271,BEMANNINGSPLAN!$E$5:$E$546,"&gt;"&amp;C271)&gt;0,COUNTIFS(BEMANNINGSPLAN!$A$5:$A$546,B271,BEMANNINGSPLAN!$C$5:$C$546,D271,BEMANNINGSPLAN!$D$5:$D$546,"&lt;"&amp;M271,BEMANNINGSPLAN!$E$5:$E$546,"&gt;="&amp;M271)&gt;0),"Ja","SAKNAS TIDSRADER"))))</f>
        <v/>
      </c>
      <c r="O271" s="137" t="str">
        <f>IF(OR(B271="",K271&lt;&gt;"Ja"),"",COUNTIFS($B$5:B271,B271,$K$5:K271,"Ja"))</f>
        <v/>
      </c>
      <c r="P271" s="137" t="str">
        <f t="shared" si="19"/>
        <v/>
      </c>
    </row>
    <row r="272" spans="1:16" ht="13">
      <c r="A272" s="31" t="str">
        <f>IF('IMPORT PROFIXIO'!A272="","",'IMPORT PROFIXIO'!A272)</f>
        <v/>
      </c>
      <c r="B272" s="32" t="str">
        <f>IF(A272="","",IF(ISNUMBER('IMPORT PROFIXIO'!D272),'IMPORT PROFIXIO'!D272,DATEVALUE('IMPORT PROFIXIO'!D272)))</f>
        <v/>
      </c>
      <c r="C272" s="33" t="str">
        <f>IF(A272="","",IF(ISNUMBER('IMPORT PROFIXIO'!E272),'IMPORT PROFIXIO'!E272,(VALUE(LEFT('IMPORT PROFIXIO'!E272,FIND(":",'IMPORT PROFIXIO'!E272)-1))*60+VALUE(MID('IMPORT PROFIXIO'!E272,FIND(":",'IMPORT PROFIXIO'!E272)+1,2)))/1440))</f>
        <v/>
      </c>
      <c r="D272" s="31" t="str">
        <f>IF(A272="","",'IMPORT PROFIXIO'!F272)</f>
        <v/>
      </c>
      <c r="E272" s="31" t="str">
        <f>IF(A272="","",'IMPORT PROFIXIO'!K272)</f>
        <v/>
      </c>
      <c r="F272" s="34" t="str">
        <f>IF(A272="","",IFERROR(VLOOKUP(E272,KLASSNING!$A$5:$F$74,2,FALSE()),"SAKNAS"))</f>
        <v/>
      </c>
      <c r="G272" s="34" t="str">
        <f>IF(A272="","",IFERROR(VLOOKUP(E272,KLASSNING!$A$5:$F$74,3,FALSE()),"SAKNAS"))</f>
        <v/>
      </c>
      <c r="H272" s="34" t="str">
        <f>IF(A272="","",'IMPORT PROFIXIO'!H272)</f>
        <v/>
      </c>
      <c r="I272" s="34" t="str">
        <f>IF(A272="","",'IMPORT PROFIXIO'!I272)</f>
        <v/>
      </c>
      <c r="J272" s="34" t="str">
        <f t="shared" si="16"/>
        <v/>
      </c>
      <c r="K272" s="34" t="str">
        <f t="shared" si="17"/>
        <v/>
      </c>
      <c r="L272" s="34" t="str">
        <f>IF(A272="","",IFERROR(VLOOKUP(E272,KLASSNING!$A$5:$F$74,5,FALSE()),0))</f>
        <v/>
      </c>
      <c r="M272" s="35" t="str">
        <f t="shared" si="18"/>
        <v/>
      </c>
      <c r="N272" s="34" t="str">
        <f>IF(A272="","",IF(K272&lt;&gt;"Ja","Ej aktuell",IF(L272&lt;=0,"KONTROLLERA MATCHTID",IF(AND(COUNTIFS(BEMANNINGSPLAN!$A$5:$A$546,B272,BEMANNINGSPLAN!$C$5:$C$546,D272,BEMANNINGSPLAN!$D$5:$D$546,"&lt;="&amp;C272,BEMANNINGSPLAN!$E$5:$E$546,"&gt;"&amp;C272)&gt;0,COUNTIFS(BEMANNINGSPLAN!$A$5:$A$546,B272,BEMANNINGSPLAN!$C$5:$C$546,D272,BEMANNINGSPLAN!$D$5:$D$546,"&lt;"&amp;M272,BEMANNINGSPLAN!$E$5:$E$546,"&gt;="&amp;M272)&gt;0),"Ja","SAKNAS TIDSRADER"))))</f>
        <v/>
      </c>
      <c r="O272" s="137" t="str">
        <f>IF(OR(B272="",K272&lt;&gt;"Ja"),"",COUNTIFS($B$5:B272,B272,$K$5:K272,"Ja"))</f>
        <v/>
      </c>
      <c r="P272" s="137" t="str">
        <f t="shared" si="19"/>
        <v/>
      </c>
    </row>
    <row r="273" spans="1:16" ht="13">
      <c r="A273" s="31" t="str">
        <f>IF('IMPORT PROFIXIO'!A273="","",'IMPORT PROFIXIO'!A273)</f>
        <v/>
      </c>
      <c r="B273" s="32" t="str">
        <f>IF(A273="","",IF(ISNUMBER('IMPORT PROFIXIO'!D273),'IMPORT PROFIXIO'!D273,DATEVALUE('IMPORT PROFIXIO'!D273)))</f>
        <v/>
      </c>
      <c r="C273" s="33" t="str">
        <f>IF(A273="","",IF(ISNUMBER('IMPORT PROFIXIO'!E273),'IMPORT PROFIXIO'!E273,(VALUE(LEFT('IMPORT PROFIXIO'!E273,FIND(":",'IMPORT PROFIXIO'!E273)-1))*60+VALUE(MID('IMPORT PROFIXIO'!E273,FIND(":",'IMPORT PROFIXIO'!E273)+1,2)))/1440))</f>
        <v/>
      </c>
      <c r="D273" s="31" t="str">
        <f>IF(A273="","",'IMPORT PROFIXIO'!F273)</f>
        <v/>
      </c>
      <c r="E273" s="31" t="str">
        <f>IF(A273="","",'IMPORT PROFIXIO'!K273)</f>
        <v/>
      </c>
      <c r="F273" s="34" t="str">
        <f>IF(A273="","",IFERROR(VLOOKUP(E273,KLASSNING!$A$5:$F$74,2,FALSE()),"SAKNAS"))</f>
        <v/>
      </c>
      <c r="G273" s="34" t="str">
        <f>IF(A273="","",IFERROR(VLOOKUP(E273,KLASSNING!$A$5:$F$74,3,FALSE()),"SAKNAS"))</f>
        <v/>
      </c>
      <c r="H273" s="34" t="str">
        <f>IF(A273="","",'IMPORT PROFIXIO'!H273)</f>
        <v/>
      </c>
      <c r="I273" s="34" t="str">
        <f>IF(A273="","",'IMPORT PROFIXIO'!I273)</f>
        <v/>
      </c>
      <c r="J273" s="34" t="str">
        <f t="shared" si="16"/>
        <v/>
      </c>
      <c r="K273" s="34" t="str">
        <f t="shared" si="17"/>
        <v/>
      </c>
      <c r="L273" s="34" t="str">
        <f>IF(A273="","",IFERROR(VLOOKUP(E273,KLASSNING!$A$5:$F$74,5,FALSE()),0))</f>
        <v/>
      </c>
      <c r="M273" s="35" t="str">
        <f t="shared" si="18"/>
        <v/>
      </c>
      <c r="N273" s="34" t="str">
        <f>IF(A273="","",IF(K273&lt;&gt;"Ja","Ej aktuell",IF(L273&lt;=0,"KONTROLLERA MATCHTID",IF(AND(COUNTIFS(BEMANNINGSPLAN!$A$5:$A$546,B273,BEMANNINGSPLAN!$C$5:$C$546,D273,BEMANNINGSPLAN!$D$5:$D$546,"&lt;="&amp;C273,BEMANNINGSPLAN!$E$5:$E$546,"&gt;"&amp;C273)&gt;0,COUNTIFS(BEMANNINGSPLAN!$A$5:$A$546,B273,BEMANNINGSPLAN!$C$5:$C$546,D273,BEMANNINGSPLAN!$D$5:$D$546,"&lt;"&amp;M273,BEMANNINGSPLAN!$E$5:$E$546,"&gt;="&amp;M273)&gt;0),"Ja","SAKNAS TIDSRADER"))))</f>
        <v/>
      </c>
      <c r="O273" s="137" t="str">
        <f>IF(OR(B273="",K273&lt;&gt;"Ja"),"",COUNTIFS($B$5:B273,B273,$K$5:K273,"Ja"))</f>
        <v/>
      </c>
      <c r="P273" s="137" t="str">
        <f t="shared" si="19"/>
        <v/>
      </c>
    </row>
    <row r="274" spans="1:16" ht="13">
      <c r="A274" s="31" t="str">
        <f>IF('IMPORT PROFIXIO'!A274="","",'IMPORT PROFIXIO'!A274)</f>
        <v/>
      </c>
      <c r="B274" s="32" t="str">
        <f>IF(A274="","",IF(ISNUMBER('IMPORT PROFIXIO'!D274),'IMPORT PROFIXIO'!D274,DATEVALUE('IMPORT PROFIXIO'!D274)))</f>
        <v/>
      </c>
      <c r="C274" s="33" t="str">
        <f>IF(A274="","",IF(ISNUMBER('IMPORT PROFIXIO'!E274),'IMPORT PROFIXIO'!E274,(VALUE(LEFT('IMPORT PROFIXIO'!E274,FIND(":",'IMPORT PROFIXIO'!E274)-1))*60+VALUE(MID('IMPORT PROFIXIO'!E274,FIND(":",'IMPORT PROFIXIO'!E274)+1,2)))/1440))</f>
        <v/>
      </c>
      <c r="D274" s="31" t="str">
        <f>IF(A274="","",'IMPORT PROFIXIO'!F274)</f>
        <v/>
      </c>
      <c r="E274" s="31" t="str">
        <f>IF(A274="","",'IMPORT PROFIXIO'!K274)</f>
        <v/>
      </c>
      <c r="F274" s="34" t="str">
        <f>IF(A274="","",IFERROR(VLOOKUP(E274,KLASSNING!$A$5:$F$74,2,FALSE()),"SAKNAS"))</f>
        <v/>
      </c>
      <c r="G274" s="34" t="str">
        <f>IF(A274="","",IFERROR(VLOOKUP(E274,KLASSNING!$A$5:$F$74,3,FALSE()),"SAKNAS"))</f>
        <v/>
      </c>
      <c r="H274" s="34" t="str">
        <f>IF(A274="","",'IMPORT PROFIXIO'!H274)</f>
        <v/>
      </c>
      <c r="I274" s="34" t="str">
        <f>IF(A274="","",'IMPORT PROFIXIO'!I274)</f>
        <v/>
      </c>
      <c r="J274" s="34" t="str">
        <f t="shared" si="16"/>
        <v/>
      </c>
      <c r="K274" s="34" t="str">
        <f t="shared" si="17"/>
        <v/>
      </c>
      <c r="L274" s="34" t="str">
        <f>IF(A274="","",IFERROR(VLOOKUP(E274,KLASSNING!$A$5:$F$74,5,FALSE()),0))</f>
        <v/>
      </c>
      <c r="M274" s="35" t="str">
        <f t="shared" si="18"/>
        <v/>
      </c>
      <c r="N274" s="34" t="str">
        <f>IF(A274="","",IF(K274&lt;&gt;"Ja","Ej aktuell",IF(L274&lt;=0,"KONTROLLERA MATCHTID",IF(AND(COUNTIFS(BEMANNINGSPLAN!$A$5:$A$546,B274,BEMANNINGSPLAN!$C$5:$C$546,D274,BEMANNINGSPLAN!$D$5:$D$546,"&lt;="&amp;C274,BEMANNINGSPLAN!$E$5:$E$546,"&gt;"&amp;C274)&gt;0,COUNTIFS(BEMANNINGSPLAN!$A$5:$A$546,B274,BEMANNINGSPLAN!$C$5:$C$546,D274,BEMANNINGSPLAN!$D$5:$D$546,"&lt;"&amp;M274,BEMANNINGSPLAN!$E$5:$E$546,"&gt;="&amp;M274)&gt;0),"Ja","SAKNAS TIDSRADER"))))</f>
        <v/>
      </c>
      <c r="O274" s="137" t="str">
        <f>IF(OR(B274="",K274&lt;&gt;"Ja"),"",COUNTIFS($B$5:B274,B274,$K$5:K274,"Ja"))</f>
        <v/>
      </c>
      <c r="P274" s="137" t="str">
        <f t="shared" si="19"/>
        <v/>
      </c>
    </row>
    <row r="275" spans="1:16" ht="13">
      <c r="A275" s="31" t="str">
        <f>IF('IMPORT PROFIXIO'!A275="","",'IMPORT PROFIXIO'!A275)</f>
        <v/>
      </c>
      <c r="B275" s="32" t="str">
        <f>IF(A275="","",IF(ISNUMBER('IMPORT PROFIXIO'!D275),'IMPORT PROFIXIO'!D275,DATEVALUE('IMPORT PROFIXIO'!D275)))</f>
        <v/>
      </c>
      <c r="C275" s="33" t="str">
        <f>IF(A275="","",IF(ISNUMBER('IMPORT PROFIXIO'!E275),'IMPORT PROFIXIO'!E275,(VALUE(LEFT('IMPORT PROFIXIO'!E275,FIND(":",'IMPORT PROFIXIO'!E275)-1))*60+VALUE(MID('IMPORT PROFIXIO'!E275,FIND(":",'IMPORT PROFIXIO'!E275)+1,2)))/1440))</f>
        <v/>
      </c>
      <c r="D275" s="31" t="str">
        <f>IF(A275="","",'IMPORT PROFIXIO'!F275)</f>
        <v/>
      </c>
      <c r="E275" s="31" t="str">
        <f>IF(A275="","",'IMPORT PROFIXIO'!K275)</f>
        <v/>
      </c>
      <c r="F275" s="34" t="str">
        <f>IF(A275="","",IFERROR(VLOOKUP(E275,KLASSNING!$A$5:$F$74,2,FALSE()),"SAKNAS"))</f>
        <v/>
      </c>
      <c r="G275" s="34" t="str">
        <f>IF(A275="","",IFERROR(VLOOKUP(E275,KLASSNING!$A$5:$F$74,3,FALSE()),"SAKNAS"))</f>
        <v/>
      </c>
      <c r="H275" s="34" t="str">
        <f>IF(A275="","",'IMPORT PROFIXIO'!H275)</f>
        <v/>
      </c>
      <c r="I275" s="34" t="str">
        <f>IF(A275="","",'IMPORT PROFIXIO'!I275)</f>
        <v/>
      </c>
      <c r="J275" s="34" t="str">
        <f t="shared" si="16"/>
        <v/>
      </c>
      <c r="K275" s="34" t="str">
        <f t="shared" si="17"/>
        <v/>
      </c>
      <c r="L275" s="34" t="str">
        <f>IF(A275="","",IFERROR(VLOOKUP(E275,KLASSNING!$A$5:$F$74,5,FALSE()),0))</f>
        <v/>
      </c>
      <c r="M275" s="35" t="str">
        <f t="shared" si="18"/>
        <v/>
      </c>
      <c r="N275" s="34" t="str">
        <f>IF(A275="","",IF(K275&lt;&gt;"Ja","Ej aktuell",IF(L275&lt;=0,"KONTROLLERA MATCHTID",IF(AND(COUNTIFS(BEMANNINGSPLAN!$A$5:$A$546,B275,BEMANNINGSPLAN!$C$5:$C$546,D275,BEMANNINGSPLAN!$D$5:$D$546,"&lt;="&amp;C275,BEMANNINGSPLAN!$E$5:$E$546,"&gt;"&amp;C275)&gt;0,COUNTIFS(BEMANNINGSPLAN!$A$5:$A$546,B275,BEMANNINGSPLAN!$C$5:$C$546,D275,BEMANNINGSPLAN!$D$5:$D$546,"&lt;"&amp;M275,BEMANNINGSPLAN!$E$5:$E$546,"&gt;="&amp;M275)&gt;0),"Ja","SAKNAS TIDSRADER"))))</f>
        <v/>
      </c>
      <c r="O275" s="137" t="str">
        <f>IF(OR(B275="",K275&lt;&gt;"Ja"),"",COUNTIFS($B$5:B275,B275,$K$5:K275,"Ja"))</f>
        <v/>
      </c>
      <c r="P275" s="137" t="str">
        <f t="shared" si="19"/>
        <v/>
      </c>
    </row>
    <row r="276" spans="1:16" ht="13">
      <c r="A276" s="31" t="str">
        <f>IF('IMPORT PROFIXIO'!A276="","",'IMPORT PROFIXIO'!A276)</f>
        <v/>
      </c>
      <c r="B276" s="32" t="str">
        <f>IF(A276="","",IF(ISNUMBER('IMPORT PROFIXIO'!D276),'IMPORT PROFIXIO'!D276,DATEVALUE('IMPORT PROFIXIO'!D276)))</f>
        <v/>
      </c>
      <c r="C276" s="33" t="str">
        <f>IF(A276="","",IF(ISNUMBER('IMPORT PROFIXIO'!E276),'IMPORT PROFIXIO'!E276,(VALUE(LEFT('IMPORT PROFIXIO'!E276,FIND(":",'IMPORT PROFIXIO'!E276)-1))*60+VALUE(MID('IMPORT PROFIXIO'!E276,FIND(":",'IMPORT PROFIXIO'!E276)+1,2)))/1440))</f>
        <v/>
      </c>
      <c r="D276" s="31" t="str">
        <f>IF(A276="","",'IMPORT PROFIXIO'!F276)</f>
        <v/>
      </c>
      <c r="E276" s="31" t="str">
        <f>IF(A276="","",'IMPORT PROFIXIO'!K276)</f>
        <v/>
      </c>
      <c r="F276" s="34" t="str">
        <f>IF(A276="","",IFERROR(VLOOKUP(E276,KLASSNING!$A$5:$F$74,2,FALSE()),"SAKNAS"))</f>
        <v/>
      </c>
      <c r="G276" s="34" t="str">
        <f>IF(A276="","",IFERROR(VLOOKUP(E276,KLASSNING!$A$5:$F$74,3,FALSE()),"SAKNAS"))</f>
        <v/>
      </c>
      <c r="H276" s="34" t="str">
        <f>IF(A276="","",'IMPORT PROFIXIO'!H276)</f>
        <v/>
      </c>
      <c r="I276" s="34" t="str">
        <f>IF(A276="","",'IMPORT PROFIXIO'!I276)</f>
        <v/>
      </c>
      <c r="J276" s="34" t="str">
        <f t="shared" si="16"/>
        <v/>
      </c>
      <c r="K276" s="34" t="str">
        <f t="shared" si="17"/>
        <v/>
      </c>
      <c r="L276" s="34" t="str">
        <f>IF(A276="","",IFERROR(VLOOKUP(E276,KLASSNING!$A$5:$F$74,5,FALSE()),0))</f>
        <v/>
      </c>
      <c r="M276" s="35" t="str">
        <f t="shared" si="18"/>
        <v/>
      </c>
      <c r="N276" s="34" t="str">
        <f>IF(A276="","",IF(K276&lt;&gt;"Ja","Ej aktuell",IF(L276&lt;=0,"KONTROLLERA MATCHTID",IF(AND(COUNTIFS(BEMANNINGSPLAN!$A$5:$A$546,B276,BEMANNINGSPLAN!$C$5:$C$546,D276,BEMANNINGSPLAN!$D$5:$D$546,"&lt;="&amp;C276,BEMANNINGSPLAN!$E$5:$E$546,"&gt;"&amp;C276)&gt;0,COUNTIFS(BEMANNINGSPLAN!$A$5:$A$546,B276,BEMANNINGSPLAN!$C$5:$C$546,D276,BEMANNINGSPLAN!$D$5:$D$546,"&lt;"&amp;M276,BEMANNINGSPLAN!$E$5:$E$546,"&gt;="&amp;M276)&gt;0),"Ja","SAKNAS TIDSRADER"))))</f>
        <v/>
      </c>
      <c r="O276" s="137" t="str">
        <f>IF(OR(B276="",K276&lt;&gt;"Ja"),"",COUNTIFS($B$5:B276,B276,$K$5:K276,"Ja"))</f>
        <v/>
      </c>
      <c r="P276" s="137" t="str">
        <f t="shared" si="19"/>
        <v/>
      </c>
    </row>
    <row r="277" spans="1:16" ht="13">
      <c r="A277" s="31" t="str">
        <f>IF('IMPORT PROFIXIO'!A277="","",'IMPORT PROFIXIO'!A277)</f>
        <v/>
      </c>
      <c r="B277" s="32" t="str">
        <f>IF(A277="","",IF(ISNUMBER('IMPORT PROFIXIO'!D277),'IMPORT PROFIXIO'!D277,DATEVALUE('IMPORT PROFIXIO'!D277)))</f>
        <v/>
      </c>
      <c r="C277" s="33" t="str">
        <f>IF(A277="","",IF(ISNUMBER('IMPORT PROFIXIO'!E277),'IMPORT PROFIXIO'!E277,(VALUE(LEFT('IMPORT PROFIXIO'!E277,FIND(":",'IMPORT PROFIXIO'!E277)-1))*60+VALUE(MID('IMPORT PROFIXIO'!E277,FIND(":",'IMPORT PROFIXIO'!E277)+1,2)))/1440))</f>
        <v/>
      </c>
      <c r="D277" s="31" t="str">
        <f>IF(A277="","",'IMPORT PROFIXIO'!F277)</f>
        <v/>
      </c>
      <c r="E277" s="31" t="str">
        <f>IF(A277="","",'IMPORT PROFIXIO'!K277)</f>
        <v/>
      </c>
      <c r="F277" s="34" t="str">
        <f>IF(A277="","",IFERROR(VLOOKUP(E277,KLASSNING!$A$5:$F$74,2,FALSE()),"SAKNAS"))</f>
        <v/>
      </c>
      <c r="G277" s="34" t="str">
        <f>IF(A277="","",IFERROR(VLOOKUP(E277,KLASSNING!$A$5:$F$74,3,FALSE()),"SAKNAS"))</f>
        <v/>
      </c>
      <c r="H277" s="34" t="str">
        <f>IF(A277="","",'IMPORT PROFIXIO'!H277)</f>
        <v/>
      </c>
      <c r="I277" s="34" t="str">
        <f>IF(A277="","",'IMPORT PROFIXIO'!I277)</f>
        <v/>
      </c>
      <c r="J277" s="34" t="str">
        <f t="shared" si="16"/>
        <v/>
      </c>
      <c r="K277" s="34" t="str">
        <f t="shared" si="17"/>
        <v/>
      </c>
      <c r="L277" s="34" t="str">
        <f>IF(A277="","",IFERROR(VLOOKUP(E277,KLASSNING!$A$5:$F$74,5,FALSE()),0))</f>
        <v/>
      </c>
      <c r="M277" s="35" t="str">
        <f t="shared" si="18"/>
        <v/>
      </c>
      <c r="N277" s="34" t="str">
        <f>IF(A277="","",IF(K277&lt;&gt;"Ja","Ej aktuell",IF(L277&lt;=0,"KONTROLLERA MATCHTID",IF(AND(COUNTIFS(BEMANNINGSPLAN!$A$5:$A$546,B277,BEMANNINGSPLAN!$C$5:$C$546,D277,BEMANNINGSPLAN!$D$5:$D$546,"&lt;="&amp;C277,BEMANNINGSPLAN!$E$5:$E$546,"&gt;"&amp;C277)&gt;0,COUNTIFS(BEMANNINGSPLAN!$A$5:$A$546,B277,BEMANNINGSPLAN!$C$5:$C$546,D277,BEMANNINGSPLAN!$D$5:$D$546,"&lt;"&amp;M277,BEMANNINGSPLAN!$E$5:$E$546,"&gt;="&amp;M277)&gt;0),"Ja","SAKNAS TIDSRADER"))))</f>
        <v/>
      </c>
      <c r="O277" s="137" t="str">
        <f>IF(OR(B277="",K277&lt;&gt;"Ja"),"",COUNTIFS($B$5:B277,B277,$K$5:K277,"Ja"))</f>
        <v/>
      </c>
      <c r="P277" s="137" t="str">
        <f t="shared" si="19"/>
        <v/>
      </c>
    </row>
    <row r="278" spans="1:16" ht="13">
      <c r="A278" s="31" t="str">
        <f>IF('IMPORT PROFIXIO'!A278="","",'IMPORT PROFIXIO'!A278)</f>
        <v/>
      </c>
      <c r="B278" s="32" t="str">
        <f>IF(A278="","",IF(ISNUMBER('IMPORT PROFIXIO'!D278),'IMPORT PROFIXIO'!D278,DATEVALUE('IMPORT PROFIXIO'!D278)))</f>
        <v/>
      </c>
      <c r="C278" s="33" t="str">
        <f>IF(A278="","",IF(ISNUMBER('IMPORT PROFIXIO'!E278),'IMPORT PROFIXIO'!E278,(VALUE(LEFT('IMPORT PROFIXIO'!E278,FIND(":",'IMPORT PROFIXIO'!E278)-1))*60+VALUE(MID('IMPORT PROFIXIO'!E278,FIND(":",'IMPORT PROFIXIO'!E278)+1,2)))/1440))</f>
        <v/>
      </c>
      <c r="D278" s="31" t="str">
        <f>IF(A278="","",'IMPORT PROFIXIO'!F278)</f>
        <v/>
      </c>
      <c r="E278" s="31" t="str">
        <f>IF(A278="","",'IMPORT PROFIXIO'!K278)</f>
        <v/>
      </c>
      <c r="F278" s="34" t="str">
        <f>IF(A278="","",IFERROR(VLOOKUP(E278,KLASSNING!$A$5:$F$74,2,FALSE()),"SAKNAS"))</f>
        <v/>
      </c>
      <c r="G278" s="34" t="str">
        <f>IF(A278="","",IFERROR(VLOOKUP(E278,KLASSNING!$A$5:$F$74,3,FALSE()),"SAKNAS"))</f>
        <v/>
      </c>
      <c r="H278" s="34" t="str">
        <f>IF(A278="","",'IMPORT PROFIXIO'!H278)</f>
        <v/>
      </c>
      <c r="I278" s="34" t="str">
        <f>IF(A278="","",'IMPORT PROFIXIO'!I278)</f>
        <v/>
      </c>
      <c r="J278" s="34" t="str">
        <f t="shared" si="16"/>
        <v/>
      </c>
      <c r="K278" s="34" t="str">
        <f t="shared" si="17"/>
        <v/>
      </c>
      <c r="L278" s="34" t="str">
        <f>IF(A278="","",IFERROR(VLOOKUP(E278,KLASSNING!$A$5:$F$74,5,FALSE()),0))</f>
        <v/>
      </c>
      <c r="M278" s="35" t="str">
        <f t="shared" si="18"/>
        <v/>
      </c>
      <c r="N278" s="34" t="str">
        <f>IF(A278="","",IF(K278&lt;&gt;"Ja","Ej aktuell",IF(L278&lt;=0,"KONTROLLERA MATCHTID",IF(AND(COUNTIFS(BEMANNINGSPLAN!$A$5:$A$546,B278,BEMANNINGSPLAN!$C$5:$C$546,D278,BEMANNINGSPLAN!$D$5:$D$546,"&lt;="&amp;C278,BEMANNINGSPLAN!$E$5:$E$546,"&gt;"&amp;C278)&gt;0,COUNTIFS(BEMANNINGSPLAN!$A$5:$A$546,B278,BEMANNINGSPLAN!$C$5:$C$546,D278,BEMANNINGSPLAN!$D$5:$D$546,"&lt;"&amp;M278,BEMANNINGSPLAN!$E$5:$E$546,"&gt;="&amp;M278)&gt;0),"Ja","SAKNAS TIDSRADER"))))</f>
        <v/>
      </c>
      <c r="O278" s="137" t="str">
        <f>IF(OR(B278="",K278&lt;&gt;"Ja"),"",COUNTIFS($B$5:B278,B278,$K$5:K278,"Ja"))</f>
        <v/>
      </c>
      <c r="P278" s="137" t="str">
        <f t="shared" si="19"/>
        <v/>
      </c>
    </row>
    <row r="279" spans="1:16" ht="13">
      <c r="A279" s="31" t="str">
        <f>IF('IMPORT PROFIXIO'!A279="","",'IMPORT PROFIXIO'!A279)</f>
        <v/>
      </c>
      <c r="B279" s="32" t="str">
        <f>IF(A279="","",IF(ISNUMBER('IMPORT PROFIXIO'!D279),'IMPORT PROFIXIO'!D279,DATEVALUE('IMPORT PROFIXIO'!D279)))</f>
        <v/>
      </c>
      <c r="C279" s="33" t="str">
        <f>IF(A279="","",IF(ISNUMBER('IMPORT PROFIXIO'!E279),'IMPORT PROFIXIO'!E279,(VALUE(LEFT('IMPORT PROFIXIO'!E279,FIND(":",'IMPORT PROFIXIO'!E279)-1))*60+VALUE(MID('IMPORT PROFIXIO'!E279,FIND(":",'IMPORT PROFIXIO'!E279)+1,2)))/1440))</f>
        <v/>
      </c>
      <c r="D279" s="31" t="str">
        <f>IF(A279="","",'IMPORT PROFIXIO'!F279)</f>
        <v/>
      </c>
      <c r="E279" s="31" t="str">
        <f>IF(A279="","",'IMPORT PROFIXIO'!K279)</f>
        <v/>
      </c>
      <c r="F279" s="34" t="str">
        <f>IF(A279="","",IFERROR(VLOOKUP(E279,KLASSNING!$A$5:$F$74,2,FALSE()),"SAKNAS"))</f>
        <v/>
      </c>
      <c r="G279" s="34" t="str">
        <f>IF(A279="","",IFERROR(VLOOKUP(E279,KLASSNING!$A$5:$F$74,3,FALSE()),"SAKNAS"))</f>
        <v/>
      </c>
      <c r="H279" s="34" t="str">
        <f>IF(A279="","",'IMPORT PROFIXIO'!H279)</f>
        <v/>
      </c>
      <c r="I279" s="34" t="str">
        <f>IF(A279="","",'IMPORT PROFIXIO'!I279)</f>
        <v/>
      </c>
      <c r="J279" s="34" t="str">
        <f t="shared" si="16"/>
        <v/>
      </c>
      <c r="K279" s="34" t="str">
        <f t="shared" si="17"/>
        <v/>
      </c>
      <c r="L279" s="34" t="str">
        <f>IF(A279="","",IFERROR(VLOOKUP(E279,KLASSNING!$A$5:$F$74,5,FALSE()),0))</f>
        <v/>
      </c>
      <c r="M279" s="35" t="str">
        <f t="shared" si="18"/>
        <v/>
      </c>
      <c r="N279" s="34" t="str">
        <f>IF(A279="","",IF(K279&lt;&gt;"Ja","Ej aktuell",IF(L279&lt;=0,"KONTROLLERA MATCHTID",IF(AND(COUNTIFS(BEMANNINGSPLAN!$A$5:$A$546,B279,BEMANNINGSPLAN!$C$5:$C$546,D279,BEMANNINGSPLAN!$D$5:$D$546,"&lt;="&amp;C279,BEMANNINGSPLAN!$E$5:$E$546,"&gt;"&amp;C279)&gt;0,COUNTIFS(BEMANNINGSPLAN!$A$5:$A$546,B279,BEMANNINGSPLAN!$C$5:$C$546,D279,BEMANNINGSPLAN!$D$5:$D$546,"&lt;"&amp;M279,BEMANNINGSPLAN!$E$5:$E$546,"&gt;="&amp;M279)&gt;0),"Ja","SAKNAS TIDSRADER"))))</f>
        <v/>
      </c>
      <c r="O279" s="137" t="str">
        <f>IF(OR(B279="",K279&lt;&gt;"Ja"),"",COUNTIFS($B$5:B279,B279,$K$5:K279,"Ja"))</f>
        <v/>
      </c>
      <c r="P279" s="137" t="str">
        <f t="shared" si="19"/>
        <v/>
      </c>
    </row>
    <row r="280" spans="1:16" ht="13">
      <c r="A280" s="31" t="str">
        <f>IF('IMPORT PROFIXIO'!A280="","",'IMPORT PROFIXIO'!A280)</f>
        <v/>
      </c>
      <c r="B280" s="32" t="str">
        <f>IF(A280="","",IF(ISNUMBER('IMPORT PROFIXIO'!D280),'IMPORT PROFIXIO'!D280,DATEVALUE('IMPORT PROFIXIO'!D280)))</f>
        <v/>
      </c>
      <c r="C280" s="33" t="str">
        <f>IF(A280="","",IF(ISNUMBER('IMPORT PROFIXIO'!E280),'IMPORT PROFIXIO'!E280,(VALUE(LEFT('IMPORT PROFIXIO'!E280,FIND(":",'IMPORT PROFIXIO'!E280)-1))*60+VALUE(MID('IMPORT PROFIXIO'!E280,FIND(":",'IMPORT PROFIXIO'!E280)+1,2)))/1440))</f>
        <v/>
      </c>
      <c r="D280" s="31" t="str">
        <f>IF(A280="","",'IMPORT PROFIXIO'!F280)</f>
        <v/>
      </c>
      <c r="E280" s="31" t="str">
        <f>IF(A280="","",'IMPORT PROFIXIO'!K280)</f>
        <v/>
      </c>
      <c r="F280" s="34" t="str">
        <f>IF(A280="","",IFERROR(VLOOKUP(E280,KLASSNING!$A$5:$F$74,2,FALSE()),"SAKNAS"))</f>
        <v/>
      </c>
      <c r="G280" s="34" t="str">
        <f>IF(A280="","",IFERROR(VLOOKUP(E280,KLASSNING!$A$5:$F$74,3,FALSE()),"SAKNAS"))</f>
        <v/>
      </c>
      <c r="H280" s="34" t="str">
        <f>IF(A280="","",'IMPORT PROFIXIO'!H280)</f>
        <v/>
      </c>
      <c r="I280" s="34" t="str">
        <f>IF(A280="","",'IMPORT PROFIXIO'!I280)</f>
        <v/>
      </c>
      <c r="J280" s="34" t="str">
        <f t="shared" si="16"/>
        <v/>
      </c>
      <c r="K280" s="34" t="str">
        <f t="shared" si="17"/>
        <v/>
      </c>
      <c r="L280" s="34" t="str">
        <f>IF(A280="","",IFERROR(VLOOKUP(E280,KLASSNING!$A$5:$F$74,5,FALSE()),0))</f>
        <v/>
      </c>
      <c r="M280" s="35" t="str">
        <f t="shared" si="18"/>
        <v/>
      </c>
      <c r="N280" s="34" t="str">
        <f>IF(A280="","",IF(K280&lt;&gt;"Ja","Ej aktuell",IF(L280&lt;=0,"KONTROLLERA MATCHTID",IF(AND(COUNTIFS(BEMANNINGSPLAN!$A$5:$A$546,B280,BEMANNINGSPLAN!$C$5:$C$546,D280,BEMANNINGSPLAN!$D$5:$D$546,"&lt;="&amp;C280,BEMANNINGSPLAN!$E$5:$E$546,"&gt;"&amp;C280)&gt;0,COUNTIFS(BEMANNINGSPLAN!$A$5:$A$546,B280,BEMANNINGSPLAN!$C$5:$C$546,D280,BEMANNINGSPLAN!$D$5:$D$546,"&lt;"&amp;M280,BEMANNINGSPLAN!$E$5:$E$546,"&gt;="&amp;M280)&gt;0),"Ja","SAKNAS TIDSRADER"))))</f>
        <v/>
      </c>
      <c r="O280" s="137" t="str">
        <f>IF(OR(B280="",K280&lt;&gt;"Ja"),"",COUNTIFS($B$5:B280,B280,$K$5:K280,"Ja"))</f>
        <v/>
      </c>
      <c r="P280" s="137" t="str">
        <f t="shared" si="19"/>
        <v/>
      </c>
    </row>
    <row r="281" spans="1:16" ht="13">
      <c r="A281" s="31" t="str">
        <f>IF('IMPORT PROFIXIO'!A281="","",'IMPORT PROFIXIO'!A281)</f>
        <v/>
      </c>
      <c r="B281" s="32" t="str">
        <f>IF(A281="","",IF(ISNUMBER('IMPORT PROFIXIO'!D281),'IMPORT PROFIXIO'!D281,DATEVALUE('IMPORT PROFIXIO'!D281)))</f>
        <v/>
      </c>
      <c r="C281" s="33" t="str">
        <f>IF(A281="","",IF(ISNUMBER('IMPORT PROFIXIO'!E281),'IMPORT PROFIXIO'!E281,(VALUE(LEFT('IMPORT PROFIXIO'!E281,FIND(":",'IMPORT PROFIXIO'!E281)-1))*60+VALUE(MID('IMPORT PROFIXIO'!E281,FIND(":",'IMPORT PROFIXIO'!E281)+1,2)))/1440))</f>
        <v/>
      </c>
      <c r="D281" s="31" t="str">
        <f>IF(A281="","",'IMPORT PROFIXIO'!F281)</f>
        <v/>
      </c>
      <c r="E281" s="31" t="str">
        <f>IF(A281="","",'IMPORT PROFIXIO'!K281)</f>
        <v/>
      </c>
      <c r="F281" s="34" t="str">
        <f>IF(A281="","",IFERROR(VLOOKUP(E281,KLASSNING!$A$5:$F$74,2,FALSE()),"SAKNAS"))</f>
        <v/>
      </c>
      <c r="G281" s="34" t="str">
        <f>IF(A281="","",IFERROR(VLOOKUP(E281,KLASSNING!$A$5:$F$74,3,FALSE()),"SAKNAS"))</f>
        <v/>
      </c>
      <c r="H281" s="34" t="str">
        <f>IF(A281="","",'IMPORT PROFIXIO'!H281)</f>
        <v/>
      </c>
      <c r="I281" s="34" t="str">
        <f>IF(A281="","",'IMPORT PROFIXIO'!I281)</f>
        <v/>
      </c>
      <c r="J281" s="34" t="str">
        <f t="shared" si="16"/>
        <v/>
      </c>
      <c r="K281" s="34" t="str">
        <f t="shared" si="17"/>
        <v/>
      </c>
      <c r="L281" s="34" t="str">
        <f>IF(A281="","",IFERROR(VLOOKUP(E281,KLASSNING!$A$5:$F$74,5,FALSE()),0))</f>
        <v/>
      </c>
      <c r="M281" s="35" t="str">
        <f t="shared" si="18"/>
        <v/>
      </c>
      <c r="N281" s="34" t="str">
        <f>IF(A281="","",IF(K281&lt;&gt;"Ja","Ej aktuell",IF(L281&lt;=0,"KONTROLLERA MATCHTID",IF(AND(COUNTIFS(BEMANNINGSPLAN!$A$5:$A$546,B281,BEMANNINGSPLAN!$C$5:$C$546,D281,BEMANNINGSPLAN!$D$5:$D$546,"&lt;="&amp;C281,BEMANNINGSPLAN!$E$5:$E$546,"&gt;"&amp;C281)&gt;0,COUNTIFS(BEMANNINGSPLAN!$A$5:$A$546,B281,BEMANNINGSPLAN!$C$5:$C$546,D281,BEMANNINGSPLAN!$D$5:$D$546,"&lt;"&amp;M281,BEMANNINGSPLAN!$E$5:$E$546,"&gt;="&amp;M281)&gt;0),"Ja","SAKNAS TIDSRADER"))))</f>
        <v/>
      </c>
      <c r="O281" s="137" t="str">
        <f>IF(OR(B281="",K281&lt;&gt;"Ja"),"",COUNTIFS($B$5:B281,B281,$K$5:K281,"Ja"))</f>
        <v/>
      </c>
      <c r="P281" s="137" t="str">
        <f t="shared" si="19"/>
        <v/>
      </c>
    </row>
    <row r="282" spans="1:16" ht="13">
      <c r="A282" s="31" t="str">
        <f>IF('IMPORT PROFIXIO'!A282="","",'IMPORT PROFIXIO'!A282)</f>
        <v/>
      </c>
      <c r="B282" s="32" t="str">
        <f>IF(A282="","",IF(ISNUMBER('IMPORT PROFIXIO'!D282),'IMPORT PROFIXIO'!D282,DATEVALUE('IMPORT PROFIXIO'!D282)))</f>
        <v/>
      </c>
      <c r="C282" s="33" t="str">
        <f>IF(A282="","",IF(ISNUMBER('IMPORT PROFIXIO'!E282),'IMPORT PROFIXIO'!E282,(VALUE(LEFT('IMPORT PROFIXIO'!E282,FIND(":",'IMPORT PROFIXIO'!E282)-1))*60+VALUE(MID('IMPORT PROFIXIO'!E282,FIND(":",'IMPORT PROFIXIO'!E282)+1,2)))/1440))</f>
        <v/>
      </c>
      <c r="D282" s="31" t="str">
        <f>IF(A282="","",'IMPORT PROFIXIO'!F282)</f>
        <v/>
      </c>
      <c r="E282" s="31" t="str">
        <f>IF(A282="","",'IMPORT PROFIXIO'!K282)</f>
        <v/>
      </c>
      <c r="F282" s="34" t="str">
        <f>IF(A282="","",IFERROR(VLOOKUP(E282,KLASSNING!$A$5:$F$74,2,FALSE()),"SAKNAS"))</f>
        <v/>
      </c>
      <c r="G282" s="34" t="str">
        <f>IF(A282="","",IFERROR(VLOOKUP(E282,KLASSNING!$A$5:$F$74,3,FALSE()),"SAKNAS"))</f>
        <v/>
      </c>
      <c r="H282" s="34" t="str">
        <f>IF(A282="","",'IMPORT PROFIXIO'!H282)</f>
        <v/>
      </c>
      <c r="I282" s="34" t="str">
        <f>IF(A282="","",'IMPORT PROFIXIO'!I282)</f>
        <v/>
      </c>
      <c r="J282" s="34" t="str">
        <f t="shared" si="16"/>
        <v/>
      </c>
      <c r="K282" s="34" t="str">
        <f t="shared" si="17"/>
        <v/>
      </c>
      <c r="L282" s="34" t="str">
        <f>IF(A282="","",IFERROR(VLOOKUP(E282,KLASSNING!$A$5:$F$74,5,FALSE()),0))</f>
        <v/>
      </c>
      <c r="M282" s="35" t="str">
        <f t="shared" si="18"/>
        <v/>
      </c>
      <c r="N282" s="34" t="str">
        <f>IF(A282="","",IF(K282&lt;&gt;"Ja","Ej aktuell",IF(L282&lt;=0,"KONTROLLERA MATCHTID",IF(AND(COUNTIFS(BEMANNINGSPLAN!$A$5:$A$546,B282,BEMANNINGSPLAN!$C$5:$C$546,D282,BEMANNINGSPLAN!$D$5:$D$546,"&lt;="&amp;C282,BEMANNINGSPLAN!$E$5:$E$546,"&gt;"&amp;C282)&gt;0,COUNTIFS(BEMANNINGSPLAN!$A$5:$A$546,B282,BEMANNINGSPLAN!$C$5:$C$546,D282,BEMANNINGSPLAN!$D$5:$D$546,"&lt;"&amp;M282,BEMANNINGSPLAN!$E$5:$E$546,"&gt;="&amp;M282)&gt;0),"Ja","SAKNAS TIDSRADER"))))</f>
        <v/>
      </c>
      <c r="O282" s="137" t="str">
        <f>IF(OR(B282="",K282&lt;&gt;"Ja"),"",COUNTIFS($B$5:B282,B282,$K$5:K282,"Ja"))</f>
        <v/>
      </c>
      <c r="P282" s="137" t="str">
        <f t="shared" si="19"/>
        <v/>
      </c>
    </row>
    <row r="283" spans="1:16" ht="13">
      <c r="A283" s="31" t="str">
        <f>IF('IMPORT PROFIXIO'!A283="","",'IMPORT PROFIXIO'!A283)</f>
        <v/>
      </c>
      <c r="B283" s="32" t="str">
        <f>IF(A283="","",IF(ISNUMBER('IMPORT PROFIXIO'!D283),'IMPORT PROFIXIO'!D283,DATEVALUE('IMPORT PROFIXIO'!D283)))</f>
        <v/>
      </c>
      <c r="C283" s="33" t="str">
        <f>IF(A283="","",IF(ISNUMBER('IMPORT PROFIXIO'!E283),'IMPORT PROFIXIO'!E283,(VALUE(LEFT('IMPORT PROFIXIO'!E283,FIND(":",'IMPORT PROFIXIO'!E283)-1))*60+VALUE(MID('IMPORT PROFIXIO'!E283,FIND(":",'IMPORT PROFIXIO'!E283)+1,2)))/1440))</f>
        <v/>
      </c>
      <c r="D283" s="31" t="str">
        <f>IF(A283="","",'IMPORT PROFIXIO'!F283)</f>
        <v/>
      </c>
      <c r="E283" s="31" t="str">
        <f>IF(A283="","",'IMPORT PROFIXIO'!K283)</f>
        <v/>
      </c>
      <c r="F283" s="34" t="str">
        <f>IF(A283="","",IFERROR(VLOOKUP(E283,KLASSNING!$A$5:$F$74,2,FALSE()),"SAKNAS"))</f>
        <v/>
      </c>
      <c r="G283" s="34" t="str">
        <f>IF(A283="","",IFERROR(VLOOKUP(E283,KLASSNING!$A$5:$F$74,3,FALSE()),"SAKNAS"))</f>
        <v/>
      </c>
      <c r="H283" s="34" t="str">
        <f>IF(A283="","",'IMPORT PROFIXIO'!H283)</f>
        <v/>
      </c>
      <c r="I283" s="34" t="str">
        <f>IF(A283="","",'IMPORT PROFIXIO'!I283)</f>
        <v/>
      </c>
      <c r="J283" s="34" t="str">
        <f t="shared" si="16"/>
        <v/>
      </c>
      <c r="K283" s="34" t="str">
        <f t="shared" si="17"/>
        <v/>
      </c>
      <c r="L283" s="34" t="str">
        <f>IF(A283="","",IFERROR(VLOOKUP(E283,KLASSNING!$A$5:$F$74,5,FALSE()),0))</f>
        <v/>
      </c>
      <c r="M283" s="35" t="str">
        <f t="shared" si="18"/>
        <v/>
      </c>
      <c r="N283" s="34" t="str">
        <f>IF(A283="","",IF(K283&lt;&gt;"Ja","Ej aktuell",IF(L283&lt;=0,"KONTROLLERA MATCHTID",IF(AND(COUNTIFS(BEMANNINGSPLAN!$A$5:$A$546,B283,BEMANNINGSPLAN!$C$5:$C$546,D283,BEMANNINGSPLAN!$D$5:$D$546,"&lt;="&amp;C283,BEMANNINGSPLAN!$E$5:$E$546,"&gt;"&amp;C283)&gt;0,COUNTIFS(BEMANNINGSPLAN!$A$5:$A$546,B283,BEMANNINGSPLAN!$C$5:$C$546,D283,BEMANNINGSPLAN!$D$5:$D$546,"&lt;"&amp;M283,BEMANNINGSPLAN!$E$5:$E$546,"&gt;="&amp;M283)&gt;0),"Ja","SAKNAS TIDSRADER"))))</f>
        <v/>
      </c>
      <c r="O283" s="137" t="str">
        <f>IF(OR(B283="",K283&lt;&gt;"Ja"),"",COUNTIFS($B$5:B283,B283,$K$5:K283,"Ja"))</f>
        <v/>
      </c>
      <c r="P283" s="137" t="str">
        <f t="shared" si="19"/>
        <v/>
      </c>
    </row>
    <row r="284" spans="1:16" ht="13">
      <c r="A284" s="31" t="str">
        <f>IF('IMPORT PROFIXIO'!A284="","",'IMPORT PROFIXIO'!A284)</f>
        <v/>
      </c>
      <c r="B284" s="32" t="str">
        <f>IF(A284="","",IF(ISNUMBER('IMPORT PROFIXIO'!D284),'IMPORT PROFIXIO'!D284,DATEVALUE('IMPORT PROFIXIO'!D284)))</f>
        <v/>
      </c>
      <c r="C284" s="33" t="str">
        <f>IF(A284="","",IF(ISNUMBER('IMPORT PROFIXIO'!E284),'IMPORT PROFIXIO'!E284,(VALUE(LEFT('IMPORT PROFIXIO'!E284,FIND(":",'IMPORT PROFIXIO'!E284)-1))*60+VALUE(MID('IMPORT PROFIXIO'!E284,FIND(":",'IMPORT PROFIXIO'!E284)+1,2)))/1440))</f>
        <v/>
      </c>
      <c r="D284" s="31" t="str">
        <f>IF(A284="","",'IMPORT PROFIXIO'!F284)</f>
        <v/>
      </c>
      <c r="E284" s="31" t="str">
        <f>IF(A284="","",'IMPORT PROFIXIO'!K284)</f>
        <v/>
      </c>
      <c r="F284" s="34" t="str">
        <f>IF(A284="","",IFERROR(VLOOKUP(E284,KLASSNING!$A$5:$F$74,2,FALSE()),"SAKNAS"))</f>
        <v/>
      </c>
      <c r="G284" s="34" t="str">
        <f>IF(A284="","",IFERROR(VLOOKUP(E284,KLASSNING!$A$5:$F$74,3,FALSE()),"SAKNAS"))</f>
        <v/>
      </c>
      <c r="H284" s="34" t="str">
        <f>IF(A284="","",'IMPORT PROFIXIO'!H284)</f>
        <v/>
      </c>
      <c r="I284" s="34" t="str">
        <f>IF(A284="","",'IMPORT PROFIXIO'!I284)</f>
        <v/>
      </c>
      <c r="J284" s="34" t="str">
        <f t="shared" si="16"/>
        <v/>
      </c>
      <c r="K284" s="34" t="str">
        <f t="shared" si="17"/>
        <v/>
      </c>
      <c r="L284" s="34" t="str">
        <f>IF(A284="","",IFERROR(VLOOKUP(E284,KLASSNING!$A$5:$F$74,5,FALSE()),0))</f>
        <v/>
      </c>
      <c r="M284" s="35" t="str">
        <f t="shared" si="18"/>
        <v/>
      </c>
      <c r="N284" s="34" t="str">
        <f>IF(A284="","",IF(K284&lt;&gt;"Ja","Ej aktuell",IF(L284&lt;=0,"KONTROLLERA MATCHTID",IF(AND(COUNTIFS(BEMANNINGSPLAN!$A$5:$A$546,B284,BEMANNINGSPLAN!$C$5:$C$546,D284,BEMANNINGSPLAN!$D$5:$D$546,"&lt;="&amp;C284,BEMANNINGSPLAN!$E$5:$E$546,"&gt;"&amp;C284)&gt;0,COUNTIFS(BEMANNINGSPLAN!$A$5:$A$546,B284,BEMANNINGSPLAN!$C$5:$C$546,D284,BEMANNINGSPLAN!$D$5:$D$546,"&lt;"&amp;M284,BEMANNINGSPLAN!$E$5:$E$546,"&gt;="&amp;M284)&gt;0),"Ja","SAKNAS TIDSRADER"))))</f>
        <v/>
      </c>
      <c r="O284" s="137" t="str">
        <f>IF(OR(B284="",K284&lt;&gt;"Ja"),"",COUNTIFS($B$5:B284,B284,$K$5:K284,"Ja"))</f>
        <v/>
      </c>
      <c r="P284" s="137" t="str">
        <f t="shared" si="19"/>
        <v/>
      </c>
    </row>
    <row r="285" spans="1:16" ht="13">
      <c r="A285" s="31" t="str">
        <f>IF('IMPORT PROFIXIO'!A285="","",'IMPORT PROFIXIO'!A285)</f>
        <v/>
      </c>
      <c r="B285" s="32" t="str">
        <f>IF(A285="","",IF(ISNUMBER('IMPORT PROFIXIO'!D285),'IMPORT PROFIXIO'!D285,DATEVALUE('IMPORT PROFIXIO'!D285)))</f>
        <v/>
      </c>
      <c r="C285" s="33" t="str">
        <f>IF(A285="","",IF(ISNUMBER('IMPORT PROFIXIO'!E285),'IMPORT PROFIXIO'!E285,(VALUE(LEFT('IMPORT PROFIXIO'!E285,FIND(":",'IMPORT PROFIXIO'!E285)-1))*60+VALUE(MID('IMPORT PROFIXIO'!E285,FIND(":",'IMPORT PROFIXIO'!E285)+1,2)))/1440))</f>
        <v/>
      </c>
      <c r="D285" s="31" t="str">
        <f>IF(A285="","",'IMPORT PROFIXIO'!F285)</f>
        <v/>
      </c>
      <c r="E285" s="31" t="str">
        <f>IF(A285="","",'IMPORT PROFIXIO'!K285)</f>
        <v/>
      </c>
      <c r="F285" s="34" t="str">
        <f>IF(A285="","",IFERROR(VLOOKUP(E285,KLASSNING!$A$5:$F$74,2,FALSE()),"SAKNAS"))</f>
        <v/>
      </c>
      <c r="G285" s="34" t="str">
        <f>IF(A285="","",IFERROR(VLOOKUP(E285,KLASSNING!$A$5:$F$74,3,FALSE()),"SAKNAS"))</f>
        <v/>
      </c>
      <c r="H285" s="34" t="str">
        <f>IF(A285="","",'IMPORT PROFIXIO'!H285)</f>
        <v/>
      </c>
      <c r="I285" s="34" t="str">
        <f>IF(A285="","",'IMPORT PROFIXIO'!I285)</f>
        <v/>
      </c>
      <c r="J285" s="34" t="str">
        <f t="shared" si="16"/>
        <v/>
      </c>
      <c r="K285" s="34" t="str">
        <f t="shared" si="17"/>
        <v/>
      </c>
      <c r="L285" s="34" t="str">
        <f>IF(A285="","",IFERROR(VLOOKUP(E285,KLASSNING!$A$5:$F$74,5,FALSE()),0))</f>
        <v/>
      </c>
      <c r="M285" s="35" t="str">
        <f t="shared" si="18"/>
        <v/>
      </c>
      <c r="N285" s="34" t="str">
        <f>IF(A285="","",IF(K285&lt;&gt;"Ja","Ej aktuell",IF(L285&lt;=0,"KONTROLLERA MATCHTID",IF(AND(COUNTIFS(BEMANNINGSPLAN!$A$5:$A$546,B285,BEMANNINGSPLAN!$C$5:$C$546,D285,BEMANNINGSPLAN!$D$5:$D$546,"&lt;="&amp;C285,BEMANNINGSPLAN!$E$5:$E$546,"&gt;"&amp;C285)&gt;0,COUNTIFS(BEMANNINGSPLAN!$A$5:$A$546,B285,BEMANNINGSPLAN!$C$5:$C$546,D285,BEMANNINGSPLAN!$D$5:$D$546,"&lt;"&amp;M285,BEMANNINGSPLAN!$E$5:$E$546,"&gt;="&amp;M285)&gt;0),"Ja","SAKNAS TIDSRADER"))))</f>
        <v/>
      </c>
      <c r="O285" s="137" t="str">
        <f>IF(OR(B285="",K285&lt;&gt;"Ja"),"",COUNTIFS($B$5:B285,B285,$K$5:K285,"Ja"))</f>
        <v/>
      </c>
      <c r="P285" s="137" t="str">
        <f t="shared" si="19"/>
        <v/>
      </c>
    </row>
    <row r="286" spans="1:16" ht="13">
      <c r="A286" s="31" t="str">
        <f>IF('IMPORT PROFIXIO'!A286="","",'IMPORT PROFIXIO'!A286)</f>
        <v/>
      </c>
      <c r="B286" s="32" t="str">
        <f>IF(A286="","",IF(ISNUMBER('IMPORT PROFIXIO'!D286),'IMPORT PROFIXIO'!D286,DATEVALUE('IMPORT PROFIXIO'!D286)))</f>
        <v/>
      </c>
      <c r="C286" s="33" t="str">
        <f>IF(A286="","",IF(ISNUMBER('IMPORT PROFIXIO'!E286),'IMPORT PROFIXIO'!E286,(VALUE(LEFT('IMPORT PROFIXIO'!E286,FIND(":",'IMPORT PROFIXIO'!E286)-1))*60+VALUE(MID('IMPORT PROFIXIO'!E286,FIND(":",'IMPORT PROFIXIO'!E286)+1,2)))/1440))</f>
        <v/>
      </c>
      <c r="D286" s="31" t="str">
        <f>IF(A286="","",'IMPORT PROFIXIO'!F286)</f>
        <v/>
      </c>
      <c r="E286" s="31" t="str">
        <f>IF(A286="","",'IMPORT PROFIXIO'!K286)</f>
        <v/>
      </c>
      <c r="F286" s="34" t="str">
        <f>IF(A286="","",IFERROR(VLOOKUP(E286,KLASSNING!$A$5:$F$74,2,FALSE()),"SAKNAS"))</f>
        <v/>
      </c>
      <c r="G286" s="34" t="str">
        <f>IF(A286="","",IFERROR(VLOOKUP(E286,KLASSNING!$A$5:$F$74,3,FALSE()),"SAKNAS"))</f>
        <v/>
      </c>
      <c r="H286" s="34" t="str">
        <f>IF(A286="","",'IMPORT PROFIXIO'!H286)</f>
        <v/>
      </c>
      <c r="I286" s="34" t="str">
        <f>IF(A286="","",'IMPORT PROFIXIO'!I286)</f>
        <v/>
      </c>
      <c r="J286" s="34" t="str">
        <f t="shared" si="16"/>
        <v/>
      </c>
      <c r="K286" s="34" t="str">
        <f t="shared" si="17"/>
        <v/>
      </c>
      <c r="L286" s="34" t="str">
        <f>IF(A286="","",IFERROR(VLOOKUP(E286,KLASSNING!$A$5:$F$74,5,FALSE()),0))</f>
        <v/>
      </c>
      <c r="M286" s="35" t="str">
        <f t="shared" si="18"/>
        <v/>
      </c>
      <c r="N286" s="34" t="str">
        <f>IF(A286="","",IF(K286&lt;&gt;"Ja","Ej aktuell",IF(L286&lt;=0,"KONTROLLERA MATCHTID",IF(AND(COUNTIFS(BEMANNINGSPLAN!$A$5:$A$546,B286,BEMANNINGSPLAN!$C$5:$C$546,D286,BEMANNINGSPLAN!$D$5:$D$546,"&lt;="&amp;C286,BEMANNINGSPLAN!$E$5:$E$546,"&gt;"&amp;C286)&gt;0,COUNTIFS(BEMANNINGSPLAN!$A$5:$A$546,B286,BEMANNINGSPLAN!$C$5:$C$546,D286,BEMANNINGSPLAN!$D$5:$D$546,"&lt;"&amp;M286,BEMANNINGSPLAN!$E$5:$E$546,"&gt;="&amp;M286)&gt;0),"Ja","SAKNAS TIDSRADER"))))</f>
        <v/>
      </c>
      <c r="O286" s="137" t="str">
        <f>IF(OR(B286="",K286&lt;&gt;"Ja"),"",COUNTIFS($B$5:B286,B286,$K$5:K286,"Ja"))</f>
        <v/>
      </c>
      <c r="P286" s="137" t="str">
        <f t="shared" si="19"/>
        <v/>
      </c>
    </row>
    <row r="287" spans="1:16" ht="13">
      <c r="A287" s="31" t="str">
        <f>IF('IMPORT PROFIXIO'!A287="","",'IMPORT PROFIXIO'!A287)</f>
        <v/>
      </c>
      <c r="B287" s="32" t="str">
        <f>IF(A287="","",IF(ISNUMBER('IMPORT PROFIXIO'!D287),'IMPORT PROFIXIO'!D287,DATEVALUE('IMPORT PROFIXIO'!D287)))</f>
        <v/>
      </c>
      <c r="C287" s="33" t="str">
        <f>IF(A287="","",IF(ISNUMBER('IMPORT PROFIXIO'!E287),'IMPORT PROFIXIO'!E287,(VALUE(LEFT('IMPORT PROFIXIO'!E287,FIND(":",'IMPORT PROFIXIO'!E287)-1))*60+VALUE(MID('IMPORT PROFIXIO'!E287,FIND(":",'IMPORT PROFIXIO'!E287)+1,2)))/1440))</f>
        <v/>
      </c>
      <c r="D287" s="31" t="str">
        <f>IF(A287="","",'IMPORT PROFIXIO'!F287)</f>
        <v/>
      </c>
      <c r="E287" s="31" t="str">
        <f>IF(A287="","",'IMPORT PROFIXIO'!K287)</f>
        <v/>
      </c>
      <c r="F287" s="34" t="str">
        <f>IF(A287="","",IFERROR(VLOOKUP(E287,KLASSNING!$A$5:$F$74,2,FALSE()),"SAKNAS"))</f>
        <v/>
      </c>
      <c r="G287" s="34" t="str">
        <f>IF(A287="","",IFERROR(VLOOKUP(E287,KLASSNING!$A$5:$F$74,3,FALSE()),"SAKNAS"))</f>
        <v/>
      </c>
      <c r="H287" s="34" t="str">
        <f>IF(A287="","",'IMPORT PROFIXIO'!H287)</f>
        <v/>
      </c>
      <c r="I287" s="34" t="str">
        <f>IF(A287="","",'IMPORT PROFIXIO'!I287)</f>
        <v/>
      </c>
      <c r="J287" s="34" t="str">
        <f t="shared" si="16"/>
        <v/>
      </c>
      <c r="K287" s="34" t="str">
        <f t="shared" si="17"/>
        <v/>
      </c>
      <c r="L287" s="34" t="str">
        <f>IF(A287="","",IFERROR(VLOOKUP(E287,KLASSNING!$A$5:$F$74,5,FALSE()),0))</f>
        <v/>
      </c>
      <c r="M287" s="35" t="str">
        <f t="shared" si="18"/>
        <v/>
      </c>
      <c r="N287" s="34" t="str">
        <f>IF(A287="","",IF(K287&lt;&gt;"Ja","Ej aktuell",IF(L287&lt;=0,"KONTROLLERA MATCHTID",IF(AND(COUNTIFS(BEMANNINGSPLAN!$A$5:$A$546,B287,BEMANNINGSPLAN!$C$5:$C$546,D287,BEMANNINGSPLAN!$D$5:$D$546,"&lt;="&amp;C287,BEMANNINGSPLAN!$E$5:$E$546,"&gt;"&amp;C287)&gt;0,COUNTIFS(BEMANNINGSPLAN!$A$5:$A$546,B287,BEMANNINGSPLAN!$C$5:$C$546,D287,BEMANNINGSPLAN!$D$5:$D$546,"&lt;"&amp;M287,BEMANNINGSPLAN!$E$5:$E$546,"&gt;="&amp;M287)&gt;0),"Ja","SAKNAS TIDSRADER"))))</f>
        <v/>
      </c>
      <c r="O287" s="137" t="str">
        <f>IF(OR(B287="",K287&lt;&gt;"Ja"),"",COUNTIFS($B$5:B287,B287,$K$5:K287,"Ja"))</f>
        <v/>
      </c>
      <c r="P287" s="137" t="str">
        <f t="shared" si="19"/>
        <v/>
      </c>
    </row>
    <row r="288" spans="1:16" ht="13">
      <c r="A288" s="31" t="str">
        <f>IF('IMPORT PROFIXIO'!A288="","",'IMPORT PROFIXIO'!A288)</f>
        <v/>
      </c>
      <c r="B288" s="32" t="str">
        <f>IF(A288="","",IF(ISNUMBER('IMPORT PROFIXIO'!D288),'IMPORT PROFIXIO'!D288,DATEVALUE('IMPORT PROFIXIO'!D288)))</f>
        <v/>
      </c>
      <c r="C288" s="33" t="str">
        <f>IF(A288="","",IF(ISNUMBER('IMPORT PROFIXIO'!E288),'IMPORT PROFIXIO'!E288,(VALUE(LEFT('IMPORT PROFIXIO'!E288,FIND(":",'IMPORT PROFIXIO'!E288)-1))*60+VALUE(MID('IMPORT PROFIXIO'!E288,FIND(":",'IMPORT PROFIXIO'!E288)+1,2)))/1440))</f>
        <v/>
      </c>
      <c r="D288" s="31" t="str">
        <f>IF(A288="","",'IMPORT PROFIXIO'!F288)</f>
        <v/>
      </c>
      <c r="E288" s="31" t="str">
        <f>IF(A288="","",'IMPORT PROFIXIO'!K288)</f>
        <v/>
      </c>
      <c r="F288" s="34" t="str">
        <f>IF(A288="","",IFERROR(VLOOKUP(E288,KLASSNING!$A$5:$F$74,2,FALSE()),"SAKNAS"))</f>
        <v/>
      </c>
      <c r="G288" s="34" t="str">
        <f>IF(A288="","",IFERROR(VLOOKUP(E288,KLASSNING!$A$5:$F$74,3,FALSE()),"SAKNAS"))</f>
        <v/>
      </c>
      <c r="H288" s="34" t="str">
        <f>IF(A288="","",'IMPORT PROFIXIO'!H288)</f>
        <v/>
      </c>
      <c r="I288" s="34" t="str">
        <f>IF(A288="","",'IMPORT PROFIXIO'!I288)</f>
        <v/>
      </c>
      <c r="J288" s="34" t="str">
        <f t="shared" si="16"/>
        <v/>
      </c>
      <c r="K288" s="34" t="str">
        <f t="shared" si="17"/>
        <v/>
      </c>
      <c r="L288" s="34" t="str">
        <f>IF(A288="","",IFERROR(VLOOKUP(E288,KLASSNING!$A$5:$F$74,5,FALSE()),0))</f>
        <v/>
      </c>
      <c r="M288" s="35" t="str">
        <f t="shared" si="18"/>
        <v/>
      </c>
      <c r="N288" s="34" t="str">
        <f>IF(A288="","",IF(K288&lt;&gt;"Ja","Ej aktuell",IF(L288&lt;=0,"KONTROLLERA MATCHTID",IF(AND(COUNTIFS(BEMANNINGSPLAN!$A$5:$A$546,B288,BEMANNINGSPLAN!$C$5:$C$546,D288,BEMANNINGSPLAN!$D$5:$D$546,"&lt;="&amp;C288,BEMANNINGSPLAN!$E$5:$E$546,"&gt;"&amp;C288)&gt;0,COUNTIFS(BEMANNINGSPLAN!$A$5:$A$546,B288,BEMANNINGSPLAN!$C$5:$C$546,D288,BEMANNINGSPLAN!$D$5:$D$546,"&lt;"&amp;M288,BEMANNINGSPLAN!$E$5:$E$546,"&gt;="&amp;M288)&gt;0),"Ja","SAKNAS TIDSRADER"))))</f>
        <v/>
      </c>
      <c r="O288" s="137" t="str">
        <f>IF(OR(B288="",K288&lt;&gt;"Ja"),"",COUNTIFS($B$5:B288,B288,$K$5:K288,"Ja"))</f>
        <v/>
      </c>
      <c r="P288" s="137" t="str">
        <f t="shared" si="19"/>
        <v/>
      </c>
    </row>
    <row r="289" spans="1:16" ht="13">
      <c r="A289" s="31" t="str">
        <f>IF('IMPORT PROFIXIO'!A289="","",'IMPORT PROFIXIO'!A289)</f>
        <v/>
      </c>
      <c r="B289" s="32" t="str">
        <f>IF(A289="","",IF(ISNUMBER('IMPORT PROFIXIO'!D289),'IMPORT PROFIXIO'!D289,DATEVALUE('IMPORT PROFIXIO'!D289)))</f>
        <v/>
      </c>
      <c r="C289" s="33" t="str">
        <f>IF(A289="","",IF(ISNUMBER('IMPORT PROFIXIO'!E289),'IMPORT PROFIXIO'!E289,(VALUE(LEFT('IMPORT PROFIXIO'!E289,FIND(":",'IMPORT PROFIXIO'!E289)-1))*60+VALUE(MID('IMPORT PROFIXIO'!E289,FIND(":",'IMPORT PROFIXIO'!E289)+1,2)))/1440))</f>
        <v/>
      </c>
      <c r="D289" s="31" t="str">
        <f>IF(A289="","",'IMPORT PROFIXIO'!F289)</f>
        <v/>
      </c>
      <c r="E289" s="31" t="str">
        <f>IF(A289="","",'IMPORT PROFIXIO'!K289)</f>
        <v/>
      </c>
      <c r="F289" s="34" t="str">
        <f>IF(A289="","",IFERROR(VLOOKUP(E289,KLASSNING!$A$5:$F$74,2,FALSE()),"SAKNAS"))</f>
        <v/>
      </c>
      <c r="G289" s="34" t="str">
        <f>IF(A289="","",IFERROR(VLOOKUP(E289,KLASSNING!$A$5:$F$74,3,FALSE()),"SAKNAS"))</f>
        <v/>
      </c>
      <c r="H289" s="34" t="str">
        <f>IF(A289="","",'IMPORT PROFIXIO'!H289)</f>
        <v/>
      </c>
      <c r="I289" s="34" t="str">
        <f>IF(A289="","",'IMPORT PROFIXIO'!I289)</f>
        <v/>
      </c>
      <c r="J289" s="34" t="str">
        <f t="shared" si="16"/>
        <v/>
      </c>
      <c r="K289" s="34" t="str">
        <f t="shared" si="17"/>
        <v/>
      </c>
      <c r="L289" s="34" t="str">
        <f>IF(A289="","",IFERROR(VLOOKUP(E289,KLASSNING!$A$5:$F$74,5,FALSE()),0))</f>
        <v/>
      </c>
      <c r="M289" s="35" t="str">
        <f t="shared" si="18"/>
        <v/>
      </c>
      <c r="N289" s="34" t="str">
        <f>IF(A289="","",IF(K289&lt;&gt;"Ja","Ej aktuell",IF(L289&lt;=0,"KONTROLLERA MATCHTID",IF(AND(COUNTIFS(BEMANNINGSPLAN!$A$5:$A$546,B289,BEMANNINGSPLAN!$C$5:$C$546,D289,BEMANNINGSPLAN!$D$5:$D$546,"&lt;="&amp;C289,BEMANNINGSPLAN!$E$5:$E$546,"&gt;"&amp;C289)&gt;0,COUNTIFS(BEMANNINGSPLAN!$A$5:$A$546,B289,BEMANNINGSPLAN!$C$5:$C$546,D289,BEMANNINGSPLAN!$D$5:$D$546,"&lt;"&amp;M289,BEMANNINGSPLAN!$E$5:$E$546,"&gt;="&amp;M289)&gt;0),"Ja","SAKNAS TIDSRADER"))))</f>
        <v/>
      </c>
      <c r="O289" s="137" t="str">
        <f>IF(OR(B289="",K289&lt;&gt;"Ja"),"",COUNTIFS($B$5:B289,B289,$K$5:K289,"Ja"))</f>
        <v/>
      </c>
      <c r="P289" s="137" t="str">
        <f t="shared" si="19"/>
        <v/>
      </c>
    </row>
    <row r="290" spans="1:16" ht="13">
      <c r="A290" s="31" t="str">
        <f>IF('IMPORT PROFIXIO'!A290="","",'IMPORT PROFIXIO'!A290)</f>
        <v/>
      </c>
      <c r="B290" s="32" t="str">
        <f>IF(A290="","",IF(ISNUMBER('IMPORT PROFIXIO'!D290),'IMPORT PROFIXIO'!D290,DATEVALUE('IMPORT PROFIXIO'!D290)))</f>
        <v/>
      </c>
      <c r="C290" s="33" t="str">
        <f>IF(A290="","",IF(ISNUMBER('IMPORT PROFIXIO'!E290),'IMPORT PROFIXIO'!E290,(VALUE(LEFT('IMPORT PROFIXIO'!E290,FIND(":",'IMPORT PROFIXIO'!E290)-1))*60+VALUE(MID('IMPORT PROFIXIO'!E290,FIND(":",'IMPORT PROFIXIO'!E290)+1,2)))/1440))</f>
        <v/>
      </c>
      <c r="D290" s="31" t="str">
        <f>IF(A290="","",'IMPORT PROFIXIO'!F290)</f>
        <v/>
      </c>
      <c r="E290" s="31" t="str">
        <f>IF(A290="","",'IMPORT PROFIXIO'!K290)</f>
        <v/>
      </c>
      <c r="F290" s="34" t="str">
        <f>IF(A290="","",IFERROR(VLOOKUP(E290,KLASSNING!$A$5:$F$74,2,FALSE()),"SAKNAS"))</f>
        <v/>
      </c>
      <c r="G290" s="34" t="str">
        <f>IF(A290="","",IFERROR(VLOOKUP(E290,KLASSNING!$A$5:$F$74,3,FALSE()),"SAKNAS"))</f>
        <v/>
      </c>
      <c r="H290" s="34" t="str">
        <f>IF(A290="","",'IMPORT PROFIXIO'!H290)</f>
        <v/>
      </c>
      <c r="I290" s="34" t="str">
        <f>IF(A290="","",'IMPORT PROFIXIO'!I290)</f>
        <v/>
      </c>
      <c r="J290" s="34" t="str">
        <f t="shared" si="16"/>
        <v/>
      </c>
      <c r="K290" s="34" t="str">
        <f t="shared" si="17"/>
        <v/>
      </c>
      <c r="L290" s="34" t="str">
        <f>IF(A290="","",IFERROR(VLOOKUP(E290,KLASSNING!$A$5:$F$74,5,FALSE()),0))</f>
        <v/>
      </c>
      <c r="M290" s="35" t="str">
        <f t="shared" si="18"/>
        <v/>
      </c>
      <c r="N290" s="34" t="str">
        <f>IF(A290="","",IF(K290&lt;&gt;"Ja","Ej aktuell",IF(L290&lt;=0,"KONTROLLERA MATCHTID",IF(AND(COUNTIFS(BEMANNINGSPLAN!$A$5:$A$546,B290,BEMANNINGSPLAN!$C$5:$C$546,D290,BEMANNINGSPLAN!$D$5:$D$546,"&lt;="&amp;C290,BEMANNINGSPLAN!$E$5:$E$546,"&gt;"&amp;C290)&gt;0,COUNTIFS(BEMANNINGSPLAN!$A$5:$A$546,B290,BEMANNINGSPLAN!$C$5:$C$546,D290,BEMANNINGSPLAN!$D$5:$D$546,"&lt;"&amp;M290,BEMANNINGSPLAN!$E$5:$E$546,"&gt;="&amp;M290)&gt;0),"Ja","SAKNAS TIDSRADER"))))</f>
        <v/>
      </c>
      <c r="O290" s="137" t="str">
        <f>IF(OR(B290="",K290&lt;&gt;"Ja"),"",COUNTIFS($B$5:B290,B290,$K$5:K290,"Ja"))</f>
        <v/>
      </c>
      <c r="P290" s="137" t="str">
        <f t="shared" si="19"/>
        <v/>
      </c>
    </row>
    <row r="291" spans="1:16" ht="13">
      <c r="A291" s="31" t="str">
        <f>IF('IMPORT PROFIXIO'!A291="","",'IMPORT PROFIXIO'!A291)</f>
        <v/>
      </c>
      <c r="B291" s="32" t="str">
        <f>IF(A291="","",IF(ISNUMBER('IMPORT PROFIXIO'!D291),'IMPORT PROFIXIO'!D291,DATEVALUE('IMPORT PROFIXIO'!D291)))</f>
        <v/>
      </c>
      <c r="C291" s="33" t="str">
        <f>IF(A291="","",IF(ISNUMBER('IMPORT PROFIXIO'!E291),'IMPORT PROFIXIO'!E291,(VALUE(LEFT('IMPORT PROFIXIO'!E291,FIND(":",'IMPORT PROFIXIO'!E291)-1))*60+VALUE(MID('IMPORT PROFIXIO'!E291,FIND(":",'IMPORT PROFIXIO'!E291)+1,2)))/1440))</f>
        <v/>
      </c>
      <c r="D291" s="31" t="str">
        <f>IF(A291="","",'IMPORT PROFIXIO'!F291)</f>
        <v/>
      </c>
      <c r="E291" s="31" t="str">
        <f>IF(A291="","",'IMPORT PROFIXIO'!K291)</f>
        <v/>
      </c>
      <c r="F291" s="34" t="str">
        <f>IF(A291="","",IFERROR(VLOOKUP(E291,KLASSNING!$A$5:$F$74,2,FALSE()),"SAKNAS"))</f>
        <v/>
      </c>
      <c r="G291" s="34" t="str">
        <f>IF(A291="","",IFERROR(VLOOKUP(E291,KLASSNING!$A$5:$F$74,3,FALSE()),"SAKNAS"))</f>
        <v/>
      </c>
      <c r="H291" s="34" t="str">
        <f>IF(A291="","",'IMPORT PROFIXIO'!H291)</f>
        <v/>
      </c>
      <c r="I291" s="34" t="str">
        <f>IF(A291="","",'IMPORT PROFIXIO'!I291)</f>
        <v/>
      </c>
      <c r="J291" s="34" t="str">
        <f t="shared" si="16"/>
        <v/>
      </c>
      <c r="K291" s="34" t="str">
        <f t="shared" si="17"/>
        <v/>
      </c>
      <c r="L291" s="34" t="str">
        <f>IF(A291="","",IFERROR(VLOOKUP(E291,KLASSNING!$A$5:$F$74,5,FALSE()),0))</f>
        <v/>
      </c>
      <c r="M291" s="35" t="str">
        <f t="shared" si="18"/>
        <v/>
      </c>
      <c r="N291" s="34" t="str">
        <f>IF(A291="","",IF(K291&lt;&gt;"Ja","Ej aktuell",IF(L291&lt;=0,"KONTROLLERA MATCHTID",IF(AND(COUNTIFS(BEMANNINGSPLAN!$A$5:$A$546,B291,BEMANNINGSPLAN!$C$5:$C$546,D291,BEMANNINGSPLAN!$D$5:$D$546,"&lt;="&amp;C291,BEMANNINGSPLAN!$E$5:$E$546,"&gt;"&amp;C291)&gt;0,COUNTIFS(BEMANNINGSPLAN!$A$5:$A$546,B291,BEMANNINGSPLAN!$C$5:$C$546,D291,BEMANNINGSPLAN!$D$5:$D$546,"&lt;"&amp;M291,BEMANNINGSPLAN!$E$5:$E$546,"&gt;="&amp;M291)&gt;0),"Ja","SAKNAS TIDSRADER"))))</f>
        <v/>
      </c>
      <c r="O291" s="137" t="str">
        <f>IF(OR(B291="",K291&lt;&gt;"Ja"),"",COUNTIFS($B$5:B291,B291,$K$5:K291,"Ja"))</f>
        <v/>
      </c>
      <c r="P291" s="137" t="str">
        <f t="shared" si="19"/>
        <v/>
      </c>
    </row>
    <row r="292" spans="1:16" ht="13">
      <c r="A292" s="31" t="str">
        <f>IF('IMPORT PROFIXIO'!A292="","",'IMPORT PROFIXIO'!A292)</f>
        <v/>
      </c>
      <c r="B292" s="32" t="str">
        <f>IF(A292="","",IF(ISNUMBER('IMPORT PROFIXIO'!D292),'IMPORT PROFIXIO'!D292,DATEVALUE('IMPORT PROFIXIO'!D292)))</f>
        <v/>
      </c>
      <c r="C292" s="33" t="str">
        <f>IF(A292="","",IF(ISNUMBER('IMPORT PROFIXIO'!E292),'IMPORT PROFIXIO'!E292,(VALUE(LEFT('IMPORT PROFIXIO'!E292,FIND(":",'IMPORT PROFIXIO'!E292)-1))*60+VALUE(MID('IMPORT PROFIXIO'!E292,FIND(":",'IMPORT PROFIXIO'!E292)+1,2)))/1440))</f>
        <v/>
      </c>
      <c r="D292" s="31" t="str">
        <f>IF(A292="","",'IMPORT PROFIXIO'!F292)</f>
        <v/>
      </c>
      <c r="E292" s="31" t="str">
        <f>IF(A292="","",'IMPORT PROFIXIO'!K292)</f>
        <v/>
      </c>
      <c r="F292" s="34" t="str">
        <f>IF(A292="","",IFERROR(VLOOKUP(E292,KLASSNING!$A$5:$F$74,2,FALSE()),"SAKNAS"))</f>
        <v/>
      </c>
      <c r="G292" s="34" t="str">
        <f>IF(A292="","",IFERROR(VLOOKUP(E292,KLASSNING!$A$5:$F$74,3,FALSE()),"SAKNAS"))</f>
        <v/>
      </c>
      <c r="H292" s="34" t="str">
        <f>IF(A292="","",'IMPORT PROFIXIO'!H292)</f>
        <v/>
      </c>
      <c r="I292" s="34" t="str">
        <f>IF(A292="","",'IMPORT PROFIXIO'!I292)</f>
        <v/>
      </c>
      <c r="J292" s="34" t="str">
        <f t="shared" si="16"/>
        <v/>
      </c>
      <c r="K292" s="34" t="str">
        <f t="shared" si="17"/>
        <v/>
      </c>
      <c r="L292" s="34" t="str">
        <f>IF(A292="","",IFERROR(VLOOKUP(E292,KLASSNING!$A$5:$F$74,5,FALSE()),0))</f>
        <v/>
      </c>
      <c r="M292" s="35" t="str">
        <f t="shared" si="18"/>
        <v/>
      </c>
      <c r="N292" s="34" t="str">
        <f>IF(A292="","",IF(K292&lt;&gt;"Ja","Ej aktuell",IF(L292&lt;=0,"KONTROLLERA MATCHTID",IF(AND(COUNTIFS(BEMANNINGSPLAN!$A$5:$A$546,B292,BEMANNINGSPLAN!$C$5:$C$546,D292,BEMANNINGSPLAN!$D$5:$D$546,"&lt;="&amp;C292,BEMANNINGSPLAN!$E$5:$E$546,"&gt;"&amp;C292)&gt;0,COUNTIFS(BEMANNINGSPLAN!$A$5:$A$546,B292,BEMANNINGSPLAN!$C$5:$C$546,D292,BEMANNINGSPLAN!$D$5:$D$546,"&lt;"&amp;M292,BEMANNINGSPLAN!$E$5:$E$546,"&gt;="&amp;M292)&gt;0),"Ja","SAKNAS TIDSRADER"))))</f>
        <v/>
      </c>
      <c r="O292" s="137" t="str">
        <f>IF(OR(B292="",K292&lt;&gt;"Ja"),"",COUNTIFS($B$5:B292,B292,$K$5:K292,"Ja"))</f>
        <v/>
      </c>
      <c r="P292" s="137" t="str">
        <f t="shared" si="19"/>
        <v/>
      </c>
    </row>
    <row r="293" spans="1:16" ht="13">
      <c r="A293" s="31" t="str">
        <f>IF('IMPORT PROFIXIO'!A293="","",'IMPORT PROFIXIO'!A293)</f>
        <v/>
      </c>
      <c r="B293" s="32" t="str">
        <f>IF(A293="","",IF(ISNUMBER('IMPORT PROFIXIO'!D293),'IMPORT PROFIXIO'!D293,DATEVALUE('IMPORT PROFIXIO'!D293)))</f>
        <v/>
      </c>
      <c r="C293" s="33" t="str">
        <f>IF(A293="","",IF(ISNUMBER('IMPORT PROFIXIO'!E293),'IMPORT PROFIXIO'!E293,(VALUE(LEFT('IMPORT PROFIXIO'!E293,FIND(":",'IMPORT PROFIXIO'!E293)-1))*60+VALUE(MID('IMPORT PROFIXIO'!E293,FIND(":",'IMPORT PROFIXIO'!E293)+1,2)))/1440))</f>
        <v/>
      </c>
      <c r="D293" s="31" t="str">
        <f>IF(A293="","",'IMPORT PROFIXIO'!F293)</f>
        <v/>
      </c>
      <c r="E293" s="31" t="str">
        <f>IF(A293="","",'IMPORT PROFIXIO'!K293)</f>
        <v/>
      </c>
      <c r="F293" s="34" t="str">
        <f>IF(A293="","",IFERROR(VLOOKUP(E293,KLASSNING!$A$5:$F$74,2,FALSE()),"SAKNAS"))</f>
        <v/>
      </c>
      <c r="G293" s="34" t="str">
        <f>IF(A293="","",IFERROR(VLOOKUP(E293,KLASSNING!$A$5:$F$74,3,FALSE()),"SAKNAS"))</f>
        <v/>
      </c>
      <c r="H293" s="34" t="str">
        <f>IF(A293="","",'IMPORT PROFIXIO'!H293)</f>
        <v/>
      </c>
      <c r="I293" s="34" t="str">
        <f>IF(A293="","",'IMPORT PROFIXIO'!I293)</f>
        <v/>
      </c>
      <c r="J293" s="34" t="str">
        <f t="shared" si="16"/>
        <v/>
      </c>
      <c r="K293" s="34" t="str">
        <f t="shared" si="17"/>
        <v/>
      </c>
      <c r="L293" s="34" t="str">
        <f>IF(A293="","",IFERROR(VLOOKUP(E293,KLASSNING!$A$5:$F$74,5,FALSE()),0))</f>
        <v/>
      </c>
      <c r="M293" s="35" t="str">
        <f t="shared" si="18"/>
        <v/>
      </c>
      <c r="N293" s="34" t="str">
        <f>IF(A293="","",IF(K293&lt;&gt;"Ja","Ej aktuell",IF(L293&lt;=0,"KONTROLLERA MATCHTID",IF(AND(COUNTIFS(BEMANNINGSPLAN!$A$5:$A$546,B293,BEMANNINGSPLAN!$C$5:$C$546,D293,BEMANNINGSPLAN!$D$5:$D$546,"&lt;="&amp;C293,BEMANNINGSPLAN!$E$5:$E$546,"&gt;"&amp;C293)&gt;0,COUNTIFS(BEMANNINGSPLAN!$A$5:$A$546,B293,BEMANNINGSPLAN!$C$5:$C$546,D293,BEMANNINGSPLAN!$D$5:$D$546,"&lt;"&amp;M293,BEMANNINGSPLAN!$E$5:$E$546,"&gt;="&amp;M293)&gt;0),"Ja","SAKNAS TIDSRADER"))))</f>
        <v/>
      </c>
      <c r="O293" s="137" t="str">
        <f>IF(OR(B293="",K293&lt;&gt;"Ja"),"",COUNTIFS($B$5:B293,B293,$K$5:K293,"Ja"))</f>
        <v/>
      </c>
      <c r="P293" s="137" t="str">
        <f t="shared" si="19"/>
        <v/>
      </c>
    </row>
    <row r="294" spans="1:16" ht="13">
      <c r="A294" s="31" t="str">
        <f>IF('IMPORT PROFIXIO'!A294="","",'IMPORT PROFIXIO'!A294)</f>
        <v/>
      </c>
      <c r="B294" s="32" t="str">
        <f>IF(A294="","",IF(ISNUMBER('IMPORT PROFIXIO'!D294),'IMPORT PROFIXIO'!D294,DATEVALUE('IMPORT PROFIXIO'!D294)))</f>
        <v/>
      </c>
      <c r="C294" s="33" t="str">
        <f>IF(A294="","",IF(ISNUMBER('IMPORT PROFIXIO'!E294),'IMPORT PROFIXIO'!E294,(VALUE(LEFT('IMPORT PROFIXIO'!E294,FIND(":",'IMPORT PROFIXIO'!E294)-1))*60+VALUE(MID('IMPORT PROFIXIO'!E294,FIND(":",'IMPORT PROFIXIO'!E294)+1,2)))/1440))</f>
        <v/>
      </c>
      <c r="D294" s="31" t="str">
        <f>IF(A294="","",'IMPORT PROFIXIO'!F294)</f>
        <v/>
      </c>
      <c r="E294" s="31" t="str">
        <f>IF(A294="","",'IMPORT PROFIXIO'!K294)</f>
        <v/>
      </c>
      <c r="F294" s="34" t="str">
        <f>IF(A294="","",IFERROR(VLOOKUP(E294,KLASSNING!$A$5:$F$74,2,FALSE()),"SAKNAS"))</f>
        <v/>
      </c>
      <c r="G294" s="34" t="str">
        <f>IF(A294="","",IFERROR(VLOOKUP(E294,KLASSNING!$A$5:$F$74,3,FALSE()),"SAKNAS"))</f>
        <v/>
      </c>
      <c r="H294" s="34" t="str">
        <f>IF(A294="","",'IMPORT PROFIXIO'!H294)</f>
        <v/>
      </c>
      <c r="I294" s="34" t="str">
        <f>IF(A294="","",'IMPORT PROFIXIO'!I294)</f>
        <v/>
      </c>
      <c r="J294" s="34" t="str">
        <f t="shared" si="16"/>
        <v/>
      </c>
      <c r="K294" s="34" t="str">
        <f t="shared" si="17"/>
        <v/>
      </c>
      <c r="L294" s="34" t="str">
        <f>IF(A294="","",IFERROR(VLOOKUP(E294,KLASSNING!$A$5:$F$74,5,FALSE()),0))</f>
        <v/>
      </c>
      <c r="M294" s="35" t="str">
        <f t="shared" si="18"/>
        <v/>
      </c>
      <c r="N294" s="34" t="str">
        <f>IF(A294="","",IF(K294&lt;&gt;"Ja","Ej aktuell",IF(L294&lt;=0,"KONTROLLERA MATCHTID",IF(AND(COUNTIFS(BEMANNINGSPLAN!$A$5:$A$546,B294,BEMANNINGSPLAN!$C$5:$C$546,D294,BEMANNINGSPLAN!$D$5:$D$546,"&lt;="&amp;C294,BEMANNINGSPLAN!$E$5:$E$546,"&gt;"&amp;C294)&gt;0,COUNTIFS(BEMANNINGSPLAN!$A$5:$A$546,B294,BEMANNINGSPLAN!$C$5:$C$546,D294,BEMANNINGSPLAN!$D$5:$D$546,"&lt;"&amp;M294,BEMANNINGSPLAN!$E$5:$E$546,"&gt;="&amp;M294)&gt;0),"Ja","SAKNAS TIDSRADER"))))</f>
        <v/>
      </c>
      <c r="O294" s="137" t="str">
        <f>IF(OR(B294="",K294&lt;&gt;"Ja"),"",COUNTIFS($B$5:B294,B294,$K$5:K294,"Ja"))</f>
        <v/>
      </c>
      <c r="P294" s="137" t="str">
        <f t="shared" si="19"/>
        <v/>
      </c>
    </row>
    <row r="295" spans="1:16" ht="13">
      <c r="A295" s="31" t="str">
        <f>IF('IMPORT PROFIXIO'!A295="","",'IMPORT PROFIXIO'!A295)</f>
        <v/>
      </c>
      <c r="B295" s="32" t="str">
        <f>IF(A295="","",IF(ISNUMBER('IMPORT PROFIXIO'!D295),'IMPORT PROFIXIO'!D295,DATEVALUE('IMPORT PROFIXIO'!D295)))</f>
        <v/>
      </c>
      <c r="C295" s="33" t="str">
        <f>IF(A295="","",IF(ISNUMBER('IMPORT PROFIXIO'!E295),'IMPORT PROFIXIO'!E295,(VALUE(LEFT('IMPORT PROFIXIO'!E295,FIND(":",'IMPORT PROFIXIO'!E295)-1))*60+VALUE(MID('IMPORT PROFIXIO'!E295,FIND(":",'IMPORT PROFIXIO'!E295)+1,2)))/1440))</f>
        <v/>
      </c>
      <c r="D295" s="31" t="str">
        <f>IF(A295="","",'IMPORT PROFIXIO'!F295)</f>
        <v/>
      </c>
      <c r="E295" s="31" t="str">
        <f>IF(A295="","",'IMPORT PROFIXIO'!K295)</f>
        <v/>
      </c>
      <c r="F295" s="34" t="str">
        <f>IF(A295="","",IFERROR(VLOOKUP(E295,KLASSNING!$A$5:$F$74,2,FALSE()),"SAKNAS"))</f>
        <v/>
      </c>
      <c r="G295" s="34" t="str">
        <f>IF(A295="","",IFERROR(VLOOKUP(E295,KLASSNING!$A$5:$F$74,3,FALSE()),"SAKNAS"))</f>
        <v/>
      </c>
      <c r="H295" s="34" t="str">
        <f>IF(A295="","",'IMPORT PROFIXIO'!H295)</f>
        <v/>
      </c>
      <c r="I295" s="34" t="str">
        <f>IF(A295="","",'IMPORT PROFIXIO'!I295)</f>
        <v/>
      </c>
      <c r="J295" s="34" t="str">
        <f t="shared" si="16"/>
        <v/>
      </c>
      <c r="K295" s="34" t="str">
        <f t="shared" si="17"/>
        <v/>
      </c>
      <c r="L295" s="34" t="str">
        <f>IF(A295="","",IFERROR(VLOOKUP(E295,KLASSNING!$A$5:$F$74,5,FALSE()),0))</f>
        <v/>
      </c>
      <c r="M295" s="35" t="str">
        <f t="shared" si="18"/>
        <v/>
      </c>
      <c r="N295" s="34" t="str">
        <f>IF(A295="","",IF(K295&lt;&gt;"Ja","Ej aktuell",IF(L295&lt;=0,"KONTROLLERA MATCHTID",IF(AND(COUNTIFS(BEMANNINGSPLAN!$A$5:$A$546,B295,BEMANNINGSPLAN!$C$5:$C$546,D295,BEMANNINGSPLAN!$D$5:$D$546,"&lt;="&amp;C295,BEMANNINGSPLAN!$E$5:$E$546,"&gt;"&amp;C295)&gt;0,COUNTIFS(BEMANNINGSPLAN!$A$5:$A$546,B295,BEMANNINGSPLAN!$C$5:$C$546,D295,BEMANNINGSPLAN!$D$5:$D$546,"&lt;"&amp;M295,BEMANNINGSPLAN!$E$5:$E$546,"&gt;="&amp;M295)&gt;0),"Ja","SAKNAS TIDSRADER"))))</f>
        <v/>
      </c>
      <c r="O295" s="137" t="str">
        <f>IF(OR(B295="",K295&lt;&gt;"Ja"),"",COUNTIFS($B$5:B295,B295,$K$5:K295,"Ja"))</f>
        <v/>
      </c>
      <c r="P295" s="137" t="str">
        <f t="shared" si="19"/>
        <v/>
      </c>
    </row>
    <row r="296" spans="1:16" ht="13">
      <c r="A296" s="31" t="str">
        <f>IF('IMPORT PROFIXIO'!A296="","",'IMPORT PROFIXIO'!A296)</f>
        <v/>
      </c>
      <c r="B296" s="32" t="str">
        <f>IF(A296="","",IF(ISNUMBER('IMPORT PROFIXIO'!D296),'IMPORT PROFIXIO'!D296,DATEVALUE('IMPORT PROFIXIO'!D296)))</f>
        <v/>
      </c>
      <c r="C296" s="33" t="str">
        <f>IF(A296="","",IF(ISNUMBER('IMPORT PROFIXIO'!E296),'IMPORT PROFIXIO'!E296,(VALUE(LEFT('IMPORT PROFIXIO'!E296,FIND(":",'IMPORT PROFIXIO'!E296)-1))*60+VALUE(MID('IMPORT PROFIXIO'!E296,FIND(":",'IMPORT PROFIXIO'!E296)+1,2)))/1440))</f>
        <v/>
      </c>
      <c r="D296" s="31" t="str">
        <f>IF(A296="","",'IMPORT PROFIXIO'!F296)</f>
        <v/>
      </c>
      <c r="E296" s="31" t="str">
        <f>IF(A296="","",'IMPORT PROFIXIO'!K296)</f>
        <v/>
      </c>
      <c r="F296" s="34" t="str">
        <f>IF(A296="","",IFERROR(VLOOKUP(E296,KLASSNING!$A$5:$F$74,2,FALSE()),"SAKNAS"))</f>
        <v/>
      </c>
      <c r="G296" s="34" t="str">
        <f>IF(A296="","",IFERROR(VLOOKUP(E296,KLASSNING!$A$5:$F$74,3,FALSE()),"SAKNAS"))</f>
        <v/>
      </c>
      <c r="H296" s="34" t="str">
        <f>IF(A296="","",'IMPORT PROFIXIO'!H296)</f>
        <v/>
      </c>
      <c r="I296" s="34" t="str">
        <f>IF(A296="","",'IMPORT PROFIXIO'!I296)</f>
        <v/>
      </c>
      <c r="J296" s="34" t="str">
        <f t="shared" si="16"/>
        <v/>
      </c>
      <c r="K296" s="34" t="str">
        <f t="shared" si="17"/>
        <v/>
      </c>
      <c r="L296" s="34" t="str">
        <f>IF(A296="","",IFERROR(VLOOKUP(E296,KLASSNING!$A$5:$F$74,5,FALSE()),0))</f>
        <v/>
      </c>
      <c r="M296" s="35" t="str">
        <f t="shared" si="18"/>
        <v/>
      </c>
      <c r="N296" s="34" t="str">
        <f>IF(A296="","",IF(K296&lt;&gt;"Ja","Ej aktuell",IF(L296&lt;=0,"KONTROLLERA MATCHTID",IF(AND(COUNTIFS(BEMANNINGSPLAN!$A$5:$A$546,B296,BEMANNINGSPLAN!$C$5:$C$546,D296,BEMANNINGSPLAN!$D$5:$D$546,"&lt;="&amp;C296,BEMANNINGSPLAN!$E$5:$E$546,"&gt;"&amp;C296)&gt;0,COUNTIFS(BEMANNINGSPLAN!$A$5:$A$546,B296,BEMANNINGSPLAN!$C$5:$C$546,D296,BEMANNINGSPLAN!$D$5:$D$546,"&lt;"&amp;M296,BEMANNINGSPLAN!$E$5:$E$546,"&gt;="&amp;M296)&gt;0),"Ja","SAKNAS TIDSRADER"))))</f>
        <v/>
      </c>
      <c r="O296" s="137" t="str">
        <f>IF(OR(B296="",K296&lt;&gt;"Ja"),"",COUNTIFS($B$5:B296,B296,$K$5:K296,"Ja"))</f>
        <v/>
      </c>
      <c r="P296" s="137" t="str">
        <f t="shared" si="19"/>
        <v/>
      </c>
    </row>
    <row r="297" spans="1:16" ht="13">
      <c r="A297" s="31" t="str">
        <f>IF('IMPORT PROFIXIO'!A297="","",'IMPORT PROFIXIO'!A297)</f>
        <v/>
      </c>
      <c r="B297" s="32" t="str">
        <f>IF(A297="","",IF(ISNUMBER('IMPORT PROFIXIO'!D297),'IMPORT PROFIXIO'!D297,DATEVALUE('IMPORT PROFIXIO'!D297)))</f>
        <v/>
      </c>
      <c r="C297" s="33" t="str">
        <f>IF(A297="","",IF(ISNUMBER('IMPORT PROFIXIO'!E297),'IMPORT PROFIXIO'!E297,(VALUE(LEFT('IMPORT PROFIXIO'!E297,FIND(":",'IMPORT PROFIXIO'!E297)-1))*60+VALUE(MID('IMPORT PROFIXIO'!E297,FIND(":",'IMPORT PROFIXIO'!E297)+1,2)))/1440))</f>
        <v/>
      </c>
      <c r="D297" s="31" t="str">
        <f>IF(A297="","",'IMPORT PROFIXIO'!F297)</f>
        <v/>
      </c>
      <c r="E297" s="31" t="str">
        <f>IF(A297="","",'IMPORT PROFIXIO'!K297)</f>
        <v/>
      </c>
      <c r="F297" s="34" t="str">
        <f>IF(A297="","",IFERROR(VLOOKUP(E297,KLASSNING!$A$5:$F$74,2,FALSE()),"SAKNAS"))</f>
        <v/>
      </c>
      <c r="G297" s="34" t="str">
        <f>IF(A297="","",IFERROR(VLOOKUP(E297,KLASSNING!$A$5:$F$74,3,FALSE()),"SAKNAS"))</f>
        <v/>
      </c>
      <c r="H297" s="34" t="str">
        <f>IF(A297="","",'IMPORT PROFIXIO'!H297)</f>
        <v/>
      </c>
      <c r="I297" s="34" t="str">
        <f>IF(A297="","",'IMPORT PROFIXIO'!I297)</f>
        <v/>
      </c>
      <c r="J297" s="34" t="str">
        <f t="shared" si="16"/>
        <v/>
      </c>
      <c r="K297" s="34" t="str">
        <f t="shared" si="17"/>
        <v/>
      </c>
      <c r="L297" s="34" t="str">
        <f>IF(A297="","",IFERROR(VLOOKUP(E297,KLASSNING!$A$5:$F$74,5,FALSE()),0))</f>
        <v/>
      </c>
      <c r="M297" s="35" t="str">
        <f t="shared" si="18"/>
        <v/>
      </c>
      <c r="N297" s="34" t="str">
        <f>IF(A297="","",IF(K297&lt;&gt;"Ja","Ej aktuell",IF(L297&lt;=0,"KONTROLLERA MATCHTID",IF(AND(COUNTIFS(BEMANNINGSPLAN!$A$5:$A$546,B297,BEMANNINGSPLAN!$C$5:$C$546,D297,BEMANNINGSPLAN!$D$5:$D$546,"&lt;="&amp;C297,BEMANNINGSPLAN!$E$5:$E$546,"&gt;"&amp;C297)&gt;0,COUNTIFS(BEMANNINGSPLAN!$A$5:$A$546,B297,BEMANNINGSPLAN!$C$5:$C$546,D297,BEMANNINGSPLAN!$D$5:$D$546,"&lt;"&amp;M297,BEMANNINGSPLAN!$E$5:$E$546,"&gt;="&amp;M297)&gt;0),"Ja","SAKNAS TIDSRADER"))))</f>
        <v/>
      </c>
      <c r="O297" s="137" t="str">
        <f>IF(OR(B297="",K297&lt;&gt;"Ja"),"",COUNTIFS($B$5:B297,B297,$K$5:K297,"Ja"))</f>
        <v/>
      </c>
      <c r="P297" s="137" t="str">
        <f t="shared" si="19"/>
        <v/>
      </c>
    </row>
    <row r="298" spans="1:16" ht="13">
      <c r="A298" s="31" t="str">
        <f>IF('IMPORT PROFIXIO'!A298="","",'IMPORT PROFIXIO'!A298)</f>
        <v/>
      </c>
      <c r="B298" s="32" t="str">
        <f>IF(A298="","",IF(ISNUMBER('IMPORT PROFIXIO'!D298),'IMPORT PROFIXIO'!D298,DATEVALUE('IMPORT PROFIXIO'!D298)))</f>
        <v/>
      </c>
      <c r="C298" s="33" t="str">
        <f>IF(A298="","",IF(ISNUMBER('IMPORT PROFIXIO'!E298),'IMPORT PROFIXIO'!E298,(VALUE(LEFT('IMPORT PROFIXIO'!E298,FIND(":",'IMPORT PROFIXIO'!E298)-1))*60+VALUE(MID('IMPORT PROFIXIO'!E298,FIND(":",'IMPORT PROFIXIO'!E298)+1,2)))/1440))</f>
        <v/>
      </c>
      <c r="D298" s="31" t="str">
        <f>IF(A298="","",'IMPORT PROFIXIO'!F298)</f>
        <v/>
      </c>
      <c r="E298" s="31" t="str">
        <f>IF(A298="","",'IMPORT PROFIXIO'!K298)</f>
        <v/>
      </c>
      <c r="F298" s="34" t="str">
        <f>IF(A298="","",IFERROR(VLOOKUP(E298,KLASSNING!$A$5:$F$74,2,FALSE()),"SAKNAS"))</f>
        <v/>
      </c>
      <c r="G298" s="34" t="str">
        <f>IF(A298="","",IFERROR(VLOOKUP(E298,KLASSNING!$A$5:$F$74,3,FALSE()),"SAKNAS"))</f>
        <v/>
      </c>
      <c r="H298" s="34" t="str">
        <f>IF(A298="","",'IMPORT PROFIXIO'!H298)</f>
        <v/>
      </c>
      <c r="I298" s="34" t="str">
        <f>IF(A298="","",'IMPORT PROFIXIO'!I298)</f>
        <v/>
      </c>
      <c r="J298" s="34" t="str">
        <f t="shared" si="16"/>
        <v/>
      </c>
      <c r="K298" s="34" t="str">
        <f t="shared" si="17"/>
        <v/>
      </c>
      <c r="L298" s="34" t="str">
        <f>IF(A298="","",IFERROR(VLOOKUP(E298,KLASSNING!$A$5:$F$74,5,FALSE()),0))</f>
        <v/>
      </c>
      <c r="M298" s="35" t="str">
        <f t="shared" si="18"/>
        <v/>
      </c>
      <c r="N298" s="34" t="str">
        <f>IF(A298="","",IF(K298&lt;&gt;"Ja","Ej aktuell",IF(L298&lt;=0,"KONTROLLERA MATCHTID",IF(AND(COUNTIFS(BEMANNINGSPLAN!$A$5:$A$546,B298,BEMANNINGSPLAN!$C$5:$C$546,D298,BEMANNINGSPLAN!$D$5:$D$546,"&lt;="&amp;C298,BEMANNINGSPLAN!$E$5:$E$546,"&gt;"&amp;C298)&gt;0,COUNTIFS(BEMANNINGSPLAN!$A$5:$A$546,B298,BEMANNINGSPLAN!$C$5:$C$546,D298,BEMANNINGSPLAN!$D$5:$D$546,"&lt;"&amp;M298,BEMANNINGSPLAN!$E$5:$E$546,"&gt;="&amp;M298)&gt;0),"Ja","SAKNAS TIDSRADER"))))</f>
        <v/>
      </c>
      <c r="O298" s="137" t="str">
        <f>IF(OR(B298="",K298&lt;&gt;"Ja"),"",COUNTIFS($B$5:B298,B298,$K$5:K298,"Ja"))</f>
        <v/>
      </c>
      <c r="P298" s="137" t="str">
        <f t="shared" si="19"/>
        <v/>
      </c>
    </row>
    <row r="299" spans="1:16" ht="13">
      <c r="A299" s="31" t="str">
        <f>IF('IMPORT PROFIXIO'!A299="","",'IMPORT PROFIXIO'!A299)</f>
        <v/>
      </c>
      <c r="B299" s="32" t="str">
        <f>IF(A299="","",IF(ISNUMBER('IMPORT PROFIXIO'!D299),'IMPORT PROFIXIO'!D299,DATEVALUE('IMPORT PROFIXIO'!D299)))</f>
        <v/>
      </c>
      <c r="C299" s="33" t="str">
        <f>IF(A299="","",IF(ISNUMBER('IMPORT PROFIXIO'!E299),'IMPORT PROFIXIO'!E299,(VALUE(LEFT('IMPORT PROFIXIO'!E299,FIND(":",'IMPORT PROFIXIO'!E299)-1))*60+VALUE(MID('IMPORT PROFIXIO'!E299,FIND(":",'IMPORT PROFIXIO'!E299)+1,2)))/1440))</f>
        <v/>
      </c>
      <c r="D299" s="31" t="str">
        <f>IF(A299="","",'IMPORT PROFIXIO'!F299)</f>
        <v/>
      </c>
      <c r="E299" s="31" t="str">
        <f>IF(A299="","",'IMPORT PROFIXIO'!K299)</f>
        <v/>
      </c>
      <c r="F299" s="34" t="str">
        <f>IF(A299="","",IFERROR(VLOOKUP(E299,KLASSNING!$A$5:$F$74,2,FALSE()),"SAKNAS"))</f>
        <v/>
      </c>
      <c r="G299" s="34" t="str">
        <f>IF(A299="","",IFERROR(VLOOKUP(E299,KLASSNING!$A$5:$F$74,3,FALSE()),"SAKNAS"))</f>
        <v/>
      </c>
      <c r="H299" s="34" t="str">
        <f>IF(A299="","",'IMPORT PROFIXIO'!H299)</f>
        <v/>
      </c>
      <c r="I299" s="34" t="str">
        <f>IF(A299="","",'IMPORT PROFIXIO'!I299)</f>
        <v/>
      </c>
      <c r="J299" s="34" t="str">
        <f t="shared" si="16"/>
        <v/>
      </c>
      <c r="K299" s="34" t="str">
        <f t="shared" si="17"/>
        <v/>
      </c>
      <c r="L299" s="34" t="str">
        <f>IF(A299="","",IFERROR(VLOOKUP(E299,KLASSNING!$A$5:$F$74,5,FALSE()),0))</f>
        <v/>
      </c>
      <c r="M299" s="35" t="str">
        <f t="shared" si="18"/>
        <v/>
      </c>
      <c r="N299" s="34" t="str">
        <f>IF(A299="","",IF(K299&lt;&gt;"Ja","Ej aktuell",IF(L299&lt;=0,"KONTROLLERA MATCHTID",IF(AND(COUNTIFS(BEMANNINGSPLAN!$A$5:$A$546,B299,BEMANNINGSPLAN!$C$5:$C$546,D299,BEMANNINGSPLAN!$D$5:$D$546,"&lt;="&amp;C299,BEMANNINGSPLAN!$E$5:$E$546,"&gt;"&amp;C299)&gt;0,COUNTIFS(BEMANNINGSPLAN!$A$5:$A$546,B299,BEMANNINGSPLAN!$C$5:$C$546,D299,BEMANNINGSPLAN!$D$5:$D$546,"&lt;"&amp;M299,BEMANNINGSPLAN!$E$5:$E$546,"&gt;="&amp;M299)&gt;0),"Ja","SAKNAS TIDSRADER"))))</f>
        <v/>
      </c>
      <c r="O299" s="137" t="str">
        <f>IF(OR(B299="",K299&lt;&gt;"Ja"),"",COUNTIFS($B$5:B299,B299,$K$5:K299,"Ja"))</f>
        <v/>
      </c>
      <c r="P299" s="137" t="str">
        <f t="shared" si="19"/>
        <v/>
      </c>
    </row>
    <row r="300" spans="1:16" ht="13">
      <c r="A300" s="31" t="str">
        <f>IF('IMPORT PROFIXIO'!A300="","",'IMPORT PROFIXIO'!A300)</f>
        <v/>
      </c>
      <c r="B300" s="32" t="str">
        <f>IF(A300="","",IF(ISNUMBER('IMPORT PROFIXIO'!D300),'IMPORT PROFIXIO'!D300,DATEVALUE('IMPORT PROFIXIO'!D300)))</f>
        <v/>
      </c>
      <c r="C300" s="33" t="str">
        <f>IF(A300="","",IF(ISNUMBER('IMPORT PROFIXIO'!E300),'IMPORT PROFIXIO'!E300,(VALUE(LEFT('IMPORT PROFIXIO'!E300,FIND(":",'IMPORT PROFIXIO'!E300)-1))*60+VALUE(MID('IMPORT PROFIXIO'!E300,FIND(":",'IMPORT PROFIXIO'!E300)+1,2)))/1440))</f>
        <v/>
      </c>
      <c r="D300" s="31" t="str">
        <f>IF(A300="","",'IMPORT PROFIXIO'!F300)</f>
        <v/>
      </c>
      <c r="E300" s="31" t="str">
        <f>IF(A300="","",'IMPORT PROFIXIO'!K300)</f>
        <v/>
      </c>
      <c r="F300" s="34" t="str">
        <f>IF(A300="","",IFERROR(VLOOKUP(E300,KLASSNING!$A$5:$F$74,2,FALSE()),"SAKNAS"))</f>
        <v/>
      </c>
      <c r="G300" s="34" t="str">
        <f>IF(A300="","",IFERROR(VLOOKUP(E300,KLASSNING!$A$5:$F$74,3,FALSE()),"SAKNAS"))</f>
        <v/>
      </c>
      <c r="H300" s="34" t="str">
        <f>IF(A300="","",'IMPORT PROFIXIO'!H300)</f>
        <v/>
      </c>
      <c r="I300" s="34" t="str">
        <f>IF(A300="","",'IMPORT PROFIXIO'!I300)</f>
        <v/>
      </c>
      <c r="J300" s="34" t="str">
        <f t="shared" si="16"/>
        <v/>
      </c>
      <c r="K300" s="34" t="str">
        <f t="shared" si="17"/>
        <v/>
      </c>
      <c r="L300" s="34" t="str">
        <f>IF(A300="","",IFERROR(VLOOKUP(E300,KLASSNING!$A$5:$F$74,5,FALSE()),0))</f>
        <v/>
      </c>
      <c r="M300" s="35" t="str">
        <f t="shared" si="18"/>
        <v/>
      </c>
      <c r="N300" s="34" t="str">
        <f>IF(A300="","",IF(K300&lt;&gt;"Ja","Ej aktuell",IF(L300&lt;=0,"KONTROLLERA MATCHTID",IF(AND(COUNTIFS(BEMANNINGSPLAN!$A$5:$A$546,B300,BEMANNINGSPLAN!$C$5:$C$546,D300,BEMANNINGSPLAN!$D$5:$D$546,"&lt;="&amp;C300,BEMANNINGSPLAN!$E$5:$E$546,"&gt;"&amp;C300)&gt;0,COUNTIFS(BEMANNINGSPLAN!$A$5:$A$546,B300,BEMANNINGSPLAN!$C$5:$C$546,D300,BEMANNINGSPLAN!$D$5:$D$546,"&lt;"&amp;M300,BEMANNINGSPLAN!$E$5:$E$546,"&gt;="&amp;M300)&gt;0),"Ja","SAKNAS TIDSRADER"))))</f>
        <v/>
      </c>
      <c r="O300" s="137" t="str">
        <f>IF(OR(B300="",K300&lt;&gt;"Ja"),"",COUNTIFS($B$5:B300,B300,$K$5:K300,"Ja"))</f>
        <v/>
      </c>
      <c r="P300" s="137" t="str">
        <f t="shared" si="19"/>
        <v/>
      </c>
    </row>
    <row r="301" spans="1:16" ht="13">
      <c r="A301" s="31" t="str">
        <f>IF('IMPORT PROFIXIO'!A301="","",'IMPORT PROFIXIO'!A301)</f>
        <v/>
      </c>
      <c r="B301" s="32" t="str">
        <f>IF(A301="","",IF(ISNUMBER('IMPORT PROFIXIO'!D301),'IMPORT PROFIXIO'!D301,DATEVALUE('IMPORT PROFIXIO'!D301)))</f>
        <v/>
      </c>
      <c r="C301" s="33" t="str">
        <f>IF(A301="","",IF(ISNUMBER('IMPORT PROFIXIO'!E301),'IMPORT PROFIXIO'!E301,(VALUE(LEFT('IMPORT PROFIXIO'!E301,FIND(":",'IMPORT PROFIXIO'!E301)-1))*60+VALUE(MID('IMPORT PROFIXIO'!E301,FIND(":",'IMPORT PROFIXIO'!E301)+1,2)))/1440))</f>
        <v/>
      </c>
      <c r="D301" s="31" t="str">
        <f>IF(A301="","",'IMPORT PROFIXIO'!F301)</f>
        <v/>
      </c>
      <c r="E301" s="31" t="str">
        <f>IF(A301="","",'IMPORT PROFIXIO'!K301)</f>
        <v/>
      </c>
      <c r="F301" s="34" t="str">
        <f>IF(A301="","",IFERROR(VLOOKUP(E301,KLASSNING!$A$5:$F$74,2,FALSE()),"SAKNAS"))</f>
        <v/>
      </c>
      <c r="G301" s="34" t="str">
        <f>IF(A301="","",IFERROR(VLOOKUP(E301,KLASSNING!$A$5:$F$74,3,FALSE()),"SAKNAS"))</f>
        <v/>
      </c>
      <c r="H301" s="34" t="str">
        <f>IF(A301="","",'IMPORT PROFIXIO'!H301)</f>
        <v/>
      </c>
      <c r="I301" s="34" t="str">
        <f>IF(A301="","",'IMPORT PROFIXIO'!I301)</f>
        <v/>
      </c>
      <c r="J301" s="34" t="str">
        <f t="shared" si="16"/>
        <v/>
      </c>
      <c r="K301" s="34" t="str">
        <f t="shared" si="17"/>
        <v/>
      </c>
      <c r="L301" s="34" t="str">
        <f>IF(A301="","",IFERROR(VLOOKUP(E301,KLASSNING!$A$5:$F$74,5,FALSE()),0))</f>
        <v/>
      </c>
      <c r="M301" s="35" t="str">
        <f t="shared" si="18"/>
        <v/>
      </c>
      <c r="N301" s="34" t="str">
        <f>IF(A301="","",IF(K301&lt;&gt;"Ja","Ej aktuell",IF(L301&lt;=0,"KONTROLLERA MATCHTID",IF(AND(COUNTIFS(BEMANNINGSPLAN!$A$5:$A$546,B301,BEMANNINGSPLAN!$C$5:$C$546,D301,BEMANNINGSPLAN!$D$5:$D$546,"&lt;="&amp;C301,BEMANNINGSPLAN!$E$5:$E$546,"&gt;"&amp;C301)&gt;0,COUNTIFS(BEMANNINGSPLAN!$A$5:$A$546,B301,BEMANNINGSPLAN!$C$5:$C$546,D301,BEMANNINGSPLAN!$D$5:$D$546,"&lt;"&amp;M301,BEMANNINGSPLAN!$E$5:$E$546,"&gt;="&amp;M301)&gt;0),"Ja","SAKNAS TIDSRADER"))))</f>
        <v/>
      </c>
      <c r="O301" s="137" t="str">
        <f>IF(OR(B301="",K301&lt;&gt;"Ja"),"",COUNTIFS($B$5:B301,B301,$K$5:K301,"Ja"))</f>
        <v/>
      </c>
      <c r="P301" s="137" t="str">
        <f t="shared" si="19"/>
        <v/>
      </c>
    </row>
    <row r="302" spans="1:16" ht="13">
      <c r="A302" s="31" t="str">
        <f>IF('IMPORT PROFIXIO'!A302="","",'IMPORT PROFIXIO'!A302)</f>
        <v/>
      </c>
      <c r="B302" s="32" t="str">
        <f>IF(A302="","",IF(ISNUMBER('IMPORT PROFIXIO'!D302),'IMPORT PROFIXIO'!D302,DATEVALUE('IMPORT PROFIXIO'!D302)))</f>
        <v/>
      </c>
      <c r="C302" s="33" t="str">
        <f>IF(A302="","",IF(ISNUMBER('IMPORT PROFIXIO'!E302),'IMPORT PROFIXIO'!E302,(VALUE(LEFT('IMPORT PROFIXIO'!E302,FIND(":",'IMPORT PROFIXIO'!E302)-1))*60+VALUE(MID('IMPORT PROFIXIO'!E302,FIND(":",'IMPORT PROFIXIO'!E302)+1,2)))/1440))</f>
        <v/>
      </c>
      <c r="D302" s="31" t="str">
        <f>IF(A302="","",'IMPORT PROFIXIO'!F302)</f>
        <v/>
      </c>
      <c r="E302" s="31" t="str">
        <f>IF(A302="","",'IMPORT PROFIXIO'!K302)</f>
        <v/>
      </c>
      <c r="F302" s="34" t="str">
        <f>IF(A302="","",IFERROR(VLOOKUP(E302,KLASSNING!$A$5:$F$74,2,FALSE()),"SAKNAS"))</f>
        <v/>
      </c>
      <c r="G302" s="34" t="str">
        <f>IF(A302="","",IFERROR(VLOOKUP(E302,KLASSNING!$A$5:$F$74,3,FALSE()),"SAKNAS"))</f>
        <v/>
      </c>
      <c r="H302" s="34" t="str">
        <f>IF(A302="","",'IMPORT PROFIXIO'!H302)</f>
        <v/>
      </c>
      <c r="I302" s="34" t="str">
        <f>IF(A302="","",'IMPORT PROFIXIO'!I302)</f>
        <v/>
      </c>
      <c r="J302" s="34" t="str">
        <f t="shared" si="16"/>
        <v/>
      </c>
      <c r="K302" s="34" t="str">
        <f t="shared" si="17"/>
        <v/>
      </c>
      <c r="L302" s="34" t="str">
        <f>IF(A302="","",IFERROR(VLOOKUP(E302,KLASSNING!$A$5:$F$74,5,FALSE()),0))</f>
        <v/>
      </c>
      <c r="M302" s="35" t="str">
        <f t="shared" si="18"/>
        <v/>
      </c>
      <c r="N302" s="34" t="str">
        <f>IF(A302="","",IF(K302&lt;&gt;"Ja","Ej aktuell",IF(L302&lt;=0,"KONTROLLERA MATCHTID",IF(AND(COUNTIFS(BEMANNINGSPLAN!$A$5:$A$546,B302,BEMANNINGSPLAN!$C$5:$C$546,D302,BEMANNINGSPLAN!$D$5:$D$546,"&lt;="&amp;C302,BEMANNINGSPLAN!$E$5:$E$546,"&gt;"&amp;C302)&gt;0,COUNTIFS(BEMANNINGSPLAN!$A$5:$A$546,B302,BEMANNINGSPLAN!$C$5:$C$546,D302,BEMANNINGSPLAN!$D$5:$D$546,"&lt;"&amp;M302,BEMANNINGSPLAN!$E$5:$E$546,"&gt;="&amp;M302)&gt;0),"Ja","SAKNAS TIDSRADER"))))</f>
        <v/>
      </c>
      <c r="O302" s="137" t="str">
        <f>IF(OR(B302="",K302&lt;&gt;"Ja"),"",COUNTIFS($B$5:B302,B302,$K$5:K302,"Ja"))</f>
        <v/>
      </c>
      <c r="P302" s="137" t="str">
        <f t="shared" si="19"/>
        <v/>
      </c>
    </row>
    <row r="303" spans="1:16" ht="13">
      <c r="A303" s="31" t="str">
        <f>IF('IMPORT PROFIXIO'!A303="","",'IMPORT PROFIXIO'!A303)</f>
        <v/>
      </c>
      <c r="B303" s="32" t="str">
        <f>IF(A303="","",IF(ISNUMBER('IMPORT PROFIXIO'!D303),'IMPORT PROFIXIO'!D303,DATEVALUE('IMPORT PROFIXIO'!D303)))</f>
        <v/>
      </c>
      <c r="C303" s="33" t="str">
        <f>IF(A303="","",IF(ISNUMBER('IMPORT PROFIXIO'!E303),'IMPORT PROFIXIO'!E303,(VALUE(LEFT('IMPORT PROFIXIO'!E303,FIND(":",'IMPORT PROFIXIO'!E303)-1))*60+VALUE(MID('IMPORT PROFIXIO'!E303,FIND(":",'IMPORT PROFIXIO'!E303)+1,2)))/1440))</f>
        <v/>
      </c>
      <c r="D303" s="31" t="str">
        <f>IF(A303="","",'IMPORT PROFIXIO'!F303)</f>
        <v/>
      </c>
      <c r="E303" s="31" t="str">
        <f>IF(A303="","",'IMPORT PROFIXIO'!K303)</f>
        <v/>
      </c>
      <c r="F303" s="34" t="str">
        <f>IF(A303="","",IFERROR(VLOOKUP(E303,KLASSNING!$A$5:$F$74,2,FALSE()),"SAKNAS"))</f>
        <v/>
      </c>
      <c r="G303" s="34" t="str">
        <f>IF(A303="","",IFERROR(VLOOKUP(E303,KLASSNING!$A$5:$F$74,3,FALSE()),"SAKNAS"))</f>
        <v/>
      </c>
      <c r="H303" s="34" t="str">
        <f>IF(A303="","",'IMPORT PROFIXIO'!H303)</f>
        <v/>
      </c>
      <c r="I303" s="34" t="str">
        <f>IF(A303="","",'IMPORT PROFIXIO'!I303)</f>
        <v/>
      </c>
      <c r="J303" s="34" t="str">
        <f t="shared" si="16"/>
        <v/>
      </c>
      <c r="K303" s="34" t="str">
        <f t="shared" si="17"/>
        <v/>
      </c>
      <c r="L303" s="34" t="str">
        <f>IF(A303="","",IFERROR(VLOOKUP(E303,KLASSNING!$A$5:$F$74,5,FALSE()),0))</f>
        <v/>
      </c>
      <c r="M303" s="35" t="str">
        <f t="shared" si="18"/>
        <v/>
      </c>
      <c r="N303" s="34" t="str">
        <f>IF(A303="","",IF(K303&lt;&gt;"Ja","Ej aktuell",IF(L303&lt;=0,"KONTROLLERA MATCHTID",IF(AND(COUNTIFS(BEMANNINGSPLAN!$A$5:$A$546,B303,BEMANNINGSPLAN!$C$5:$C$546,D303,BEMANNINGSPLAN!$D$5:$D$546,"&lt;="&amp;C303,BEMANNINGSPLAN!$E$5:$E$546,"&gt;"&amp;C303)&gt;0,COUNTIFS(BEMANNINGSPLAN!$A$5:$A$546,B303,BEMANNINGSPLAN!$C$5:$C$546,D303,BEMANNINGSPLAN!$D$5:$D$546,"&lt;"&amp;M303,BEMANNINGSPLAN!$E$5:$E$546,"&gt;="&amp;M303)&gt;0),"Ja","SAKNAS TIDSRADER"))))</f>
        <v/>
      </c>
      <c r="O303" s="137" t="str">
        <f>IF(OR(B303="",K303&lt;&gt;"Ja"),"",COUNTIFS($B$5:B303,B303,$K$5:K303,"Ja"))</f>
        <v/>
      </c>
      <c r="P303" s="137" t="str">
        <f t="shared" si="19"/>
        <v/>
      </c>
    </row>
    <row r="304" spans="1:16" ht="13">
      <c r="A304" s="31" t="str">
        <f>IF('IMPORT PROFIXIO'!A304="","",'IMPORT PROFIXIO'!A304)</f>
        <v/>
      </c>
      <c r="B304" s="32" t="str">
        <f>IF(A304="","",IF(ISNUMBER('IMPORT PROFIXIO'!D304),'IMPORT PROFIXIO'!D304,DATEVALUE('IMPORT PROFIXIO'!D304)))</f>
        <v/>
      </c>
      <c r="C304" s="33" t="str">
        <f>IF(A304="","",IF(ISNUMBER('IMPORT PROFIXIO'!E304),'IMPORT PROFIXIO'!E304,(VALUE(LEFT('IMPORT PROFIXIO'!E304,FIND(":",'IMPORT PROFIXIO'!E304)-1))*60+VALUE(MID('IMPORT PROFIXIO'!E304,FIND(":",'IMPORT PROFIXIO'!E304)+1,2)))/1440))</f>
        <v/>
      </c>
      <c r="D304" s="31" t="str">
        <f>IF(A304="","",'IMPORT PROFIXIO'!F304)</f>
        <v/>
      </c>
      <c r="E304" s="31" t="str">
        <f>IF(A304="","",'IMPORT PROFIXIO'!K304)</f>
        <v/>
      </c>
      <c r="F304" s="34" t="str">
        <f>IF(A304="","",IFERROR(VLOOKUP(E304,KLASSNING!$A$5:$F$74,2,FALSE()),"SAKNAS"))</f>
        <v/>
      </c>
      <c r="G304" s="34" t="str">
        <f>IF(A304="","",IFERROR(VLOOKUP(E304,KLASSNING!$A$5:$F$74,3,FALSE()),"SAKNAS"))</f>
        <v/>
      </c>
      <c r="H304" s="34" t="str">
        <f>IF(A304="","",'IMPORT PROFIXIO'!H304)</f>
        <v/>
      </c>
      <c r="I304" s="34" t="str">
        <f>IF(A304="","",'IMPORT PROFIXIO'!I304)</f>
        <v/>
      </c>
      <c r="J304" s="34" t="str">
        <f t="shared" si="16"/>
        <v/>
      </c>
      <c r="K304" s="34" t="str">
        <f t="shared" si="17"/>
        <v/>
      </c>
      <c r="L304" s="34" t="str">
        <f>IF(A304="","",IFERROR(VLOOKUP(E304,KLASSNING!$A$5:$F$74,5,FALSE()),0))</f>
        <v/>
      </c>
      <c r="M304" s="35" t="str">
        <f t="shared" si="18"/>
        <v/>
      </c>
      <c r="N304" s="34" t="str">
        <f>IF(A304="","",IF(K304&lt;&gt;"Ja","Ej aktuell",IF(L304&lt;=0,"KONTROLLERA MATCHTID",IF(AND(COUNTIFS(BEMANNINGSPLAN!$A$5:$A$546,B304,BEMANNINGSPLAN!$C$5:$C$546,D304,BEMANNINGSPLAN!$D$5:$D$546,"&lt;="&amp;C304,BEMANNINGSPLAN!$E$5:$E$546,"&gt;"&amp;C304)&gt;0,COUNTIFS(BEMANNINGSPLAN!$A$5:$A$546,B304,BEMANNINGSPLAN!$C$5:$C$546,D304,BEMANNINGSPLAN!$D$5:$D$546,"&lt;"&amp;M304,BEMANNINGSPLAN!$E$5:$E$546,"&gt;="&amp;M304)&gt;0),"Ja","SAKNAS TIDSRADER"))))</f>
        <v/>
      </c>
      <c r="O304" s="137" t="str">
        <f>IF(OR(B304="",K304&lt;&gt;"Ja"),"",COUNTIFS($B$5:B304,B304,$K$5:K304,"Ja"))</f>
        <v/>
      </c>
      <c r="P304" s="137" t="str">
        <f t="shared" si="19"/>
        <v/>
      </c>
    </row>
    <row r="305" spans="1:16" ht="13">
      <c r="A305" s="31" t="str">
        <f>IF('IMPORT PROFIXIO'!A305="","",'IMPORT PROFIXIO'!A305)</f>
        <v/>
      </c>
      <c r="B305" s="32" t="str">
        <f>IF(A305="","",IF(ISNUMBER('IMPORT PROFIXIO'!D305),'IMPORT PROFIXIO'!D305,DATEVALUE('IMPORT PROFIXIO'!D305)))</f>
        <v/>
      </c>
      <c r="C305" s="33" t="str">
        <f>IF(A305="","",IF(ISNUMBER('IMPORT PROFIXIO'!E305),'IMPORT PROFIXIO'!E305,(VALUE(LEFT('IMPORT PROFIXIO'!E305,FIND(":",'IMPORT PROFIXIO'!E305)-1))*60+VALUE(MID('IMPORT PROFIXIO'!E305,FIND(":",'IMPORT PROFIXIO'!E305)+1,2)))/1440))</f>
        <v/>
      </c>
      <c r="D305" s="31" t="str">
        <f>IF(A305="","",'IMPORT PROFIXIO'!F305)</f>
        <v/>
      </c>
      <c r="E305" s="31" t="str">
        <f>IF(A305="","",'IMPORT PROFIXIO'!K305)</f>
        <v/>
      </c>
      <c r="F305" s="34" t="str">
        <f>IF(A305="","",IFERROR(VLOOKUP(E305,KLASSNING!$A$5:$F$74,2,FALSE()),"SAKNAS"))</f>
        <v/>
      </c>
      <c r="G305" s="34" t="str">
        <f>IF(A305="","",IFERROR(VLOOKUP(E305,KLASSNING!$A$5:$F$74,3,FALSE()),"SAKNAS"))</f>
        <v/>
      </c>
      <c r="H305" s="34" t="str">
        <f>IF(A305="","",'IMPORT PROFIXIO'!H305)</f>
        <v/>
      </c>
      <c r="I305" s="34" t="str">
        <f>IF(A305="","",'IMPORT PROFIXIO'!I305)</f>
        <v/>
      </c>
      <c r="J305" s="34" t="str">
        <f t="shared" si="16"/>
        <v/>
      </c>
      <c r="K305" s="34" t="str">
        <f t="shared" si="17"/>
        <v/>
      </c>
      <c r="L305" s="34" t="str">
        <f>IF(A305="","",IFERROR(VLOOKUP(E305,KLASSNING!$A$5:$F$74,5,FALSE()),0))</f>
        <v/>
      </c>
      <c r="M305" s="35" t="str">
        <f t="shared" si="18"/>
        <v/>
      </c>
      <c r="N305" s="34" t="str">
        <f>IF(A305="","",IF(K305&lt;&gt;"Ja","Ej aktuell",IF(L305&lt;=0,"KONTROLLERA MATCHTID",IF(AND(COUNTIFS(BEMANNINGSPLAN!$A$5:$A$546,B305,BEMANNINGSPLAN!$C$5:$C$546,D305,BEMANNINGSPLAN!$D$5:$D$546,"&lt;="&amp;C305,BEMANNINGSPLAN!$E$5:$E$546,"&gt;"&amp;C305)&gt;0,COUNTIFS(BEMANNINGSPLAN!$A$5:$A$546,B305,BEMANNINGSPLAN!$C$5:$C$546,D305,BEMANNINGSPLAN!$D$5:$D$546,"&lt;"&amp;M305,BEMANNINGSPLAN!$E$5:$E$546,"&gt;="&amp;M305)&gt;0),"Ja","SAKNAS TIDSRADER"))))</f>
        <v/>
      </c>
      <c r="O305" s="137" t="str">
        <f>IF(OR(B305="",K305&lt;&gt;"Ja"),"",COUNTIFS($B$5:B305,B305,$K$5:K305,"Ja"))</f>
        <v/>
      </c>
      <c r="P305" s="137" t="str">
        <f t="shared" si="19"/>
        <v/>
      </c>
    </row>
    <row r="306" spans="1:16" ht="13">
      <c r="A306" s="31" t="str">
        <f>IF('IMPORT PROFIXIO'!A306="","",'IMPORT PROFIXIO'!A306)</f>
        <v/>
      </c>
      <c r="B306" s="32" t="str">
        <f>IF(A306="","",IF(ISNUMBER('IMPORT PROFIXIO'!D306),'IMPORT PROFIXIO'!D306,DATEVALUE('IMPORT PROFIXIO'!D306)))</f>
        <v/>
      </c>
      <c r="C306" s="33" t="str">
        <f>IF(A306="","",IF(ISNUMBER('IMPORT PROFIXIO'!E306),'IMPORT PROFIXIO'!E306,(VALUE(LEFT('IMPORT PROFIXIO'!E306,FIND(":",'IMPORT PROFIXIO'!E306)-1))*60+VALUE(MID('IMPORT PROFIXIO'!E306,FIND(":",'IMPORT PROFIXIO'!E306)+1,2)))/1440))</f>
        <v/>
      </c>
      <c r="D306" s="31" t="str">
        <f>IF(A306="","",'IMPORT PROFIXIO'!F306)</f>
        <v/>
      </c>
      <c r="E306" s="31" t="str">
        <f>IF(A306="","",'IMPORT PROFIXIO'!K306)</f>
        <v/>
      </c>
      <c r="F306" s="34" t="str">
        <f>IF(A306="","",IFERROR(VLOOKUP(E306,KLASSNING!$A$5:$F$74,2,FALSE()),"SAKNAS"))</f>
        <v/>
      </c>
      <c r="G306" s="34" t="str">
        <f>IF(A306="","",IFERROR(VLOOKUP(E306,KLASSNING!$A$5:$F$74,3,FALSE()),"SAKNAS"))</f>
        <v/>
      </c>
      <c r="H306" s="34" t="str">
        <f>IF(A306="","",'IMPORT PROFIXIO'!H306)</f>
        <v/>
      </c>
      <c r="I306" s="34" t="str">
        <f>IF(A306="","",'IMPORT PROFIXIO'!I306)</f>
        <v/>
      </c>
      <c r="J306" s="34" t="str">
        <f t="shared" si="16"/>
        <v/>
      </c>
      <c r="K306" s="34" t="str">
        <f t="shared" si="17"/>
        <v/>
      </c>
      <c r="L306" s="34" t="str">
        <f>IF(A306="","",IFERROR(VLOOKUP(E306,KLASSNING!$A$5:$F$74,5,FALSE()),0))</f>
        <v/>
      </c>
      <c r="M306" s="35" t="str">
        <f t="shared" si="18"/>
        <v/>
      </c>
      <c r="N306" s="34" t="str">
        <f>IF(A306="","",IF(K306&lt;&gt;"Ja","Ej aktuell",IF(L306&lt;=0,"KONTROLLERA MATCHTID",IF(AND(COUNTIFS(BEMANNINGSPLAN!$A$5:$A$546,B306,BEMANNINGSPLAN!$C$5:$C$546,D306,BEMANNINGSPLAN!$D$5:$D$546,"&lt;="&amp;C306,BEMANNINGSPLAN!$E$5:$E$546,"&gt;"&amp;C306)&gt;0,COUNTIFS(BEMANNINGSPLAN!$A$5:$A$546,B306,BEMANNINGSPLAN!$C$5:$C$546,D306,BEMANNINGSPLAN!$D$5:$D$546,"&lt;"&amp;M306,BEMANNINGSPLAN!$E$5:$E$546,"&gt;="&amp;M306)&gt;0),"Ja","SAKNAS TIDSRADER"))))</f>
        <v/>
      </c>
      <c r="O306" s="137" t="str">
        <f>IF(OR(B306="",K306&lt;&gt;"Ja"),"",COUNTIFS($B$5:B306,B306,$K$5:K306,"Ja"))</f>
        <v/>
      </c>
      <c r="P306" s="137" t="str">
        <f t="shared" si="19"/>
        <v/>
      </c>
    </row>
    <row r="307" spans="1:16" ht="13">
      <c r="A307" s="31" t="str">
        <f>IF('IMPORT PROFIXIO'!A307="","",'IMPORT PROFIXIO'!A307)</f>
        <v/>
      </c>
      <c r="B307" s="32" t="str">
        <f>IF(A307="","",IF(ISNUMBER('IMPORT PROFIXIO'!D307),'IMPORT PROFIXIO'!D307,DATEVALUE('IMPORT PROFIXIO'!D307)))</f>
        <v/>
      </c>
      <c r="C307" s="33" t="str">
        <f>IF(A307="","",IF(ISNUMBER('IMPORT PROFIXIO'!E307),'IMPORT PROFIXIO'!E307,(VALUE(LEFT('IMPORT PROFIXIO'!E307,FIND(":",'IMPORT PROFIXIO'!E307)-1))*60+VALUE(MID('IMPORT PROFIXIO'!E307,FIND(":",'IMPORT PROFIXIO'!E307)+1,2)))/1440))</f>
        <v/>
      </c>
      <c r="D307" s="31" t="str">
        <f>IF(A307="","",'IMPORT PROFIXIO'!F307)</f>
        <v/>
      </c>
      <c r="E307" s="31" t="str">
        <f>IF(A307="","",'IMPORT PROFIXIO'!K307)</f>
        <v/>
      </c>
      <c r="F307" s="34" t="str">
        <f>IF(A307="","",IFERROR(VLOOKUP(E307,KLASSNING!$A$5:$F$74,2,FALSE()),"SAKNAS"))</f>
        <v/>
      </c>
      <c r="G307" s="34" t="str">
        <f>IF(A307="","",IFERROR(VLOOKUP(E307,KLASSNING!$A$5:$F$74,3,FALSE()),"SAKNAS"))</f>
        <v/>
      </c>
      <c r="H307" s="34" t="str">
        <f>IF(A307="","",'IMPORT PROFIXIO'!H307)</f>
        <v/>
      </c>
      <c r="I307" s="34" t="str">
        <f>IF(A307="","",'IMPORT PROFIXIO'!I307)</f>
        <v/>
      </c>
      <c r="J307" s="34" t="str">
        <f t="shared" si="16"/>
        <v/>
      </c>
      <c r="K307" s="34" t="str">
        <f t="shared" si="17"/>
        <v/>
      </c>
      <c r="L307" s="34" t="str">
        <f>IF(A307="","",IFERROR(VLOOKUP(E307,KLASSNING!$A$5:$F$74,5,FALSE()),0))</f>
        <v/>
      </c>
      <c r="M307" s="35" t="str">
        <f t="shared" si="18"/>
        <v/>
      </c>
      <c r="N307" s="34" t="str">
        <f>IF(A307="","",IF(K307&lt;&gt;"Ja","Ej aktuell",IF(L307&lt;=0,"KONTROLLERA MATCHTID",IF(AND(COUNTIFS(BEMANNINGSPLAN!$A$5:$A$546,B307,BEMANNINGSPLAN!$C$5:$C$546,D307,BEMANNINGSPLAN!$D$5:$D$546,"&lt;="&amp;C307,BEMANNINGSPLAN!$E$5:$E$546,"&gt;"&amp;C307)&gt;0,COUNTIFS(BEMANNINGSPLAN!$A$5:$A$546,B307,BEMANNINGSPLAN!$C$5:$C$546,D307,BEMANNINGSPLAN!$D$5:$D$546,"&lt;"&amp;M307,BEMANNINGSPLAN!$E$5:$E$546,"&gt;="&amp;M307)&gt;0),"Ja","SAKNAS TIDSRADER"))))</f>
        <v/>
      </c>
      <c r="O307" s="137" t="str">
        <f>IF(OR(B307="",K307&lt;&gt;"Ja"),"",COUNTIFS($B$5:B307,B307,$K$5:K307,"Ja"))</f>
        <v/>
      </c>
      <c r="P307" s="137" t="str">
        <f t="shared" si="19"/>
        <v/>
      </c>
    </row>
    <row r="308" spans="1:16" ht="13">
      <c r="A308" s="31" t="str">
        <f>IF('IMPORT PROFIXIO'!A308="","",'IMPORT PROFIXIO'!A308)</f>
        <v/>
      </c>
      <c r="B308" s="32" t="str">
        <f>IF(A308="","",IF(ISNUMBER('IMPORT PROFIXIO'!D308),'IMPORT PROFIXIO'!D308,DATEVALUE('IMPORT PROFIXIO'!D308)))</f>
        <v/>
      </c>
      <c r="C308" s="33" t="str">
        <f>IF(A308="","",IF(ISNUMBER('IMPORT PROFIXIO'!E308),'IMPORT PROFIXIO'!E308,(VALUE(LEFT('IMPORT PROFIXIO'!E308,FIND(":",'IMPORT PROFIXIO'!E308)-1))*60+VALUE(MID('IMPORT PROFIXIO'!E308,FIND(":",'IMPORT PROFIXIO'!E308)+1,2)))/1440))</f>
        <v/>
      </c>
      <c r="D308" s="31" t="str">
        <f>IF(A308="","",'IMPORT PROFIXIO'!F308)</f>
        <v/>
      </c>
      <c r="E308" s="31" t="str">
        <f>IF(A308="","",'IMPORT PROFIXIO'!K308)</f>
        <v/>
      </c>
      <c r="F308" s="34" t="str">
        <f>IF(A308="","",IFERROR(VLOOKUP(E308,KLASSNING!$A$5:$F$74,2,FALSE()),"SAKNAS"))</f>
        <v/>
      </c>
      <c r="G308" s="34" t="str">
        <f>IF(A308="","",IFERROR(VLOOKUP(E308,KLASSNING!$A$5:$F$74,3,FALSE()),"SAKNAS"))</f>
        <v/>
      </c>
      <c r="H308" s="34" t="str">
        <f>IF(A308="","",'IMPORT PROFIXIO'!H308)</f>
        <v/>
      </c>
      <c r="I308" s="34" t="str">
        <f>IF(A308="","",'IMPORT PROFIXIO'!I308)</f>
        <v/>
      </c>
      <c r="J308" s="34" t="str">
        <f t="shared" si="16"/>
        <v/>
      </c>
      <c r="K308" s="34" t="str">
        <f t="shared" si="17"/>
        <v/>
      </c>
      <c r="L308" s="34" t="str">
        <f>IF(A308="","",IFERROR(VLOOKUP(E308,KLASSNING!$A$5:$F$74,5,FALSE()),0))</f>
        <v/>
      </c>
      <c r="M308" s="35" t="str">
        <f t="shared" si="18"/>
        <v/>
      </c>
      <c r="N308" s="34" t="str">
        <f>IF(A308="","",IF(K308&lt;&gt;"Ja","Ej aktuell",IF(L308&lt;=0,"KONTROLLERA MATCHTID",IF(AND(COUNTIFS(BEMANNINGSPLAN!$A$5:$A$546,B308,BEMANNINGSPLAN!$C$5:$C$546,D308,BEMANNINGSPLAN!$D$5:$D$546,"&lt;="&amp;C308,BEMANNINGSPLAN!$E$5:$E$546,"&gt;"&amp;C308)&gt;0,COUNTIFS(BEMANNINGSPLAN!$A$5:$A$546,B308,BEMANNINGSPLAN!$C$5:$C$546,D308,BEMANNINGSPLAN!$D$5:$D$546,"&lt;"&amp;M308,BEMANNINGSPLAN!$E$5:$E$546,"&gt;="&amp;M308)&gt;0),"Ja","SAKNAS TIDSRADER"))))</f>
        <v/>
      </c>
      <c r="O308" s="137" t="str">
        <f>IF(OR(B308="",K308&lt;&gt;"Ja"),"",COUNTIFS($B$5:B308,B308,$K$5:K308,"Ja"))</f>
        <v/>
      </c>
      <c r="P308" s="137" t="str">
        <f t="shared" si="19"/>
        <v/>
      </c>
    </row>
    <row r="309" spans="1:16" ht="13">
      <c r="A309" s="31" t="str">
        <f>IF('IMPORT PROFIXIO'!A309="","",'IMPORT PROFIXIO'!A309)</f>
        <v/>
      </c>
      <c r="B309" s="32" t="str">
        <f>IF(A309="","",IF(ISNUMBER('IMPORT PROFIXIO'!D309),'IMPORT PROFIXIO'!D309,DATEVALUE('IMPORT PROFIXIO'!D309)))</f>
        <v/>
      </c>
      <c r="C309" s="33" t="str">
        <f>IF(A309="","",IF(ISNUMBER('IMPORT PROFIXIO'!E309),'IMPORT PROFIXIO'!E309,(VALUE(LEFT('IMPORT PROFIXIO'!E309,FIND(":",'IMPORT PROFIXIO'!E309)-1))*60+VALUE(MID('IMPORT PROFIXIO'!E309,FIND(":",'IMPORT PROFIXIO'!E309)+1,2)))/1440))</f>
        <v/>
      </c>
      <c r="D309" s="31" t="str">
        <f>IF(A309="","",'IMPORT PROFIXIO'!F309)</f>
        <v/>
      </c>
      <c r="E309" s="31" t="str">
        <f>IF(A309="","",'IMPORT PROFIXIO'!K309)</f>
        <v/>
      </c>
      <c r="F309" s="34" t="str">
        <f>IF(A309="","",IFERROR(VLOOKUP(E309,KLASSNING!$A$5:$F$74,2,FALSE()),"SAKNAS"))</f>
        <v/>
      </c>
      <c r="G309" s="34" t="str">
        <f>IF(A309="","",IFERROR(VLOOKUP(E309,KLASSNING!$A$5:$F$74,3,FALSE()),"SAKNAS"))</f>
        <v/>
      </c>
      <c r="H309" s="34" t="str">
        <f>IF(A309="","",'IMPORT PROFIXIO'!H309)</f>
        <v/>
      </c>
      <c r="I309" s="34" t="str">
        <f>IF(A309="","",'IMPORT PROFIXIO'!I309)</f>
        <v/>
      </c>
      <c r="J309" s="34" t="str">
        <f t="shared" si="16"/>
        <v/>
      </c>
      <c r="K309" s="34" t="str">
        <f t="shared" si="17"/>
        <v/>
      </c>
      <c r="L309" s="34" t="str">
        <f>IF(A309="","",IFERROR(VLOOKUP(E309,KLASSNING!$A$5:$F$74,5,FALSE()),0))</f>
        <v/>
      </c>
      <c r="M309" s="35" t="str">
        <f t="shared" si="18"/>
        <v/>
      </c>
      <c r="N309" s="34" t="str">
        <f>IF(A309="","",IF(K309&lt;&gt;"Ja","Ej aktuell",IF(L309&lt;=0,"KONTROLLERA MATCHTID",IF(AND(COUNTIFS(BEMANNINGSPLAN!$A$5:$A$546,B309,BEMANNINGSPLAN!$C$5:$C$546,D309,BEMANNINGSPLAN!$D$5:$D$546,"&lt;="&amp;C309,BEMANNINGSPLAN!$E$5:$E$546,"&gt;"&amp;C309)&gt;0,COUNTIFS(BEMANNINGSPLAN!$A$5:$A$546,B309,BEMANNINGSPLAN!$C$5:$C$546,D309,BEMANNINGSPLAN!$D$5:$D$546,"&lt;"&amp;M309,BEMANNINGSPLAN!$E$5:$E$546,"&gt;="&amp;M309)&gt;0),"Ja","SAKNAS TIDSRADER"))))</f>
        <v/>
      </c>
      <c r="O309" s="137" t="str">
        <f>IF(OR(B309="",K309&lt;&gt;"Ja"),"",COUNTIFS($B$5:B309,B309,$K$5:K309,"Ja"))</f>
        <v/>
      </c>
      <c r="P309" s="137" t="str">
        <f t="shared" si="19"/>
        <v/>
      </c>
    </row>
    <row r="310" spans="1:16" ht="13">
      <c r="A310" s="31" t="str">
        <f>IF('IMPORT PROFIXIO'!A310="","",'IMPORT PROFIXIO'!A310)</f>
        <v/>
      </c>
      <c r="B310" s="32" t="str">
        <f>IF(A310="","",IF(ISNUMBER('IMPORT PROFIXIO'!D310),'IMPORT PROFIXIO'!D310,DATEVALUE('IMPORT PROFIXIO'!D310)))</f>
        <v/>
      </c>
      <c r="C310" s="33" t="str">
        <f>IF(A310="","",IF(ISNUMBER('IMPORT PROFIXIO'!E310),'IMPORT PROFIXIO'!E310,(VALUE(LEFT('IMPORT PROFIXIO'!E310,FIND(":",'IMPORT PROFIXIO'!E310)-1))*60+VALUE(MID('IMPORT PROFIXIO'!E310,FIND(":",'IMPORT PROFIXIO'!E310)+1,2)))/1440))</f>
        <v/>
      </c>
      <c r="D310" s="31" t="str">
        <f>IF(A310="","",'IMPORT PROFIXIO'!F310)</f>
        <v/>
      </c>
      <c r="E310" s="31" t="str">
        <f>IF(A310="","",'IMPORT PROFIXIO'!K310)</f>
        <v/>
      </c>
      <c r="F310" s="34" t="str">
        <f>IF(A310="","",IFERROR(VLOOKUP(E310,KLASSNING!$A$5:$F$74,2,FALSE()),"SAKNAS"))</f>
        <v/>
      </c>
      <c r="G310" s="34" t="str">
        <f>IF(A310="","",IFERROR(VLOOKUP(E310,KLASSNING!$A$5:$F$74,3,FALSE()),"SAKNAS"))</f>
        <v/>
      </c>
      <c r="H310" s="34" t="str">
        <f>IF(A310="","",'IMPORT PROFIXIO'!H310)</f>
        <v/>
      </c>
      <c r="I310" s="34" t="str">
        <f>IF(A310="","",'IMPORT PROFIXIO'!I310)</f>
        <v/>
      </c>
      <c r="J310" s="34" t="str">
        <f t="shared" si="16"/>
        <v/>
      </c>
      <c r="K310" s="34" t="str">
        <f t="shared" si="17"/>
        <v/>
      </c>
      <c r="L310" s="34" t="str">
        <f>IF(A310="","",IFERROR(VLOOKUP(E310,KLASSNING!$A$5:$F$74,5,FALSE()),0))</f>
        <v/>
      </c>
      <c r="M310" s="35" t="str">
        <f t="shared" si="18"/>
        <v/>
      </c>
      <c r="N310" s="34" t="str">
        <f>IF(A310="","",IF(K310&lt;&gt;"Ja","Ej aktuell",IF(L310&lt;=0,"KONTROLLERA MATCHTID",IF(AND(COUNTIFS(BEMANNINGSPLAN!$A$5:$A$546,B310,BEMANNINGSPLAN!$C$5:$C$546,D310,BEMANNINGSPLAN!$D$5:$D$546,"&lt;="&amp;C310,BEMANNINGSPLAN!$E$5:$E$546,"&gt;"&amp;C310)&gt;0,COUNTIFS(BEMANNINGSPLAN!$A$5:$A$546,B310,BEMANNINGSPLAN!$C$5:$C$546,D310,BEMANNINGSPLAN!$D$5:$D$546,"&lt;"&amp;M310,BEMANNINGSPLAN!$E$5:$E$546,"&gt;="&amp;M310)&gt;0),"Ja","SAKNAS TIDSRADER"))))</f>
        <v/>
      </c>
      <c r="O310" s="137" t="str">
        <f>IF(OR(B310="",K310&lt;&gt;"Ja"),"",COUNTIFS($B$5:B310,B310,$K$5:K310,"Ja"))</f>
        <v/>
      </c>
      <c r="P310" s="137" t="str">
        <f t="shared" si="19"/>
        <v/>
      </c>
    </row>
    <row r="311" spans="1:16" ht="13">
      <c r="A311" s="31" t="str">
        <f>IF('IMPORT PROFIXIO'!A311="","",'IMPORT PROFIXIO'!A311)</f>
        <v/>
      </c>
      <c r="B311" s="32" t="str">
        <f>IF(A311="","",IF(ISNUMBER('IMPORT PROFIXIO'!D311),'IMPORT PROFIXIO'!D311,DATEVALUE('IMPORT PROFIXIO'!D311)))</f>
        <v/>
      </c>
      <c r="C311" s="33" t="str">
        <f>IF(A311="","",IF(ISNUMBER('IMPORT PROFIXIO'!E311),'IMPORT PROFIXIO'!E311,(VALUE(LEFT('IMPORT PROFIXIO'!E311,FIND(":",'IMPORT PROFIXIO'!E311)-1))*60+VALUE(MID('IMPORT PROFIXIO'!E311,FIND(":",'IMPORT PROFIXIO'!E311)+1,2)))/1440))</f>
        <v/>
      </c>
      <c r="D311" s="31" t="str">
        <f>IF(A311="","",'IMPORT PROFIXIO'!F311)</f>
        <v/>
      </c>
      <c r="E311" s="31" t="str">
        <f>IF(A311="","",'IMPORT PROFIXIO'!K311)</f>
        <v/>
      </c>
      <c r="F311" s="34" t="str">
        <f>IF(A311="","",IFERROR(VLOOKUP(E311,KLASSNING!$A$5:$F$74,2,FALSE()),"SAKNAS"))</f>
        <v/>
      </c>
      <c r="G311" s="34" t="str">
        <f>IF(A311="","",IFERROR(VLOOKUP(E311,KLASSNING!$A$5:$F$74,3,FALSE()),"SAKNAS"))</f>
        <v/>
      </c>
      <c r="H311" s="34" t="str">
        <f>IF(A311="","",'IMPORT PROFIXIO'!H311)</f>
        <v/>
      </c>
      <c r="I311" s="34" t="str">
        <f>IF(A311="","",'IMPORT PROFIXIO'!I311)</f>
        <v/>
      </c>
      <c r="J311" s="34" t="str">
        <f t="shared" si="16"/>
        <v/>
      </c>
      <c r="K311" s="34" t="str">
        <f t="shared" si="17"/>
        <v/>
      </c>
      <c r="L311" s="34" t="str">
        <f>IF(A311="","",IFERROR(VLOOKUP(E311,KLASSNING!$A$5:$F$74,5,FALSE()),0))</f>
        <v/>
      </c>
      <c r="M311" s="35" t="str">
        <f t="shared" si="18"/>
        <v/>
      </c>
      <c r="N311" s="34" t="str">
        <f>IF(A311="","",IF(K311&lt;&gt;"Ja","Ej aktuell",IF(L311&lt;=0,"KONTROLLERA MATCHTID",IF(AND(COUNTIFS(BEMANNINGSPLAN!$A$5:$A$546,B311,BEMANNINGSPLAN!$C$5:$C$546,D311,BEMANNINGSPLAN!$D$5:$D$546,"&lt;="&amp;C311,BEMANNINGSPLAN!$E$5:$E$546,"&gt;"&amp;C311)&gt;0,COUNTIFS(BEMANNINGSPLAN!$A$5:$A$546,B311,BEMANNINGSPLAN!$C$5:$C$546,D311,BEMANNINGSPLAN!$D$5:$D$546,"&lt;"&amp;M311,BEMANNINGSPLAN!$E$5:$E$546,"&gt;="&amp;M311)&gt;0),"Ja","SAKNAS TIDSRADER"))))</f>
        <v/>
      </c>
      <c r="O311" s="137" t="str">
        <f>IF(OR(B311="",K311&lt;&gt;"Ja"),"",COUNTIFS($B$5:B311,B311,$K$5:K311,"Ja"))</f>
        <v/>
      </c>
      <c r="P311" s="137" t="str">
        <f t="shared" si="19"/>
        <v/>
      </c>
    </row>
    <row r="312" spans="1:16" ht="13">
      <c r="A312" s="31" t="str">
        <f>IF('IMPORT PROFIXIO'!A312="","",'IMPORT PROFIXIO'!A312)</f>
        <v/>
      </c>
      <c r="B312" s="32" t="str">
        <f>IF(A312="","",IF(ISNUMBER('IMPORT PROFIXIO'!D312),'IMPORT PROFIXIO'!D312,DATEVALUE('IMPORT PROFIXIO'!D312)))</f>
        <v/>
      </c>
      <c r="C312" s="33" t="str">
        <f>IF(A312="","",IF(ISNUMBER('IMPORT PROFIXIO'!E312),'IMPORT PROFIXIO'!E312,(VALUE(LEFT('IMPORT PROFIXIO'!E312,FIND(":",'IMPORT PROFIXIO'!E312)-1))*60+VALUE(MID('IMPORT PROFIXIO'!E312,FIND(":",'IMPORT PROFIXIO'!E312)+1,2)))/1440))</f>
        <v/>
      </c>
      <c r="D312" s="31" t="str">
        <f>IF(A312="","",'IMPORT PROFIXIO'!F312)</f>
        <v/>
      </c>
      <c r="E312" s="31" t="str">
        <f>IF(A312="","",'IMPORT PROFIXIO'!K312)</f>
        <v/>
      </c>
      <c r="F312" s="34" t="str">
        <f>IF(A312="","",IFERROR(VLOOKUP(E312,KLASSNING!$A$5:$F$74,2,FALSE()),"SAKNAS"))</f>
        <v/>
      </c>
      <c r="G312" s="34" t="str">
        <f>IF(A312="","",IFERROR(VLOOKUP(E312,KLASSNING!$A$5:$F$74,3,FALSE()),"SAKNAS"))</f>
        <v/>
      </c>
      <c r="H312" s="34" t="str">
        <f>IF(A312="","",'IMPORT PROFIXIO'!H312)</f>
        <v/>
      </c>
      <c r="I312" s="34" t="str">
        <f>IF(A312="","",'IMPORT PROFIXIO'!I312)</f>
        <v/>
      </c>
      <c r="J312" s="34" t="str">
        <f t="shared" si="16"/>
        <v/>
      </c>
      <c r="K312" s="34" t="str">
        <f t="shared" si="17"/>
        <v/>
      </c>
      <c r="L312" s="34" t="str">
        <f>IF(A312="","",IFERROR(VLOOKUP(E312,KLASSNING!$A$5:$F$74,5,FALSE()),0))</f>
        <v/>
      </c>
      <c r="M312" s="35" t="str">
        <f t="shared" si="18"/>
        <v/>
      </c>
      <c r="N312" s="34" t="str">
        <f>IF(A312="","",IF(K312&lt;&gt;"Ja","Ej aktuell",IF(L312&lt;=0,"KONTROLLERA MATCHTID",IF(AND(COUNTIFS(BEMANNINGSPLAN!$A$5:$A$546,B312,BEMANNINGSPLAN!$C$5:$C$546,D312,BEMANNINGSPLAN!$D$5:$D$546,"&lt;="&amp;C312,BEMANNINGSPLAN!$E$5:$E$546,"&gt;"&amp;C312)&gt;0,COUNTIFS(BEMANNINGSPLAN!$A$5:$A$546,B312,BEMANNINGSPLAN!$C$5:$C$546,D312,BEMANNINGSPLAN!$D$5:$D$546,"&lt;"&amp;M312,BEMANNINGSPLAN!$E$5:$E$546,"&gt;="&amp;M312)&gt;0),"Ja","SAKNAS TIDSRADER"))))</f>
        <v/>
      </c>
      <c r="O312" s="137" t="str">
        <f>IF(OR(B312="",K312&lt;&gt;"Ja"),"",COUNTIFS($B$5:B312,B312,$K$5:K312,"Ja"))</f>
        <v/>
      </c>
      <c r="P312" s="137" t="str">
        <f t="shared" si="19"/>
        <v/>
      </c>
    </row>
    <row r="313" spans="1:16" ht="13">
      <c r="A313" s="31" t="str">
        <f>IF('IMPORT PROFIXIO'!A313="","",'IMPORT PROFIXIO'!A313)</f>
        <v/>
      </c>
      <c r="B313" s="32" t="str">
        <f>IF(A313="","",IF(ISNUMBER('IMPORT PROFIXIO'!D313),'IMPORT PROFIXIO'!D313,DATEVALUE('IMPORT PROFIXIO'!D313)))</f>
        <v/>
      </c>
      <c r="C313" s="33" t="str">
        <f>IF(A313="","",IF(ISNUMBER('IMPORT PROFIXIO'!E313),'IMPORT PROFIXIO'!E313,(VALUE(LEFT('IMPORT PROFIXIO'!E313,FIND(":",'IMPORT PROFIXIO'!E313)-1))*60+VALUE(MID('IMPORT PROFIXIO'!E313,FIND(":",'IMPORT PROFIXIO'!E313)+1,2)))/1440))</f>
        <v/>
      </c>
      <c r="D313" s="31" t="str">
        <f>IF(A313="","",'IMPORT PROFIXIO'!F313)</f>
        <v/>
      </c>
      <c r="E313" s="31" t="str">
        <f>IF(A313="","",'IMPORT PROFIXIO'!K313)</f>
        <v/>
      </c>
      <c r="F313" s="34" t="str">
        <f>IF(A313="","",IFERROR(VLOOKUP(E313,KLASSNING!$A$5:$F$74,2,FALSE()),"SAKNAS"))</f>
        <v/>
      </c>
      <c r="G313" s="34" t="str">
        <f>IF(A313="","",IFERROR(VLOOKUP(E313,KLASSNING!$A$5:$F$74,3,FALSE()),"SAKNAS"))</f>
        <v/>
      </c>
      <c r="H313" s="34" t="str">
        <f>IF(A313="","",'IMPORT PROFIXIO'!H313)</f>
        <v/>
      </c>
      <c r="I313" s="34" t="str">
        <f>IF(A313="","",'IMPORT PROFIXIO'!I313)</f>
        <v/>
      </c>
      <c r="J313" s="34" t="str">
        <f t="shared" si="16"/>
        <v/>
      </c>
      <c r="K313" s="34" t="str">
        <f t="shared" si="17"/>
        <v/>
      </c>
      <c r="L313" s="34" t="str">
        <f>IF(A313="","",IFERROR(VLOOKUP(E313,KLASSNING!$A$5:$F$74,5,FALSE()),0))</f>
        <v/>
      </c>
      <c r="M313" s="35" t="str">
        <f t="shared" si="18"/>
        <v/>
      </c>
      <c r="N313" s="34" t="str">
        <f>IF(A313="","",IF(K313&lt;&gt;"Ja","Ej aktuell",IF(L313&lt;=0,"KONTROLLERA MATCHTID",IF(AND(COUNTIFS(BEMANNINGSPLAN!$A$5:$A$546,B313,BEMANNINGSPLAN!$C$5:$C$546,D313,BEMANNINGSPLAN!$D$5:$D$546,"&lt;="&amp;C313,BEMANNINGSPLAN!$E$5:$E$546,"&gt;"&amp;C313)&gt;0,COUNTIFS(BEMANNINGSPLAN!$A$5:$A$546,B313,BEMANNINGSPLAN!$C$5:$C$546,D313,BEMANNINGSPLAN!$D$5:$D$546,"&lt;"&amp;M313,BEMANNINGSPLAN!$E$5:$E$546,"&gt;="&amp;M313)&gt;0),"Ja","SAKNAS TIDSRADER"))))</f>
        <v/>
      </c>
      <c r="O313" s="137" t="str">
        <f>IF(OR(B313="",K313&lt;&gt;"Ja"),"",COUNTIFS($B$5:B313,B313,$K$5:K313,"Ja"))</f>
        <v/>
      </c>
      <c r="P313" s="137" t="str">
        <f t="shared" si="19"/>
        <v/>
      </c>
    </row>
    <row r="314" spans="1:16" ht="13">
      <c r="A314" s="31" t="str">
        <f>IF('IMPORT PROFIXIO'!A314="","",'IMPORT PROFIXIO'!A314)</f>
        <v/>
      </c>
      <c r="B314" s="32" t="str">
        <f>IF(A314="","",IF(ISNUMBER('IMPORT PROFIXIO'!D314),'IMPORT PROFIXIO'!D314,DATEVALUE('IMPORT PROFIXIO'!D314)))</f>
        <v/>
      </c>
      <c r="C314" s="33" t="str">
        <f>IF(A314="","",IF(ISNUMBER('IMPORT PROFIXIO'!E314),'IMPORT PROFIXIO'!E314,(VALUE(LEFT('IMPORT PROFIXIO'!E314,FIND(":",'IMPORT PROFIXIO'!E314)-1))*60+VALUE(MID('IMPORT PROFIXIO'!E314,FIND(":",'IMPORT PROFIXIO'!E314)+1,2)))/1440))</f>
        <v/>
      </c>
      <c r="D314" s="31" t="str">
        <f>IF(A314="","",'IMPORT PROFIXIO'!F314)</f>
        <v/>
      </c>
      <c r="E314" s="31" t="str">
        <f>IF(A314="","",'IMPORT PROFIXIO'!K314)</f>
        <v/>
      </c>
      <c r="F314" s="34" t="str">
        <f>IF(A314="","",IFERROR(VLOOKUP(E314,KLASSNING!$A$5:$F$74,2,FALSE()),"SAKNAS"))</f>
        <v/>
      </c>
      <c r="G314" s="34" t="str">
        <f>IF(A314="","",IFERROR(VLOOKUP(E314,KLASSNING!$A$5:$F$74,3,FALSE()),"SAKNAS"))</f>
        <v/>
      </c>
      <c r="H314" s="34" t="str">
        <f>IF(A314="","",'IMPORT PROFIXIO'!H314)</f>
        <v/>
      </c>
      <c r="I314" s="34" t="str">
        <f>IF(A314="","",'IMPORT PROFIXIO'!I314)</f>
        <v/>
      </c>
      <c r="J314" s="34" t="str">
        <f t="shared" si="16"/>
        <v/>
      </c>
      <c r="K314" s="34" t="str">
        <f t="shared" si="17"/>
        <v/>
      </c>
      <c r="L314" s="34" t="str">
        <f>IF(A314="","",IFERROR(VLOOKUP(E314,KLASSNING!$A$5:$F$74,5,FALSE()),0))</f>
        <v/>
      </c>
      <c r="M314" s="35" t="str">
        <f t="shared" si="18"/>
        <v/>
      </c>
      <c r="N314" s="34" t="str">
        <f>IF(A314="","",IF(K314&lt;&gt;"Ja","Ej aktuell",IF(L314&lt;=0,"KONTROLLERA MATCHTID",IF(AND(COUNTIFS(BEMANNINGSPLAN!$A$5:$A$546,B314,BEMANNINGSPLAN!$C$5:$C$546,D314,BEMANNINGSPLAN!$D$5:$D$546,"&lt;="&amp;C314,BEMANNINGSPLAN!$E$5:$E$546,"&gt;"&amp;C314)&gt;0,COUNTIFS(BEMANNINGSPLAN!$A$5:$A$546,B314,BEMANNINGSPLAN!$C$5:$C$546,D314,BEMANNINGSPLAN!$D$5:$D$546,"&lt;"&amp;M314,BEMANNINGSPLAN!$E$5:$E$546,"&gt;="&amp;M314)&gt;0),"Ja","SAKNAS TIDSRADER"))))</f>
        <v/>
      </c>
      <c r="O314" s="137" t="str">
        <f>IF(OR(B314="",K314&lt;&gt;"Ja"),"",COUNTIFS($B$5:B314,B314,$K$5:K314,"Ja"))</f>
        <v/>
      </c>
      <c r="P314" s="137" t="str">
        <f t="shared" si="19"/>
        <v/>
      </c>
    </row>
    <row r="315" spans="1:16" ht="13">
      <c r="A315" s="31" t="str">
        <f>IF('IMPORT PROFIXIO'!A315="","",'IMPORT PROFIXIO'!A315)</f>
        <v/>
      </c>
      <c r="B315" s="32" t="str">
        <f>IF(A315="","",IF(ISNUMBER('IMPORT PROFIXIO'!D315),'IMPORT PROFIXIO'!D315,DATEVALUE('IMPORT PROFIXIO'!D315)))</f>
        <v/>
      </c>
      <c r="C315" s="33" t="str">
        <f>IF(A315="","",IF(ISNUMBER('IMPORT PROFIXIO'!E315),'IMPORT PROFIXIO'!E315,(VALUE(LEFT('IMPORT PROFIXIO'!E315,FIND(":",'IMPORT PROFIXIO'!E315)-1))*60+VALUE(MID('IMPORT PROFIXIO'!E315,FIND(":",'IMPORT PROFIXIO'!E315)+1,2)))/1440))</f>
        <v/>
      </c>
      <c r="D315" s="31" t="str">
        <f>IF(A315="","",'IMPORT PROFIXIO'!F315)</f>
        <v/>
      </c>
      <c r="E315" s="31" t="str">
        <f>IF(A315="","",'IMPORT PROFIXIO'!K315)</f>
        <v/>
      </c>
      <c r="F315" s="34" t="str">
        <f>IF(A315="","",IFERROR(VLOOKUP(E315,KLASSNING!$A$5:$F$74,2,FALSE()),"SAKNAS"))</f>
        <v/>
      </c>
      <c r="G315" s="34" t="str">
        <f>IF(A315="","",IFERROR(VLOOKUP(E315,KLASSNING!$A$5:$F$74,3,FALSE()),"SAKNAS"))</f>
        <v/>
      </c>
      <c r="H315" s="34" t="str">
        <f>IF(A315="","",'IMPORT PROFIXIO'!H315)</f>
        <v/>
      </c>
      <c r="I315" s="34" t="str">
        <f>IF(A315="","",'IMPORT PROFIXIO'!I315)</f>
        <v/>
      </c>
      <c r="J315" s="34" t="str">
        <f t="shared" si="16"/>
        <v/>
      </c>
      <c r="K315" s="34" t="str">
        <f t="shared" si="17"/>
        <v/>
      </c>
      <c r="L315" s="34" t="str">
        <f>IF(A315="","",IFERROR(VLOOKUP(E315,KLASSNING!$A$5:$F$74,5,FALSE()),0))</f>
        <v/>
      </c>
      <c r="M315" s="35" t="str">
        <f t="shared" si="18"/>
        <v/>
      </c>
      <c r="N315" s="34" t="str">
        <f>IF(A315="","",IF(K315&lt;&gt;"Ja","Ej aktuell",IF(L315&lt;=0,"KONTROLLERA MATCHTID",IF(AND(COUNTIFS(BEMANNINGSPLAN!$A$5:$A$546,B315,BEMANNINGSPLAN!$C$5:$C$546,D315,BEMANNINGSPLAN!$D$5:$D$546,"&lt;="&amp;C315,BEMANNINGSPLAN!$E$5:$E$546,"&gt;"&amp;C315)&gt;0,COUNTIFS(BEMANNINGSPLAN!$A$5:$A$546,B315,BEMANNINGSPLAN!$C$5:$C$546,D315,BEMANNINGSPLAN!$D$5:$D$546,"&lt;"&amp;M315,BEMANNINGSPLAN!$E$5:$E$546,"&gt;="&amp;M315)&gt;0),"Ja","SAKNAS TIDSRADER"))))</f>
        <v/>
      </c>
      <c r="O315" s="137" t="str">
        <f>IF(OR(B315="",K315&lt;&gt;"Ja"),"",COUNTIFS($B$5:B315,B315,$K$5:K315,"Ja"))</f>
        <v/>
      </c>
      <c r="P315" s="137" t="str">
        <f t="shared" si="19"/>
        <v/>
      </c>
    </row>
    <row r="316" spans="1:16" ht="13">
      <c r="A316" s="31" t="str">
        <f>IF('IMPORT PROFIXIO'!A316="","",'IMPORT PROFIXIO'!A316)</f>
        <v/>
      </c>
      <c r="B316" s="32" t="str">
        <f>IF(A316="","",IF(ISNUMBER('IMPORT PROFIXIO'!D316),'IMPORT PROFIXIO'!D316,DATEVALUE('IMPORT PROFIXIO'!D316)))</f>
        <v/>
      </c>
      <c r="C316" s="33" t="str">
        <f>IF(A316="","",IF(ISNUMBER('IMPORT PROFIXIO'!E316),'IMPORT PROFIXIO'!E316,(VALUE(LEFT('IMPORT PROFIXIO'!E316,FIND(":",'IMPORT PROFIXIO'!E316)-1))*60+VALUE(MID('IMPORT PROFIXIO'!E316,FIND(":",'IMPORT PROFIXIO'!E316)+1,2)))/1440))</f>
        <v/>
      </c>
      <c r="D316" s="31" t="str">
        <f>IF(A316="","",'IMPORT PROFIXIO'!F316)</f>
        <v/>
      </c>
      <c r="E316" s="31" t="str">
        <f>IF(A316="","",'IMPORT PROFIXIO'!K316)</f>
        <v/>
      </c>
      <c r="F316" s="34" t="str">
        <f>IF(A316="","",IFERROR(VLOOKUP(E316,KLASSNING!$A$5:$F$74,2,FALSE()),"SAKNAS"))</f>
        <v/>
      </c>
      <c r="G316" s="34" t="str">
        <f>IF(A316="","",IFERROR(VLOOKUP(E316,KLASSNING!$A$5:$F$74,3,FALSE()),"SAKNAS"))</f>
        <v/>
      </c>
      <c r="H316" s="34" t="str">
        <f>IF(A316="","",'IMPORT PROFIXIO'!H316)</f>
        <v/>
      </c>
      <c r="I316" s="34" t="str">
        <f>IF(A316="","",'IMPORT PROFIXIO'!I316)</f>
        <v/>
      </c>
      <c r="J316" s="34" t="str">
        <f t="shared" si="16"/>
        <v/>
      </c>
      <c r="K316" s="34" t="str">
        <f t="shared" si="17"/>
        <v/>
      </c>
      <c r="L316" s="34" t="str">
        <f>IF(A316="","",IFERROR(VLOOKUP(E316,KLASSNING!$A$5:$F$74,5,FALSE()),0))</f>
        <v/>
      </c>
      <c r="M316" s="35" t="str">
        <f t="shared" si="18"/>
        <v/>
      </c>
      <c r="N316" s="34" t="str">
        <f>IF(A316="","",IF(K316&lt;&gt;"Ja","Ej aktuell",IF(L316&lt;=0,"KONTROLLERA MATCHTID",IF(AND(COUNTIFS(BEMANNINGSPLAN!$A$5:$A$546,B316,BEMANNINGSPLAN!$C$5:$C$546,D316,BEMANNINGSPLAN!$D$5:$D$546,"&lt;="&amp;C316,BEMANNINGSPLAN!$E$5:$E$546,"&gt;"&amp;C316)&gt;0,COUNTIFS(BEMANNINGSPLAN!$A$5:$A$546,B316,BEMANNINGSPLAN!$C$5:$C$546,D316,BEMANNINGSPLAN!$D$5:$D$546,"&lt;"&amp;M316,BEMANNINGSPLAN!$E$5:$E$546,"&gt;="&amp;M316)&gt;0),"Ja","SAKNAS TIDSRADER"))))</f>
        <v/>
      </c>
      <c r="O316" s="137" t="str">
        <f>IF(OR(B316="",K316&lt;&gt;"Ja"),"",COUNTIFS($B$5:B316,B316,$K$5:K316,"Ja"))</f>
        <v/>
      </c>
      <c r="P316" s="137" t="str">
        <f t="shared" si="19"/>
        <v/>
      </c>
    </row>
    <row r="317" spans="1:16" ht="13">
      <c r="A317" s="31" t="str">
        <f>IF('IMPORT PROFIXIO'!A317="","",'IMPORT PROFIXIO'!A317)</f>
        <v/>
      </c>
      <c r="B317" s="32" t="str">
        <f>IF(A317="","",IF(ISNUMBER('IMPORT PROFIXIO'!D317),'IMPORT PROFIXIO'!D317,DATEVALUE('IMPORT PROFIXIO'!D317)))</f>
        <v/>
      </c>
      <c r="C317" s="33" t="str">
        <f>IF(A317="","",IF(ISNUMBER('IMPORT PROFIXIO'!E317),'IMPORT PROFIXIO'!E317,(VALUE(LEFT('IMPORT PROFIXIO'!E317,FIND(":",'IMPORT PROFIXIO'!E317)-1))*60+VALUE(MID('IMPORT PROFIXIO'!E317,FIND(":",'IMPORT PROFIXIO'!E317)+1,2)))/1440))</f>
        <v/>
      </c>
      <c r="D317" s="31" t="str">
        <f>IF(A317="","",'IMPORT PROFIXIO'!F317)</f>
        <v/>
      </c>
      <c r="E317" s="31" t="str">
        <f>IF(A317="","",'IMPORT PROFIXIO'!K317)</f>
        <v/>
      </c>
      <c r="F317" s="34" t="str">
        <f>IF(A317="","",IFERROR(VLOOKUP(E317,KLASSNING!$A$5:$F$74,2,FALSE()),"SAKNAS"))</f>
        <v/>
      </c>
      <c r="G317" s="34" t="str">
        <f>IF(A317="","",IFERROR(VLOOKUP(E317,KLASSNING!$A$5:$F$74,3,FALSE()),"SAKNAS"))</f>
        <v/>
      </c>
      <c r="H317" s="34" t="str">
        <f>IF(A317="","",'IMPORT PROFIXIO'!H317)</f>
        <v/>
      </c>
      <c r="I317" s="34" t="str">
        <f>IF(A317="","",'IMPORT PROFIXIO'!I317)</f>
        <v/>
      </c>
      <c r="J317" s="34" t="str">
        <f t="shared" si="16"/>
        <v/>
      </c>
      <c r="K317" s="34" t="str">
        <f t="shared" si="17"/>
        <v/>
      </c>
      <c r="L317" s="34" t="str">
        <f>IF(A317="","",IFERROR(VLOOKUP(E317,KLASSNING!$A$5:$F$74,5,FALSE()),0))</f>
        <v/>
      </c>
      <c r="M317" s="35" t="str">
        <f t="shared" si="18"/>
        <v/>
      </c>
      <c r="N317" s="34" t="str">
        <f>IF(A317="","",IF(K317&lt;&gt;"Ja","Ej aktuell",IF(L317&lt;=0,"KONTROLLERA MATCHTID",IF(AND(COUNTIFS(BEMANNINGSPLAN!$A$5:$A$546,B317,BEMANNINGSPLAN!$C$5:$C$546,D317,BEMANNINGSPLAN!$D$5:$D$546,"&lt;="&amp;C317,BEMANNINGSPLAN!$E$5:$E$546,"&gt;"&amp;C317)&gt;0,COUNTIFS(BEMANNINGSPLAN!$A$5:$A$546,B317,BEMANNINGSPLAN!$C$5:$C$546,D317,BEMANNINGSPLAN!$D$5:$D$546,"&lt;"&amp;M317,BEMANNINGSPLAN!$E$5:$E$546,"&gt;="&amp;M317)&gt;0),"Ja","SAKNAS TIDSRADER"))))</f>
        <v/>
      </c>
      <c r="O317" s="137" t="str">
        <f>IF(OR(B317="",K317&lt;&gt;"Ja"),"",COUNTIFS($B$5:B317,B317,$K$5:K317,"Ja"))</f>
        <v/>
      </c>
      <c r="P317" s="137" t="str">
        <f t="shared" si="19"/>
        <v/>
      </c>
    </row>
    <row r="318" spans="1:16" ht="13">
      <c r="A318" s="31" t="str">
        <f>IF('IMPORT PROFIXIO'!A318="","",'IMPORT PROFIXIO'!A318)</f>
        <v/>
      </c>
      <c r="B318" s="32" t="str">
        <f>IF(A318="","",IF(ISNUMBER('IMPORT PROFIXIO'!D318),'IMPORT PROFIXIO'!D318,DATEVALUE('IMPORT PROFIXIO'!D318)))</f>
        <v/>
      </c>
      <c r="C318" s="33" t="str">
        <f>IF(A318="","",IF(ISNUMBER('IMPORT PROFIXIO'!E318),'IMPORT PROFIXIO'!E318,(VALUE(LEFT('IMPORT PROFIXIO'!E318,FIND(":",'IMPORT PROFIXIO'!E318)-1))*60+VALUE(MID('IMPORT PROFIXIO'!E318,FIND(":",'IMPORT PROFIXIO'!E318)+1,2)))/1440))</f>
        <v/>
      </c>
      <c r="D318" s="31" t="str">
        <f>IF(A318="","",'IMPORT PROFIXIO'!F318)</f>
        <v/>
      </c>
      <c r="E318" s="31" t="str">
        <f>IF(A318="","",'IMPORT PROFIXIO'!K318)</f>
        <v/>
      </c>
      <c r="F318" s="34" t="str">
        <f>IF(A318="","",IFERROR(VLOOKUP(E318,KLASSNING!$A$5:$F$74,2,FALSE()),"SAKNAS"))</f>
        <v/>
      </c>
      <c r="G318" s="34" t="str">
        <f>IF(A318="","",IFERROR(VLOOKUP(E318,KLASSNING!$A$5:$F$74,3,FALSE()),"SAKNAS"))</f>
        <v/>
      </c>
      <c r="H318" s="34" t="str">
        <f>IF(A318="","",'IMPORT PROFIXIO'!H318)</f>
        <v/>
      </c>
      <c r="I318" s="34" t="str">
        <f>IF(A318="","",'IMPORT PROFIXIO'!I318)</f>
        <v/>
      </c>
      <c r="J318" s="34" t="str">
        <f t="shared" si="16"/>
        <v/>
      </c>
      <c r="K318" s="34" t="str">
        <f t="shared" si="17"/>
        <v/>
      </c>
      <c r="L318" s="34" t="str">
        <f>IF(A318="","",IFERROR(VLOOKUP(E318,KLASSNING!$A$5:$F$74,5,FALSE()),0))</f>
        <v/>
      </c>
      <c r="M318" s="35" t="str">
        <f t="shared" si="18"/>
        <v/>
      </c>
      <c r="N318" s="34" t="str">
        <f>IF(A318="","",IF(K318&lt;&gt;"Ja","Ej aktuell",IF(L318&lt;=0,"KONTROLLERA MATCHTID",IF(AND(COUNTIFS(BEMANNINGSPLAN!$A$5:$A$546,B318,BEMANNINGSPLAN!$C$5:$C$546,D318,BEMANNINGSPLAN!$D$5:$D$546,"&lt;="&amp;C318,BEMANNINGSPLAN!$E$5:$E$546,"&gt;"&amp;C318)&gt;0,COUNTIFS(BEMANNINGSPLAN!$A$5:$A$546,B318,BEMANNINGSPLAN!$C$5:$C$546,D318,BEMANNINGSPLAN!$D$5:$D$546,"&lt;"&amp;M318,BEMANNINGSPLAN!$E$5:$E$546,"&gt;="&amp;M318)&gt;0),"Ja","SAKNAS TIDSRADER"))))</f>
        <v/>
      </c>
      <c r="O318" s="137" t="str">
        <f>IF(OR(B318="",K318&lt;&gt;"Ja"),"",COUNTIFS($B$5:B318,B318,$K$5:K318,"Ja"))</f>
        <v/>
      </c>
      <c r="P318" s="137" t="str">
        <f t="shared" si="19"/>
        <v/>
      </c>
    </row>
    <row r="319" spans="1:16" ht="13">
      <c r="A319" s="31" t="str">
        <f>IF('IMPORT PROFIXIO'!A319="","",'IMPORT PROFIXIO'!A319)</f>
        <v/>
      </c>
      <c r="B319" s="32" t="str">
        <f>IF(A319="","",IF(ISNUMBER('IMPORT PROFIXIO'!D319),'IMPORT PROFIXIO'!D319,DATEVALUE('IMPORT PROFIXIO'!D319)))</f>
        <v/>
      </c>
      <c r="C319" s="33" t="str">
        <f>IF(A319="","",IF(ISNUMBER('IMPORT PROFIXIO'!E319),'IMPORT PROFIXIO'!E319,(VALUE(LEFT('IMPORT PROFIXIO'!E319,FIND(":",'IMPORT PROFIXIO'!E319)-1))*60+VALUE(MID('IMPORT PROFIXIO'!E319,FIND(":",'IMPORT PROFIXIO'!E319)+1,2)))/1440))</f>
        <v/>
      </c>
      <c r="D319" s="31" t="str">
        <f>IF(A319="","",'IMPORT PROFIXIO'!F319)</f>
        <v/>
      </c>
      <c r="E319" s="31" t="str">
        <f>IF(A319="","",'IMPORT PROFIXIO'!K319)</f>
        <v/>
      </c>
      <c r="F319" s="34" t="str">
        <f>IF(A319="","",IFERROR(VLOOKUP(E319,KLASSNING!$A$5:$F$74,2,FALSE()),"SAKNAS"))</f>
        <v/>
      </c>
      <c r="G319" s="34" t="str">
        <f>IF(A319="","",IFERROR(VLOOKUP(E319,KLASSNING!$A$5:$F$74,3,FALSE()),"SAKNAS"))</f>
        <v/>
      </c>
      <c r="H319" s="34" t="str">
        <f>IF(A319="","",'IMPORT PROFIXIO'!H319)</f>
        <v/>
      </c>
      <c r="I319" s="34" t="str">
        <f>IF(A319="","",'IMPORT PROFIXIO'!I319)</f>
        <v/>
      </c>
      <c r="J319" s="34" t="str">
        <f t="shared" si="16"/>
        <v/>
      </c>
      <c r="K319" s="34" t="str">
        <f t="shared" si="17"/>
        <v/>
      </c>
      <c r="L319" s="34" t="str">
        <f>IF(A319="","",IFERROR(VLOOKUP(E319,KLASSNING!$A$5:$F$74,5,FALSE()),0))</f>
        <v/>
      </c>
      <c r="M319" s="35" t="str">
        <f t="shared" si="18"/>
        <v/>
      </c>
      <c r="N319" s="34" t="str">
        <f>IF(A319="","",IF(K319&lt;&gt;"Ja","Ej aktuell",IF(L319&lt;=0,"KONTROLLERA MATCHTID",IF(AND(COUNTIFS(BEMANNINGSPLAN!$A$5:$A$546,B319,BEMANNINGSPLAN!$C$5:$C$546,D319,BEMANNINGSPLAN!$D$5:$D$546,"&lt;="&amp;C319,BEMANNINGSPLAN!$E$5:$E$546,"&gt;"&amp;C319)&gt;0,COUNTIFS(BEMANNINGSPLAN!$A$5:$A$546,B319,BEMANNINGSPLAN!$C$5:$C$546,D319,BEMANNINGSPLAN!$D$5:$D$546,"&lt;"&amp;M319,BEMANNINGSPLAN!$E$5:$E$546,"&gt;="&amp;M319)&gt;0),"Ja","SAKNAS TIDSRADER"))))</f>
        <v/>
      </c>
      <c r="O319" s="137" t="str">
        <f>IF(OR(B319="",K319&lt;&gt;"Ja"),"",COUNTIFS($B$5:B319,B319,$K$5:K319,"Ja"))</f>
        <v/>
      </c>
      <c r="P319" s="137" t="str">
        <f t="shared" si="19"/>
        <v/>
      </c>
    </row>
    <row r="320" spans="1:16" ht="13">
      <c r="A320" s="31" t="str">
        <f>IF('IMPORT PROFIXIO'!A320="","",'IMPORT PROFIXIO'!A320)</f>
        <v/>
      </c>
      <c r="B320" s="32" t="str">
        <f>IF(A320="","",IF(ISNUMBER('IMPORT PROFIXIO'!D320),'IMPORT PROFIXIO'!D320,DATEVALUE('IMPORT PROFIXIO'!D320)))</f>
        <v/>
      </c>
      <c r="C320" s="33" t="str">
        <f>IF(A320="","",IF(ISNUMBER('IMPORT PROFIXIO'!E320),'IMPORT PROFIXIO'!E320,(VALUE(LEFT('IMPORT PROFIXIO'!E320,FIND(":",'IMPORT PROFIXIO'!E320)-1))*60+VALUE(MID('IMPORT PROFIXIO'!E320,FIND(":",'IMPORT PROFIXIO'!E320)+1,2)))/1440))</f>
        <v/>
      </c>
      <c r="D320" s="31" t="str">
        <f>IF(A320="","",'IMPORT PROFIXIO'!F320)</f>
        <v/>
      </c>
      <c r="E320" s="31" t="str">
        <f>IF(A320="","",'IMPORT PROFIXIO'!K320)</f>
        <v/>
      </c>
      <c r="F320" s="34" t="str">
        <f>IF(A320="","",IFERROR(VLOOKUP(E320,KLASSNING!$A$5:$F$74,2,FALSE()),"SAKNAS"))</f>
        <v/>
      </c>
      <c r="G320" s="34" t="str">
        <f>IF(A320="","",IFERROR(VLOOKUP(E320,KLASSNING!$A$5:$F$74,3,FALSE()),"SAKNAS"))</f>
        <v/>
      </c>
      <c r="H320" s="34" t="str">
        <f>IF(A320="","",'IMPORT PROFIXIO'!H320)</f>
        <v/>
      </c>
      <c r="I320" s="34" t="str">
        <f>IF(A320="","",'IMPORT PROFIXIO'!I320)</f>
        <v/>
      </c>
      <c r="J320" s="34" t="str">
        <f t="shared" si="16"/>
        <v/>
      </c>
      <c r="K320" s="34" t="str">
        <f t="shared" si="17"/>
        <v/>
      </c>
      <c r="L320" s="34" t="str">
        <f>IF(A320="","",IFERROR(VLOOKUP(E320,KLASSNING!$A$5:$F$74,5,FALSE()),0))</f>
        <v/>
      </c>
      <c r="M320" s="35" t="str">
        <f t="shared" si="18"/>
        <v/>
      </c>
      <c r="N320" s="34" t="str">
        <f>IF(A320="","",IF(K320&lt;&gt;"Ja","Ej aktuell",IF(L320&lt;=0,"KONTROLLERA MATCHTID",IF(AND(COUNTIFS(BEMANNINGSPLAN!$A$5:$A$546,B320,BEMANNINGSPLAN!$C$5:$C$546,D320,BEMANNINGSPLAN!$D$5:$D$546,"&lt;="&amp;C320,BEMANNINGSPLAN!$E$5:$E$546,"&gt;"&amp;C320)&gt;0,COUNTIFS(BEMANNINGSPLAN!$A$5:$A$546,B320,BEMANNINGSPLAN!$C$5:$C$546,D320,BEMANNINGSPLAN!$D$5:$D$546,"&lt;"&amp;M320,BEMANNINGSPLAN!$E$5:$E$546,"&gt;="&amp;M320)&gt;0),"Ja","SAKNAS TIDSRADER"))))</f>
        <v/>
      </c>
      <c r="O320" s="137" t="str">
        <f>IF(OR(B320="",K320&lt;&gt;"Ja"),"",COUNTIFS($B$5:B320,B320,$K$5:K320,"Ja"))</f>
        <v/>
      </c>
      <c r="P320" s="137" t="str">
        <f t="shared" si="19"/>
        <v/>
      </c>
    </row>
    <row r="321" spans="1:16" ht="13">
      <c r="A321" s="31" t="str">
        <f>IF('IMPORT PROFIXIO'!A321="","",'IMPORT PROFIXIO'!A321)</f>
        <v/>
      </c>
      <c r="B321" s="32" t="str">
        <f>IF(A321="","",IF(ISNUMBER('IMPORT PROFIXIO'!D321),'IMPORT PROFIXIO'!D321,DATEVALUE('IMPORT PROFIXIO'!D321)))</f>
        <v/>
      </c>
      <c r="C321" s="33" t="str">
        <f>IF(A321="","",IF(ISNUMBER('IMPORT PROFIXIO'!E321),'IMPORT PROFIXIO'!E321,(VALUE(LEFT('IMPORT PROFIXIO'!E321,FIND(":",'IMPORT PROFIXIO'!E321)-1))*60+VALUE(MID('IMPORT PROFIXIO'!E321,FIND(":",'IMPORT PROFIXIO'!E321)+1,2)))/1440))</f>
        <v/>
      </c>
      <c r="D321" s="31" t="str">
        <f>IF(A321="","",'IMPORT PROFIXIO'!F321)</f>
        <v/>
      </c>
      <c r="E321" s="31" t="str">
        <f>IF(A321="","",'IMPORT PROFIXIO'!K321)</f>
        <v/>
      </c>
      <c r="F321" s="34" t="str">
        <f>IF(A321="","",IFERROR(VLOOKUP(E321,KLASSNING!$A$5:$F$74,2,FALSE()),"SAKNAS"))</f>
        <v/>
      </c>
      <c r="G321" s="34" t="str">
        <f>IF(A321="","",IFERROR(VLOOKUP(E321,KLASSNING!$A$5:$F$74,3,FALSE()),"SAKNAS"))</f>
        <v/>
      </c>
      <c r="H321" s="34" t="str">
        <f>IF(A321="","",'IMPORT PROFIXIO'!H321)</f>
        <v/>
      </c>
      <c r="I321" s="34" t="str">
        <f>IF(A321="","",'IMPORT PROFIXIO'!I321)</f>
        <v/>
      </c>
      <c r="J321" s="34" t="str">
        <f t="shared" si="16"/>
        <v/>
      </c>
      <c r="K321" s="34" t="str">
        <f t="shared" si="17"/>
        <v/>
      </c>
      <c r="L321" s="34" t="str">
        <f>IF(A321="","",IFERROR(VLOOKUP(E321,KLASSNING!$A$5:$F$74,5,FALSE()),0))</f>
        <v/>
      </c>
      <c r="M321" s="35" t="str">
        <f t="shared" si="18"/>
        <v/>
      </c>
      <c r="N321" s="34" t="str">
        <f>IF(A321="","",IF(K321&lt;&gt;"Ja","Ej aktuell",IF(L321&lt;=0,"KONTROLLERA MATCHTID",IF(AND(COUNTIFS(BEMANNINGSPLAN!$A$5:$A$546,B321,BEMANNINGSPLAN!$C$5:$C$546,D321,BEMANNINGSPLAN!$D$5:$D$546,"&lt;="&amp;C321,BEMANNINGSPLAN!$E$5:$E$546,"&gt;"&amp;C321)&gt;0,COUNTIFS(BEMANNINGSPLAN!$A$5:$A$546,B321,BEMANNINGSPLAN!$C$5:$C$546,D321,BEMANNINGSPLAN!$D$5:$D$546,"&lt;"&amp;M321,BEMANNINGSPLAN!$E$5:$E$546,"&gt;="&amp;M321)&gt;0),"Ja","SAKNAS TIDSRADER"))))</f>
        <v/>
      </c>
      <c r="O321" s="137" t="str">
        <f>IF(OR(B321="",K321&lt;&gt;"Ja"),"",COUNTIFS($B$5:B321,B321,$K$5:K321,"Ja"))</f>
        <v/>
      </c>
      <c r="P321" s="137" t="str">
        <f t="shared" si="19"/>
        <v/>
      </c>
    </row>
    <row r="322" spans="1:16" ht="13">
      <c r="A322" s="31" t="str">
        <f>IF('IMPORT PROFIXIO'!A322="","",'IMPORT PROFIXIO'!A322)</f>
        <v/>
      </c>
      <c r="B322" s="32" t="str">
        <f>IF(A322="","",IF(ISNUMBER('IMPORT PROFIXIO'!D322),'IMPORT PROFIXIO'!D322,DATEVALUE('IMPORT PROFIXIO'!D322)))</f>
        <v/>
      </c>
      <c r="C322" s="33" t="str">
        <f>IF(A322="","",IF(ISNUMBER('IMPORT PROFIXIO'!E322),'IMPORT PROFIXIO'!E322,(VALUE(LEFT('IMPORT PROFIXIO'!E322,FIND(":",'IMPORT PROFIXIO'!E322)-1))*60+VALUE(MID('IMPORT PROFIXIO'!E322,FIND(":",'IMPORT PROFIXIO'!E322)+1,2)))/1440))</f>
        <v/>
      </c>
      <c r="D322" s="31" t="str">
        <f>IF(A322="","",'IMPORT PROFIXIO'!F322)</f>
        <v/>
      </c>
      <c r="E322" s="31" t="str">
        <f>IF(A322="","",'IMPORT PROFIXIO'!K322)</f>
        <v/>
      </c>
      <c r="F322" s="34" t="str">
        <f>IF(A322="","",IFERROR(VLOOKUP(E322,KLASSNING!$A$5:$F$74,2,FALSE()),"SAKNAS"))</f>
        <v/>
      </c>
      <c r="G322" s="34" t="str">
        <f>IF(A322="","",IFERROR(VLOOKUP(E322,KLASSNING!$A$5:$F$74,3,FALSE()),"SAKNAS"))</f>
        <v/>
      </c>
      <c r="H322" s="34" t="str">
        <f>IF(A322="","",'IMPORT PROFIXIO'!H322)</f>
        <v/>
      </c>
      <c r="I322" s="34" t="str">
        <f>IF(A322="","",'IMPORT PROFIXIO'!I322)</f>
        <v/>
      </c>
      <c r="J322" s="34" t="str">
        <f t="shared" si="16"/>
        <v/>
      </c>
      <c r="K322" s="34" t="str">
        <f t="shared" si="17"/>
        <v/>
      </c>
      <c r="L322" s="34" t="str">
        <f>IF(A322="","",IFERROR(VLOOKUP(E322,KLASSNING!$A$5:$F$74,5,FALSE()),0))</f>
        <v/>
      </c>
      <c r="M322" s="35" t="str">
        <f t="shared" si="18"/>
        <v/>
      </c>
      <c r="N322" s="34" t="str">
        <f>IF(A322="","",IF(K322&lt;&gt;"Ja","Ej aktuell",IF(L322&lt;=0,"KONTROLLERA MATCHTID",IF(AND(COUNTIFS(BEMANNINGSPLAN!$A$5:$A$546,B322,BEMANNINGSPLAN!$C$5:$C$546,D322,BEMANNINGSPLAN!$D$5:$D$546,"&lt;="&amp;C322,BEMANNINGSPLAN!$E$5:$E$546,"&gt;"&amp;C322)&gt;0,COUNTIFS(BEMANNINGSPLAN!$A$5:$A$546,B322,BEMANNINGSPLAN!$C$5:$C$546,D322,BEMANNINGSPLAN!$D$5:$D$546,"&lt;"&amp;M322,BEMANNINGSPLAN!$E$5:$E$546,"&gt;="&amp;M322)&gt;0),"Ja","SAKNAS TIDSRADER"))))</f>
        <v/>
      </c>
      <c r="O322" s="137" t="str">
        <f>IF(OR(B322="",K322&lt;&gt;"Ja"),"",COUNTIFS($B$5:B322,B322,$K$5:K322,"Ja"))</f>
        <v/>
      </c>
      <c r="P322" s="137" t="str">
        <f t="shared" si="19"/>
        <v/>
      </c>
    </row>
    <row r="323" spans="1:16" ht="13">
      <c r="A323" s="31" t="str">
        <f>IF('IMPORT PROFIXIO'!A323="","",'IMPORT PROFIXIO'!A323)</f>
        <v/>
      </c>
      <c r="B323" s="32" t="str">
        <f>IF(A323="","",IF(ISNUMBER('IMPORT PROFIXIO'!D323),'IMPORT PROFIXIO'!D323,DATEVALUE('IMPORT PROFIXIO'!D323)))</f>
        <v/>
      </c>
      <c r="C323" s="33" t="str">
        <f>IF(A323="","",IF(ISNUMBER('IMPORT PROFIXIO'!E323),'IMPORT PROFIXIO'!E323,(VALUE(LEFT('IMPORT PROFIXIO'!E323,FIND(":",'IMPORT PROFIXIO'!E323)-1))*60+VALUE(MID('IMPORT PROFIXIO'!E323,FIND(":",'IMPORT PROFIXIO'!E323)+1,2)))/1440))</f>
        <v/>
      </c>
      <c r="D323" s="31" t="str">
        <f>IF(A323="","",'IMPORT PROFIXIO'!F323)</f>
        <v/>
      </c>
      <c r="E323" s="31" t="str">
        <f>IF(A323="","",'IMPORT PROFIXIO'!K323)</f>
        <v/>
      </c>
      <c r="F323" s="34" t="str">
        <f>IF(A323="","",IFERROR(VLOOKUP(E323,KLASSNING!$A$5:$F$74,2,FALSE()),"SAKNAS"))</f>
        <v/>
      </c>
      <c r="G323" s="34" t="str">
        <f>IF(A323="","",IFERROR(VLOOKUP(E323,KLASSNING!$A$5:$F$74,3,FALSE()),"SAKNAS"))</f>
        <v/>
      </c>
      <c r="H323" s="34" t="str">
        <f>IF(A323="","",'IMPORT PROFIXIO'!H323)</f>
        <v/>
      </c>
      <c r="I323" s="34" t="str">
        <f>IF(A323="","",'IMPORT PROFIXIO'!I323)</f>
        <v/>
      </c>
      <c r="J323" s="34" t="str">
        <f t="shared" si="16"/>
        <v/>
      </c>
      <c r="K323" s="34" t="str">
        <f t="shared" si="17"/>
        <v/>
      </c>
      <c r="L323" s="34" t="str">
        <f>IF(A323="","",IFERROR(VLOOKUP(E323,KLASSNING!$A$5:$F$74,5,FALSE()),0))</f>
        <v/>
      </c>
      <c r="M323" s="35" t="str">
        <f t="shared" si="18"/>
        <v/>
      </c>
      <c r="N323" s="34" t="str">
        <f>IF(A323="","",IF(K323&lt;&gt;"Ja","Ej aktuell",IF(L323&lt;=0,"KONTROLLERA MATCHTID",IF(AND(COUNTIFS(BEMANNINGSPLAN!$A$5:$A$546,B323,BEMANNINGSPLAN!$C$5:$C$546,D323,BEMANNINGSPLAN!$D$5:$D$546,"&lt;="&amp;C323,BEMANNINGSPLAN!$E$5:$E$546,"&gt;"&amp;C323)&gt;0,COUNTIFS(BEMANNINGSPLAN!$A$5:$A$546,B323,BEMANNINGSPLAN!$C$5:$C$546,D323,BEMANNINGSPLAN!$D$5:$D$546,"&lt;"&amp;M323,BEMANNINGSPLAN!$E$5:$E$546,"&gt;="&amp;M323)&gt;0),"Ja","SAKNAS TIDSRADER"))))</f>
        <v/>
      </c>
      <c r="O323" s="137" t="str">
        <f>IF(OR(B323="",K323&lt;&gt;"Ja"),"",COUNTIFS($B$5:B323,B323,$K$5:K323,"Ja"))</f>
        <v/>
      </c>
      <c r="P323" s="137" t="str">
        <f t="shared" si="19"/>
        <v/>
      </c>
    </row>
    <row r="324" spans="1:16" ht="13">
      <c r="A324" s="31" t="str">
        <f>IF('IMPORT PROFIXIO'!A324="","",'IMPORT PROFIXIO'!A324)</f>
        <v/>
      </c>
      <c r="B324" s="32" t="str">
        <f>IF(A324="","",IF(ISNUMBER('IMPORT PROFIXIO'!D324),'IMPORT PROFIXIO'!D324,DATEVALUE('IMPORT PROFIXIO'!D324)))</f>
        <v/>
      </c>
      <c r="C324" s="33" t="str">
        <f>IF(A324="","",IF(ISNUMBER('IMPORT PROFIXIO'!E324),'IMPORT PROFIXIO'!E324,(VALUE(LEFT('IMPORT PROFIXIO'!E324,FIND(":",'IMPORT PROFIXIO'!E324)-1))*60+VALUE(MID('IMPORT PROFIXIO'!E324,FIND(":",'IMPORT PROFIXIO'!E324)+1,2)))/1440))</f>
        <v/>
      </c>
      <c r="D324" s="31" t="str">
        <f>IF(A324="","",'IMPORT PROFIXIO'!F324)</f>
        <v/>
      </c>
      <c r="E324" s="31" t="str">
        <f>IF(A324="","",'IMPORT PROFIXIO'!K324)</f>
        <v/>
      </c>
      <c r="F324" s="34" t="str">
        <f>IF(A324="","",IFERROR(VLOOKUP(E324,KLASSNING!$A$5:$F$74,2,FALSE()),"SAKNAS"))</f>
        <v/>
      </c>
      <c r="G324" s="34" t="str">
        <f>IF(A324="","",IFERROR(VLOOKUP(E324,KLASSNING!$A$5:$F$74,3,FALSE()),"SAKNAS"))</f>
        <v/>
      </c>
      <c r="H324" s="34" t="str">
        <f>IF(A324="","",'IMPORT PROFIXIO'!H324)</f>
        <v/>
      </c>
      <c r="I324" s="34" t="str">
        <f>IF(A324="","",'IMPORT PROFIXIO'!I324)</f>
        <v/>
      </c>
      <c r="J324" s="34" t="str">
        <f t="shared" si="16"/>
        <v/>
      </c>
      <c r="K324" s="34" t="str">
        <f t="shared" si="17"/>
        <v/>
      </c>
      <c r="L324" s="34" t="str">
        <f>IF(A324="","",IFERROR(VLOOKUP(E324,KLASSNING!$A$5:$F$74,5,FALSE()),0))</f>
        <v/>
      </c>
      <c r="M324" s="35" t="str">
        <f t="shared" si="18"/>
        <v/>
      </c>
      <c r="N324" s="34" t="str">
        <f>IF(A324="","",IF(K324&lt;&gt;"Ja","Ej aktuell",IF(L324&lt;=0,"KONTROLLERA MATCHTID",IF(AND(COUNTIFS(BEMANNINGSPLAN!$A$5:$A$546,B324,BEMANNINGSPLAN!$C$5:$C$546,D324,BEMANNINGSPLAN!$D$5:$D$546,"&lt;="&amp;C324,BEMANNINGSPLAN!$E$5:$E$546,"&gt;"&amp;C324)&gt;0,COUNTIFS(BEMANNINGSPLAN!$A$5:$A$546,B324,BEMANNINGSPLAN!$C$5:$C$546,D324,BEMANNINGSPLAN!$D$5:$D$546,"&lt;"&amp;M324,BEMANNINGSPLAN!$E$5:$E$546,"&gt;="&amp;M324)&gt;0),"Ja","SAKNAS TIDSRADER"))))</f>
        <v/>
      </c>
      <c r="O324" s="137" t="str">
        <f>IF(OR(B324="",K324&lt;&gt;"Ja"),"",COUNTIFS($B$5:B324,B324,$K$5:K324,"Ja"))</f>
        <v/>
      </c>
      <c r="P324" s="137" t="str">
        <f t="shared" si="19"/>
        <v/>
      </c>
    </row>
    <row r="325" spans="1:16" ht="13">
      <c r="A325" s="31" t="str">
        <f>IF('IMPORT PROFIXIO'!A325="","",'IMPORT PROFIXIO'!A325)</f>
        <v/>
      </c>
      <c r="B325" s="32" t="str">
        <f>IF(A325="","",IF(ISNUMBER('IMPORT PROFIXIO'!D325),'IMPORT PROFIXIO'!D325,DATEVALUE('IMPORT PROFIXIO'!D325)))</f>
        <v/>
      </c>
      <c r="C325" s="33" t="str">
        <f>IF(A325="","",IF(ISNUMBER('IMPORT PROFIXIO'!E325),'IMPORT PROFIXIO'!E325,(VALUE(LEFT('IMPORT PROFIXIO'!E325,FIND(":",'IMPORT PROFIXIO'!E325)-1))*60+VALUE(MID('IMPORT PROFIXIO'!E325,FIND(":",'IMPORT PROFIXIO'!E325)+1,2)))/1440))</f>
        <v/>
      </c>
      <c r="D325" s="31" t="str">
        <f>IF(A325="","",'IMPORT PROFIXIO'!F325)</f>
        <v/>
      </c>
      <c r="E325" s="31" t="str">
        <f>IF(A325="","",'IMPORT PROFIXIO'!K325)</f>
        <v/>
      </c>
      <c r="F325" s="34" t="str">
        <f>IF(A325="","",IFERROR(VLOOKUP(E325,KLASSNING!$A$5:$F$74,2,FALSE()),"SAKNAS"))</f>
        <v/>
      </c>
      <c r="G325" s="34" t="str">
        <f>IF(A325="","",IFERROR(VLOOKUP(E325,KLASSNING!$A$5:$F$74,3,FALSE()),"SAKNAS"))</f>
        <v/>
      </c>
      <c r="H325" s="34" t="str">
        <f>IF(A325="","",'IMPORT PROFIXIO'!H325)</f>
        <v/>
      </c>
      <c r="I325" s="34" t="str">
        <f>IF(A325="","",'IMPORT PROFIXIO'!I325)</f>
        <v/>
      </c>
      <c r="J325" s="34" t="str">
        <f t="shared" ref="J325:J388" si="20">IF(A325="","",IF(LEFT(H325,3)="AIK",IF(H325="AIK 2",F325&amp;" 2",F325),IF(LEFT(I325,3)="AIK",IF(I325="AIK 2",F325&amp;" 2",F325),"")))</f>
        <v/>
      </c>
      <c r="K325" s="34" t="str">
        <f t="shared" ref="K325:K388" si="21">IF(A325="","",IF(D325="Solnahallen","Nej","Ja"))</f>
        <v/>
      </c>
      <c r="L325" s="34" t="str">
        <f>IF(A325="","",IFERROR(VLOOKUP(E325,KLASSNING!$A$5:$F$74,5,FALSE()),0))</f>
        <v/>
      </c>
      <c r="M325" s="35" t="str">
        <f t="shared" ref="M325:M388" si="22">IF(OR(A325="",K325&lt;&gt;"Ja"),"",C325+L325/1440)</f>
        <v/>
      </c>
      <c r="N325" s="34" t="str">
        <f>IF(A325="","",IF(K325&lt;&gt;"Ja","Ej aktuell",IF(L325&lt;=0,"KONTROLLERA MATCHTID",IF(AND(COUNTIFS(BEMANNINGSPLAN!$A$5:$A$546,B325,BEMANNINGSPLAN!$C$5:$C$546,D325,BEMANNINGSPLAN!$D$5:$D$546,"&lt;="&amp;C325,BEMANNINGSPLAN!$E$5:$E$546,"&gt;"&amp;C325)&gt;0,COUNTIFS(BEMANNINGSPLAN!$A$5:$A$546,B325,BEMANNINGSPLAN!$C$5:$C$546,D325,BEMANNINGSPLAN!$D$5:$D$546,"&lt;"&amp;M325,BEMANNINGSPLAN!$E$5:$E$546,"&gt;="&amp;M325)&gt;0),"Ja","SAKNAS TIDSRADER"))))</f>
        <v/>
      </c>
      <c r="O325" s="137" t="str">
        <f>IF(OR(B325="",K325&lt;&gt;"Ja"),"",COUNTIFS($B$5:B325,B325,$K$5:K325,"Ja"))</f>
        <v/>
      </c>
      <c r="P325" s="137" t="str">
        <f t="shared" ref="P325:P388" si="23">IF(O325="","",TEXT(B325,"yyyy-mm-dd")&amp;"|"&amp;O325)</f>
        <v/>
      </c>
    </row>
    <row r="326" spans="1:16" ht="13">
      <c r="A326" s="31" t="str">
        <f>IF('IMPORT PROFIXIO'!A326="","",'IMPORT PROFIXIO'!A326)</f>
        <v/>
      </c>
      <c r="B326" s="32" t="str">
        <f>IF(A326="","",IF(ISNUMBER('IMPORT PROFIXIO'!D326),'IMPORT PROFIXIO'!D326,DATEVALUE('IMPORT PROFIXIO'!D326)))</f>
        <v/>
      </c>
      <c r="C326" s="33" t="str">
        <f>IF(A326="","",IF(ISNUMBER('IMPORT PROFIXIO'!E326),'IMPORT PROFIXIO'!E326,(VALUE(LEFT('IMPORT PROFIXIO'!E326,FIND(":",'IMPORT PROFIXIO'!E326)-1))*60+VALUE(MID('IMPORT PROFIXIO'!E326,FIND(":",'IMPORT PROFIXIO'!E326)+1,2)))/1440))</f>
        <v/>
      </c>
      <c r="D326" s="31" t="str">
        <f>IF(A326="","",'IMPORT PROFIXIO'!F326)</f>
        <v/>
      </c>
      <c r="E326" s="31" t="str">
        <f>IF(A326="","",'IMPORT PROFIXIO'!K326)</f>
        <v/>
      </c>
      <c r="F326" s="34" t="str">
        <f>IF(A326="","",IFERROR(VLOOKUP(E326,KLASSNING!$A$5:$F$74,2,FALSE()),"SAKNAS"))</f>
        <v/>
      </c>
      <c r="G326" s="34" t="str">
        <f>IF(A326="","",IFERROR(VLOOKUP(E326,KLASSNING!$A$5:$F$74,3,FALSE()),"SAKNAS"))</f>
        <v/>
      </c>
      <c r="H326" s="34" t="str">
        <f>IF(A326="","",'IMPORT PROFIXIO'!H326)</f>
        <v/>
      </c>
      <c r="I326" s="34" t="str">
        <f>IF(A326="","",'IMPORT PROFIXIO'!I326)</f>
        <v/>
      </c>
      <c r="J326" s="34" t="str">
        <f t="shared" si="20"/>
        <v/>
      </c>
      <c r="K326" s="34" t="str">
        <f t="shared" si="21"/>
        <v/>
      </c>
      <c r="L326" s="34" t="str">
        <f>IF(A326="","",IFERROR(VLOOKUP(E326,KLASSNING!$A$5:$F$74,5,FALSE()),0))</f>
        <v/>
      </c>
      <c r="M326" s="35" t="str">
        <f t="shared" si="22"/>
        <v/>
      </c>
      <c r="N326" s="34" t="str">
        <f>IF(A326="","",IF(K326&lt;&gt;"Ja","Ej aktuell",IF(L326&lt;=0,"KONTROLLERA MATCHTID",IF(AND(COUNTIFS(BEMANNINGSPLAN!$A$5:$A$546,B326,BEMANNINGSPLAN!$C$5:$C$546,D326,BEMANNINGSPLAN!$D$5:$D$546,"&lt;="&amp;C326,BEMANNINGSPLAN!$E$5:$E$546,"&gt;"&amp;C326)&gt;0,COUNTIFS(BEMANNINGSPLAN!$A$5:$A$546,B326,BEMANNINGSPLAN!$C$5:$C$546,D326,BEMANNINGSPLAN!$D$5:$D$546,"&lt;"&amp;M326,BEMANNINGSPLAN!$E$5:$E$546,"&gt;="&amp;M326)&gt;0),"Ja","SAKNAS TIDSRADER"))))</f>
        <v/>
      </c>
      <c r="O326" s="137" t="str">
        <f>IF(OR(B326="",K326&lt;&gt;"Ja"),"",COUNTIFS($B$5:B326,B326,$K$5:K326,"Ja"))</f>
        <v/>
      </c>
      <c r="P326" s="137" t="str">
        <f t="shared" si="23"/>
        <v/>
      </c>
    </row>
    <row r="327" spans="1:16" ht="13">
      <c r="A327" s="31" t="str">
        <f>IF('IMPORT PROFIXIO'!A327="","",'IMPORT PROFIXIO'!A327)</f>
        <v/>
      </c>
      <c r="B327" s="32" t="str">
        <f>IF(A327="","",IF(ISNUMBER('IMPORT PROFIXIO'!D327),'IMPORT PROFIXIO'!D327,DATEVALUE('IMPORT PROFIXIO'!D327)))</f>
        <v/>
      </c>
      <c r="C327" s="33" t="str">
        <f>IF(A327="","",IF(ISNUMBER('IMPORT PROFIXIO'!E327),'IMPORT PROFIXIO'!E327,(VALUE(LEFT('IMPORT PROFIXIO'!E327,FIND(":",'IMPORT PROFIXIO'!E327)-1))*60+VALUE(MID('IMPORT PROFIXIO'!E327,FIND(":",'IMPORT PROFIXIO'!E327)+1,2)))/1440))</f>
        <v/>
      </c>
      <c r="D327" s="31" t="str">
        <f>IF(A327="","",'IMPORT PROFIXIO'!F327)</f>
        <v/>
      </c>
      <c r="E327" s="31" t="str">
        <f>IF(A327="","",'IMPORT PROFIXIO'!K327)</f>
        <v/>
      </c>
      <c r="F327" s="34" t="str">
        <f>IF(A327="","",IFERROR(VLOOKUP(E327,KLASSNING!$A$5:$F$74,2,FALSE()),"SAKNAS"))</f>
        <v/>
      </c>
      <c r="G327" s="34" t="str">
        <f>IF(A327="","",IFERROR(VLOOKUP(E327,KLASSNING!$A$5:$F$74,3,FALSE()),"SAKNAS"))</f>
        <v/>
      </c>
      <c r="H327" s="34" t="str">
        <f>IF(A327="","",'IMPORT PROFIXIO'!H327)</f>
        <v/>
      </c>
      <c r="I327" s="34" t="str">
        <f>IF(A327="","",'IMPORT PROFIXIO'!I327)</f>
        <v/>
      </c>
      <c r="J327" s="34" t="str">
        <f t="shared" si="20"/>
        <v/>
      </c>
      <c r="K327" s="34" t="str">
        <f t="shared" si="21"/>
        <v/>
      </c>
      <c r="L327" s="34" t="str">
        <f>IF(A327="","",IFERROR(VLOOKUP(E327,KLASSNING!$A$5:$F$74,5,FALSE()),0))</f>
        <v/>
      </c>
      <c r="M327" s="35" t="str">
        <f t="shared" si="22"/>
        <v/>
      </c>
      <c r="N327" s="34" t="str">
        <f>IF(A327="","",IF(K327&lt;&gt;"Ja","Ej aktuell",IF(L327&lt;=0,"KONTROLLERA MATCHTID",IF(AND(COUNTIFS(BEMANNINGSPLAN!$A$5:$A$546,B327,BEMANNINGSPLAN!$C$5:$C$546,D327,BEMANNINGSPLAN!$D$5:$D$546,"&lt;="&amp;C327,BEMANNINGSPLAN!$E$5:$E$546,"&gt;"&amp;C327)&gt;0,COUNTIFS(BEMANNINGSPLAN!$A$5:$A$546,B327,BEMANNINGSPLAN!$C$5:$C$546,D327,BEMANNINGSPLAN!$D$5:$D$546,"&lt;"&amp;M327,BEMANNINGSPLAN!$E$5:$E$546,"&gt;="&amp;M327)&gt;0),"Ja","SAKNAS TIDSRADER"))))</f>
        <v/>
      </c>
      <c r="O327" s="137" t="str">
        <f>IF(OR(B327="",K327&lt;&gt;"Ja"),"",COUNTIFS($B$5:B327,B327,$K$5:K327,"Ja"))</f>
        <v/>
      </c>
      <c r="P327" s="137" t="str">
        <f t="shared" si="23"/>
        <v/>
      </c>
    </row>
    <row r="328" spans="1:16" ht="13">
      <c r="A328" s="31" t="str">
        <f>IF('IMPORT PROFIXIO'!A328="","",'IMPORT PROFIXIO'!A328)</f>
        <v/>
      </c>
      <c r="B328" s="32" t="str">
        <f>IF(A328="","",IF(ISNUMBER('IMPORT PROFIXIO'!D328),'IMPORT PROFIXIO'!D328,DATEVALUE('IMPORT PROFIXIO'!D328)))</f>
        <v/>
      </c>
      <c r="C328" s="33" t="str">
        <f>IF(A328="","",IF(ISNUMBER('IMPORT PROFIXIO'!E328),'IMPORT PROFIXIO'!E328,(VALUE(LEFT('IMPORT PROFIXIO'!E328,FIND(":",'IMPORT PROFIXIO'!E328)-1))*60+VALUE(MID('IMPORT PROFIXIO'!E328,FIND(":",'IMPORT PROFIXIO'!E328)+1,2)))/1440))</f>
        <v/>
      </c>
      <c r="D328" s="31" t="str">
        <f>IF(A328="","",'IMPORT PROFIXIO'!F328)</f>
        <v/>
      </c>
      <c r="E328" s="31" t="str">
        <f>IF(A328="","",'IMPORT PROFIXIO'!K328)</f>
        <v/>
      </c>
      <c r="F328" s="34" t="str">
        <f>IF(A328="","",IFERROR(VLOOKUP(E328,KLASSNING!$A$5:$F$74,2,FALSE()),"SAKNAS"))</f>
        <v/>
      </c>
      <c r="G328" s="34" t="str">
        <f>IF(A328="","",IFERROR(VLOOKUP(E328,KLASSNING!$A$5:$F$74,3,FALSE()),"SAKNAS"))</f>
        <v/>
      </c>
      <c r="H328" s="34" t="str">
        <f>IF(A328="","",'IMPORT PROFIXIO'!H328)</f>
        <v/>
      </c>
      <c r="I328" s="34" t="str">
        <f>IF(A328="","",'IMPORT PROFIXIO'!I328)</f>
        <v/>
      </c>
      <c r="J328" s="34" t="str">
        <f t="shared" si="20"/>
        <v/>
      </c>
      <c r="K328" s="34" t="str">
        <f t="shared" si="21"/>
        <v/>
      </c>
      <c r="L328" s="34" t="str">
        <f>IF(A328="","",IFERROR(VLOOKUP(E328,KLASSNING!$A$5:$F$74,5,FALSE()),0))</f>
        <v/>
      </c>
      <c r="M328" s="35" t="str">
        <f t="shared" si="22"/>
        <v/>
      </c>
      <c r="N328" s="34" t="str">
        <f>IF(A328="","",IF(K328&lt;&gt;"Ja","Ej aktuell",IF(L328&lt;=0,"KONTROLLERA MATCHTID",IF(AND(COUNTIFS(BEMANNINGSPLAN!$A$5:$A$546,B328,BEMANNINGSPLAN!$C$5:$C$546,D328,BEMANNINGSPLAN!$D$5:$D$546,"&lt;="&amp;C328,BEMANNINGSPLAN!$E$5:$E$546,"&gt;"&amp;C328)&gt;0,COUNTIFS(BEMANNINGSPLAN!$A$5:$A$546,B328,BEMANNINGSPLAN!$C$5:$C$546,D328,BEMANNINGSPLAN!$D$5:$D$546,"&lt;"&amp;M328,BEMANNINGSPLAN!$E$5:$E$546,"&gt;="&amp;M328)&gt;0),"Ja","SAKNAS TIDSRADER"))))</f>
        <v/>
      </c>
      <c r="O328" s="137" t="str">
        <f>IF(OR(B328="",K328&lt;&gt;"Ja"),"",COUNTIFS($B$5:B328,B328,$K$5:K328,"Ja"))</f>
        <v/>
      </c>
      <c r="P328" s="137" t="str">
        <f t="shared" si="23"/>
        <v/>
      </c>
    </row>
    <row r="329" spans="1:16" ht="13">
      <c r="A329" s="31" t="str">
        <f>IF('IMPORT PROFIXIO'!A329="","",'IMPORT PROFIXIO'!A329)</f>
        <v/>
      </c>
      <c r="B329" s="32" t="str">
        <f>IF(A329="","",IF(ISNUMBER('IMPORT PROFIXIO'!D329),'IMPORT PROFIXIO'!D329,DATEVALUE('IMPORT PROFIXIO'!D329)))</f>
        <v/>
      </c>
      <c r="C329" s="33" t="str">
        <f>IF(A329="","",IF(ISNUMBER('IMPORT PROFIXIO'!E329),'IMPORT PROFIXIO'!E329,(VALUE(LEFT('IMPORT PROFIXIO'!E329,FIND(":",'IMPORT PROFIXIO'!E329)-1))*60+VALUE(MID('IMPORT PROFIXIO'!E329,FIND(":",'IMPORT PROFIXIO'!E329)+1,2)))/1440))</f>
        <v/>
      </c>
      <c r="D329" s="31" t="str">
        <f>IF(A329="","",'IMPORT PROFIXIO'!F329)</f>
        <v/>
      </c>
      <c r="E329" s="31" t="str">
        <f>IF(A329="","",'IMPORT PROFIXIO'!K329)</f>
        <v/>
      </c>
      <c r="F329" s="34" t="str">
        <f>IF(A329="","",IFERROR(VLOOKUP(E329,KLASSNING!$A$5:$F$74,2,FALSE()),"SAKNAS"))</f>
        <v/>
      </c>
      <c r="G329" s="34" t="str">
        <f>IF(A329="","",IFERROR(VLOOKUP(E329,KLASSNING!$A$5:$F$74,3,FALSE()),"SAKNAS"))</f>
        <v/>
      </c>
      <c r="H329" s="34" t="str">
        <f>IF(A329="","",'IMPORT PROFIXIO'!H329)</f>
        <v/>
      </c>
      <c r="I329" s="34" t="str">
        <f>IF(A329="","",'IMPORT PROFIXIO'!I329)</f>
        <v/>
      </c>
      <c r="J329" s="34" t="str">
        <f t="shared" si="20"/>
        <v/>
      </c>
      <c r="K329" s="34" t="str">
        <f t="shared" si="21"/>
        <v/>
      </c>
      <c r="L329" s="34" t="str">
        <f>IF(A329="","",IFERROR(VLOOKUP(E329,KLASSNING!$A$5:$F$74,5,FALSE()),0))</f>
        <v/>
      </c>
      <c r="M329" s="35" t="str">
        <f t="shared" si="22"/>
        <v/>
      </c>
      <c r="N329" s="34" t="str">
        <f>IF(A329="","",IF(K329&lt;&gt;"Ja","Ej aktuell",IF(L329&lt;=0,"KONTROLLERA MATCHTID",IF(AND(COUNTIFS(BEMANNINGSPLAN!$A$5:$A$546,B329,BEMANNINGSPLAN!$C$5:$C$546,D329,BEMANNINGSPLAN!$D$5:$D$546,"&lt;="&amp;C329,BEMANNINGSPLAN!$E$5:$E$546,"&gt;"&amp;C329)&gt;0,COUNTIFS(BEMANNINGSPLAN!$A$5:$A$546,B329,BEMANNINGSPLAN!$C$5:$C$546,D329,BEMANNINGSPLAN!$D$5:$D$546,"&lt;"&amp;M329,BEMANNINGSPLAN!$E$5:$E$546,"&gt;="&amp;M329)&gt;0),"Ja","SAKNAS TIDSRADER"))))</f>
        <v/>
      </c>
      <c r="O329" s="137" t="str">
        <f>IF(OR(B329="",K329&lt;&gt;"Ja"),"",COUNTIFS($B$5:B329,B329,$K$5:K329,"Ja"))</f>
        <v/>
      </c>
      <c r="P329" s="137" t="str">
        <f t="shared" si="23"/>
        <v/>
      </c>
    </row>
    <row r="330" spans="1:16" ht="13">
      <c r="A330" s="31" t="str">
        <f>IF('IMPORT PROFIXIO'!A330="","",'IMPORT PROFIXIO'!A330)</f>
        <v/>
      </c>
      <c r="B330" s="32" t="str">
        <f>IF(A330="","",IF(ISNUMBER('IMPORT PROFIXIO'!D330),'IMPORT PROFIXIO'!D330,DATEVALUE('IMPORT PROFIXIO'!D330)))</f>
        <v/>
      </c>
      <c r="C330" s="33" t="str">
        <f>IF(A330="","",IF(ISNUMBER('IMPORT PROFIXIO'!E330),'IMPORT PROFIXIO'!E330,(VALUE(LEFT('IMPORT PROFIXIO'!E330,FIND(":",'IMPORT PROFIXIO'!E330)-1))*60+VALUE(MID('IMPORT PROFIXIO'!E330,FIND(":",'IMPORT PROFIXIO'!E330)+1,2)))/1440))</f>
        <v/>
      </c>
      <c r="D330" s="31" t="str">
        <f>IF(A330="","",'IMPORT PROFIXIO'!F330)</f>
        <v/>
      </c>
      <c r="E330" s="31" t="str">
        <f>IF(A330="","",'IMPORT PROFIXIO'!K330)</f>
        <v/>
      </c>
      <c r="F330" s="34" t="str">
        <f>IF(A330="","",IFERROR(VLOOKUP(E330,KLASSNING!$A$5:$F$74,2,FALSE()),"SAKNAS"))</f>
        <v/>
      </c>
      <c r="G330" s="34" t="str">
        <f>IF(A330="","",IFERROR(VLOOKUP(E330,KLASSNING!$A$5:$F$74,3,FALSE()),"SAKNAS"))</f>
        <v/>
      </c>
      <c r="H330" s="34" t="str">
        <f>IF(A330="","",'IMPORT PROFIXIO'!H330)</f>
        <v/>
      </c>
      <c r="I330" s="34" t="str">
        <f>IF(A330="","",'IMPORT PROFIXIO'!I330)</f>
        <v/>
      </c>
      <c r="J330" s="34" t="str">
        <f t="shared" si="20"/>
        <v/>
      </c>
      <c r="K330" s="34" t="str">
        <f t="shared" si="21"/>
        <v/>
      </c>
      <c r="L330" s="34" t="str">
        <f>IF(A330="","",IFERROR(VLOOKUP(E330,KLASSNING!$A$5:$F$74,5,FALSE()),0))</f>
        <v/>
      </c>
      <c r="M330" s="35" t="str">
        <f t="shared" si="22"/>
        <v/>
      </c>
      <c r="N330" s="34" t="str">
        <f>IF(A330="","",IF(K330&lt;&gt;"Ja","Ej aktuell",IF(L330&lt;=0,"KONTROLLERA MATCHTID",IF(AND(COUNTIFS(BEMANNINGSPLAN!$A$5:$A$546,B330,BEMANNINGSPLAN!$C$5:$C$546,D330,BEMANNINGSPLAN!$D$5:$D$546,"&lt;="&amp;C330,BEMANNINGSPLAN!$E$5:$E$546,"&gt;"&amp;C330)&gt;0,COUNTIFS(BEMANNINGSPLAN!$A$5:$A$546,B330,BEMANNINGSPLAN!$C$5:$C$546,D330,BEMANNINGSPLAN!$D$5:$D$546,"&lt;"&amp;M330,BEMANNINGSPLAN!$E$5:$E$546,"&gt;="&amp;M330)&gt;0),"Ja","SAKNAS TIDSRADER"))))</f>
        <v/>
      </c>
      <c r="O330" s="137" t="str">
        <f>IF(OR(B330="",K330&lt;&gt;"Ja"),"",COUNTIFS($B$5:B330,B330,$K$5:K330,"Ja"))</f>
        <v/>
      </c>
      <c r="P330" s="137" t="str">
        <f t="shared" si="23"/>
        <v/>
      </c>
    </row>
    <row r="331" spans="1:16" ht="13">
      <c r="A331" s="31" t="str">
        <f>IF('IMPORT PROFIXIO'!A331="","",'IMPORT PROFIXIO'!A331)</f>
        <v/>
      </c>
      <c r="B331" s="32" t="str">
        <f>IF(A331="","",IF(ISNUMBER('IMPORT PROFIXIO'!D331),'IMPORT PROFIXIO'!D331,DATEVALUE('IMPORT PROFIXIO'!D331)))</f>
        <v/>
      </c>
      <c r="C331" s="33" t="str">
        <f>IF(A331="","",IF(ISNUMBER('IMPORT PROFIXIO'!E331),'IMPORT PROFIXIO'!E331,(VALUE(LEFT('IMPORT PROFIXIO'!E331,FIND(":",'IMPORT PROFIXIO'!E331)-1))*60+VALUE(MID('IMPORT PROFIXIO'!E331,FIND(":",'IMPORT PROFIXIO'!E331)+1,2)))/1440))</f>
        <v/>
      </c>
      <c r="D331" s="31" t="str">
        <f>IF(A331="","",'IMPORT PROFIXIO'!F331)</f>
        <v/>
      </c>
      <c r="E331" s="31" t="str">
        <f>IF(A331="","",'IMPORT PROFIXIO'!K331)</f>
        <v/>
      </c>
      <c r="F331" s="34" t="str">
        <f>IF(A331="","",IFERROR(VLOOKUP(E331,KLASSNING!$A$5:$F$74,2,FALSE()),"SAKNAS"))</f>
        <v/>
      </c>
      <c r="G331" s="34" t="str">
        <f>IF(A331="","",IFERROR(VLOOKUP(E331,KLASSNING!$A$5:$F$74,3,FALSE()),"SAKNAS"))</f>
        <v/>
      </c>
      <c r="H331" s="34" t="str">
        <f>IF(A331="","",'IMPORT PROFIXIO'!H331)</f>
        <v/>
      </c>
      <c r="I331" s="34" t="str">
        <f>IF(A331="","",'IMPORT PROFIXIO'!I331)</f>
        <v/>
      </c>
      <c r="J331" s="34" t="str">
        <f t="shared" si="20"/>
        <v/>
      </c>
      <c r="K331" s="34" t="str">
        <f t="shared" si="21"/>
        <v/>
      </c>
      <c r="L331" s="34" t="str">
        <f>IF(A331="","",IFERROR(VLOOKUP(E331,KLASSNING!$A$5:$F$74,5,FALSE()),0))</f>
        <v/>
      </c>
      <c r="M331" s="35" t="str">
        <f t="shared" si="22"/>
        <v/>
      </c>
      <c r="N331" s="34" t="str">
        <f>IF(A331="","",IF(K331&lt;&gt;"Ja","Ej aktuell",IF(L331&lt;=0,"KONTROLLERA MATCHTID",IF(AND(COUNTIFS(BEMANNINGSPLAN!$A$5:$A$546,B331,BEMANNINGSPLAN!$C$5:$C$546,D331,BEMANNINGSPLAN!$D$5:$D$546,"&lt;="&amp;C331,BEMANNINGSPLAN!$E$5:$E$546,"&gt;"&amp;C331)&gt;0,COUNTIFS(BEMANNINGSPLAN!$A$5:$A$546,B331,BEMANNINGSPLAN!$C$5:$C$546,D331,BEMANNINGSPLAN!$D$5:$D$546,"&lt;"&amp;M331,BEMANNINGSPLAN!$E$5:$E$546,"&gt;="&amp;M331)&gt;0),"Ja","SAKNAS TIDSRADER"))))</f>
        <v/>
      </c>
      <c r="O331" s="137" t="str">
        <f>IF(OR(B331="",K331&lt;&gt;"Ja"),"",COUNTIFS($B$5:B331,B331,$K$5:K331,"Ja"))</f>
        <v/>
      </c>
      <c r="P331" s="137" t="str">
        <f t="shared" si="23"/>
        <v/>
      </c>
    </row>
    <row r="332" spans="1:16" ht="13">
      <c r="A332" s="31" t="str">
        <f>IF('IMPORT PROFIXIO'!A332="","",'IMPORT PROFIXIO'!A332)</f>
        <v/>
      </c>
      <c r="B332" s="32" t="str">
        <f>IF(A332="","",IF(ISNUMBER('IMPORT PROFIXIO'!D332),'IMPORT PROFIXIO'!D332,DATEVALUE('IMPORT PROFIXIO'!D332)))</f>
        <v/>
      </c>
      <c r="C332" s="33" t="str">
        <f>IF(A332="","",IF(ISNUMBER('IMPORT PROFIXIO'!E332),'IMPORT PROFIXIO'!E332,(VALUE(LEFT('IMPORT PROFIXIO'!E332,FIND(":",'IMPORT PROFIXIO'!E332)-1))*60+VALUE(MID('IMPORT PROFIXIO'!E332,FIND(":",'IMPORT PROFIXIO'!E332)+1,2)))/1440))</f>
        <v/>
      </c>
      <c r="D332" s="31" t="str">
        <f>IF(A332="","",'IMPORT PROFIXIO'!F332)</f>
        <v/>
      </c>
      <c r="E332" s="31" t="str">
        <f>IF(A332="","",'IMPORT PROFIXIO'!K332)</f>
        <v/>
      </c>
      <c r="F332" s="34" t="str">
        <f>IF(A332="","",IFERROR(VLOOKUP(E332,KLASSNING!$A$5:$F$74,2,FALSE()),"SAKNAS"))</f>
        <v/>
      </c>
      <c r="G332" s="34" t="str">
        <f>IF(A332="","",IFERROR(VLOOKUP(E332,KLASSNING!$A$5:$F$74,3,FALSE()),"SAKNAS"))</f>
        <v/>
      </c>
      <c r="H332" s="34" t="str">
        <f>IF(A332="","",'IMPORT PROFIXIO'!H332)</f>
        <v/>
      </c>
      <c r="I332" s="34" t="str">
        <f>IF(A332="","",'IMPORT PROFIXIO'!I332)</f>
        <v/>
      </c>
      <c r="J332" s="34" t="str">
        <f t="shared" si="20"/>
        <v/>
      </c>
      <c r="K332" s="34" t="str">
        <f t="shared" si="21"/>
        <v/>
      </c>
      <c r="L332" s="34" t="str">
        <f>IF(A332="","",IFERROR(VLOOKUP(E332,KLASSNING!$A$5:$F$74,5,FALSE()),0))</f>
        <v/>
      </c>
      <c r="M332" s="35" t="str">
        <f t="shared" si="22"/>
        <v/>
      </c>
      <c r="N332" s="34" t="str">
        <f>IF(A332="","",IF(K332&lt;&gt;"Ja","Ej aktuell",IF(L332&lt;=0,"KONTROLLERA MATCHTID",IF(AND(COUNTIFS(BEMANNINGSPLAN!$A$5:$A$546,B332,BEMANNINGSPLAN!$C$5:$C$546,D332,BEMANNINGSPLAN!$D$5:$D$546,"&lt;="&amp;C332,BEMANNINGSPLAN!$E$5:$E$546,"&gt;"&amp;C332)&gt;0,COUNTIFS(BEMANNINGSPLAN!$A$5:$A$546,B332,BEMANNINGSPLAN!$C$5:$C$546,D332,BEMANNINGSPLAN!$D$5:$D$546,"&lt;"&amp;M332,BEMANNINGSPLAN!$E$5:$E$546,"&gt;="&amp;M332)&gt;0),"Ja","SAKNAS TIDSRADER"))))</f>
        <v/>
      </c>
      <c r="O332" s="137" t="str">
        <f>IF(OR(B332="",K332&lt;&gt;"Ja"),"",COUNTIFS($B$5:B332,B332,$K$5:K332,"Ja"))</f>
        <v/>
      </c>
      <c r="P332" s="137" t="str">
        <f t="shared" si="23"/>
        <v/>
      </c>
    </row>
    <row r="333" spans="1:16" ht="13">
      <c r="A333" s="31" t="str">
        <f>IF('IMPORT PROFIXIO'!A333="","",'IMPORT PROFIXIO'!A333)</f>
        <v/>
      </c>
      <c r="B333" s="32" t="str">
        <f>IF(A333="","",IF(ISNUMBER('IMPORT PROFIXIO'!D333),'IMPORT PROFIXIO'!D333,DATEVALUE('IMPORT PROFIXIO'!D333)))</f>
        <v/>
      </c>
      <c r="C333" s="33" t="str">
        <f>IF(A333="","",IF(ISNUMBER('IMPORT PROFIXIO'!E333),'IMPORT PROFIXIO'!E333,(VALUE(LEFT('IMPORT PROFIXIO'!E333,FIND(":",'IMPORT PROFIXIO'!E333)-1))*60+VALUE(MID('IMPORT PROFIXIO'!E333,FIND(":",'IMPORT PROFIXIO'!E333)+1,2)))/1440))</f>
        <v/>
      </c>
      <c r="D333" s="31" t="str">
        <f>IF(A333="","",'IMPORT PROFIXIO'!F333)</f>
        <v/>
      </c>
      <c r="E333" s="31" t="str">
        <f>IF(A333="","",'IMPORT PROFIXIO'!K333)</f>
        <v/>
      </c>
      <c r="F333" s="34" t="str">
        <f>IF(A333="","",IFERROR(VLOOKUP(E333,KLASSNING!$A$5:$F$74,2,FALSE()),"SAKNAS"))</f>
        <v/>
      </c>
      <c r="G333" s="34" t="str">
        <f>IF(A333="","",IFERROR(VLOOKUP(E333,KLASSNING!$A$5:$F$74,3,FALSE()),"SAKNAS"))</f>
        <v/>
      </c>
      <c r="H333" s="34" t="str">
        <f>IF(A333="","",'IMPORT PROFIXIO'!H333)</f>
        <v/>
      </c>
      <c r="I333" s="34" t="str">
        <f>IF(A333="","",'IMPORT PROFIXIO'!I333)</f>
        <v/>
      </c>
      <c r="J333" s="34" t="str">
        <f t="shared" si="20"/>
        <v/>
      </c>
      <c r="K333" s="34" t="str">
        <f t="shared" si="21"/>
        <v/>
      </c>
      <c r="L333" s="34" t="str">
        <f>IF(A333="","",IFERROR(VLOOKUP(E333,KLASSNING!$A$5:$F$74,5,FALSE()),0))</f>
        <v/>
      </c>
      <c r="M333" s="35" t="str">
        <f t="shared" si="22"/>
        <v/>
      </c>
      <c r="N333" s="34" t="str">
        <f>IF(A333="","",IF(K333&lt;&gt;"Ja","Ej aktuell",IF(L333&lt;=0,"KONTROLLERA MATCHTID",IF(AND(COUNTIFS(BEMANNINGSPLAN!$A$5:$A$546,B333,BEMANNINGSPLAN!$C$5:$C$546,D333,BEMANNINGSPLAN!$D$5:$D$546,"&lt;="&amp;C333,BEMANNINGSPLAN!$E$5:$E$546,"&gt;"&amp;C333)&gt;0,COUNTIFS(BEMANNINGSPLAN!$A$5:$A$546,B333,BEMANNINGSPLAN!$C$5:$C$546,D333,BEMANNINGSPLAN!$D$5:$D$546,"&lt;"&amp;M333,BEMANNINGSPLAN!$E$5:$E$546,"&gt;="&amp;M333)&gt;0),"Ja","SAKNAS TIDSRADER"))))</f>
        <v/>
      </c>
      <c r="O333" s="137" t="str">
        <f>IF(OR(B333="",K333&lt;&gt;"Ja"),"",COUNTIFS($B$5:B333,B333,$K$5:K333,"Ja"))</f>
        <v/>
      </c>
      <c r="P333" s="137" t="str">
        <f t="shared" si="23"/>
        <v/>
      </c>
    </row>
    <row r="334" spans="1:16" ht="13">
      <c r="A334" s="31" t="str">
        <f>IF('IMPORT PROFIXIO'!A334="","",'IMPORT PROFIXIO'!A334)</f>
        <v/>
      </c>
      <c r="B334" s="32" t="str">
        <f>IF(A334="","",IF(ISNUMBER('IMPORT PROFIXIO'!D334),'IMPORT PROFIXIO'!D334,DATEVALUE('IMPORT PROFIXIO'!D334)))</f>
        <v/>
      </c>
      <c r="C334" s="33" t="str">
        <f>IF(A334="","",IF(ISNUMBER('IMPORT PROFIXIO'!E334),'IMPORT PROFIXIO'!E334,(VALUE(LEFT('IMPORT PROFIXIO'!E334,FIND(":",'IMPORT PROFIXIO'!E334)-1))*60+VALUE(MID('IMPORT PROFIXIO'!E334,FIND(":",'IMPORT PROFIXIO'!E334)+1,2)))/1440))</f>
        <v/>
      </c>
      <c r="D334" s="31" t="str">
        <f>IF(A334="","",'IMPORT PROFIXIO'!F334)</f>
        <v/>
      </c>
      <c r="E334" s="31" t="str">
        <f>IF(A334="","",'IMPORT PROFIXIO'!K334)</f>
        <v/>
      </c>
      <c r="F334" s="34" t="str">
        <f>IF(A334="","",IFERROR(VLOOKUP(E334,KLASSNING!$A$5:$F$74,2,FALSE()),"SAKNAS"))</f>
        <v/>
      </c>
      <c r="G334" s="34" t="str">
        <f>IF(A334="","",IFERROR(VLOOKUP(E334,KLASSNING!$A$5:$F$74,3,FALSE()),"SAKNAS"))</f>
        <v/>
      </c>
      <c r="H334" s="34" t="str">
        <f>IF(A334="","",'IMPORT PROFIXIO'!H334)</f>
        <v/>
      </c>
      <c r="I334" s="34" t="str">
        <f>IF(A334="","",'IMPORT PROFIXIO'!I334)</f>
        <v/>
      </c>
      <c r="J334" s="34" t="str">
        <f t="shared" si="20"/>
        <v/>
      </c>
      <c r="K334" s="34" t="str">
        <f t="shared" si="21"/>
        <v/>
      </c>
      <c r="L334" s="34" t="str">
        <f>IF(A334="","",IFERROR(VLOOKUP(E334,KLASSNING!$A$5:$F$74,5,FALSE()),0))</f>
        <v/>
      </c>
      <c r="M334" s="35" t="str">
        <f t="shared" si="22"/>
        <v/>
      </c>
      <c r="N334" s="34" t="str">
        <f>IF(A334="","",IF(K334&lt;&gt;"Ja","Ej aktuell",IF(L334&lt;=0,"KONTROLLERA MATCHTID",IF(AND(COUNTIFS(BEMANNINGSPLAN!$A$5:$A$546,B334,BEMANNINGSPLAN!$C$5:$C$546,D334,BEMANNINGSPLAN!$D$5:$D$546,"&lt;="&amp;C334,BEMANNINGSPLAN!$E$5:$E$546,"&gt;"&amp;C334)&gt;0,COUNTIFS(BEMANNINGSPLAN!$A$5:$A$546,B334,BEMANNINGSPLAN!$C$5:$C$546,D334,BEMANNINGSPLAN!$D$5:$D$546,"&lt;"&amp;M334,BEMANNINGSPLAN!$E$5:$E$546,"&gt;="&amp;M334)&gt;0),"Ja","SAKNAS TIDSRADER"))))</f>
        <v/>
      </c>
      <c r="O334" s="137" t="str">
        <f>IF(OR(B334="",K334&lt;&gt;"Ja"),"",COUNTIFS($B$5:B334,B334,$K$5:K334,"Ja"))</f>
        <v/>
      </c>
      <c r="P334" s="137" t="str">
        <f t="shared" si="23"/>
        <v/>
      </c>
    </row>
    <row r="335" spans="1:16" ht="13">
      <c r="A335" s="31" t="str">
        <f>IF('IMPORT PROFIXIO'!A335="","",'IMPORT PROFIXIO'!A335)</f>
        <v/>
      </c>
      <c r="B335" s="32" t="str">
        <f>IF(A335="","",IF(ISNUMBER('IMPORT PROFIXIO'!D335),'IMPORT PROFIXIO'!D335,DATEVALUE('IMPORT PROFIXIO'!D335)))</f>
        <v/>
      </c>
      <c r="C335" s="33" t="str">
        <f>IF(A335="","",IF(ISNUMBER('IMPORT PROFIXIO'!E335),'IMPORT PROFIXIO'!E335,(VALUE(LEFT('IMPORT PROFIXIO'!E335,FIND(":",'IMPORT PROFIXIO'!E335)-1))*60+VALUE(MID('IMPORT PROFIXIO'!E335,FIND(":",'IMPORT PROFIXIO'!E335)+1,2)))/1440))</f>
        <v/>
      </c>
      <c r="D335" s="31" t="str">
        <f>IF(A335="","",'IMPORT PROFIXIO'!F335)</f>
        <v/>
      </c>
      <c r="E335" s="31" t="str">
        <f>IF(A335="","",'IMPORT PROFIXIO'!K335)</f>
        <v/>
      </c>
      <c r="F335" s="34" t="str">
        <f>IF(A335="","",IFERROR(VLOOKUP(E335,KLASSNING!$A$5:$F$74,2,FALSE()),"SAKNAS"))</f>
        <v/>
      </c>
      <c r="G335" s="34" t="str">
        <f>IF(A335="","",IFERROR(VLOOKUP(E335,KLASSNING!$A$5:$F$74,3,FALSE()),"SAKNAS"))</f>
        <v/>
      </c>
      <c r="H335" s="34" t="str">
        <f>IF(A335="","",'IMPORT PROFIXIO'!H335)</f>
        <v/>
      </c>
      <c r="I335" s="34" t="str">
        <f>IF(A335="","",'IMPORT PROFIXIO'!I335)</f>
        <v/>
      </c>
      <c r="J335" s="34" t="str">
        <f t="shared" si="20"/>
        <v/>
      </c>
      <c r="K335" s="34" t="str">
        <f t="shared" si="21"/>
        <v/>
      </c>
      <c r="L335" s="34" t="str">
        <f>IF(A335="","",IFERROR(VLOOKUP(E335,KLASSNING!$A$5:$F$74,5,FALSE()),0))</f>
        <v/>
      </c>
      <c r="M335" s="35" t="str">
        <f t="shared" si="22"/>
        <v/>
      </c>
      <c r="N335" s="34" t="str">
        <f>IF(A335="","",IF(K335&lt;&gt;"Ja","Ej aktuell",IF(L335&lt;=0,"KONTROLLERA MATCHTID",IF(AND(COUNTIFS(BEMANNINGSPLAN!$A$5:$A$546,B335,BEMANNINGSPLAN!$C$5:$C$546,D335,BEMANNINGSPLAN!$D$5:$D$546,"&lt;="&amp;C335,BEMANNINGSPLAN!$E$5:$E$546,"&gt;"&amp;C335)&gt;0,COUNTIFS(BEMANNINGSPLAN!$A$5:$A$546,B335,BEMANNINGSPLAN!$C$5:$C$546,D335,BEMANNINGSPLAN!$D$5:$D$546,"&lt;"&amp;M335,BEMANNINGSPLAN!$E$5:$E$546,"&gt;="&amp;M335)&gt;0),"Ja","SAKNAS TIDSRADER"))))</f>
        <v/>
      </c>
      <c r="O335" s="137" t="str">
        <f>IF(OR(B335="",K335&lt;&gt;"Ja"),"",COUNTIFS($B$5:B335,B335,$K$5:K335,"Ja"))</f>
        <v/>
      </c>
      <c r="P335" s="137" t="str">
        <f t="shared" si="23"/>
        <v/>
      </c>
    </row>
    <row r="336" spans="1:16" ht="13">
      <c r="A336" s="31" t="str">
        <f>IF('IMPORT PROFIXIO'!A336="","",'IMPORT PROFIXIO'!A336)</f>
        <v/>
      </c>
      <c r="B336" s="32" t="str">
        <f>IF(A336="","",IF(ISNUMBER('IMPORT PROFIXIO'!D336),'IMPORT PROFIXIO'!D336,DATEVALUE('IMPORT PROFIXIO'!D336)))</f>
        <v/>
      </c>
      <c r="C336" s="33" t="str">
        <f>IF(A336="","",IF(ISNUMBER('IMPORT PROFIXIO'!E336),'IMPORT PROFIXIO'!E336,(VALUE(LEFT('IMPORT PROFIXIO'!E336,FIND(":",'IMPORT PROFIXIO'!E336)-1))*60+VALUE(MID('IMPORT PROFIXIO'!E336,FIND(":",'IMPORT PROFIXIO'!E336)+1,2)))/1440))</f>
        <v/>
      </c>
      <c r="D336" s="31" t="str">
        <f>IF(A336="","",'IMPORT PROFIXIO'!F336)</f>
        <v/>
      </c>
      <c r="E336" s="31" t="str">
        <f>IF(A336="","",'IMPORT PROFIXIO'!K336)</f>
        <v/>
      </c>
      <c r="F336" s="34" t="str">
        <f>IF(A336="","",IFERROR(VLOOKUP(E336,KLASSNING!$A$5:$F$74,2,FALSE()),"SAKNAS"))</f>
        <v/>
      </c>
      <c r="G336" s="34" t="str">
        <f>IF(A336="","",IFERROR(VLOOKUP(E336,KLASSNING!$A$5:$F$74,3,FALSE()),"SAKNAS"))</f>
        <v/>
      </c>
      <c r="H336" s="34" t="str">
        <f>IF(A336="","",'IMPORT PROFIXIO'!H336)</f>
        <v/>
      </c>
      <c r="I336" s="34" t="str">
        <f>IF(A336="","",'IMPORT PROFIXIO'!I336)</f>
        <v/>
      </c>
      <c r="J336" s="34" t="str">
        <f t="shared" si="20"/>
        <v/>
      </c>
      <c r="K336" s="34" t="str">
        <f t="shared" si="21"/>
        <v/>
      </c>
      <c r="L336" s="34" t="str">
        <f>IF(A336="","",IFERROR(VLOOKUP(E336,KLASSNING!$A$5:$F$74,5,FALSE()),0))</f>
        <v/>
      </c>
      <c r="M336" s="35" t="str">
        <f t="shared" si="22"/>
        <v/>
      </c>
      <c r="N336" s="34" t="str">
        <f>IF(A336="","",IF(K336&lt;&gt;"Ja","Ej aktuell",IF(L336&lt;=0,"KONTROLLERA MATCHTID",IF(AND(COUNTIFS(BEMANNINGSPLAN!$A$5:$A$546,B336,BEMANNINGSPLAN!$C$5:$C$546,D336,BEMANNINGSPLAN!$D$5:$D$546,"&lt;="&amp;C336,BEMANNINGSPLAN!$E$5:$E$546,"&gt;"&amp;C336)&gt;0,COUNTIFS(BEMANNINGSPLAN!$A$5:$A$546,B336,BEMANNINGSPLAN!$C$5:$C$546,D336,BEMANNINGSPLAN!$D$5:$D$546,"&lt;"&amp;M336,BEMANNINGSPLAN!$E$5:$E$546,"&gt;="&amp;M336)&gt;0),"Ja","SAKNAS TIDSRADER"))))</f>
        <v/>
      </c>
      <c r="O336" s="137" t="str">
        <f>IF(OR(B336="",K336&lt;&gt;"Ja"),"",COUNTIFS($B$5:B336,B336,$K$5:K336,"Ja"))</f>
        <v/>
      </c>
      <c r="P336" s="137" t="str">
        <f t="shared" si="23"/>
        <v/>
      </c>
    </row>
    <row r="337" spans="1:16" ht="13">
      <c r="A337" s="31" t="str">
        <f>IF('IMPORT PROFIXIO'!A337="","",'IMPORT PROFIXIO'!A337)</f>
        <v/>
      </c>
      <c r="B337" s="32" t="str">
        <f>IF(A337="","",IF(ISNUMBER('IMPORT PROFIXIO'!D337),'IMPORT PROFIXIO'!D337,DATEVALUE('IMPORT PROFIXIO'!D337)))</f>
        <v/>
      </c>
      <c r="C337" s="33" t="str">
        <f>IF(A337="","",IF(ISNUMBER('IMPORT PROFIXIO'!E337),'IMPORT PROFIXIO'!E337,(VALUE(LEFT('IMPORT PROFIXIO'!E337,FIND(":",'IMPORT PROFIXIO'!E337)-1))*60+VALUE(MID('IMPORT PROFIXIO'!E337,FIND(":",'IMPORT PROFIXIO'!E337)+1,2)))/1440))</f>
        <v/>
      </c>
      <c r="D337" s="31" t="str">
        <f>IF(A337="","",'IMPORT PROFIXIO'!F337)</f>
        <v/>
      </c>
      <c r="E337" s="31" t="str">
        <f>IF(A337="","",'IMPORT PROFIXIO'!K337)</f>
        <v/>
      </c>
      <c r="F337" s="34" t="str">
        <f>IF(A337="","",IFERROR(VLOOKUP(E337,KLASSNING!$A$5:$F$74,2,FALSE()),"SAKNAS"))</f>
        <v/>
      </c>
      <c r="G337" s="34" t="str">
        <f>IF(A337="","",IFERROR(VLOOKUP(E337,KLASSNING!$A$5:$F$74,3,FALSE()),"SAKNAS"))</f>
        <v/>
      </c>
      <c r="H337" s="34" t="str">
        <f>IF(A337="","",'IMPORT PROFIXIO'!H337)</f>
        <v/>
      </c>
      <c r="I337" s="34" t="str">
        <f>IF(A337="","",'IMPORT PROFIXIO'!I337)</f>
        <v/>
      </c>
      <c r="J337" s="34" t="str">
        <f t="shared" si="20"/>
        <v/>
      </c>
      <c r="K337" s="34" t="str">
        <f t="shared" si="21"/>
        <v/>
      </c>
      <c r="L337" s="34" t="str">
        <f>IF(A337="","",IFERROR(VLOOKUP(E337,KLASSNING!$A$5:$F$74,5,FALSE()),0))</f>
        <v/>
      </c>
      <c r="M337" s="35" t="str">
        <f t="shared" si="22"/>
        <v/>
      </c>
      <c r="N337" s="34" t="str">
        <f>IF(A337="","",IF(K337&lt;&gt;"Ja","Ej aktuell",IF(L337&lt;=0,"KONTROLLERA MATCHTID",IF(AND(COUNTIFS(BEMANNINGSPLAN!$A$5:$A$546,B337,BEMANNINGSPLAN!$C$5:$C$546,D337,BEMANNINGSPLAN!$D$5:$D$546,"&lt;="&amp;C337,BEMANNINGSPLAN!$E$5:$E$546,"&gt;"&amp;C337)&gt;0,COUNTIFS(BEMANNINGSPLAN!$A$5:$A$546,B337,BEMANNINGSPLAN!$C$5:$C$546,D337,BEMANNINGSPLAN!$D$5:$D$546,"&lt;"&amp;M337,BEMANNINGSPLAN!$E$5:$E$546,"&gt;="&amp;M337)&gt;0),"Ja","SAKNAS TIDSRADER"))))</f>
        <v/>
      </c>
      <c r="O337" s="137" t="str">
        <f>IF(OR(B337="",K337&lt;&gt;"Ja"),"",COUNTIFS($B$5:B337,B337,$K$5:K337,"Ja"))</f>
        <v/>
      </c>
      <c r="P337" s="137" t="str">
        <f t="shared" si="23"/>
        <v/>
      </c>
    </row>
    <row r="338" spans="1:16" ht="13">
      <c r="A338" s="31" t="str">
        <f>IF('IMPORT PROFIXIO'!A338="","",'IMPORT PROFIXIO'!A338)</f>
        <v/>
      </c>
      <c r="B338" s="32" t="str">
        <f>IF(A338="","",IF(ISNUMBER('IMPORT PROFIXIO'!D338),'IMPORT PROFIXIO'!D338,DATEVALUE('IMPORT PROFIXIO'!D338)))</f>
        <v/>
      </c>
      <c r="C338" s="33" t="str">
        <f>IF(A338="","",IF(ISNUMBER('IMPORT PROFIXIO'!E338),'IMPORT PROFIXIO'!E338,(VALUE(LEFT('IMPORT PROFIXIO'!E338,FIND(":",'IMPORT PROFIXIO'!E338)-1))*60+VALUE(MID('IMPORT PROFIXIO'!E338,FIND(":",'IMPORT PROFIXIO'!E338)+1,2)))/1440))</f>
        <v/>
      </c>
      <c r="D338" s="31" t="str">
        <f>IF(A338="","",'IMPORT PROFIXIO'!F338)</f>
        <v/>
      </c>
      <c r="E338" s="31" t="str">
        <f>IF(A338="","",'IMPORT PROFIXIO'!K338)</f>
        <v/>
      </c>
      <c r="F338" s="34" t="str">
        <f>IF(A338="","",IFERROR(VLOOKUP(E338,KLASSNING!$A$5:$F$74,2,FALSE()),"SAKNAS"))</f>
        <v/>
      </c>
      <c r="G338" s="34" t="str">
        <f>IF(A338="","",IFERROR(VLOOKUP(E338,KLASSNING!$A$5:$F$74,3,FALSE()),"SAKNAS"))</f>
        <v/>
      </c>
      <c r="H338" s="34" t="str">
        <f>IF(A338="","",'IMPORT PROFIXIO'!H338)</f>
        <v/>
      </c>
      <c r="I338" s="34" t="str">
        <f>IF(A338="","",'IMPORT PROFIXIO'!I338)</f>
        <v/>
      </c>
      <c r="J338" s="34" t="str">
        <f t="shared" si="20"/>
        <v/>
      </c>
      <c r="K338" s="34" t="str">
        <f t="shared" si="21"/>
        <v/>
      </c>
      <c r="L338" s="34" t="str">
        <f>IF(A338="","",IFERROR(VLOOKUP(E338,KLASSNING!$A$5:$F$74,5,FALSE()),0))</f>
        <v/>
      </c>
      <c r="M338" s="35" t="str">
        <f t="shared" si="22"/>
        <v/>
      </c>
      <c r="N338" s="34" t="str">
        <f>IF(A338="","",IF(K338&lt;&gt;"Ja","Ej aktuell",IF(L338&lt;=0,"KONTROLLERA MATCHTID",IF(AND(COUNTIFS(BEMANNINGSPLAN!$A$5:$A$546,B338,BEMANNINGSPLAN!$C$5:$C$546,D338,BEMANNINGSPLAN!$D$5:$D$546,"&lt;="&amp;C338,BEMANNINGSPLAN!$E$5:$E$546,"&gt;"&amp;C338)&gt;0,COUNTIFS(BEMANNINGSPLAN!$A$5:$A$546,B338,BEMANNINGSPLAN!$C$5:$C$546,D338,BEMANNINGSPLAN!$D$5:$D$546,"&lt;"&amp;M338,BEMANNINGSPLAN!$E$5:$E$546,"&gt;="&amp;M338)&gt;0),"Ja","SAKNAS TIDSRADER"))))</f>
        <v/>
      </c>
      <c r="O338" s="137" t="str">
        <f>IF(OR(B338="",K338&lt;&gt;"Ja"),"",COUNTIFS($B$5:B338,B338,$K$5:K338,"Ja"))</f>
        <v/>
      </c>
      <c r="P338" s="137" t="str">
        <f t="shared" si="23"/>
        <v/>
      </c>
    </row>
    <row r="339" spans="1:16" ht="13">
      <c r="A339" s="31" t="str">
        <f>IF('IMPORT PROFIXIO'!A339="","",'IMPORT PROFIXIO'!A339)</f>
        <v/>
      </c>
      <c r="B339" s="32" t="str">
        <f>IF(A339="","",IF(ISNUMBER('IMPORT PROFIXIO'!D339),'IMPORT PROFIXIO'!D339,DATEVALUE('IMPORT PROFIXIO'!D339)))</f>
        <v/>
      </c>
      <c r="C339" s="33" t="str">
        <f>IF(A339="","",IF(ISNUMBER('IMPORT PROFIXIO'!E339),'IMPORT PROFIXIO'!E339,(VALUE(LEFT('IMPORT PROFIXIO'!E339,FIND(":",'IMPORT PROFIXIO'!E339)-1))*60+VALUE(MID('IMPORT PROFIXIO'!E339,FIND(":",'IMPORT PROFIXIO'!E339)+1,2)))/1440))</f>
        <v/>
      </c>
      <c r="D339" s="31" t="str">
        <f>IF(A339="","",'IMPORT PROFIXIO'!F339)</f>
        <v/>
      </c>
      <c r="E339" s="31" t="str">
        <f>IF(A339="","",'IMPORT PROFIXIO'!K339)</f>
        <v/>
      </c>
      <c r="F339" s="34" t="str">
        <f>IF(A339="","",IFERROR(VLOOKUP(E339,KLASSNING!$A$5:$F$74,2,FALSE()),"SAKNAS"))</f>
        <v/>
      </c>
      <c r="G339" s="34" t="str">
        <f>IF(A339="","",IFERROR(VLOOKUP(E339,KLASSNING!$A$5:$F$74,3,FALSE()),"SAKNAS"))</f>
        <v/>
      </c>
      <c r="H339" s="34" t="str">
        <f>IF(A339="","",'IMPORT PROFIXIO'!H339)</f>
        <v/>
      </c>
      <c r="I339" s="34" t="str">
        <f>IF(A339="","",'IMPORT PROFIXIO'!I339)</f>
        <v/>
      </c>
      <c r="J339" s="34" t="str">
        <f t="shared" si="20"/>
        <v/>
      </c>
      <c r="K339" s="34" t="str">
        <f t="shared" si="21"/>
        <v/>
      </c>
      <c r="L339" s="34" t="str">
        <f>IF(A339="","",IFERROR(VLOOKUP(E339,KLASSNING!$A$5:$F$74,5,FALSE()),0))</f>
        <v/>
      </c>
      <c r="M339" s="35" t="str">
        <f t="shared" si="22"/>
        <v/>
      </c>
      <c r="N339" s="34" t="str">
        <f>IF(A339="","",IF(K339&lt;&gt;"Ja","Ej aktuell",IF(L339&lt;=0,"KONTROLLERA MATCHTID",IF(AND(COUNTIFS(BEMANNINGSPLAN!$A$5:$A$546,B339,BEMANNINGSPLAN!$C$5:$C$546,D339,BEMANNINGSPLAN!$D$5:$D$546,"&lt;="&amp;C339,BEMANNINGSPLAN!$E$5:$E$546,"&gt;"&amp;C339)&gt;0,COUNTIFS(BEMANNINGSPLAN!$A$5:$A$546,B339,BEMANNINGSPLAN!$C$5:$C$546,D339,BEMANNINGSPLAN!$D$5:$D$546,"&lt;"&amp;M339,BEMANNINGSPLAN!$E$5:$E$546,"&gt;="&amp;M339)&gt;0),"Ja","SAKNAS TIDSRADER"))))</f>
        <v/>
      </c>
      <c r="O339" s="137" t="str">
        <f>IF(OR(B339="",K339&lt;&gt;"Ja"),"",COUNTIFS($B$5:B339,B339,$K$5:K339,"Ja"))</f>
        <v/>
      </c>
      <c r="P339" s="137" t="str">
        <f t="shared" si="23"/>
        <v/>
      </c>
    </row>
    <row r="340" spans="1:16" ht="13">
      <c r="A340" s="31" t="str">
        <f>IF('IMPORT PROFIXIO'!A340="","",'IMPORT PROFIXIO'!A340)</f>
        <v/>
      </c>
      <c r="B340" s="32" t="str">
        <f>IF(A340="","",IF(ISNUMBER('IMPORT PROFIXIO'!D340),'IMPORT PROFIXIO'!D340,DATEVALUE('IMPORT PROFIXIO'!D340)))</f>
        <v/>
      </c>
      <c r="C340" s="33" t="str">
        <f>IF(A340="","",IF(ISNUMBER('IMPORT PROFIXIO'!E340),'IMPORT PROFIXIO'!E340,(VALUE(LEFT('IMPORT PROFIXIO'!E340,FIND(":",'IMPORT PROFIXIO'!E340)-1))*60+VALUE(MID('IMPORT PROFIXIO'!E340,FIND(":",'IMPORT PROFIXIO'!E340)+1,2)))/1440))</f>
        <v/>
      </c>
      <c r="D340" s="31" t="str">
        <f>IF(A340="","",'IMPORT PROFIXIO'!F340)</f>
        <v/>
      </c>
      <c r="E340" s="31" t="str">
        <f>IF(A340="","",'IMPORT PROFIXIO'!K340)</f>
        <v/>
      </c>
      <c r="F340" s="34" t="str">
        <f>IF(A340="","",IFERROR(VLOOKUP(E340,KLASSNING!$A$5:$F$74,2,FALSE()),"SAKNAS"))</f>
        <v/>
      </c>
      <c r="G340" s="34" t="str">
        <f>IF(A340="","",IFERROR(VLOOKUP(E340,KLASSNING!$A$5:$F$74,3,FALSE()),"SAKNAS"))</f>
        <v/>
      </c>
      <c r="H340" s="34" t="str">
        <f>IF(A340="","",'IMPORT PROFIXIO'!H340)</f>
        <v/>
      </c>
      <c r="I340" s="34" t="str">
        <f>IF(A340="","",'IMPORT PROFIXIO'!I340)</f>
        <v/>
      </c>
      <c r="J340" s="34" t="str">
        <f t="shared" si="20"/>
        <v/>
      </c>
      <c r="K340" s="34" t="str">
        <f t="shared" si="21"/>
        <v/>
      </c>
      <c r="L340" s="34" t="str">
        <f>IF(A340="","",IFERROR(VLOOKUP(E340,KLASSNING!$A$5:$F$74,5,FALSE()),0))</f>
        <v/>
      </c>
      <c r="M340" s="35" t="str">
        <f t="shared" si="22"/>
        <v/>
      </c>
      <c r="N340" s="34" t="str">
        <f>IF(A340="","",IF(K340&lt;&gt;"Ja","Ej aktuell",IF(L340&lt;=0,"KONTROLLERA MATCHTID",IF(AND(COUNTIFS(BEMANNINGSPLAN!$A$5:$A$546,B340,BEMANNINGSPLAN!$C$5:$C$546,D340,BEMANNINGSPLAN!$D$5:$D$546,"&lt;="&amp;C340,BEMANNINGSPLAN!$E$5:$E$546,"&gt;"&amp;C340)&gt;0,COUNTIFS(BEMANNINGSPLAN!$A$5:$A$546,B340,BEMANNINGSPLAN!$C$5:$C$546,D340,BEMANNINGSPLAN!$D$5:$D$546,"&lt;"&amp;M340,BEMANNINGSPLAN!$E$5:$E$546,"&gt;="&amp;M340)&gt;0),"Ja","SAKNAS TIDSRADER"))))</f>
        <v/>
      </c>
      <c r="O340" s="137" t="str">
        <f>IF(OR(B340="",K340&lt;&gt;"Ja"),"",COUNTIFS($B$5:B340,B340,$K$5:K340,"Ja"))</f>
        <v/>
      </c>
      <c r="P340" s="137" t="str">
        <f t="shared" si="23"/>
        <v/>
      </c>
    </row>
    <row r="341" spans="1:16" ht="13">
      <c r="A341" s="31" t="str">
        <f>IF('IMPORT PROFIXIO'!A341="","",'IMPORT PROFIXIO'!A341)</f>
        <v/>
      </c>
      <c r="B341" s="32" t="str">
        <f>IF(A341="","",IF(ISNUMBER('IMPORT PROFIXIO'!D341),'IMPORT PROFIXIO'!D341,DATEVALUE('IMPORT PROFIXIO'!D341)))</f>
        <v/>
      </c>
      <c r="C341" s="33" t="str">
        <f>IF(A341="","",IF(ISNUMBER('IMPORT PROFIXIO'!E341),'IMPORT PROFIXIO'!E341,(VALUE(LEFT('IMPORT PROFIXIO'!E341,FIND(":",'IMPORT PROFIXIO'!E341)-1))*60+VALUE(MID('IMPORT PROFIXIO'!E341,FIND(":",'IMPORT PROFIXIO'!E341)+1,2)))/1440))</f>
        <v/>
      </c>
      <c r="D341" s="31" t="str">
        <f>IF(A341="","",'IMPORT PROFIXIO'!F341)</f>
        <v/>
      </c>
      <c r="E341" s="31" t="str">
        <f>IF(A341="","",'IMPORT PROFIXIO'!K341)</f>
        <v/>
      </c>
      <c r="F341" s="34" t="str">
        <f>IF(A341="","",IFERROR(VLOOKUP(E341,KLASSNING!$A$5:$F$74,2,FALSE()),"SAKNAS"))</f>
        <v/>
      </c>
      <c r="G341" s="34" t="str">
        <f>IF(A341="","",IFERROR(VLOOKUP(E341,KLASSNING!$A$5:$F$74,3,FALSE()),"SAKNAS"))</f>
        <v/>
      </c>
      <c r="H341" s="34" t="str">
        <f>IF(A341="","",'IMPORT PROFIXIO'!H341)</f>
        <v/>
      </c>
      <c r="I341" s="34" t="str">
        <f>IF(A341="","",'IMPORT PROFIXIO'!I341)</f>
        <v/>
      </c>
      <c r="J341" s="34" t="str">
        <f t="shared" si="20"/>
        <v/>
      </c>
      <c r="K341" s="34" t="str">
        <f t="shared" si="21"/>
        <v/>
      </c>
      <c r="L341" s="34" t="str">
        <f>IF(A341="","",IFERROR(VLOOKUP(E341,KLASSNING!$A$5:$F$74,5,FALSE()),0))</f>
        <v/>
      </c>
      <c r="M341" s="35" t="str">
        <f t="shared" si="22"/>
        <v/>
      </c>
      <c r="N341" s="34" t="str">
        <f>IF(A341="","",IF(K341&lt;&gt;"Ja","Ej aktuell",IF(L341&lt;=0,"KONTROLLERA MATCHTID",IF(AND(COUNTIFS(BEMANNINGSPLAN!$A$5:$A$546,B341,BEMANNINGSPLAN!$C$5:$C$546,D341,BEMANNINGSPLAN!$D$5:$D$546,"&lt;="&amp;C341,BEMANNINGSPLAN!$E$5:$E$546,"&gt;"&amp;C341)&gt;0,COUNTIFS(BEMANNINGSPLAN!$A$5:$A$546,B341,BEMANNINGSPLAN!$C$5:$C$546,D341,BEMANNINGSPLAN!$D$5:$D$546,"&lt;"&amp;M341,BEMANNINGSPLAN!$E$5:$E$546,"&gt;="&amp;M341)&gt;0),"Ja","SAKNAS TIDSRADER"))))</f>
        <v/>
      </c>
      <c r="O341" s="137" t="str">
        <f>IF(OR(B341="",K341&lt;&gt;"Ja"),"",COUNTIFS($B$5:B341,B341,$K$5:K341,"Ja"))</f>
        <v/>
      </c>
      <c r="P341" s="137" t="str">
        <f t="shared" si="23"/>
        <v/>
      </c>
    </row>
    <row r="342" spans="1:16" ht="13">
      <c r="A342" s="31" t="str">
        <f>IF('IMPORT PROFIXIO'!A342="","",'IMPORT PROFIXIO'!A342)</f>
        <v/>
      </c>
      <c r="B342" s="32" t="str">
        <f>IF(A342="","",IF(ISNUMBER('IMPORT PROFIXIO'!D342),'IMPORT PROFIXIO'!D342,DATEVALUE('IMPORT PROFIXIO'!D342)))</f>
        <v/>
      </c>
      <c r="C342" s="33" t="str">
        <f>IF(A342="","",IF(ISNUMBER('IMPORT PROFIXIO'!E342),'IMPORT PROFIXIO'!E342,(VALUE(LEFT('IMPORT PROFIXIO'!E342,FIND(":",'IMPORT PROFIXIO'!E342)-1))*60+VALUE(MID('IMPORT PROFIXIO'!E342,FIND(":",'IMPORT PROFIXIO'!E342)+1,2)))/1440))</f>
        <v/>
      </c>
      <c r="D342" s="31" t="str">
        <f>IF(A342="","",'IMPORT PROFIXIO'!F342)</f>
        <v/>
      </c>
      <c r="E342" s="31" t="str">
        <f>IF(A342="","",'IMPORT PROFIXIO'!K342)</f>
        <v/>
      </c>
      <c r="F342" s="34" t="str">
        <f>IF(A342="","",IFERROR(VLOOKUP(E342,KLASSNING!$A$5:$F$74,2,FALSE()),"SAKNAS"))</f>
        <v/>
      </c>
      <c r="G342" s="34" t="str">
        <f>IF(A342="","",IFERROR(VLOOKUP(E342,KLASSNING!$A$5:$F$74,3,FALSE()),"SAKNAS"))</f>
        <v/>
      </c>
      <c r="H342" s="34" t="str">
        <f>IF(A342="","",'IMPORT PROFIXIO'!H342)</f>
        <v/>
      </c>
      <c r="I342" s="34" t="str">
        <f>IF(A342="","",'IMPORT PROFIXIO'!I342)</f>
        <v/>
      </c>
      <c r="J342" s="34" t="str">
        <f t="shared" si="20"/>
        <v/>
      </c>
      <c r="K342" s="34" t="str">
        <f t="shared" si="21"/>
        <v/>
      </c>
      <c r="L342" s="34" t="str">
        <f>IF(A342="","",IFERROR(VLOOKUP(E342,KLASSNING!$A$5:$F$74,5,FALSE()),0))</f>
        <v/>
      </c>
      <c r="M342" s="35" t="str">
        <f t="shared" si="22"/>
        <v/>
      </c>
      <c r="N342" s="34" t="str">
        <f>IF(A342="","",IF(K342&lt;&gt;"Ja","Ej aktuell",IF(L342&lt;=0,"KONTROLLERA MATCHTID",IF(AND(COUNTIFS(BEMANNINGSPLAN!$A$5:$A$546,B342,BEMANNINGSPLAN!$C$5:$C$546,D342,BEMANNINGSPLAN!$D$5:$D$546,"&lt;="&amp;C342,BEMANNINGSPLAN!$E$5:$E$546,"&gt;"&amp;C342)&gt;0,COUNTIFS(BEMANNINGSPLAN!$A$5:$A$546,B342,BEMANNINGSPLAN!$C$5:$C$546,D342,BEMANNINGSPLAN!$D$5:$D$546,"&lt;"&amp;M342,BEMANNINGSPLAN!$E$5:$E$546,"&gt;="&amp;M342)&gt;0),"Ja","SAKNAS TIDSRADER"))))</f>
        <v/>
      </c>
      <c r="O342" s="137" t="str">
        <f>IF(OR(B342="",K342&lt;&gt;"Ja"),"",COUNTIFS($B$5:B342,B342,$K$5:K342,"Ja"))</f>
        <v/>
      </c>
      <c r="P342" s="137" t="str">
        <f t="shared" si="23"/>
        <v/>
      </c>
    </row>
    <row r="343" spans="1:16" ht="13">
      <c r="A343" s="31" t="str">
        <f>IF('IMPORT PROFIXIO'!A343="","",'IMPORT PROFIXIO'!A343)</f>
        <v/>
      </c>
      <c r="B343" s="32" t="str">
        <f>IF(A343="","",IF(ISNUMBER('IMPORT PROFIXIO'!D343),'IMPORT PROFIXIO'!D343,DATEVALUE('IMPORT PROFIXIO'!D343)))</f>
        <v/>
      </c>
      <c r="C343" s="33" t="str">
        <f>IF(A343="","",IF(ISNUMBER('IMPORT PROFIXIO'!E343),'IMPORT PROFIXIO'!E343,(VALUE(LEFT('IMPORT PROFIXIO'!E343,FIND(":",'IMPORT PROFIXIO'!E343)-1))*60+VALUE(MID('IMPORT PROFIXIO'!E343,FIND(":",'IMPORT PROFIXIO'!E343)+1,2)))/1440))</f>
        <v/>
      </c>
      <c r="D343" s="31" t="str">
        <f>IF(A343="","",'IMPORT PROFIXIO'!F343)</f>
        <v/>
      </c>
      <c r="E343" s="31" t="str">
        <f>IF(A343="","",'IMPORT PROFIXIO'!K343)</f>
        <v/>
      </c>
      <c r="F343" s="34" t="str">
        <f>IF(A343="","",IFERROR(VLOOKUP(E343,KLASSNING!$A$5:$F$74,2,FALSE()),"SAKNAS"))</f>
        <v/>
      </c>
      <c r="G343" s="34" t="str">
        <f>IF(A343="","",IFERROR(VLOOKUP(E343,KLASSNING!$A$5:$F$74,3,FALSE()),"SAKNAS"))</f>
        <v/>
      </c>
      <c r="H343" s="34" t="str">
        <f>IF(A343="","",'IMPORT PROFIXIO'!H343)</f>
        <v/>
      </c>
      <c r="I343" s="34" t="str">
        <f>IF(A343="","",'IMPORT PROFIXIO'!I343)</f>
        <v/>
      </c>
      <c r="J343" s="34" t="str">
        <f t="shared" si="20"/>
        <v/>
      </c>
      <c r="K343" s="34" t="str">
        <f t="shared" si="21"/>
        <v/>
      </c>
      <c r="L343" s="34" t="str">
        <f>IF(A343="","",IFERROR(VLOOKUP(E343,KLASSNING!$A$5:$F$74,5,FALSE()),0))</f>
        <v/>
      </c>
      <c r="M343" s="35" t="str">
        <f t="shared" si="22"/>
        <v/>
      </c>
      <c r="N343" s="34" t="str">
        <f>IF(A343="","",IF(K343&lt;&gt;"Ja","Ej aktuell",IF(L343&lt;=0,"KONTROLLERA MATCHTID",IF(AND(COUNTIFS(BEMANNINGSPLAN!$A$5:$A$546,B343,BEMANNINGSPLAN!$C$5:$C$546,D343,BEMANNINGSPLAN!$D$5:$D$546,"&lt;="&amp;C343,BEMANNINGSPLAN!$E$5:$E$546,"&gt;"&amp;C343)&gt;0,COUNTIFS(BEMANNINGSPLAN!$A$5:$A$546,B343,BEMANNINGSPLAN!$C$5:$C$546,D343,BEMANNINGSPLAN!$D$5:$D$546,"&lt;"&amp;M343,BEMANNINGSPLAN!$E$5:$E$546,"&gt;="&amp;M343)&gt;0),"Ja","SAKNAS TIDSRADER"))))</f>
        <v/>
      </c>
      <c r="O343" s="137" t="str">
        <f>IF(OR(B343="",K343&lt;&gt;"Ja"),"",COUNTIFS($B$5:B343,B343,$K$5:K343,"Ja"))</f>
        <v/>
      </c>
      <c r="P343" s="137" t="str">
        <f t="shared" si="23"/>
        <v/>
      </c>
    </row>
    <row r="344" spans="1:16" ht="13">
      <c r="A344" s="31" t="str">
        <f>IF('IMPORT PROFIXIO'!A344="","",'IMPORT PROFIXIO'!A344)</f>
        <v/>
      </c>
      <c r="B344" s="32" t="str">
        <f>IF(A344="","",IF(ISNUMBER('IMPORT PROFIXIO'!D344),'IMPORT PROFIXIO'!D344,DATEVALUE('IMPORT PROFIXIO'!D344)))</f>
        <v/>
      </c>
      <c r="C344" s="33" t="str">
        <f>IF(A344="","",IF(ISNUMBER('IMPORT PROFIXIO'!E344),'IMPORT PROFIXIO'!E344,(VALUE(LEFT('IMPORT PROFIXIO'!E344,FIND(":",'IMPORT PROFIXIO'!E344)-1))*60+VALUE(MID('IMPORT PROFIXIO'!E344,FIND(":",'IMPORT PROFIXIO'!E344)+1,2)))/1440))</f>
        <v/>
      </c>
      <c r="D344" s="31" t="str">
        <f>IF(A344="","",'IMPORT PROFIXIO'!F344)</f>
        <v/>
      </c>
      <c r="E344" s="31" t="str">
        <f>IF(A344="","",'IMPORT PROFIXIO'!K344)</f>
        <v/>
      </c>
      <c r="F344" s="34" t="str">
        <f>IF(A344="","",IFERROR(VLOOKUP(E344,KLASSNING!$A$5:$F$74,2,FALSE()),"SAKNAS"))</f>
        <v/>
      </c>
      <c r="G344" s="34" t="str">
        <f>IF(A344="","",IFERROR(VLOOKUP(E344,KLASSNING!$A$5:$F$74,3,FALSE()),"SAKNAS"))</f>
        <v/>
      </c>
      <c r="H344" s="34" t="str">
        <f>IF(A344="","",'IMPORT PROFIXIO'!H344)</f>
        <v/>
      </c>
      <c r="I344" s="34" t="str">
        <f>IF(A344="","",'IMPORT PROFIXIO'!I344)</f>
        <v/>
      </c>
      <c r="J344" s="34" t="str">
        <f t="shared" si="20"/>
        <v/>
      </c>
      <c r="K344" s="34" t="str">
        <f t="shared" si="21"/>
        <v/>
      </c>
      <c r="L344" s="34" t="str">
        <f>IF(A344="","",IFERROR(VLOOKUP(E344,KLASSNING!$A$5:$F$74,5,FALSE()),0))</f>
        <v/>
      </c>
      <c r="M344" s="35" t="str">
        <f t="shared" si="22"/>
        <v/>
      </c>
      <c r="N344" s="34" t="str">
        <f>IF(A344="","",IF(K344&lt;&gt;"Ja","Ej aktuell",IF(L344&lt;=0,"KONTROLLERA MATCHTID",IF(AND(COUNTIFS(BEMANNINGSPLAN!$A$5:$A$546,B344,BEMANNINGSPLAN!$C$5:$C$546,D344,BEMANNINGSPLAN!$D$5:$D$546,"&lt;="&amp;C344,BEMANNINGSPLAN!$E$5:$E$546,"&gt;"&amp;C344)&gt;0,COUNTIFS(BEMANNINGSPLAN!$A$5:$A$546,B344,BEMANNINGSPLAN!$C$5:$C$546,D344,BEMANNINGSPLAN!$D$5:$D$546,"&lt;"&amp;M344,BEMANNINGSPLAN!$E$5:$E$546,"&gt;="&amp;M344)&gt;0),"Ja","SAKNAS TIDSRADER"))))</f>
        <v/>
      </c>
      <c r="O344" s="137" t="str">
        <f>IF(OR(B344="",K344&lt;&gt;"Ja"),"",COUNTIFS($B$5:B344,B344,$K$5:K344,"Ja"))</f>
        <v/>
      </c>
      <c r="P344" s="137" t="str">
        <f t="shared" si="23"/>
        <v/>
      </c>
    </row>
    <row r="345" spans="1:16" ht="13">
      <c r="A345" s="31" t="str">
        <f>IF('IMPORT PROFIXIO'!A345="","",'IMPORT PROFIXIO'!A345)</f>
        <v/>
      </c>
      <c r="B345" s="32" t="str">
        <f>IF(A345="","",IF(ISNUMBER('IMPORT PROFIXIO'!D345),'IMPORT PROFIXIO'!D345,DATEVALUE('IMPORT PROFIXIO'!D345)))</f>
        <v/>
      </c>
      <c r="C345" s="33" t="str">
        <f>IF(A345="","",IF(ISNUMBER('IMPORT PROFIXIO'!E345),'IMPORT PROFIXIO'!E345,(VALUE(LEFT('IMPORT PROFIXIO'!E345,FIND(":",'IMPORT PROFIXIO'!E345)-1))*60+VALUE(MID('IMPORT PROFIXIO'!E345,FIND(":",'IMPORT PROFIXIO'!E345)+1,2)))/1440))</f>
        <v/>
      </c>
      <c r="D345" s="31" t="str">
        <f>IF(A345="","",'IMPORT PROFIXIO'!F345)</f>
        <v/>
      </c>
      <c r="E345" s="31" t="str">
        <f>IF(A345="","",'IMPORT PROFIXIO'!K345)</f>
        <v/>
      </c>
      <c r="F345" s="34" t="str">
        <f>IF(A345="","",IFERROR(VLOOKUP(E345,KLASSNING!$A$5:$F$74,2,FALSE()),"SAKNAS"))</f>
        <v/>
      </c>
      <c r="G345" s="34" t="str">
        <f>IF(A345="","",IFERROR(VLOOKUP(E345,KLASSNING!$A$5:$F$74,3,FALSE()),"SAKNAS"))</f>
        <v/>
      </c>
      <c r="H345" s="34" t="str">
        <f>IF(A345="","",'IMPORT PROFIXIO'!H345)</f>
        <v/>
      </c>
      <c r="I345" s="34" t="str">
        <f>IF(A345="","",'IMPORT PROFIXIO'!I345)</f>
        <v/>
      </c>
      <c r="J345" s="34" t="str">
        <f t="shared" si="20"/>
        <v/>
      </c>
      <c r="K345" s="34" t="str">
        <f t="shared" si="21"/>
        <v/>
      </c>
      <c r="L345" s="34" t="str">
        <f>IF(A345="","",IFERROR(VLOOKUP(E345,KLASSNING!$A$5:$F$74,5,FALSE()),0))</f>
        <v/>
      </c>
      <c r="M345" s="35" t="str">
        <f t="shared" si="22"/>
        <v/>
      </c>
      <c r="N345" s="34" t="str">
        <f>IF(A345="","",IF(K345&lt;&gt;"Ja","Ej aktuell",IF(L345&lt;=0,"KONTROLLERA MATCHTID",IF(AND(COUNTIFS(BEMANNINGSPLAN!$A$5:$A$546,B345,BEMANNINGSPLAN!$C$5:$C$546,D345,BEMANNINGSPLAN!$D$5:$D$546,"&lt;="&amp;C345,BEMANNINGSPLAN!$E$5:$E$546,"&gt;"&amp;C345)&gt;0,COUNTIFS(BEMANNINGSPLAN!$A$5:$A$546,B345,BEMANNINGSPLAN!$C$5:$C$546,D345,BEMANNINGSPLAN!$D$5:$D$546,"&lt;"&amp;M345,BEMANNINGSPLAN!$E$5:$E$546,"&gt;="&amp;M345)&gt;0),"Ja","SAKNAS TIDSRADER"))))</f>
        <v/>
      </c>
      <c r="O345" s="137" t="str">
        <f>IF(OR(B345="",K345&lt;&gt;"Ja"),"",COUNTIFS($B$5:B345,B345,$K$5:K345,"Ja"))</f>
        <v/>
      </c>
      <c r="P345" s="137" t="str">
        <f t="shared" si="23"/>
        <v/>
      </c>
    </row>
    <row r="346" spans="1:16" ht="13">
      <c r="A346" s="31" t="str">
        <f>IF('IMPORT PROFIXIO'!A346="","",'IMPORT PROFIXIO'!A346)</f>
        <v/>
      </c>
      <c r="B346" s="32" t="str">
        <f>IF(A346="","",IF(ISNUMBER('IMPORT PROFIXIO'!D346),'IMPORT PROFIXIO'!D346,DATEVALUE('IMPORT PROFIXIO'!D346)))</f>
        <v/>
      </c>
      <c r="C346" s="33" t="str">
        <f>IF(A346="","",IF(ISNUMBER('IMPORT PROFIXIO'!E346),'IMPORT PROFIXIO'!E346,(VALUE(LEFT('IMPORT PROFIXIO'!E346,FIND(":",'IMPORT PROFIXIO'!E346)-1))*60+VALUE(MID('IMPORT PROFIXIO'!E346,FIND(":",'IMPORT PROFIXIO'!E346)+1,2)))/1440))</f>
        <v/>
      </c>
      <c r="D346" s="31" t="str">
        <f>IF(A346="","",'IMPORT PROFIXIO'!F346)</f>
        <v/>
      </c>
      <c r="E346" s="31" t="str">
        <f>IF(A346="","",'IMPORT PROFIXIO'!K346)</f>
        <v/>
      </c>
      <c r="F346" s="34" t="str">
        <f>IF(A346="","",IFERROR(VLOOKUP(E346,KLASSNING!$A$5:$F$74,2,FALSE()),"SAKNAS"))</f>
        <v/>
      </c>
      <c r="G346" s="34" t="str">
        <f>IF(A346="","",IFERROR(VLOOKUP(E346,KLASSNING!$A$5:$F$74,3,FALSE()),"SAKNAS"))</f>
        <v/>
      </c>
      <c r="H346" s="34" t="str">
        <f>IF(A346="","",'IMPORT PROFIXIO'!H346)</f>
        <v/>
      </c>
      <c r="I346" s="34" t="str">
        <f>IF(A346="","",'IMPORT PROFIXIO'!I346)</f>
        <v/>
      </c>
      <c r="J346" s="34" t="str">
        <f t="shared" si="20"/>
        <v/>
      </c>
      <c r="K346" s="34" t="str">
        <f t="shared" si="21"/>
        <v/>
      </c>
      <c r="L346" s="34" t="str">
        <f>IF(A346="","",IFERROR(VLOOKUP(E346,KLASSNING!$A$5:$F$74,5,FALSE()),0))</f>
        <v/>
      </c>
      <c r="M346" s="35" t="str">
        <f t="shared" si="22"/>
        <v/>
      </c>
      <c r="N346" s="34" t="str">
        <f>IF(A346="","",IF(K346&lt;&gt;"Ja","Ej aktuell",IF(L346&lt;=0,"KONTROLLERA MATCHTID",IF(AND(COUNTIFS(BEMANNINGSPLAN!$A$5:$A$546,B346,BEMANNINGSPLAN!$C$5:$C$546,D346,BEMANNINGSPLAN!$D$5:$D$546,"&lt;="&amp;C346,BEMANNINGSPLAN!$E$5:$E$546,"&gt;"&amp;C346)&gt;0,COUNTIFS(BEMANNINGSPLAN!$A$5:$A$546,B346,BEMANNINGSPLAN!$C$5:$C$546,D346,BEMANNINGSPLAN!$D$5:$D$546,"&lt;"&amp;M346,BEMANNINGSPLAN!$E$5:$E$546,"&gt;="&amp;M346)&gt;0),"Ja","SAKNAS TIDSRADER"))))</f>
        <v/>
      </c>
      <c r="O346" s="137" t="str">
        <f>IF(OR(B346="",K346&lt;&gt;"Ja"),"",COUNTIFS($B$5:B346,B346,$K$5:K346,"Ja"))</f>
        <v/>
      </c>
      <c r="P346" s="137" t="str">
        <f t="shared" si="23"/>
        <v/>
      </c>
    </row>
    <row r="347" spans="1:16" ht="13">
      <c r="A347" s="31" t="str">
        <f>IF('IMPORT PROFIXIO'!A347="","",'IMPORT PROFIXIO'!A347)</f>
        <v/>
      </c>
      <c r="B347" s="32" t="str">
        <f>IF(A347="","",IF(ISNUMBER('IMPORT PROFIXIO'!D347),'IMPORT PROFIXIO'!D347,DATEVALUE('IMPORT PROFIXIO'!D347)))</f>
        <v/>
      </c>
      <c r="C347" s="33" t="str">
        <f>IF(A347="","",IF(ISNUMBER('IMPORT PROFIXIO'!E347),'IMPORT PROFIXIO'!E347,(VALUE(LEFT('IMPORT PROFIXIO'!E347,FIND(":",'IMPORT PROFIXIO'!E347)-1))*60+VALUE(MID('IMPORT PROFIXIO'!E347,FIND(":",'IMPORT PROFIXIO'!E347)+1,2)))/1440))</f>
        <v/>
      </c>
      <c r="D347" s="31" t="str">
        <f>IF(A347="","",'IMPORT PROFIXIO'!F347)</f>
        <v/>
      </c>
      <c r="E347" s="31" t="str">
        <f>IF(A347="","",'IMPORT PROFIXIO'!K347)</f>
        <v/>
      </c>
      <c r="F347" s="34" t="str">
        <f>IF(A347="","",IFERROR(VLOOKUP(E347,KLASSNING!$A$5:$F$74,2,FALSE()),"SAKNAS"))</f>
        <v/>
      </c>
      <c r="G347" s="34" t="str">
        <f>IF(A347="","",IFERROR(VLOOKUP(E347,KLASSNING!$A$5:$F$74,3,FALSE()),"SAKNAS"))</f>
        <v/>
      </c>
      <c r="H347" s="34" t="str">
        <f>IF(A347="","",'IMPORT PROFIXIO'!H347)</f>
        <v/>
      </c>
      <c r="I347" s="34" t="str">
        <f>IF(A347="","",'IMPORT PROFIXIO'!I347)</f>
        <v/>
      </c>
      <c r="J347" s="34" t="str">
        <f t="shared" si="20"/>
        <v/>
      </c>
      <c r="K347" s="34" t="str">
        <f t="shared" si="21"/>
        <v/>
      </c>
      <c r="L347" s="34" t="str">
        <f>IF(A347="","",IFERROR(VLOOKUP(E347,KLASSNING!$A$5:$F$74,5,FALSE()),0))</f>
        <v/>
      </c>
      <c r="M347" s="35" t="str">
        <f t="shared" si="22"/>
        <v/>
      </c>
      <c r="N347" s="34" t="str">
        <f>IF(A347="","",IF(K347&lt;&gt;"Ja","Ej aktuell",IF(L347&lt;=0,"KONTROLLERA MATCHTID",IF(AND(COUNTIFS(BEMANNINGSPLAN!$A$5:$A$546,B347,BEMANNINGSPLAN!$C$5:$C$546,D347,BEMANNINGSPLAN!$D$5:$D$546,"&lt;="&amp;C347,BEMANNINGSPLAN!$E$5:$E$546,"&gt;"&amp;C347)&gt;0,COUNTIFS(BEMANNINGSPLAN!$A$5:$A$546,B347,BEMANNINGSPLAN!$C$5:$C$546,D347,BEMANNINGSPLAN!$D$5:$D$546,"&lt;"&amp;M347,BEMANNINGSPLAN!$E$5:$E$546,"&gt;="&amp;M347)&gt;0),"Ja","SAKNAS TIDSRADER"))))</f>
        <v/>
      </c>
      <c r="O347" s="137" t="str">
        <f>IF(OR(B347="",K347&lt;&gt;"Ja"),"",COUNTIFS($B$5:B347,B347,$K$5:K347,"Ja"))</f>
        <v/>
      </c>
      <c r="P347" s="137" t="str">
        <f t="shared" si="23"/>
        <v/>
      </c>
    </row>
    <row r="348" spans="1:16" ht="13">
      <c r="A348" s="31" t="str">
        <f>IF('IMPORT PROFIXIO'!A348="","",'IMPORT PROFIXIO'!A348)</f>
        <v/>
      </c>
      <c r="B348" s="32" t="str">
        <f>IF(A348="","",IF(ISNUMBER('IMPORT PROFIXIO'!D348),'IMPORT PROFIXIO'!D348,DATEVALUE('IMPORT PROFIXIO'!D348)))</f>
        <v/>
      </c>
      <c r="C348" s="33" t="str">
        <f>IF(A348="","",IF(ISNUMBER('IMPORT PROFIXIO'!E348),'IMPORT PROFIXIO'!E348,(VALUE(LEFT('IMPORT PROFIXIO'!E348,FIND(":",'IMPORT PROFIXIO'!E348)-1))*60+VALUE(MID('IMPORT PROFIXIO'!E348,FIND(":",'IMPORT PROFIXIO'!E348)+1,2)))/1440))</f>
        <v/>
      </c>
      <c r="D348" s="31" t="str">
        <f>IF(A348="","",'IMPORT PROFIXIO'!F348)</f>
        <v/>
      </c>
      <c r="E348" s="31" t="str">
        <f>IF(A348="","",'IMPORT PROFIXIO'!K348)</f>
        <v/>
      </c>
      <c r="F348" s="34" t="str">
        <f>IF(A348="","",IFERROR(VLOOKUP(E348,KLASSNING!$A$5:$F$74,2,FALSE()),"SAKNAS"))</f>
        <v/>
      </c>
      <c r="G348" s="34" t="str">
        <f>IF(A348="","",IFERROR(VLOOKUP(E348,KLASSNING!$A$5:$F$74,3,FALSE()),"SAKNAS"))</f>
        <v/>
      </c>
      <c r="H348" s="34" t="str">
        <f>IF(A348="","",'IMPORT PROFIXIO'!H348)</f>
        <v/>
      </c>
      <c r="I348" s="34" t="str">
        <f>IF(A348="","",'IMPORT PROFIXIO'!I348)</f>
        <v/>
      </c>
      <c r="J348" s="34" t="str">
        <f t="shared" si="20"/>
        <v/>
      </c>
      <c r="K348" s="34" t="str">
        <f t="shared" si="21"/>
        <v/>
      </c>
      <c r="L348" s="34" t="str">
        <f>IF(A348="","",IFERROR(VLOOKUP(E348,KLASSNING!$A$5:$F$74,5,FALSE()),0))</f>
        <v/>
      </c>
      <c r="M348" s="35" t="str">
        <f t="shared" si="22"/>
        <v/>
      </c>
      <c r="N348" s="34" t="str">
        <f>IF(A348="","",IF(K348&lt;&gt;"Ja","Ej aktuell",IF(L348&lt;=0,"KONTROLLERA MATCHTID",IF(AND(COUNTIFS(BEMANNINGSPLAN!$A$5:$A$546,B348,BEMANNINGSPLAN!$C$5:$C$546,D348,BEMANNINGSPLAN!$D$5:$D$546,"&lt;="&amp;C348,BEMANNINGSPLAN!$E$5:$E$546,"&gt;"&amp;C348)&gt;0,COUNTIFS(BEMANNINGSPLAN!$A$5:$A$546,B348,BEMANNINGSPLAN!$C$5:$C$546,D348,BEMANNINGSPLAN!$D$5:$D$546,"&lt;"&amp;M348,BEMANNINGSPLAN!$E$5:$E$546,"&gt;="&amp;M348)&gt;0),"Ja","SAKNAS TIDSRADER"))))</f>
        <v/>
      </c>
      <c r="O348" s="137" t="str">
        <f>IF(OR(B348="",K348&lt;&gt;"Ja"),"",COUNTIFS($B$5:B348,B348,$K$5:K348,"Ja"))</f>
        <v/>
      </c>
      <c r="P348" s="137" t="str">
        <f t="shared" si="23"/>
        <v/>
      </c>
    </row>
    <row r="349" spans="1:16" ht="13">
      <c r="A349" s="31" t="str">
        <f>IF('IMPORT PROFIXIO'!A349="","",'IMPORT PROFIXIO'!A349)</f>
        <v/>
      </c>
      <c r="B349" s="32" t="str">
        <f>IF(A349="","",IF(ISNUMBER('IMPORT PROFIXIO'!D349),'IMPORT PROFIXIO'!D349,DATEVALUE('IMPORT PROFIXIO'!D349)))</f>
        <v/>
      </c>
      <c r="C349" s="33" t="str">
        <f>IF(A349="","",IF(ISNUMBER('IMPORT PROFIXIO'!E349),'IMPORT PROFIXIO'!E349,(VALUE(LEFT('IMPORT PROFIXIO'!E349,FIND(":",'IMPORT PROFIXIO'!E349)-1))*60+VALUE(MID('IMPORT PROFIXIO'!E349,FIND(":",'IMPORT PROFIXIO'!E349)+1,2)))/1440))</f>
        <v/>
      </c>
      <c r="D349" s="31" t="str">
        <f>IF(A349="","",'IMPORT PROFIXIO'!F349)</f>
        <v/>
      </c>
      <c r="E349" s="31" t="str">
        <f>IF(A349="","",'IMPORT PROFIXIO'!K349)</f>
        <v/>
      </c>
      <c r="F349" s="34" t="str">
        <f>IF(A349="","",IFERROR(VLOOKUP(E349,KLASSNING!$A$5:$F$74,2,FALSE()),"SAKNAS"))</f>
        <v/>
      </c>
      <c r="G349" s="34" t="str">
        <f>IF(A349="","",IFERROR(VLOOKUP(E349,KLASSNING!$A$5:$F$74,3,FALSE()),"SAKNAS"))</f>
        <v/>
      </c>
      <c r="H349" s="34" t="str">
        <f>IF(A349="","",'IMPORT PROFIXIO'!H349)</f>
        <v/>
      </c>
      <c r="I349" s="34" t="str">
        <f>IF(A349="","",'IMPORT PROFIXIO'!I349)</f>
        <v/>
      </c>
      <c r="J349" s="34" t="str">
        <f t="shared" si="20"/>
        <v/>
      </c>
      <c r="K349" s="34" t="str">
        <f t="shared" si="21"/>
        <v/>
      </c>
      <c r="L349" s="34" t="str">
        <f>IF(A349="","",IFERROR(VLOOKUP(E349,KLASSNING!$A$5:$F$74,5,FALSE()),0))</f>
        <v/>
      </c>
      <c r="M349" s="35" t="str">
        <f t="shared" si="22"/>
        <v/>
      </c>
      <c r="N349" s="34" t="str">
        <f>IF(A349="","",IF(K349&lt;&gt;"Ja","Ej aktuell",IF(L349&lt;=0,"KONTROLLERA MATCHTID",IF(AND(COUNTIFS(BEMANNINGSPLAN!$A$5:$A$546,B349,BEMANNINGSPLAN!$C$5:$C$546,D349,BEMANNINGSPLAN!$D$5:$D$546,"&lt;="&amp;C349,BEMANNINGSPLAN!$E$5:$E$546,"&gt;"&amp;C349)&gt;0,COUNTIFS(BEMANNINGSPLAN!$A$5:$A$546,B349,BEMANNINGSPLAN!$C$5:$C$546,D349,BEMANNINGSPLAN!$D$5:$D$546,"&lt;"&amp;M349,BEMANNINGSPLAN!$E$5:$E$546,"&gt;="&amp;M349)&gt;0),"Ja","SAKNAS TIDSRADER"))))</f>
        <v/>
      </c>
      <c r="O349" s="137" t="str">
        <f>IF(OR(B349="",K349&lt;&gt;"Ja"),"",COUNTIFS($B$5:B349,B349,$K$5:K349,"Ja"))</f>
        <v/>
      </c>
      <c r="P349" s="137" t="str">
        <f t="shared" si="23"/>
        <v/>
      </c>
    </row>
    <row r="350" spans="1:16" ht="13">
      <c r="A350" s="31" t="str">
        <f>IF('IMPORT PROFIXIO'!A350="","",'IMPORT PROFIXIO'!A350)</f>
        <v/>
      </c>
      <c r="B350" s="32" t="str">
        <f>IF(A350="","",IF(ISNUMBER('IMPORT PROFIXIO'!D350),'IMPORT PROFIXIO'!D350,DATEVALUE('IMPORT PROFIXIO'!D350)))</f>
        <v/>
      </c>
      <c r="C350" s="33" t="str">
        <f>IF(A350="","",IF(ISNUMBER('IMPORT PROFIXIO'!E350),'IMPORT PROFIXIO'!E350,(VALUE(LEFT('IMPORT PROFIXIO'!E350,FIND(":",'IMPORT PROFIXIO'!E350)-1))*60+VALUE(MID('IMPORT PROFIXIO'!E350,FIND(":",'IMPORT PROFIXIO'!E350)+1,2)))/1440))</f>
        <v/>
      </c>
      <c r="D350" s="31" t="str">
        <f>IF(A350="","",'IMPORT PROFIXIO'!F350)</f>
        <v/>
      </c>
      <c r="E350" s="31" t="str">
        <f>IF(A350="","",'IMPORT PROFIXIO'!K350)</f>
        <v/>
      </c>
      <c r="F350" s="34" t="str">
        <f>IF(A350="","",IFERROR(VLOOKUP(E350,KLASSNING!$A$5:$F$74,2,FALSE()),"SAKNAS"))</f>
        <v/>
      </c>
      <c r="G350" s="34" t="str">
        <f>IF(A350="","",IFERROR(VLOOKUP(E350,KLASSNING!$A$5:$F$74,3,FALSE()),"SAKNAS"))</f>
        <v/>
      </c>
      <c r="H350" s="34" t="str">
        <f>IF(A350="","",'IMPORT PROFIXIO'!H350)</f>
        <v/>
      </c>
      <c r="I350" s="34" t="str">
        <f>IF(A350="","",'IMPORT PROFIXIO'!I350)</f>
        <v/>
      </c>
      <c r="J350" s="34" t="str">
        <f t="shared" si="20"/>
        <v/>
      </c>
      <c r="K350" s="34" t="str">
        <f t="shared" si="21"/>
        <v/>
      </c>
      <c r="L350" s="34" t="str">
        <f>IF(A350="","",IFERROR(VLOOKUP(E350,KLASSNING!$A$5:$F$74,5,FALSE()),0))</f>
        <v/>
      </c>
      <c r="M350" s="35" t="str">
        <f t="shared" si="22"/>
        <v/>
      </c>
      <c r="N350" s="34" t="str">
        <f>IF(A350="","",IF(K350&lt;&gt;"Ja","Ej aktuell",IF(L350&lt;=0,"KONTROLLERA MATCHTID",IF(AND(COUNTIFS(BEMANNINGSPLAN!$A$5:$A$546,B350,BEMANNINGSPLAN!$C$5:$C$546,D350,BEMANNINGSPLAN!$D$5:$D$546,"&lt;="&amp;C350,BEMANNINGSPLAN!$E$5:$E$546,"&gt;"&amp;C350)&gt;0,COUNTIFS(BEMANNINGSPLAN!$A$5:$A$546,B350,BEMANNINGSPLAN!$C$5:$C$546,D350,BEMANNINGSPLAN!$D$5:$D$546,"&lt;"&amp;M350,BEMANNINGSPLAN!$E$5:$E$546,"&gt;="&amp;M350)&gt;0),"Ja","SAKNAS TIDSRADER"))))</f>
        <v/>
      </c>
      <c r="O350" s="137" t="str">
        <f>IF(OR(B350="",K350&lt;&gt;"Ja"),"",COUNTIFS($B$5:B350,B350,$K$5:K350,"Ja"))</f>
        <v/>
      </c>
      <c r="P350" s="137" t="str">
        <f t="shared" si="23"/>
        <v/>
      </c>
    </row>
    <row r="351" spans="1:16" ht="13">
      <c r="A351" s="31" t="str">
        <f>IF('IMPORT PROFIXIO'!A351="","",'IMPORT PROFIXIO'!A351)</f>
        <v/>
      </c>
      <c r="B351" s="32" t="str">
        <f>IF(A351="","",IF(ISNUMBER('IMPORT PROFIXIO'!D351),'IMPORT PROFIXIO'!D351,DATEVALUE('IMPORT PROFIXIO'!D351)))</f>
        <v/>
      </c>
      <c r="C351" s="33" t="str">
        <f>IF(A351="","",IF(ISNUMBER('IMPORT PROFIXIO'!E351),'IMPORT PROFIXIO'!E351,(VALUE(LEFT('IMPORT PROFIXIO'!E351,FIND(":",'IMPORT PROFIXIO'!E351)-1))*60+VALUE(MID('IMPORT PROFIXIO'!E351,FIND(":",'IMPORT PROFIXIO'!E351)+1,2)))/1440))</f>
        <v/>
      </c>
      <c r="D351" s="31" t="str">
        <f>IF(A351="","",'IMPORT PROFIXIO'!F351)</f>
        <v/>
      </c>
      <c r="E351" s="31" t="str">
        <f>IF(A351="","",'IMPORT PROFIXIO'!K351)</f>
        <v/>
      </c>
      <c r="F351" s="34" t="str">
        <f>IF(A351="","",IFERROR(VLOOKUP(E351,KLASSNING!$A$5:$F$74,2,FALSE()),"SAKNAS"))</f>
        <v/>
      </c>
      <c r="G351" s="34" t="str">
        <f>IF(A351="","",IFERROR(VLOOKUP(E351,KLASSNING!$A$5:$F$74,3,FALSE()),"SAKNAS"))</f>
        <v/>
      </c>
      <c r="H351" s="34" t="str">
        <f>IF(A351="","",'IMPORT PROFIXIO'!H351)</f>
        <v/>
      </c>
      <c r="I351" s="34" t="str">
        <f>IF(A351="","",'IMPORT PROFIXIO'!I351)</f>
        <v/>
      </c>
      <c r="J351" s="34" t="str">
        <f t="shared" si="20"/>
        <v/>
      </c>
      <c r="K351" s="34" t="str">
        <f t="shared" si="21"/>
        <v/>
      </c>
      <c r="L351" s="34" t="str">
        <f>IF(A351="","",IFERROR(VLOOKUP(E351,KLASSNING!$A$5:$F$74,5,FALSE()),0))</f>
        <v/>
      </c>
      <c r="M351" s="35" t="str">
        <f t="shared" si="22"/>
        <v/>
      </c>
      <c r="N351" s="34" t="str">
        <f>IF(A351="","",IF(K351&lt;&gt;"Ja","Ej aktuell",IF(L351&lt;=0,"KONTROLLERA MATCHTID",IF(AND(COUNTIFS(BEMANNINGSPLAN!$A$5:$A$546,B351,BEMANNINGSPLAN!$C$5:$C$546,D351,BEMANNINGSPLAN!$D$5:$D$546,"&lt;="&amp;C351,BEMANNINGSPLAN!$E$5:$E$546,"&gt;"&amp;C351)&gt;0,COUNTIFS(BEMANNINGSPLAN!$A$5:$A$546,B351,BEMANNINGSPLAN!$C$5:$C$546,D351,BEMANNINGSPLAN!$D$5:$D$546,"&lt;"&amp;M351,BEMANNINGSPLAN!$E$5:$E$546,"&gt;="&amp;M351)&gt;0),"Ja","SAKNAS TIDSRADER"))))</f>
        <v/>
      </c>
      <c r="O351" s="137" t="str">
        <f>IF(OR(B351="",K351&lt;&gt;"Ja"),"",COUNTIFS($B$5:B351,B351,$K$5:K351,"Ja"))</f>
        <v/>
      </c>
      <c r="P351" s="137" t="str">
        <f t="shared" si="23"/>
        <v/>
      </c>
    </row>
    <row r="352" spans="1:16" ht="13">
      <c r="A352" s="31" t="str">
        <f>IF('IMPORT PROFIXIO'!A352="","",'IMPORT PROFIXIO'!A352)</f>
        <v/>
      </c>
      <c r="B352" s="32" t="str">
        <f>IF(A352="","",IF(ISNUMBER('IMPORT PROFIXIO'!D352),'IMPORT PROFIXIO'!D352,DATEVALUE('IMPORT PROFIXIO'!D352)))</f>
        <v/>
      </c>
      <c r="C352" s="33" t="str">
        <f>IF(A352="","",IF(ISNUMBER('IMPORT PROFIXIO'!E352),'IMPORT PROFIXIO'!E352,(VALUE(LEFT('IMPORT PROFIXIO'!E352,FIND(":",'IMPORT PROFIXIO'!E352)-1))*60+VALUE(MID('IMPORT PROFIXIO'!E352,FIND(":",'IMPORT PROFIXIO'!E352)+1,2)))/1440))</f>
        <v/>
      </c>
      <c r="D352" s="31" t="str">
        <f>IF(A352="","",'IMPORT PROFIXIO'!F352)</f>
        <v/>
      </c>
      <c r="E352" s="31" t="str">
        <f>IF(A352="","",'IMPORT PROFIXIO'!K352)</f>
        <v/>
      </c>
      <c r="F352" s="34" t="str">
        <f>IF(A352="","",IFERROR(VLOOKUP(E352,KLASSNING!$A$5:$F$74,2,FALSE()),"SAKNAS"))</f>
        <v/>
      </c>
      <c r="G352" s="34" t="str">
        <f>IF(A352="","",IFERROR(VLOOKUP(E352,KLASSNING!$A$5:$F$74,3,FALSE()),"SAKNAS"))</f>
        <v/>
      </c>
      <c r="H352" s="34" t="str">
        <f>IF(A352="","",'IMPORT PROFIXIO'!H352)</f>
        <v/>
      </c>
      <c r="I352" s="34" t="str">
        <f>IF(A352="","",'IMPORT PROFIXIO'!I352)</f>
        <v/>
      </c>
      <c r="J352" s="34" t="str">
        <f t="shared" si="20"/>
        <v/>
      </c>
      <c r="K352" s="34" t="str">
        <f t="shared" si="21"/>
        <v/>
      </c>
      <c r="L352" s="34" t="str">
        <f>IF(A352="","",IFERROR(VLOOKUP(E352,KLASSNING!$A$5:$F$74,5,FALSE()),0))</f>
        <v/>
      </c>
      <c r="M352" s="35" t="str">
        <f t="shared" si="22"/>
        <v/>
      </c>
      <c r="N352" s="34" t="str">
        <f>IF(A352="","",IF(K352&lt;&gt;"Ja","Ej aktuell",IF(L352&lt;=0,"KONTROLLERA MATCHTID",IF(AND(COUNTIFS(BEMANNINGSPLAN!$A$5:$A$546,B352,BEMANNINGSPLAN!$C$5:$C$546,D352,BEMANNINGSPLAN!$D$5:$D$546,"&lt;="&amp;C352,BEMANNINGSPLAN!$E$5:$E$546,"&gt;"&amp;C352)&gt;0,COUNTIFS(BEMANNINGSPLAN!$A$5:$A$546,B352,BEMANNINGSPLAN!$C$5:$C$546,D352,BEMANNINGSPLAN!$D$5:$D$546,"&lt;"&amp;M352,BEMANNINGSPLAN!$E$5:$E$546,"&gt;="&amp;M352)&gt;0),"Ja","SAKNAS TIDSRADER"))))</f>
        <v/>
      </c>
      <c r="O352" s="137" t="str">
        <f>IF(OR(B352="",K352&lt;&gt;"Ja"),"",COUNTIFS($B$5:B352,B352,$K$5:K352,"Ja"))</f>
        <v/>
      </c>
      <c r="P352" s="137" t="str">
        <f t="shared" si="23"/>
        <v/>
      </c>
    </row>
    <row r="353" spans="1:16" ht="13">
      <c r="A353" s="31" t="str">
        <f>IF('IMPORT PROFIXIO'!A353="","",'IMPORT PROFIXIO'!A353)</f>
        <v/>
      </c>
      <c r="B353" s="32" t="str">
        <f>IF(A353="","",IF(ISNUMBER('IMPORT PROFIXIO'!D353),'IMPORT PROFIXIO'!D353,DATEVALUE('IMPORT PROFIXIO'!D353)))</f>
        <v/>
      </c>
      <c r="C353" s="33" t="str">
        <f>IF(A353="","",IF(ISNUMBER('IMPORT PROFIXIO'!E353),'IMPORT PROFIXIO'!E353,(VALUE(LEFT('IMPORT PROFIXIO'!E353,FIND(":",'IMPORT PROFIXIO'!E353)-1))*60+VALUE(MID('IMPORT PROFIXIO'!E353,FIND(":",'IMPORT PROFIXIO'!E353)+1,2)))/1440))</f>
        <v/>
      </c>
      <c r="D353" s="31" t="str">
        <f>IF(A353="","",'IMPORT PROFIXIO'!F353)</f>
        <v/>
      </c>
      <c r="E353" s="31" t="str">
        <f>IF(A353="","",'IMPORT PROFIXIO'!K353)</f>
        <v/>
      </c>
      <c r="F353" s="34" t="str">
        <f>IF(A353="","",IFERROR(VLOOKUP(E353,KLASSNING!$A$5:$F$74,2,FALSE()),"SAKNAS"))</f>
        <v/>
      </c>
      <c r="G353" s="34" t="str">
        <f>IF(A353="","",IFERROR(VLOOKUP(E353,KLASSNING!$A$5:$F$74,3,FALSE()),"SAKNAS"))</f>
        <v/>
      </c>
      <c r="H353" s="34" t="str">
        <f>IF(A353="","",'IMPORT PROFIXIO'!H353)</f>
        <v/>
      </c>
      <c r="I353" s="34" t="str">
        <f>IF(A353="","",'IMPORT PROFIXIO'!I353)</f>
        <v/>
      </c>
      <c r="J353" s="34" t="str">
        <f t="shared" si="20"/>
        <v/>
      </c>
      <c r="K353" s="34" t="str">
        <f t="shared" si="21"/>
        <v/>
      </c>
      <c r="L353" s="34" t="str">
        <f>IF(A353="","",IFERROR(VLOOKUP(E353,KLASSNING!$A$5:$F$74,5,FALSE()),0))</f>
        <v/>
      </c>
      <c r="M353" s="35" t="str">
        <f t="shared" si="22"/>
        <v/>
      </c>
      <c r="N353" s="34" t="str">
        <f>IF(A353="","",IF(K353&lt;&gt;"Ja","Ej aktuell",IF(L353&lt;=0,"KONTROLLERA MATCHTID",IF(AND(COUNTIFS(BEMANNINGSPLAN!$A$5:$A$546,B353,BEMANNINGSPLAN!$C$5:$C$546,D353,BEMANNINGSPLAN!$D$5:$D$546,"&lt;="&amp;C353,BEMANNINGSPLAN!$E$5:$E$546,"&gt;"&amp;C353)&gt;0,COUNTIFS(BEMANNINGSPLAN!$A$5:$A$546,B353,BEMANNINGSPLAN!$C$5:$C$546,D353,BEMANNINGSPLAN!$D$5:$D$546,"&lt;"&amp;M353,BEMANNINGSPLAN!$E$5:$E$546,"&gt;="&amp;M353)&gt;0),"Ja","SAKNAS TIDSRADER"))))</f>
        <v/>
      </c>
      <c r="O353" s="137" t="str">
        <f>IF(OR(B353="",K353&lt;&gt;"Ja"),"",COUNTIFS($B$5:B353,B353,$K$5:K353,"Ja"))</f>
        <v/>
      </c>
      <c r="P353" s="137" t="str">
        <f t="shared" si="23"/>
        <v/>
      </c>
    </row>
    <row r="354" spans="1:16" ht="13">
      <c r="A354" s="31" t="str">
        <f>IF('IMPORT PROFIXIO'!A354="","",'IMPORT PROFIXIO'!A354)</f>
        <v/>
      </c>
      <c r="B354" s="32" t="str">
        <f>IF(A354="","",IF(ISNUMBER('IMPORT PROFIXIO'!D354),'IMPORT PROFIXIO'!D354,DATEVALUE('IMPORT PROFIXIO'!D354)))</f>
        <v/>
      </c>
      <c r="C354" s="33" t="str">
        <f>IF(A354="","",IF(ISNUMBER('IMPORT PROFIXIO'!E354),'IMPORT PROFIXIO'!E354,(VALUE(LEFT('IMPORT PROFIXIO'!E354,FIND(":",'IMPORT PROFIXIO'!E354)-1))*60+VALUE(MID('IMPORT PROFIXIO'!E354,FIND(":",'IMPORT PROFIXIO'!E354)+1,2)))/1440))</f>
        <v/>
      </c>
      <c r="D354" s="31" t="str">
        <f>IF(A354="","",'IMPORT PROFIXIO'!F354)</f>
        <v/>
      </c>
      <c r="E354" s="31" t="str">
        <f>IF(A354="","",'IMPORT PROFIXIO'!K354)</f>
        <v/>
      </c>
      <c r="F354" s="34" t="str">
        <f>IF(A354="","",IFERROR(VLOOKUP(E354,KLASSNING!$A$5:$F$74,2,FALSE()),"SAKNAS"))</f>
        <v/>
      </c>
      <c r="G354" s="34" t="str">
        <f>IF(A354="","",IFERROR(VLOOKUP(E354,KLASSNING!$A$5:$F$74,3,FALSE()),"SAKNAS"))</f>
        <v/>
      </c>
      <c r="H354" s="34" t="str">
        <f>IF(A354="","",'IMPORT PROFIXIO'!H354)</f>
        <v/>
      </c>
      <c r="I354" s="34" t="str">
        <f>IF(A354="","",'IMPORT PROFIXIO'!I354)</f>
        <v/>
      </c>
      <c r="J354" s="34" t="str">
        <f t="shared" si="20"/>
        <v/>
      </c>
      <c r="K354" s="34" t="str">
        <f t="shared" si="21"/>
        <v/>
      </c>
      <c r="L354" s="34" t="str">
        <f>IF(A354="","",IFERROR(VLOOKUP(E354,KLASSNING!$A$5:$F$74,5,FALSE()),0))</f>
        <v/>
      </c>
      <c r="M354" s="35" t="str">
        <f t="shared" si="22"/>
        <v/>
      </c>
      <c r="N354" s="34" t="str">
        <f>IF(A354="","",IF(K354&lt;&gt;"Ja","Ej aktuell",IF(L354&lt;=0,"KONTROLLERA MATCHTID",IF(AND(COUNTIFS(BEMANNINGSPLAN!$A$5:$A$546,B354,BEMANNINGSPLAN!$C$5:$C$546,D354,BEMANNINGSPLAN!$D$5:$D$546,"&lt;="&amp;C354,BEMANNINGSPLAN!$E$5:$E$546,"&gt;"&amp;C354)&gt;0,COUNTIFS(BEMANNINGSPLAN!$A$5:$A$546,B354,BEMANNINGSPLAN!$C$5:$C$546,D354,BEMANNINGSPLAN!$D$5:$D$546,"&lt;"&amp;M354,BEMANNINGSPLAN!$E$5:$E$546,"&gt;="&amp;M354)&gt;0),"Ja","SAKNAS TIDSRADER"))))</f>
        <v/>
      </c>
      <c r="O354" s="137" t="str">
        <f>IF(OR(B354="",K354&lt;&gt;"Ja"),"",COUNTIFS($B$5:B354,B354,$K$5:K354,"Ja"))</f>
        <v/>
      </c>
      <c r="P354" s="137" t="str">
        <f t="shared" si="23"/>
        <v/>
      </c>
    </row>
    <row r="355" spans="1:16" ht="13">
      <c r="A355" s="31" t="str">
        <f>IF('IMPORT PROFIXIO'!A355="","",'IMPORT PROFIXIO'!A355)</f>
        <v/>
      </c>
      <c r="B355" s="32" t="str">
        <f>IF(A355="","",IF(ISNUMBER('IMPORT PROFIXIO'!D355),'IMPORT PROFIXIO'!D355,DATEVALUE('IMPORT PROFIXIO'!D355)))</f>
        <v/>
      </c>
      <c r="C355" s="33" t="str">
        <f>IF(A355="","",IF(ISNUMBER('IMPORT PROFIXIO'!E355),'IMPORT PROFIXIO'!E355,(VALUE(LEFT('IMPORT PROFIXIO'!E355,FIND(":",'IMPORT PROFIXIO'!E355)-1))*60+VALUE(MID('IMPORT PROFIXIO'!E355,FIND(":",'IMPORT PROFIXIO'!E355)+1,2)))/1440))</f>
        <v/>
      </c>
      <c r="D355" s="31" t="str">
        <f>IF(A355="","",'IMPORT PROFIXIO'!F355)</f>
        <v/>
      </c>
      <c r="E355" s="31" t="str">
        <f>IF(A355="","",'IMPORT PROFIXIO'!K355)</f>
        <v/>
      </c>
      <c r="F355" s="34" t="str">
        <f>IF(A355="","",IFERROR(VLOOKUP(E355,KLASSNING!$A$5:$F$74,2,FALSE()),"SAKNAS"))</f>
        <v/>
      </c>
      <c r="G355" s="34" t="str">
        <f>IF(A355="","",IFERROR(VLOOKUP(E355,KLASSNING!$A$5:$F$74,3,FALSE()),"SAKNAS"))</f>
        <v/>
      </c>
      <c r="H355" s="34" t="str">
        <f>IF(A355="","",'IMPORT PROFIXIO'!H355)</f>
        <v/>
      </c>
      <c r="I355" s="34" t="str">
        <f>IF(A355="","",'IMPORT PROFIXIO'!I355)</f>
        <v/>
      </c>
      <c r="J355" s="34" t="str">
        <f t="shared" si="20"/>
        <v/>
      </c>
      <c r="K355" s="34" t="str">
        <f t="shared" si="21"/>
        <v/>
      </c>
      <c r="L355" s="34" t="str">
        <f>IF(A355="","",IFERROR(VLOOKUP(E355,KLASSNING!$A$5:$F$74,5,FALSE()),0))</f>
        <v/>
      </c>
      <c r="M355" s="35" t="str">
        <f t="shared" si="22"/>
        <v/>
      </c>
      <c r="N355" s="34" t="str">
        <f>IF(A355="","",IF(K355&lt;&gt;"Ja","Ej aktuell",IF(L355&lt;=0,"KONTROLLERA MATCHTID",IF(AND(COUNTIFS(BEMANNINGSPLAN!$A$5:$A$546,B355,BEMANNINGSPLAN!$C$5:$C$546,D355,BEMANNINGSPLAN!$D$5:$D$546,"&lt;="&amp;C355,BEMANNINGSPLAN!$E$5:$E$546,"&gt;"&amp;C355)&gt;0,COUNTIFS(BEMANNINGSPLAN!$A$5:$A$546,B355,BEMANNINGSPLAN!$C$5:$C$546,D355,BEMANNINGSPLAN!$D$5:$D$546,"&lt;"&amp;M355,BEMANNINGSPLAN!$E$5:$E$546,"&gt;="&amp;M355)&gt;0),"Ja","SAKNAS TIDSRADER"))))</f>
        <v/>
      </c>
      <c r="O355" s="137" t="str">
        <f>IF(OR(B355="",K355&lt;&gt;"Ja"),"",COUNTIFS($B$5:B355,B355,$K$5:K355,"Ja"))</f>
        <v/>
      </c>
      <c r="P355" s="137" t="str">
        <f t="shared" si="23"/>
        <v/>
      </c>
    </row>
    <row r="356" spans="1:16" ht="13">
      <c r="A356" s="31" t="str">
        <f>IF('IMPORT PROFIXIO'!A356="","",'IMPORT PROFIXIO'!A356)</f>
        <v/>
      </c>
      <c r="B356" s="32" t="str">
        <f>IF(A356="","",IF(ISNUMBER('IMPORT PROFIXIO'!D356),'IMPORT PROFIXIO'!D356,DATEVALUE('IMPORT PROFIXIO'!D356)))</f>
        <v/>
      </c>
      <c r="C356" s="33" t="str">
        <f>IF(A356="","",IF(ISNUMBER('IMPORT PROFIXIO'!E356),'IMPORT PROFIXIO'!E356,(VALUE(LEFT('IMPORT PROFIXIO'!E356,FIND(":",'IMPORT PROFIXIO'!E356)-1))*60+VALUE(MID('IMPORT PROFIXIO'!E356,FIND(":",'IMPORT PROFIXIO'!E356)+1,2)))/1440))</f>
        <v/>
      </c>
      <c r="D356" s="31" t="str">
        <f>IF(A356="","",'IMPORT PROFIXIO'!F356)</f>
        <v/>
      </c>
      <c r="E356" s="31" t="str">
        <f>IF(A356="","",'IMPORT PROFIXIO'!K356)</f>
        <v/>
      </c>
      <c r="F356" s="34" t="str">
        <f>IF(A356="","",IFERROR(VLOOKUP(E356,KLASSNING!$A$5:$F$74,2,FALSE()),"SAKNAS"))</f>
        <v/>
      </c>
      <c r="G356" s="34" t="str">
        <f>IF(A356="","",IFERROR(VLOOKUP(E356,KLASSNING!$A$5:$F$74,3,FALSE()),"SAKNAS"))</f>
        <v/>
      </c>
      <c r="H356" s="34" t="str">
        <f>IF(A356="","",'IMPORT PROFIXIO'!H356)</f>
        <v/>
      </c>
      <c r="I356" s="34" t="str">
        <f>IF(A356="","",'IMPORT PROFIXIO'!I356)</f>
        <v/>
      </c>
      <c r="J356" s="34" t="str">
        <f t="shared" si="20"/>
        <v/>
      </c>
      <c r="K356" s="34" t="str">
        <f t="shared" si="21"/>
        <v/>
      </c>
      <c r="L356" s="34" t="str">
        <f>IF(A356="","",IFERROR(VLOOKUP(E356,KLASSNING!$A$5:$F$74,5,FALSE()),0))</f>
        <v/>
      </c>
      <c r="M356" s="35" t="str">
        <f t="shared" si="22"/>
        <v/>
      </c>
      <c r="N356" s="34" t="str">
        <f>IF(A356="","",IF(K356&lt;&gt;"Ja","Ej aktuell",IF(L356&lt;=0,"KONTROLLERA MATCHTID",IF(AND(COUNTIFS(BEMANNINGSPLAN!$A$5:$A$546,B356,BEMANNINGSPLAN!$C$5:$C$546,D356,BEMANNINGSPLAN!$D$5:$D$546,"&lt;="&amp;C356,BEMANNINGSPLAN!$E$5:$E$546,"&gt;"&amp;C356)&gt;0,COUNTIFS(BEMANNINGSPLAN!$A$5:$A$546,B356,BEMANNINGSPLAN!$C$5:$C$546,D356,BEMANNINGSPLAN!$D$5:$D$546,"&lt;"&amp;M356,BEMANNINGSPLAN!$E$5:$E$546,"&gt;="&amp;M356)&gt;0),"Ja","SAKNAS TIDSRADER"))))</f>
        <v/>
      </c>
      <c r="O356" s="137" t="str">
        <f>IF(OR(B356="",K356&lt;&gt;"Ja"),"",COUNTIFS($B$5:B356,B356,$K$5:K356,"Ja"))</f>
        <v/>
      </c>
      <c r="P356" s="137" t="str">
        <f t="shared" si="23"/>
        <v/>
      </c>
    </row>
    <row r="357" spans="1:16" ht="13">
      <c r="A357" s="31" t="str">
        <f>IF('IMPORT PROFIXIO'!A357="","",'IMPORT PROFIXIO'!A357)</f>
        <v/>
      </c>
      <c r="B357" s="32" t="str">
        <f>IF(A357="","",IF(ISNUMBER('IMPORT PROFIXIO'!D357),'IMPORT PROFIXIO'!D357,DATEVALUE('IMPORT PROFIXIO'!D357)))</f>
        <v/>
      </c>
      <c r="C357" s="33" t="str">
        <f>IF(A357="","",IF(ISNUMBER('IMPORT PROFIXIO'!E357),'IMPORT PROFIXIO'!E357,(VALUE(LEFT('IMPORT PROFIXIO'!E357,FIND(":",'IMPORT PROFIXIO'!E357)-1))*60+VALUE(MID('IMPORT PROFIXIO'!E357,FIND(":",'IMPORT PROFIXIO'!E357)+1,2)))/1440))</f>
        <v/>
      </c>
      <c r="D357" s="31" t="str">
        <f>IF(A357="","",'IMPORT PROFIXIO'!F357)</f>
        <v/>
      </c>
      <c r="E357" s="31" t="str">
        <f>IF(A357="","",'IMPORT PROFIXIO'!K357)</f>
        <v/>
      </c>
      <c r="F357" s="34" t="str">
        <f>IF(A357="","",IFERROR(VLOOKUP(E357,KLASSNING!$A$5:$F$74,2,FALSE()),"SAKNAS"))</f>
        <v/>
      </c>
      <c r="G357" s="34" t="str">
        <f>IF(A357="","",IFERROR(VLOOKUP(E357,KLASSNING!$A$5:$F$74,3,FALSE()),"SAKNAS"))</f>
        <v/>
      </c>
      <c r="H357" s="34" t="str">
        <f>IF(A357="","",'IMPORT PROFIXIO'!H357)</f>
        <v/>
      </c>
      <c r="I357" s="34" t="str">
        <f>IF(A357="","",'IMPORT PROFIXIO'!I357)</f>
        <v/>
      </c>
      <c r="J357" s="34" t="str">
        <f t="shared" si="20"/>
        <v/>
      </c>
      <c r="K357" s="34" t="str">
        <f t="shared" si="21"/>
        <v/>
      </c>
      <c r="L357" s="34" t="str">
        <f>IF(A357="","",IFERROR(VLOOKUP(E357,KLASSNING!$A$5:$F$74,5,FALSE()),0))</f>
        <v/>
      </c>
      <c r="M357" s="35" t="str">
        <f t="shared" si="22"/>
        <v/>
      </c>
      <c r="N357" s="34" t="str">
        <f>IF(A357="","",IF(K357&lt;&gt;"Ja","Ej aktuell",IF(L357&lt;=0,"KONTROLLERA MATCHTID",IF(AND(COUNTIFS(BEMANNINGSPLAN!$A$5:$A$546,B357,BEMANNINGSPLAN!$C$5:$C$546,D357,BEMANNINGSPLAN!$D$5:$D$546,"&lt;="&amp;C357,BEMANNINGSPLAN!$E$5:$E$546,"&gt;"&amp;C357)&gt;0,COUNTIFS(BEMANNINGSPLAN!$A$5:$A$546,B357,BEMANNINGSPLAN!$C$5:$C$546,D357,BEMANNINGSPLAN!$D$5:$D$546,"&lt;"&amp;M357,BEMANNINGSPLAN!$E$5:$E$546,"&gt;="&amp;M357)&gt;0),"Ja","SAKNAS TIDSRADER"))))</f>
        <v/>
      </c>
      <c r="O357" s="137" t="str">
        <f>IF(OR(B357="",K357&lt;&gt;"Ja"),"",COUNTIFS($B$5:B357,B357,$K$5:K357,"Ja"))</f>
        <v/>
      </c>
      <c r="P357" s="137" t="str">
        <f t="shared" si="23"/>
        <v/>
      </c>
    </row>
    <row r="358" spans="1:16" ht="13">
      <c r="A358" s="31" t="str">
        <f>IF('IMPORT PROFIXIO'!A358="","",'IMPORT PROFIXIO'!A358)</f>
        <v/>
      </c>
      <c r="B358" s="32" t="str">
        <f>IF(A358="","",IF(ISNUMBER('IMPORT PROFIXIO'!D358),'IMPORT PROFIXIO'!D358,DATEVALUE('IMPORT PROFIXIO'!D358)))</f>
        <v/>
      </c>
      <c r="C358" s="33" t="str">
        <f>IF(A358="","",IF(ISNUMBER('IMPORT PROFIXIO'!E358),'IMPORT PROFIXIO'!E358,(VALUE(LEFT('IMPORT PROFIXIO'!E358,FIND(":",'IMPORT PROFIXIO'!E358)-1))*60+VALUE(MID('IMPORT PROFIXIO'!E358,FIND(":",'IMPORT PROFIXIO'!E358)+1,2)))/1440))</f>
        <v/>
      </c>
      <c r="D358" s="31" t="str">
        <f>IF(A358="","",'IMPORT PROFIXIO'!F358)</f>
        <v/>
      </c>
      <c r="E358" s="31" t="str">
        <f>IF(A358="","",'IMPORT PROFIXIO'!K358)</f>
        <v/>
      </c>
      <c r="F358" s="34" t="str">
        <f>IF(A358="","",IFERROR(VLOOKUP(E358,KLASSNING!$A$5:$F$74,2,FALSE()),"SAKNAS"))</f>
        <v/>
      </c>
      <c r="G358" s="34" t="str">
        <f>IF(A358="","",IFERROR(VLOOKUP(E358,KLASSNING!$A$5:$F$74,3,FALSE()),"SAKNAS"))</f>
        <v/>
      </c>
      <c r="H358" s="34" t="str">
        <f>IF(A358="","",'IMPORT PROFIXIO'!H358)</f>
        <v/>
      </c>
      <c r="I358" s="34" t="str">
        <f>IF(A358="","",'IMPORT PROFIXIO'!I358)</f>
        <v/>
      </c>
      <c r="J358" s="34" t="str">
        <f t="shared" si="20"/>
        <v/>
      </c>
      <c r="K358" s="34" t="str">
        <f t="shared" si="21"/>
        <v/>
      </c>
      <c r="L358" s="34" t="str">
        <f>IF(A358="","",IFERROR(VLOOKUP(E358,KLASSNING!$A$5:$F$74,5,FALSE()),0))</f>
        <v/>
      </c>
      <c r="M358" s="35" t="str">
        <f t="shared" si="22"/>
        <v/>
      </c>
      <c r="N358" s="34" t="str">
        <f>IF(A358="","",IF(K358&lt;&gt;"Ja","Ej aktuell",IF(L358&lt;=0,"KONTROLLERA MATCHTID",IF(AND(COUNTIFS(BEMANNINGSPLAN!$A$5:$A$546,B358,BEMANNINGSPLAN!$C$5:$C$546,D358,BEMANNINGSPLAN!$D$5:$D$546,"&lt;="&amp;C358,BEMANNINGSPLAN!$E$5:$E$546,"&gt;"&amp;C358)&gt;0,COUNTIFS(BEMANNINGSPLAN!$A$5:$A$546,B358,BEMANNINGSPLAN!$C$5:$C$546,D358,BEMANNINGSPLAN!$D$5:$D$546,"&lt;"&amp;M358,BEMANNINGSPLAN!$E$5:$E$546,"&gt;="&amp;M358)&gt;0),"Ja","SAKNAS TIDSRADER"))))</f>
        <v/>
      </c>
      <c r="O358" s="137" t="str">
        <f>IF(OR(B358="",K358&lt;&gt;"Ja"),"",COUNTIFS($B$5:B358,B358,$K$5:K358,"Ja"))</f>
        <v/>
      </c>
      <c r="P358" s="137" t="str">
        <f t="shared" si="23"/>
        <v/>
      </c>
    </row>
    <row r="359" spans="1:16" ht="13">
      <c r="A359" s="31" t="str">
        <f>IF('IMPORT PROFIXIO'!A359="","",'IMPORT PROFIXIO'!A359)</f>
        <v/>
      </c>
      <c r="B359" s="32" t="str">
        <f>IF(A359="","",IF(ISNUMBER('IMPORT PROFIXIO'!D359),'IMPORT PROFIXIO'!D359,DATEVALUE('IMPORT PROFIXIO'!D359)))</f>
        <v/>
      </c>
      <c r="C359" s="33" t="str">
        <f>IF(A359="","",IF(ISNUMBER('IMPORT PROFIXIO'!E359),'IMPORT PROFIXIO'!E359,(VALUE(LEFT('IMPORT PROFIXIO'!E359,FIND(":",'IMPORT PROFIXIO'!E359)-1))*60+VALUE(MID('IMPORT PROFIXIO'!E359,FIND(":",'IMPORT PROFIXIO'!E359)+1,2)))/1440))</f>
        <v/>
      </c>
      <c r="D359" s="31" t="str">
        <f>IF(A359="","",'IMPORT PROFIXIO'!F359)</f>
        <v/>
      </c>
      <c r="E359" s="31" t="str">
        <f>IF(A359="","",'IMPORT PROFIXIO'!K359)</f>
        <v/>
      </c>
      <c r="F359" s="34" t="str">
        <f>IF(A359="","",IFERROR(VLOOKUP(E359,KLASSNING!$A$5:$F$74,2,FALSE()),"SAKNAS"))</f>
        <v/>
      </c>
      <c r="G359" s="34" t="str">
        <f>IF(A359="","",IFERROR(VLOOKUP(E359,KLASSNING!$A$5:$F$74,3,FALSE()),"SAKNAS"))</f>
        <v/>
      </c>
      <c r="H359" s="34" t="str">
        <f>IF(A359="","",'IMPORT PROFIXIO'!H359)</f>
        <v/>
      </c>
      <c r="I359" s="34" t="str">
        <f>IF(A359="","",'IMPORT PROFIXIO'!I359)</f>
        <v/>
      </c>
      <c r="J359" s="34" t="str">
        <f t="shared" si="20"/>
        <v/>
      </c>
      <c r="K359" s="34" t="str">
        <f t="shared" si="21"/>
        <v/>
      </c>
      <c r="L359" s="34" t="str">
        <f>IF(A359="","",IFERROR(VLOOKUP(E359,KLASSNING!$A$5:$F$74,5,FALSE()),0))</f>
        <v/>
      </c>
      <c r="M359" s="35" t="str">
        <f t="shared" si="22"/>
        <v/>
      </c>
      <c r="N359" s="34" t="str">
        <f>IF(A359="","",IF(K359&lt;&gt;"Ja","Ej aktuell",IF(L359&lt;=0,"KONTROLLERA MATCHTID",IF(AND(COUNTIFS(BEMANNINGSPLAN!$A$5:$A$546,B359,BEMANNINGSPLAN!$C$5:$C$546,D359,BEMANNINGSPLAN!$D$5:$D$546,"&lt;="&amp;C359,BEMANNINGSPLAN!$E$5:$E$546,"&gt;"&amp;C359)&gt;0,COUNTIFS(BEMANNINGSPLAN!$A$5:$A$546,B359,BEMANNINGSPLAN!$C$5:$C$546,D359,BEMANNINGSPLAN!$D$5:$D$546,"&lt;"&amp;M359,BEMANNINGSPLAN!$E$5:$E$546,"&gt;="&amp;M359)&gt;0),"Ja","SAKNAS TIDSRADER"))))</f>
        <v/>
      </c>
      <c r="O359" s="137" t="str">
        <f>IF(OR(B359="",K359&lt;&gt;"Ja"),"",COUNTIFS($B$5:B359,B359,$K$5:K359,"Ja"))</f>
        <v/>
      </c>
      <c r="P359" s="137" t="str">
        <f t="shared" si="23"/>
        <v/>
      </c>
    </row>
    <row r="360" spans="1:16" ht="13">
      <c r="A360" s="31" t="str">
        <f>IF('IMPORT PROFIXIO'!A360="","",'IMPORT PROFIXIO'!A360)</f>
        <v/>
      </c>
      <c r="B360" s="32" t="str">
        <f>IF(A360="","",IF(ISNUMBER('IMPORT PROFIXIO'!D360),'IMPORT PROFIXIO'!D360,DATEVALUE('IMPORT PROFIXIO'!D360)))</f>
        <v/>
      </c>
      <c r="C360" s="33" t="str">
        <f>IF(A360="","",IF(ISNUMBER('IMPORT PROFIXIO'!E360),'IMPORT PROFIXIO'!E360,(VALUE(LEFT('IMPORT PROFIXIO'!E360,FIND(":",'IMPORT PROFIXIO'!E360)-1))*60+VALUE(MID('IMPORT PROFIXIO'!E360,FIND(":",'IMPORT PROFIXIO'!E360)+1,2)))/1440))</f>
        <v/>
      </c>
      <c r="D360" s="31" t="str">
        <f>IF(A360="","",'IMPORT PROFIXIO'!F360)</f>
        <v/>
      </c>
      <c r="E360" s="31" t="str">
        <f>IF(A360="","",'IMPORT PROFIXIO'!K360)</f>
        <v/>
      </c>
      <c r="F360" s="34" t="str">
        <f>IF(A360="","",IFERROR(VLOOKUP(E360,KLASSNING!$A$5:$F$74,2,FALSE()),"SAKNAS"))</f>
        <v/>
      </c>
      <c r="G360" s="34" t="str">
        <f>IF(A360="","",IFERROR(VLOOKUP(E360,KLASSNING!$A$5:$F$74,3,FALSE()),"SAKNAS"))</f>
        <v/>
      </c>
      <c r="H360" s="34" t="str">
        <f>IF(A360="","",'IMPORT PROFIXIO'!H360)</f>
        <v/>
      </c>
      <c r="I360" s="34" t="str">
        <f>IF(A360="","",'IMPORT PROFIXIO'!I360)</f>
        <v/>
      </c>
      <c r="J360" s="34" t="str">
        <f t="shared" si="20"/>
        <v/>
      </c>
      <c r="K360" s="34" t="str">
        <f t="shared" si="21"/>
        <v/>
      </c>
      <c r="L360" s="34" t="str">
        <f>IF(A360="","",IFERROR(VLOOKUP(E360,KLASSNING!$A$5:$F$74,5,FALSE()),0))</f>
        <v/>
      </c>
      <c r="M360" s="35" t="str">
        <f t="shared" si="22"/>
        <v/>
      </c>
      <c r="N360" s="34" t="str">
        <f>IF(A360="","",IF(K360&lt;&gt;"Ja","Ej aktuell",IF(L360&lt;=0,"KONTROLLERA MATCHTID",IF(AND(COUNTIFS(BEMANNINGSPLAN!$A$5:$A$546,B360,BEMANNINGSPLAN!$C$5:$C$546,D360,BEMANNINGSPLAN!$D$5:$D$546,"&lt;="&amp;C360,BEMANNINGSPLAN!$E$5:$E$546,"&gt;"&amp;C360)&gt;0,COUNTIFS(BEMANNINGSPLAN!$A$5:$A$546,B360,BEMANNINGSPLAN!$C$5:$C$546,D360,BEMANNINGSPLAN!$D$5:$D$546,"&lt;"&amp;M360,BEMANNINGSPLAN!$E$5:$E$546,"&gt;="&amp;M360)&gt;0),"Ja","SAKNAS TIDSRADER"))))</f>
        <v/>
      </c>
      <c r="O360" s="137" t="str">
        <f>IF(OR(B360="",K360&lt;&gt;"Ja"),"",COUNTIFS($B$5:B360,B360,$K$5:K360,"Ja"))</f>
        <v/>
      </c>
      <c r="P360" s="137" t="str">
        <f t="shared" si="23"/>
        <v/>
      </c>
    </row>
    <row r="361" spans="1:16" ht="13">
      <c r="A361" s="31" t="str">
        <f>IF('IMPORT PROFIXIO'!A361="","",'IMPORT PROFIXIO'!A361)</f>
        <v/>
      </c>
      <c r="B361" s="32" t="str">
        <f>IF(A361="","",IF(ISNUMBER('IMPORT PROFIXIO'!D361),'IMPORT PROFIXIO'!D361,DATEVALUE('IMPORT PROFIXIO'!D361)))</f>
        <v/>
      </c>
      <c r="C361" s="33" t="str">
        <f>IF(A361="","",IF(ISNUMBER('IMPORT PROFIXIO'!E361),'IMPORT PROFIXIO'!E361,(VALUE(LEFT('IMPORT PROFIXIO'!E361,FIND(":",'IMPORT PROFIXIO'!E361)-1))*60+VALUE(MID('IMPORT PROFIXIO'!E361,FIND(":",'IMPORT PROFIXIO'!E361)+1,2)))/1440))</f>
        <v/>
      </c>
      <c r="D361" s="31" t="str">
        <f>IF(A361="","",'IMPORT PROFIXIO'!F361)</f>
        <v/>
      </c>
      <c r="E361" s="31" t="str">
        <f>IF(A361="","",'IMPORT PROFIXIO'!K361)</f>
        <v/>
      </c>
      <c r="F361" s="34" t="str">
        <f>IF(A361="","",IFERROR(VLOOKUP(E361,KLASSNING!$A$5:$F$74,2,FALSE()),"SAKNAS"))</f>
        <v/>
      </c>
      <c r="G361" s="34" t="str">
        <f>IF(A361="","",IFERROR(VLOOKUP(E361,KLASSNING!$A$5:$F$74,3,FALSE()),"SAKNAS"))</f>
        <v/>
      </c>
      <c r="H361" s="34" t="str">
        <f>IF(A361="","",'IMPORT PROFIXIO'!H361)</f>
        <v/>
      </c>
      <c r="I361" s="34" t="str">
        <f>IF(A361="","",'IMPORT PROFIXIO'!I361)</f>
        <v/>
      </c>
      <c r="J361" s="34" t="str">
        <f t="shared" si="20"/>
        <v/>
      </c>
      <c r="K361" s="34" t="str">
        <f t="shared" si="21"/>
        <v/>
      </c>
      <c r="L361" s="34" t="str">
        <f>IF(A361="","",IFERROR(VLOOKUP(E361,KLASSNING!$A$5:$F$74,5,FALSE()),0))</f>
        <v/>
      </c>
      <c r="M361" s="35" t="str">
        <f t="shared" si="22"/>
        <v/>
      </c>
      <c r="N361" s="34" t="str">
        <f>IF(A361="","",IF(K361&lt;&gt;"Ja","Ej aktuell",IF(L361&lt;=0,"KONTROLLERA MATCHTID",IF(AND(COUNTIFS(BEMANNINGSPLAN!$A$5:$A$546,B361,BEMANNINGSPLAN!$C$5:$C$546,D361,BEMANNINGSPLAN!$D$5:$D$546,"&lt;="&amp;C361,BEMANNINGSPLAN!$E$5:$E$546,"&gt;"&amp;C361)&gt;0,COUNTIFS(BEMANNINGSPLAN!$A$5:$A$546,B361,BEMANNINGSPLAN!$C$5:$C$546,D361,BEMANNINGSPLAN!$D$5:$D$546,"&lt;"&amp;M361,BEMANNINGSPLAN!$E$5:$E$546,"&gt;="&amp;M361)&gt;0),"Ja","SAKNAS TIDSRADER"))))</f>
        <v/>
      </c>
      <c r="O361" s="137" t="str">
        <f>IF(OR(B361="",K361&lt;&gt;"Ja"),"",COUNTIFS($B$5:B361,B361,$K$5:K361,"Ja"))</f>
        <v/>
      </c>
      <c r="P361" s="137" t="str">
        <f t="shared" si="23"/>
        <v/>
      </c>
    </row>
    <row r="362" spans="1:16" ht="13">
      <c r="A362" s="31" t="str">
        <f>IF('IMPORT PROFIXIO'!A362="","",'IMPORT PROFIXIO'!A362)</f>
        <v/>
      </c>
      <c r="B362" s="32" t="str">
        <f>IF(A362="","",IF(ISNUMBER('IMPORT PROFIXIO'!D362),'IMPORT PROFIXIO'!D362,DATEVALUE('IMPORT PROFIXIO'!D362)))</f>
        <v/>
      </c>
      <c r="C362" s="33" t="str">
        <f>IF(A362="","",IF(ISNUMBER('IMPORT PROFIXIO'!E362),'IMPORT PROFIXIO'!E362,(VALUE(LEFT('IMPORT PROFIXIO'!E362,FIND(":",'IMPORT PROFIXIO'!E362)-1))*60+VALUE(MID('IMPORT PROFIXIO'!E362,FIND(":",'IMPORT PROFIXIO'!E362)+1,2)))/1440))</f>
        <v/>
      </c>
      <c r="D362" s="31" t="str">
        <f>IF(A362="","",'IMPORT PROFIXIO'!F362)</f>
        <v/>
      </c>
      <c r="E362" s="31" t="str">
        <f>IF(A362="","",'IMPORT PROFIXIO'!K362)</f>
        <v/>
      </c>
      <c r="F362" s="34" t="str">
        <f>IF(A362="","",IFERROR(VLOOKUP(E362,KLASSNING!$A$5:$F$74,2,FALSE()),"SAKNAS"))</f>
        <v/>
      </c>
      <c r="G362" s="34" t="str">
        <f>IF(A362="","",IFERROR(VLOOKUP(E362,KLASSNING!$A$5:$F$74,3,FALSE()),"SAKNAS"))</f>
        <v/>
      </c>
      <c r="H362" s="34" t="str">
        <f>IF(A362="","",'IMPORT PROFIXIO'!H362)</f>
        <v/>
      </c>
      <c r="I362" s="34" t="str">
        <f>IF(A362="","",'IMPORT PROFIXIO'!I362)</f>
        <v/>
      </c>
      <c r="J362" s="34" t="str">
        <f t="shared" si="20"/>
        <v/>
      </c>
      <c r="K362" s="34" t="str">
        <f t="shared" si="21"/>
        <v/>
      </c>
      <c r="L362" s="34" t="str">
        <f>IF(A362="","",IFERROR(VLOOKUP(E362,KLASSNING!$A$5:$F$74,5,FALSE()),0))</f>
        <v/>
      </c>
      <c r="M362" s="35" t="str">
        <f t="shared" si="22"/>
        <v/>
      </c>
      <c r="N362" s="34" t="str">
        <f>IF(A362="","",IF(K362&lt;&gt;"Ja","Ej aktuell",IF(L362&lt;=0,"KONTROLLERA MATCHTID",IF(AND(COUNTIFS(BEMANNINGSPLAN!$A$5:$A$546,B362,BEMANNINGSPLAN!$C$5:$C$546,D362,BEMANNINGSPLAN!$D$5:$D$546,"&lt;="&amp;C362,BEMANNINGSPLAN!$E$5:$E$546,"&gt;"&amp;C362)&gt;0,COUNTIFS(BEMANNINGSPLAN!$A$5:$A$546,B362,BEMANNINGSPLAN!$C$5:$C$546,D362,BEMANNINGSPLAN!$D$5:$D$546,"&lt;"&amp;M362,BEMANNINGSPLAN!$E$5:$E$546,"&gt;="&amp;M362)&gt;0),"Ja","SAKNAS TIDSRADER"))))</f>
        <v/>
      </c>
      <c r="O362" s="137" t="str">
        <f>IF(OR(B362="",K362&lt;&gt;"Ja"),"",COUNTIFS($B$5:B362,B362,$K$5:K362,"Ja"))</f>
        <v/>
      </c>
      <c r="P362" s="137" t="str">
        <f t="shared" si="23"/>
        <v/>
      </c>
    </row>
    <row r="363" spans="1:16" ht="13">
      <c r="A363" s="31" t="str">
        <f>IF('IMPORT PROFIXIO'!A363="","",'IMPORT PROFIXIO'!A363)</f>
        <v/>
      </c>
      <c r="B363" s="32" t="str">
        <f>IF(A363="","",IF(ISNUMBER('IMPORT PROFIXIO'!D363),'IMPORT PROFIXIO'!D363,DATEVALUE('IMPORT PROFIXIO'!D363)))</f>
        <v/>
      </c>
      <c r="C363" s="33" t="str">
        <f>IF(A363="","",IF(ISNUMBER('IMPORT PROFIXIO'!E363),'IMPORT PROFIXIO'!E363,(VALUE(LEFT('IMPORT PROFIXIO'!E363,FIND(":",'IMPORT PROFIXIO'!E363)-1))*60+VALUE(MID('IMPORT PROFIXIO'!E363,FIND(":",'IMPORT PROFIXIO'!E363)+1,2)))/1440))</f>
        <v/>
      </c>
      <c r="D363" s="31" t="str">
        <f>IF(A363="","",'IMPORT PROFIXIO'!F363)</f>
        <v/>
      </c>
      <c r="E363" s="31" t="str">
        <f>IF(A363="","",'IMPORT PROFIXIO'!K363)</f>
        <v/>
      </c>
      <c r="F363" s="34" t="str">
        <f>IF(A363="","",IFERROR(VLOOKUP(E363,KLASSNING!$A$5:$F$74,2,FALSE()),"SAKNAS"))</f>
        <v/>
      </c>
      <c r="G363" s="34" t="str">
        <f>IF(A363="","",IFERROR(VLOOKUP(E363,KLASSNING!$A$5:$F$74,3,FALSE()),"SAKNAS"))</f>
        <v/>
      </c>
      <c r="H363" s="34" t="str">
        <f>IF(A363="","",'IMPORT PROFIXIO'!H363)</f>
        <v/>
      </c>
      <c r="I363" s="34" t="str">
        <f>IF(A363="","",'IMPORT PROFIXIO'!I363)</f>
        <v/>
      </c>
      <c r="J363" s="34" t="str">
        <f t="shared" si="20"/>
        <v/>
      </c>
      <c r="K363" s="34" t="str">
        <f t="shared" si="21"/>
        <v/>
      </c>
      <c r="L363" s="34" t="str">
        <f>IF(A363="","",IFERROR(VLOOKUP(E363,KLASSNING!$A$5:$F$74,5,FALSE()),0))</f>
        <v/>
      </c>
      <c r="M363" s="35" t="str">
        <f t="shared" si="22"/>
        <v/>
      </c>
      <c r="N363" s="34" t="str">
        <f>IF(A363="","",IF(K363&lt;&gt;"Ja","Ej aktuell",IF(L363&lt;=0,"KONTROLLERA MATCHTID",IF(AND(COUNTIFS(BEMANNINGSPLAN!$A$5:$A$546,B363,BEMANNINGSPLAN!$C$5:$C$546,D363,BEMANNINGSPLAN!$D$5:$D$546,"&lt;="&amp;C363,BEMANNINGSPLAN!$E$5:$E$546,"&gt;"&amp;C363)&gt;0,COUNTIFS(BEMANNINGSPLAN!$A$5:$A$546,B363,BEMANNINGSPLAN!$C$5:$C$546,D363,BEMANNINGSPLAN!$D$5:$D$546,"&lt;"&amp;M363,BEMANNINGSPLAN!$E$5:$E$546,"&gt;="&amp;M363)&gt;0),"Ja","SAKNAS TIDSRADER"))))</f>
        <v/>
      </c>
      <c r="O363" s="137" t="str">
        <f>IF(OR(B363="",K363&lt;&gt;"Ja"),"",COUNTIFS($B$5:B363,B363,$K$5:K363,"Ja"))</f>
        <v/>
      </c>
      <c r="P363" s="137" t="str">
        <f t="shared" si="23"/>
        <v/>
      </c>
    </row>
    <row r="364" spans="1:16" ht="13">
      <c r="A364" s="31" t="str">
        <f>IF('IMPORT PROFIXIO'!A364="","",'IMPORT PROFIXIO'!A364)</f>
        <v/>
      </c>
      <c r="B364" s="32" t="str">
        <f>IF(A364="","",IF(ISNUMBER('IMPORT PROFIXIO'!D364),'IMPORT PROFIXIO'!D364,DATEVALUE('IMPORT PROFIXIO'!D364)))</f>
        <v/>
      </c>
      <c r="C364" s="33" t="str">
        <f>IF(A364="","",IF(ISNUMBER('IMPORT PROFIXIO'!E364),'IMPORT PROFIXIO'!E364,(VALUE(LEFT('IMPORT PROFIXIO'!E364,FIND(":",'IMPORT PROFIXIO'!E364)-1))*60+VALUE(MID('IMPORT PROFIXIO'!E364,FIND(":",'IMPORT PROFIXIO'!E364)+1,2)))/1440))</f>
        <v/>
      </c>
      <c r="D364" s="31" t="str">
        <f>IF(A364="","",'IMPORT PROFIXIO'!F364)</f>
        <v/>
      </c>
      <c r="E364" s="31" t="str">
        <f>IF(A364="","",'IMPORT PROFIXIO'!K364)</f>
        <v/>
      </c>
      <c r="F364" s="34" t="str">
        <f>IF(A364="","",IFERROR(VLOOKUP(E364,KLASSNING!$A$5:$F$74,2,FALSE()),"SAKNAS"))</f>
        <v/>
      </c>
      <c r="G364" s="34" t="str">
        <f>IF(A364="","",IFERROR(VLOOKUP(E364,KLASSNING!$A$5:$F$74,3,FALSE()),"SAKNAS"))</f>
        <v/>
      </c>
      <c r="H364" s="34" t="str">
        <f>IF(A364="","",'IMPORT PROFIXIO'!H364)</f>
        <v/>
      </c>
      <c r="I364" s="34" t="str">
        <f>IF(A364="","",'IMPORT PROFIXIO'!I364)</f>
        <v/>
      </c>
      <c r="J364" s="34" t="str">
        <f t="shared" si="20"/>
        <v/>
      </c>
      <c r="K364" s="34" t="str">
        <f t="shared" si="21"/>
        <v/>
      </c>
      <c r="L364" s="34" t="str">
        <f>IF(A364="","",IFERROR(VLOOKUP(E364,KLASSNING!$A$5:$F$74,5,FALSE()),0))</f>
        <v/>
      </c>
      <c r="M364" s="35" t="str">
        <f t="shared" si="22"/>
        <v/>
      </c>
      <c r="N364" s="34" t="str">
        <f>IF(A364="","",IF(K364&lt;&gt;"Ja","Ej aktuell",IF(L364&lt;=0,"KONTROLLERA MATCHTID",IF(AND(COUNTIFS(BEMANNINGSPLAN!$A$5:$A$546,B364,BEMANNINGSPLAN!$C$5:$C$546,D364,BEMANNINGSPLAN!$D$5:$D$546,"&lt;="&amp;C364,BEMANNINGSPLAN!$E$5:$E$546,"&gt;"&amp;C364)&gt;0,COUNTIFS(BEMANNINGSPLAN!$A$5:$A$546,B364,BEMANNINGSPLAN!$C$5:$C$546,D364,BEMANNINGSPLAN!$D$5:$D$546,"&lt;"&amp;M364,BEMANNINGSPLAN!$E$5:$E$546,"&gt;="&amp;M364)&gt;0),"Ja","SAKNAS TIDSRADER"))))</f>
        <v/>
      </c>
      <c r="O364" s="137" t="str">
        <f>IF(OR(B364="",K364&lt;&gt;"Ja"),"",COUNTIFS($B$5:B364,B364,$K$5:K364,"Ja"))</f>
        <v/>
      </c>
      <c r="P364" s="137" t="str">
        <f t="shared" si="23"/>
        <v/>
      </c>
    </row>
    <row r="365" spans="1:16" ht="13">
      <c r="A365" s="31" t="str">
        <f>IF('IMPORT PROFIXIO'!A365="","",'IMPORT PROFIXIO'!A365)</f>
        <v/>
      </c>
      <c r="B365" s="32" t="str">
        <f>IF(A365="","",IF(ISNUMBER('IMPORT PROFIXIO'!D365),'IMPORT PROFIXIO'!D365,DATEVALUE('IMPORT PROFIXIO'!D365)))</f>
        <v/>
      </c>
      <c r="C365" s="33" t="str">
        <f>IF(A365="","",IF(ISNUMBER('IMPORT PROFIXIO'!E365),'IMPORT PROFIXIO'!E365,(VALUE(LEFT('IMPORT PROFIXIO'!E365,FIND(":",'IMPORT PROFIXIO'!E365)-1))*60+VALUE(MID('IMPORT PROFIXIO'!E365,FIND(":",'IMPORT PROFIXIO'!E365)+1,2)))/1440))</f>
        <v/>
      </c>
      <c r="D365" s="31" t="str">
        <f>IF(A365="","",'IMPORT PROFIXIO'!F365)</f>
        <v/>
      </c>
      <c r="E365" s="31" t="str">
        <f>IF(A365="","",'IMPORT PROFIXIO'!K365)</f>
        <v/>
      </c>
      <c r="F365" s="34" t="str">
        <f>IF(A365="","",IFERROR(VLOOKUP(E365,KLASSNING!$A$5:$F$74,2,FALSE()),"SAKNAS"))</f>
        <v/>
      </c>
      <c r="G365" s="34" t="str">
        <f>IF(A365="","",IFERROR(VLOOKUP(E365,KLASSNING!$A$5:$F$74,3,FALSE()),"SAKNAS"))</f>
        <v/>
      </c>
      <c r="H365" s="34" t="str">
        <f>IF(A365="","",'IMPORT PROFIXIO'!H365)</f>
        <v/>
      </c>
      <c r="I365" s="34" t="str">
        <f>IF(A365="","",'IMPORT PROFIXIO'!I365)</f>
        <v/>
      </c>
      <c r="J365" s="34" t="str">
        <f t="shared" si="20"/>
        <v/>
      </c>
      <c r="K365" s="34" t="str">
        <f t="shared" si="21"/>
        <v/>
      </c>
      <c r="L365" s="34" t="str">
        <f>IF(A365="","",IFERROR(VLOOKUP(E365,KLASSNING!$A$5:$F$74,5,FALSE()),0))</f>
        <v/>
      </c>
      <c r="M365" s="35" t="str">
        <f t="shared" si="22"/>
        <v/>
      </c>
      <c r="N365" s="34" t="str">
        <f>IF(A365="","",IF(K365&lt;&gt;"Ja","Ej aktuell",IF(L365&lt;=0,"KONTROLLERA MATCHTID",IF(AND(COUNTIFS(BEMANNINGSPLAN!$A$5:$A$546,B365,BEMANNINGSPLAN!$C$5:$C$546,D365,BEMANNINGSPLAN!$D$5:$D$546,"&lt;="&amp;C365,BEMANNINGSPLAN!$E$5:$E$546,"&gt;"&amp;C365)&gt;0,COUNTIFS(BEMANNINGSPLAN!$A$5:$A$546,B365,BEMANNINGSPLAN!$C$5:$C$546,D365,BEMANNINGSPLAN!$D$5:$D$546,"&lt;"&amp;M365,BEMANNINGSPLAN!$E$5:$E$546,"&gt;="&amp;M365)&gt;0),"Ja","SAKNAS TIDSRADER"))))</f>
        <v/>
      </c>
      <c r="O365" s="137" t="str">
        <f>IF(OR(B365="",K365&lt;&gt;"Ja"),"",COUNTIFS($B$5:B365,B365,$K$5:K365,"Ja"))</f>
        <v/>
      </c>
      <c r="P365" s="137" t="str">
        <f t="shared" si="23"/>
        <v/>
      </c>
    </row>
    <row r="366" spans="1:16" ht="13">
      <c r="A366" s="31" t="str">
        <f>IF('IMPORT PROFIXIO'!A366="","",'IMPORT PROFIXIO'!A366)</f>
        <v/>
      </c>
      <c r="B366" s="32" t="str">
        <f>IF(A366="","",IF(ISNUMBER('IMPORT PROFIXIO'!D366),'IMPORT PROFIXIO'!D366,DATEVALUE('IMPORT PROFIXIO'!D366)))</f>
        <v/>
      </c>
      <c r="C366" s="33" t="str">
        <f>IF(A366="","",IF(ISNUMBER('IMPORT PROFIXIO'!E366),'IMPORT PROFIXIO'!E366,(VALUE(LEFT('IMPORT PROFIXIO'!E366,FIND(":",'IMPORT PROFIXIO'!E366)-1))*60+VALUE(MID('IMPORT PROFIXIO'!E366,FIND(":",'IMPORT PROFIXIO'!E366)+1,2)))/1440))</f>
        <v/>
      </c>
      <c r="D366" s="31" t="str">
        <f>IF(A366="","",'IMPORT PROFIXIO'!F366)</f>
        <v/>
      </c>
      <c r="E366" s="31" t="str">
        <f>IF(A366="","",'IMPORT PROFIXIO'!K366)</f>
        <v/>
      </c>
      <c r="F366" s="34" t="str">
        <f>IF(A366="","",IFERROR(VLOOKUP(E366,KLASSNING!$A$5:$F$74,2,FALSE()),"SAKNAS"))</f>
        <v/>
      </c>
      <c r="G366" s="34" t="str">
        <f>IF(A366="","",IFERROR(VLOOKUP(E366,KLASSNING!$A$5:$F$74,3,FALSE()),"SAKNAS"))</f>
        <v/>
      </c>
      <c r="H366" s="34" t="str">
        <f>IF(A366="","",'IMPORT PROFIXIO'!H366)</f>
        <v/>
      </c>
      <c r="I366" s="34" t="str">
        <f>IF(A366="","",'IMPORT PROFIXIO'!I366)</f>
        <v/>
      </c>
      <c r="J366" s="34" t="str">
        <f t="shared" si="20"/>
        <v/>
      </c>
      <c r="K366" s="34" t="str">
        <f t="shared" si="21"/>
        <v/>
      </c>
      <c r="L366" s="34" t="str">
        <f>IF(A366="","",IFERROR(VLOOKUP(E366,KLASSNING!$A$5:$F$74,5,FALSE()),0))</f>
        <v/>
      </c>
      <c r="M366" s="35" t="str">
        <f t="shared" si="22"/>
        <v/>
      </c>
      <c r="N366" s="34" t="str">
        <f>IF(A366="","",IF(K366&lt;&gt;"Ja","Ej aktuell",IF(L366&lt;=0,"KONTROLLERA MATCHTID",IF(AND(COUNTIFS(BEMANNINGSPLAN!$A$5:$A$546,B366,BEMANNINGSPLAN!$C$5:$C$546,D366,BEMANNINGSPLAN!$D$5:$D$546,"&lt;="&amp;C366,BEMANNINGSPLAN!$E$5:$E$546,"&gt;"&amp;C366)&gt;0,COUNTIFS(BEMANNINGSPLAN!$A$5:$A$546,B366,BEMANNINGSPLAN!$C$5:$C$546,D366,BEMANNINGSPLAN!$D$5:$D$546,"&lt;"&amp;M366,BEMANNINGSPLAN!$E$5:$E$546,"&gt;="&amp;M366)&gt;0),"Ja","SAKNAS TIDSRADER"))))</f>
        <v/>
      </c>
      <c r="O366" s="137" t="str">
        <f>IF(OR(B366="",K366&lt;&gt;"Ja"),"",COUNTIFS($B$5:B366,B366,$K$5:K366,"Ja"))</f>
        <v/>
      </c>
      <c r="P366" s="137" t="str">
        <f t="shared" si="23"/>
        <v/>
      </c>
    </row>
    <row r="367" spans="1:16" ht="13">
      <c r="A367" s="31" t="str">
        <f>IF('IMPORT PROFIXIO'!A367="","",'IMPORT PROFIXIO'!A367)</f>
        <v/>
      </c>
      <c r="B367" s="32" t="str">
        <f>IF(A367="","",IF(ISNUMBER('IMPORT PROFIXIO'!D367),'IMPORT PROFIXIO'!D367,DATEVALUE('IMPORT PROFIXIO'!D367)))</f>
        <v/>
      </c>
      <c r="C367" s="33" t="str">
        <f>IF(A367="","",IF(ISNUMBER('IMPORT PROFIXIO'!E367),'IMPORT PROFIXIO'!E367,(VALUE(LEFT('IMPORT PROFIXIO'!E367,FIND(":",'IMPORT PROFIXIO'!E367)-1))*60+VALUE(MID('IMPORT PROFIXIO'!E367,FIND(":",'IMPORT PROFIXIO'!E367)+1,2)))/1440))</f>
        <v/>
      </c>
      <c r="D367" s="31" t="str">
        <f>IF(A367="","",'IMPORT PROFIXIO'!F367)</f>
        <v/>
      </c>
      <c r="E367" s="31" t="str">
        <f>IF(A367="","",'IMPORT PROFIXIO'!K367)</f>
        <v/>
      </c>
      <c r="F367" s="34" t="str">
        <f>IF(A367="","",IFERROR(VLOOKUP(E367,KLASSNING!$A$5:$F$74,2,FALSE()),"SAKNAS"))</f>
        <v/>
      </c>
      <c r="G367" s="34" t="str">
        <f>IF(A367="","",IFERROR(VLOOKUP(E367,KLASSNING!$A$5:$F$74,3,FALSE()),"SAKNAS"))</f>
        <v/>
      </c>
      <c r="H367" s="34" t="str">
        <f>IF(A367="","",'IMPORT PROFIXIO'!H367)</f>
        <v/>
      </c>
      <c r="I367" s="34" t="str">
        <f>IF(A367="","",'IMPORT PROFIXIO'!I367)</f>
        <v/>
      </c>
      <c r="J367" s="34" t="str">
        <f t="shared" si="20"/>
        <v/>
      </c>
      <c r="K367" s="34" t="str">
        <f t="shared" si="21"/>
        <v/>
      </c>
      <c r="L367" s="34" t="str">
        <f>IF(A367="","",IFERROR(VLOOKUP(E367,KLASSNING!$A$5:$F$74,5,FALSE()),0))</f>
        <v/>
      </c>
      <c r="M367" s="35" t="str">
        <f t="shared" si="22"/>
        <v/>
      </c>
      <c r="N367" s="34" t="str">
        <f>IF(A367="","",IF(K367&lt;&gt;"Ja","Ej aktuell",IF(L367&lt;=0,"KONTROLLERA MATCHTID",IF(AND(COUNTIFS(BEMANNINGSPLAN!$A$5:$A$546,B367,BEMANNINGSPLAN!$C$5:$C$546,D367,BEMANNINGSPLAN!$D$5:$D$546,"&lt;="&amp;C367,BEMANNINGSPLAN!$E$5:$E$546,"&gt;"&amp;C367)&gt;0,COUNTIFS(BEMANNINGSPLAN!$A$5:$A$546,B367,BEMANNINGSPLAN!$C$5:$C$546,D367,BEMANNINGSPLAN!$D$5:$D$546,"&lt;"&amp;M367,BEMANNINGSPLAN!$E$5:$E$546,"&gt;="&amp;M367)&gt;0),"Ja","SAKNAS TIDSRADER"))))</f>
        <v/>
      </c>
      <c r="O367" s="137" t="str">
        <f>IF(OR(B367="",K367&lt;&gt;"Ja"),"",COUNTIFS($B$5:B367,B367,$K$5:K367,"Ja"))</f>
        <v/>
      </c>
      <c r="P367" s="137" t="str">
        <f t="shared" si="23"/>
        <v/>
      </c>
    </row>
    <row r="368" spans="1:16" ht="13">
      <c r="A368" s="31" t="str">
        <f>IF('IMPORT PROFIXIO'!A368="","",'IMPORT PROFIXIO'!A368)</f>
        <v/>
      </c>
      <c r="B368" s="32" t="str">
        <f>IF(A368="","",IF(ISNUMBER('IMPORT PROFIXIO'!D368),'IMPORT PROFIXIO'!D368,DATEVALUE('IMPORT PROFIXIO'!D368)))</f>
        <v/>
      </c>
      <c r="C368" s="33" t="str">
        <f>IF(A368="","",IF(ISNUMBER('IMPORT PROFIXIO'!E368),'IMPORT PROFIXIO'!E368,(VALUE(LEFT('IMPORT PROFIXIO'!E368,FIND(":",'IMPORT PROFIXIO'!E368)-1))*60+VALUE(MID('IMPORT PROFIXIO'!E368,FIND(":",'IMPORT PROFIXIO'!E368)+1,2)))/1440))</f>
        <v/>
      </c>
      <c r="D368" s="31" t="str">
        <f>IF(A368="","",'IMPORT PROFIXIO'!F368)</f>
        <v/>
      </c>
      <c r="E368" s="31" t="str">
        <f>IF(A368="","",'IMPORT PROFIXIO'!K368)</f>
        <v/>
      </c>
      <c r="F368" s="34" t="str">
        <f>IF(A368="","",IFERROR(VLOOKUP(E368,KLASSNING!$A$5:$F$74,2,FALSE()),"SAKNAS"))</f>
        <v/>
      </c>
      <c r="G368" s="34" t="str">
        <f>IF(A368="","",IFERROR(VLOOKUP(E368,KLASSNING!$A$5:$F$74,3,FALSE()),"SAKNAS"))</f>
        <v/>
      </c>
      <c r="H368" s="34" t="str">
        <f>IF(A368="","",'IMPORT PROFIXIO'!H368)</f>
        <v/>
      </c>
      <c r="I368" s="34" t="str">
        <f>IF(A368="","",'IMPORT PROFIXIO'!I368)</f>
        <v/>
      </c>
      <c r="J368" s="34" t="str">
        <f t="shared" si="20"/>
        <v/>
      </c>
      <c r="K368" s="34" t="str">
        <f t="shared" si="21"/>
        <v/>
      </c>
      <c r="L368" s="34" t="str">
        <f>IF(A368="","",IFERROR(VLOOKUP(E368,KLASSNING!$A$5:$F$74,5,FALSE()),0))</f>
        <v/>
      </c>
      <c r="M368" s="35" t="str">
        <f t="shared" si="22"/>
        <v/>
      </c>
      <c r="N368" s="34" t="str">
        <f>IF(A368="","",IF(K368&lt;&gt;"Ja","Ej aktuell",IF(L368&lt;=0,"KONTROLLERA MATCHTID",IF(AND(COUNTIFS(BEMANNINGSPLAN!$A$5:$A$546,B368,BEMANNINGSPLAN!$C$5:$C$546,D368,BEMANNINGSPLAN!$D$5:$D$546,"&lt;="&amp;C368,BEMANNINGSPLAN!$E$5:$E$546,"&gt;"&amp;C368)&gt;0,COUNTIFS(BEMANNINGSPLAN!$A$5:$A$546,B368,BEMANNINGSPLAN!$C$5:$C$546,D368,BEMANNINGSPLAN!$D$5:$D$546,"&lt;"&amp;M368,BEMANNINGSPLAN!$E$5:$E$546,"&gt;="&amp;M368)&gt;0),"Ja","SAKNAS TIDSRADER"))))</f>
        <v/>
      </c>
      <c r="O368" s="137" t="str">
        <f>IF(OR(B368="",K368&lt;&gt;"Ja"),"",COUNTIFS($B$5:B368,B368,$K$5:K368,"Ja"))</f>
        <v/>
      </c>
      <c r="P368" s="137" t="str">
        <f t="shared" si="23"/>
        <v/>
      </c>
    </row>
    <row r="369" spans="1:16" ht="13">
      <c r="A369" s="31" t="str">
        <f>IF('IMPORT PROFIXIO'!A369="","",'IMPORT PROFIXIO'!A369)</f>
        <v/>
      </c>
      <c r="B369" s="32" t="str">
        <f>IF(A369="","",IF(ISNUMBER('IMPORT PROFIXIO'!D369),'IMPORT PROFIXIO'!D369,DATEVALUE('IMPORT PROFIXIO'!D369)))</f>
        <v/>
      </c>
      <c r="C369" s="33" t="str">
        <f>IF(A369="","",IF(ISNUMBER('IMPORT PROFIXIO'!E369),'IMPORT PROFIXIO'!E369,(VALUE(LEFT('IMPORT PROFIXIO'!E369,FIND(":",'IMPORT PROFIXIO'!E369)-1))*60+VALUE(MID('IMPORT PROFIXIO'!E369,FIND(":",'IMPORT PROFIXIO'!E369)+1,2)))/1440))</f>
        <v/>
      </c>
      <c r="D369" s="31" t="str">
        <f>IF(A369="","",'IMPORT PROFIXIO'!F369)</f>
        <v/>
      </c>
      <c r="E369" s="31" t="str">
        <f>IF(A369="","",'IMPORT PROFIXIO'!K369)</f>
        <v/>
      </c>
      <c r="F369" s="34" t="str">
        <f>IF(A369="","",IFERROR(VLOOKUP(E369,KLASSNING!$A$5:$F$74,2,FALSE()),"SAKNAS"))</f>
        <v/>
      </c>
      <c r="G369" s="34" t="str">
        <f>IF(A369="","",IFERROR(VLOOKUP(E369,KLASSNING!$A$5:$F$74,3,FALSE()),"SAKNAS"))</f>
        <v/>
      </c>
      <c r="H369" s="34" t="str">
        <f>IF(A369="","",'IMPORT PROFIXIO'!H369)</f>
        <v/>
      </c>
      <c r="I369" s="34" t="str">
        <f>IF(A369="","",'IMPORT PROFIXIO'!I369)</f>
        <v/>
      </c>
      <c r="J369" s="34" t="str">
        <f t="shared" si="20"/>
        <v/>
      </c>
      <c r="K369" s="34" t="str">
        <f t="shared" si="21"/>
        <v/>
      </c>
      <c r="L369" s="34" t="str">
        <f>IF(A369="","",IFERROR(VLOOKUP(E369,KLASSNING!$A$5:$F$74,5,FALSE()),0))</f>
        <v/>
      </c>
      <c r="M369" s="35" t="str">
        <f t="shared" si="22"/>
        <v/>
      </c>
      <c r="N369" s="34" t="str">
        <f>IF(A369="","",IF(K369&lt;&gt;"Ja","Ej aktuell",IF(L369&lt;=0,"KONTROLLERA MATCHTID",IF(AND(COUNTIFS(BEMANNINGSPLAN!$A$5:$A$546,B369,BEMANNINGSPLAN!$C$5:$C$546,D369,BEMANNINGSPLAN!$D$5:$D$546,"&lt;="&amp;C369,BEMANNINGSPLAN!$E$5:$E$546,"&gt;"&amp;C369)&gt;0,COUNTIFS(BEMANNINGSPLAN!$A$5:$A$546,B369,BEMANNINGSPLAN!$C$5:$C$546,D369,BEMANNINGSPLAN!$D$5:$D$546,"&lt;"&amp;M369,BEMANNINGSPLAN!$E$5:$E$546,"&gt;="&amp;M369)&gt;0),"Ja","SAKNAS TIDSRADER"))))</f>
        <v/>
      </c>
      <c r="O369" s="137" t="str">
        <f>IF(OR(B369="",K369&lt;&gt;"Ja"),"",COUNTIFS($B$5:B369,B369,$K$5:K369,"Ja"))</f>
        <v/>
      </c>
      <c r="P369" s="137" t="str">
        <f t="shared" si="23"/>
        <v/>
      </c>
    </row>
    <row r="370" spans="1:16" ht="13">
      <c r="A370" s="31" t="str">
        <f>IF('IMPORT PROFIXIO'!A370="","",'IMPORT PROFIXIO'!A370)</f>
        <v/>
      </c>
      <c r="B370" s="32" t="str">
        <f>IF(A370="","",IF(ISNUMBER('IMPORT PROFIXIO'!D370),'IMPORT PROFIXIO'!D370,DATEVALUE('IMPORT PROFIXIO'!D370)))</f>
        <v/>
      </c>
      <c r="C370" s="33" t="str">
        <f>IF(A370="","",IF(ISNUMBER('IMPORT PROFIXIO'!E370),'IMPORT PROFIXIO'!E370,(VALUE(LEFT('IMPORT PROFIXIO'!E370,FIND(":",'IMPORT PROFIXIO'!E370)-1))*60+VALUE(MID('IMPORT PROFIXIO'!E370,FIND(":",'IMPORT PROFIXIO'!E370)+1,2)))/1440))</f>
        <v/>
      </c>
      <c r="D370" s="31" t="str">
        <f>IF(A370="","",'IMPORT PROFIXIO'!F370)</f>
        <v/>
      </c>
      <c r="E370" s="31" t="str">
        <f>IF(A370="","",'IMPORT PROFIXIO'!K370)</f>
        <v/>
      </c>
      <c r="F370" s="34" t="str">
        <f>IF(A370="","",IFERROR(VLOOKUP(E370,KLASSNING!$A$5:$F$74,2,FALSE()),"SAKNAS"))</f>
        <v/>
      </c>
      <c r="G370" s="34" t="str">
        <f>IF(A370="","",IFERROR(VLOOKUP(E370,KLASSNING!$A$5:$F$74,3,FALSE()),"SAKNAS"))</f>
        <v/>
      </c>
      <c r="H370" s="34" t="str">
        <f>IF(A370="","",'IMPORT PROFIXIO'!H370)</f>
        <v/>
      </c>
      <c r="I370" s="34" t="str">
        <f>IF(A370="","",'IMPORT PROFIXIO'!I370)</f>
        <v/>
      </c>
      <c r="J370" s="34" t="str">
        <f t="shared" si="20"/>
        <v/>
      </c>
      <c r="K370" s="34" t="str">
        <f t="shared" si="21"/>
        <v/>
      </c>
      <c r="L370" s="34" t="str">
        <f>IF(A370="","",IFERROR(VLOOKUP(E370,KLASSNING!$A$5:$F$74,5,FALSE()),0))</f>
        <v/>
      </c>
      <c r="M370" s="35" t="str">
        <f t="shared" si="22"/>
        <v/>
      </c>
      <c r="N370" s="34" t="str">
        <f>IF(A370="","",IF(K370&lt;&gt;"Ja","Ej aktuell",IF(L370&lt;=0,"KONTROLLERA MATCHTID",IF(AND(COUNTIFS(BEMANNINGSPLAN!$A$5:$A$546,B370,BEMANNINGSPLAN!$C$5:$C$546,D370,BEMANNINGSPLAN!$D$5:$D$546,"&lt;="&amp;C370,BEMANNINGSPLAN!$E$5:$E$546,"&gt;"&amp;C370)&gt;0,COUNTIFS(BEMANNINGSPLAN!$A$5:$A$546,B370,BEMANNINGSPLAN!$C$5:$C$546,D370,BEMANNINGSPLAN!$D$5:$D$546,"&lt;"&amp;M370,BEMANNINGSPLAN!$E$5:$E$546,"&gt;="&amp;M370)&gt;0),"Ja","SAKNAS TIDSRADER"))))</f>
        <v/>
      </c>
      <c r="O370" s="137" t="str">
        <f>IF(OR(B370="",K370&lt;&gt;"Ja"),"",COUNTIFS($B$5:B370,B370,$K$5:K370,"Ja"))</f>
        <v/>
      </c>
      <c r="P370" s="137" t="str">
        <f t="shared" si="23"/>
        <v/>
      </c>
    </row>
    <row r="371" spans="1:16" ht="13">
      <c r="A371" s="31" t="str">
        <f>IF('IMPORT PROFIXIO'!A371="","",'IMPORT PROFIXIO'!A371)</f>
        <v/>
      </c>
      <c r="B371" s="32" t="str">
        <f>IF(A371="","",IF(ISNUMBER('IMPORT PROFIXIO'!D371),'IMPORT PROFIXIO'!D371,DATEVALUE('IMPORT PROFIXIO'!D371)))</f>
        <v/>
      </c>
      <c r="C371" s="33" t="str">
        <f>IF(A371="","",IF(ISNUMBER('IMPORT PROFIXIO'!E371),'IMPORT PROFIXIO'!E371,(VALUE(LEFT('IMPORT PROFIXIO'!E371,FIND(":",'IMPORT PROFIXIO'!E371)-1))*60+VALUE(MID('IMPORT PROFIXIO'!E371,FIND(":",'IMPORT PROFIXIO'!E371)+1,2)))/1440))</f>
        <v/>
      </c>
      <c r="D371" s="31" t="str">
        <f>IF(A371="","",'IMPORT PROFIXIO'!F371)</f>
        <v/>
      </c>
      <c r="E371" s="31" t="str">
        <f>IF(A371="","",'IMPORT PROFIXIO'!K371)</f>
        <v/>
      </c>
      <c r="F371" s="34" t="str">
        <f>IF(A371="","",IFERROR(VLOOKUP(E371,KLASSNING!$A$5:$F$74,2,FALSE()),"SAKNAS"))</f>
        <v/>
      </c>
      <c r="G371" s="34" t="str">
        <f>IF(A371="","",IFERROR(VLOOKUP(E371,KLASSNING!$A$5:$F$74,3,FALSE()),"SAKNAS"))</f>
        <v/>
      </c>
      <c r="H371" s="34" t="str">
        <f>IF(A371="","",'IMPORT PROFIXIO'!H371)</f>
        <v/>
      </c>
      <c r="I371" s="34" t="str">
        <f>IF(A371="","",'IMPORT PROFIXIO'!I371)</f>
        <v/>
      </c>
      <c r="J371" s="34" t="str">
        <f t="shared" si="20"/>
        <v/>
      </c>
      <c r="K371" s="34" t="str">
        <f t="shared" si="21"/>
        <v/>
      </c>
      <c r="L371" s="34" t="str">
        <f>IF(A371="","",IFERROR(VLOOKUP(E371,KLASSNING!$A$5:$F$74,5,FALSE()),0))</f>
        <v/>
      </c>
      <c r="M371" s="35" t="str">
        <f t="shared" si="22"/>
        <v/>
      </c>
      <c r="N371" s="34" t="str">
        <f>IF(A371="","",IF(K371&lt;&gt;"Ja","Ej aktuell",IF(L371&lt;=0,"KONTROLLERA MATCHTID",IF(AND(COUNTIFS(BEMANNINGSPLAN!$A$5:$A$546,B371,BEMANNINGSPLAN!$C$5:$C$546,D371,BEMANNINGSPLAN!$D$5:$D$546,"&lt;="&amp;C371,BEMANNINGSPLAN!$E$5:$E$546,"&gt;"&amp;C371)&gt;0,COUNTIFS(BEMANNINGSPLAN!$A$5:$A$546,B371,BEMANNINGSPLAN!$C$5:$C$546,D371,BEMANNINGSPLAN!$D$5:$D$546,"&lt;"&amp;M371,BEMANNINGSPLAN!$E$5:$E$546,"&gt;="&amp;M371)&gt;0),"Ja","SAKNAS TIDSRADER"))))</f>
        <v/>
      </c>
      <c r="O371" s="137" t="str">
        <f>IF(OR(B371="",K371&lt;&gt;"Ja"),"",COUNTIFS($B$5:B371,B371,$K$5:K371,"Ja"))</f>
        <v/>
      </c>
      <c r="P371" s="137" t="str">
        <f t="shared" si="23"/>
        <v/>
      </c>
    </row>
    <row r="372" spans="1:16" ht="13">
      <c r="A372" s="31" t="str">
        <f>IF('IMPORT PROFIXIO'!A372="","",'IMPORT PROFIXIO'!A372)</f>
        <v/>
      </c>
      <c r="B372" s="32" t="str">
        <f>IF(A372="","",IF(ISNUMBER('IMPORT PROFIXIO'!D372),'IMPORT PROFIXIO'!D372,DATEVALUE('IMPORT PROFIXIO'!D372)))</f>
        <v/>
      </c>
      <c r="C372" s="33" t="str">
        <f>IF(A372="","",IF(ISNUMBER('IMPORT PROFIXIO'!E372),'IMPORT PROFIXIO'!E372,(VALUE(LEFT('IMPORT PROFIXIO'!E372,FIND(":",'IMPORT PROFIXIO'!E372)-1))*60+VALUE(MID('IMPORT PROFIXIO'!E372,FIND(":",'IMPORT PROFIXIO'!E372)+1,2)))/1440))</f>
        <v/>
      </c>
      <c r="D372" s="31" t="str">
        <f>IF(A372="","",'IMPORT PROFIXIO'!F372)</f>
        <v/>
      </c>
      <c r="E372" s="31" t="str">
        <f>IF(A372="","",'IMPORT PROFIXIO'!K372)</f>
        <v/>
      </c>
      <c r="F372" s="34" t="str">
        <f>IF(A372="","",IFERROR(VLOOKUP(E372,KLASSNING!$A$5:$F$74,2,FALSE()),"SAKNAS"))</f>
        <v/>
      </c>
      <c r="G372" s="34" t="str">
        <f>IF(A372="","",IFERROR(VLOOKUP(E372,KLASSNING!$A$5:$F$74,3,FALSE()),"SAKNAS"))</f>
        <v/>
      </c>
      <c r="H372" s="34" t="str">
        <f>IF(A372="","",'IMPORT PROFIXIO'!H372)</f>
        <v/>
      </c>
      <c r="I372" s="34" t="str">
        <f>IF(A372="","",'IMPORT PROFIXIO'!I372)</f>
        <v/>
      </c>
      <c r="J372" s="34" t="str">
        <f t="shared" si="20"/>
        <v/>
      </c>
      <c r="K372" s="34" t="str">
        <f t="shared" si="21"/>
        <v/>
      </c>
      <c r="L372" s="34" t="str">
        <f>IF(A372="","",IFERROR(VLOOKUP(E372,KLASSNING!$A$5:$F$74,5,FALSE()),0))</f>
        <v/>
      </c>
      <c r="M372" s="35" t="str">
        <f t="shared" si="22"/>
        <v/>
      </c>
      <c r="N372" s="34" t="str">
        <f>IF(A372="","",IF(K372&lt;&gt;"Ja","Ej aktuell",IF(L372&lt;=0,"KONTROLLERA MATCHTID",IF(AND(COUNTIFS(BEMANNINGSPLAN!$A$5:$A$546,B372,BEMANNINGSPLAN!$C$5:$C$546,D372,BEMANNINGSPLAN!$D$5:$D$546,"&lt;="&amp;C372,BEMANNINGSPLAN!$E$5:$E$546,"&gt;"&amp;C372)&gt;0,COUNTIFS(BEMANNINGSPLAN!$A$5:$A$546,B372,BEMANNINGSPLAN!$C$5:$C$546,D372,BEMANNINGSPLAN!$D$5:$D$546,"&lt;"&amp;M372,BEMANNINGSPLAN!$E$5:$E$546,"&gt;="&amp;M372)&gt;0),"Ja","SAKNAS TIDSRADER"))))</f>
        <v/>
      </c>
      <c r="O372" s="137" t="str">
        <f>IF(OR(B372="",K372&lt;&gt;"Ja"),"",COUNTIFS($B$5:B372,B372,$K$5:K372,"Ja"))</f>
        <v/>
      </c>
      <c r="P372" s="137" t="str">
        <f t="shared" si="23"/>
        <v/>
      </c>
    </row>
    <row r="373" spans="1:16" ht="13">
      <c r="A373" s="31" t="str">
        <f>IF('IMPORT PROFIXIO'!A373="","",'IMPORT PROFIXIO'!A373)</f>
        <v/>
      </c>
      <c r="B373" s="32" t="str">
        <f>IF(A373="","",IF(ISNUMBER('IMPORT PROFIXIO'!D373),'IMPORT PROFIXIO'!D373,DATEVALUE('IMPORT PROFIXIO'!D373)))</f>
        <v/>
      </c>
      <c r="C373" s="33" t="str">
        <f>IF(A373="","",IF(ISNUMBER('IMPORT PROFIXIO'!E373),'IMPORT PROFIXIO'!E373,(VALUE(LEFT('IMPORT PROFIXIO'!E373,FIND(":",'IMPORT PROFIXIO'!E373)-1))*60+VALUE(MID('IMPORT PROFIXIO'!E373,FIND(":",'IMPORT PROFIXIO'!E373)+1,2)))/1440))</f>
        <v/>
      </c>
      <c r="D373" s="31" t="str">
        <f>IF(A373="","",'IMPORT PROFIXIO'!F373)</f>
        <v/>
      </c>
      <c r="E373" s="31" t="str">
        <f>IF(A373="","",'IMPORT PROFIXIO'!K373)</f>
        <v/>
      </c>
      <c r="F373" s="34" t="str">
        <f>IF(A373="","",IFERROR(VLOOKUP(E373,KLASSNING!$A$5:$F$74,2,FALSE()),"SAKNAS"))</f>
        <v/>
      </c>
      <c r="G373" s="34" t="str">
        <f>IF(A373="","",IFERROR(VLOOKUP(E373,KLASSNING!$A$5:$F$74,3,FALSE()),"SAKNAS"))</f>
        <v/>
      </c>
      <c r="H373" s="34" t="str">
        <f>IF(A373="","",'IMPORT PROFIXIO'!H373)</f>
        <v/>
      </c>
      <c r="I373" s="34" t="str">
        <f>IF(A373="","",'IMPORT PROFIXIO'!I373)</f>
        <v/>
      </c>
      <c r="J373" s="34" t="str">
        <f t="shared" si="20"/>
        <v/>
      </c>
      <c r="K373" s="34" t="str">
        <f t="shared" si="21"/>
        <v/>
      </c>
      <c r="L373" s="34" t="str">
        <f>IF(A373="","",IFERROR(VLOOKUP(E373,KLASSNING!$A$5:$F$74,5,FALSE()),0))</f>
        <v/>
      </c>
      <c r="M373" s="35" t="str">
        <f t="shared" si="22"/>
        <v/>
      </c>
      <c r="N373" s="34" t="str">
        <f>IF(A373="","",IF(K373&lt;&gt;"Ja","Ej aktuell",IF(L373&lt;=0,"KONTROLLERA MATCHTID",IF(AND(COUNTIFS(BEMANNINGSPLAN!$A$5:$A$546,B373,BEMANNINGSPLAN!$C$5:$C$546,D373,BEMANNINGSPLAN!$D$5:$D$546,"&lt;="&amp;C373,BEMANNINGSPLAN!$E$5:$E$546,"&gt;"&amp;C373)&gt;0,COUNTIFS(BEMANNINGSPLAN!$A$5:$A$546,B373,BEMANNINGSPLAN!$C$5:$C$546,D373,BEMANNINGSPLAN!$D$5:$D$546,"&lt;"&amp;M373,BEMANNINGSPLAN!$E$5:$E$546,"&gt;="&amp;M373)&gt;0),"Ja","SAKNAS TIDSRADER"))))</f>
        <v/>
      </c>
      <c r="O373" s="137" t="str">
        <f>IF(OR(B373="",K373&lt;&gt;"Ja"),"",COUNTIFS($B$5:B373,B373,$K$5:K373,"Ja"))</f>
        <v/>
      </c>
      <c r="P373" s="137" t="str">
        <f t="shared" si="23"/>
        <v/>
      </c>
    </row>
    <row r="374" spans="1:16" ht="13">
      <c r="A374" s="31" t="str">
        <f>IF('IMPORT PROFIXIO'!A374="","",'IMPORT PROFIXIO'!A374)</f>
        <v/>
      </c>
      <c r="B374" s="32" t="str">
        <f>IF(A374="","",IF(ISNUMBER('IMPORT PROFIXIO'!D374),'IMPORT PROFIXIO'!D374,DATEVALUE('IMPORT PROFIXIO'!D374)))</f>
        <v/>
      </c>
      <c r="C374" s="33" t="str">
        <f>IF(A374="","",IF(ISNUMBER('IMPORT PROFIXIO'!E374),'IMPORT PROFIXIO'!E374,(VALUE(LEFT('IMPORT PROFIXIO'!E374,FIND(":",'IMPORT PROFIXIO'!E374)-1))*60+VALUE(MID('IMPORT PROFIXIO'!E374,FIND(":",'IMPORT PROFIXIO'!E374)+1,2)))/1440))</f>
        <v/>
      </c>
      <c r="D374" s="31" t="str">
        <f>IF(A374="","",'IMPORT PROFIXIO'!F374)</f>
        <v/>
      </c>
      <c r="E374" s="31" t="str">
        <f>IF(A374="","",'IMPORT PROFIXIO'!K374)</f>
        <v/>
      </c>
      <c r="F374" s="34" t="str">
        <f>IF(A374="","",IFERROR(VLOOKUP(E374,KLASSNING!$A$5:$F$74,2,FALSE()),"SAKNAS"))</f>
        <v/>
      </c>
      <c r="G374" s="34" t="str">
        <f>IF(A374="","",IFERROR(VLOOKUP(E374,KLASSNING!$A$5:$F$74,3,FALSE()),"SAKNAS"))</f>
        <v/>
      </c>
      <c r="H374" s="34" t="str">
        <f>IF(A374="","",'IMPORT PROFIXIO'!H374)</f>
        <v/>
      </c>
      <c r="I374" s="34" t="str">
        <f>IF(A374="","",'IMPORT PROFIXIO'!I374)</f>
        <v/>
      </c>
      <c r="J374" s="34" t="str">
        <f t="shared" si="20"/>
        <v/>
      </c>
      <c r="K374" s="34" t="str">
        <f t="shared" si="21"/>
        <v/>
      </c>
      <c r="L374" s="34" t="str">
        <f>IF(A374="","",IFERROR(VLOOKUP(E374,KLASSNING!$A$5:$F$74,5,FALSE()),0))</f>
        <v/>
      </c>
      <c r="M374" s="35" t="str">
        <f t="shared" si="22"/>
        <v/>
      </c>
      <c r="N374" s="34" t="str">
        <f>IF(A374="","",IF(K374&lt;&gt;"Ja","Ej aktuell",IF(L374&lt;=0,"KONTROLLERA MATCHTID",IF(AND(COUNTIFS(BEMANNINGSPLAN!$A$5:$A$546,B374,BEMANNINGSPLAN!$C$5:$C$546,D374,BEMANNINGSPLAN!$D$5:$D$546,"&lt;="&amp;C374,BEMANNINGSPLAN!$E$5:$E$546,"&gt;"&amp;C374)&gt;0,COUNTIFS(BEMANNINGSPLAN!$A$5:$A$546,B374,BEMANNINGSPLAN!$C$5:$C$546,D374,BEMANNINGSPLAN!$D$5:$D$546,"&lt;"&amp;M374,BEMANNINGSPLAN!$E$5:$E$546,"&gt;="&amp;M374)&gt;0),"Ja","SAKNAS TIDSRADER"))))</f>
        <v/>
      </c>
      <c r="O374" s="137" t="str">
        <f>IF(OR(B374="",K374&lt;&gt;"Ja"),"",COUNTIFS($B$5:B374,B374,$K$5:K374,"Ja"))</f>
        <v/>
      </c>
      <c r="P374" s="137" t="str">
        <f t="shared" si="23"/>
        <v/>
      </c>
    </row>
    <row r="375" spans="1:16" ht="13">
      <c r="A375" s="31" t="str">
        <f>IF('IMPORT PROFIXIO'!A375="","",'IMPORT PROFIXIO'!A375)</f>
        <v/>
      </c>
      <c r="B375" s="32" t="str">
        <f>IF(A375="","",IF(ISNUMBER('IMPORT PROFIXIO'!D375),'IMPORT PROFIXIO'!D375,DATEVALUE('IMPORT PROFIXIO'!D375)))</f>
        <v/>
      </c>
      <c r="C375" s="33" t="str">
        <f>IF(A375="","",IF(ISNUMBER('IMPORT PROFIXIO'!E375),'IMPORT PROFIXIO'!E375,(VALUE(LEFT('IMPORT PROFIXIO'!E375,FIND(":",'IMPORT PROFIXIO'!E375)-1))*60+VALUE(MID('IMPORT PROFIXIO'!E375,FIND(":",'IMPORT PROFIXIO'!E375)+1,2)))/1440))</f>
        <v/>
      </c>
      <c r="D375" s="31" t="str">
        <f>IF(A375="","",'IMPORT PROFIXIO'!F375)</f>
        <v/>
      </c>
      <c r="E375" s="31" t="str">
        <f>IF(A375="","",'IMPORT PROFIXIO'!K375)</f>
        <v/>
      </c>
      <c r="F375" s="34" t="str">
        <f>IF(A375="","",IFERROR(VLOOKUP(E375,KLASSNING!$A$5:$F$74,2,FALSE()),"SAKNAS"))</f>
        <v/>
      </c>
      <c r="G375" s="34" t="str">
        <f>IF(A375="","",IFERROR(VLOOKUP(E375,KLASSNING!$A$5:$F$74,3,FALSE()),"SAKNAS"))</f>
        <v/>
      </c>
      <c r="H375" s="34" t="str">
        <f>IF(A375="","",'IMPORT PROFIXIO'!H375)</f>
        <v/>
      </c>
      <c r="I375" s="34" t="str">
        <f>IF(A375="","",'IMPORT PROFIXIO'!I375)</f>
        <v/>
      </c>
      <c r="J375" s="34" t="str">
        <f t="shared" si="20"/>
        <v/>
      </c>
      <c r="K375" s="34" t="str">
        <f t="shared" si="21"/>
        <v/>
      </c>
      <c r="L375" s="34" t="str">
        <f>IF(A375="","",IFERROR(VLOOKUP(E375,KLASSNING!$A$5:$F$74,5,FALSE()),0))</f>
        <v/>
      </c>
      <c r="M375" s="35" t="str">
        <f t="shared" si="22"/>
        <v/>
      </c>
      <c r="N375" s="34" t="str">
        <f>IF(A375="","",IF(K375&lt;&gt;"Ja","Ej aktuell",IF(L375&lt;=0,"KONTROLLERA MATCHTID",IF(AND(COUNTIFS(BEMANNINGSPLAN!$A$5:$A$546,B375,BEMANNINGSPLAN!$C$5:$C$546,D375,BEMANNINGSPLAN!$D$5:$D$546,"&lt;="&amp;C375,BEMANNINGSPLAN!$E$5:$E$546,"&gt;"&amp;C375)&gt;0,COUNTIFS(BEMANNINGSPLAN!$A$5:$A$546,B375,BEMANNINGSPLAN!$C$5:$C$546,D375,BEMANNINGSPLAN!$D$5:$D$546,"&lt;"&amp;M375,BEMANNINGSPLAN!$E$5:$E$546,"&gt;="&amp;M375)&gt;0),"Ja","SAKNAS TIDSRADER"))))</f>
        <v/>
      </c>
      <c r="O375" s="137" t="str">
        <f>IF(OR(B375="",K375&lt;&gt;"Ja"),"",COUNTIFS($B$5:B375,B375,$K$5:K375,"Ja"))</f>
        <v/>
      </c>
      <c r="P375" s="137" t="str">
        <f t="shared" si="23"/>
        <v/>
      </c>
    </row>
    <row r="376" spans="1:16" ht="13">
      <c r="A376" s="31" t="str">
        <f>IF('IMPORT PROFIXIO'!A376="","",'IMPORT PROFIXIO'!A376)</f>
        <v/>
      </c>
      <c r="B376" s="32" t="str">
        <f>IF(A376="","",IF(ISNUMBER('IMPORT PROFIXIO'!D376),'IMPORT PROFIXIO'!D376,DATEVALUE('IMPORT PROFIXIO'!D376)))</f>
        <v/>
      </c>
      <c r="C376" s="33" t="str">
        <f>IF(A376="","",IF(ISNUMBER('IMPORT PROFIXIO'!E376),'IMPORT PROFIXIO'!E376,(VALUE(LEFT('IMPORT PROFIXIO'!E376,FIND(":",'IMPORT PROFIXIO'!E376)-1))*60+VALUE(MID('IMPORT PROFIXIO'!E376,FIND(":",'IMPORT PROFIXIO'!E376)+1,2)))/1440))</f>
        <v/>
      </c>
      <c r="D376" s="31" t="str">
        <f>IF(A376="","",'IMPORT PROFIXIO'!F376)</f>
        <v/>
      </c>
      <c r="E376" s="31" t="str">
        <f>IF(A376="","",'IMPORT PROFIXIO'!K376)</f>
        <v/>
      </c>
      <c r="F376" s="34" t="str">
        <f>IF(A376="","",IFERROR(VLOOKUP(E376,KLASSNING!$A$5:$F$74,2,FALSE()),"SAKNAS"))</f>
        <v/>
      </c>
      <c r="G376" s="34" t="str">
        <f>IF(A376="","",IFERROR(VLOOKUP(E376,KLASSNING!$A$5:$F$74,3,FALSE()),"SAKNAS"))</f>
        <v/>
      </c>
      <c r="H376" s="34" t="str">
        <f>IF(A376="","",'IMPORT PROFIXIO'!H376)</f>
        <v/>
      </c>
      <c r="I376" s="34" t="str">
        <f>IF(A376="","",'IMPORT PROFIXIO'!I376)</f>
        <v/>
      </c>
      <c r="J376" s="34" t="str">
        <f t="shared" si="20"/>
        <v/>
      </c>
      <c r="K376" s="34" t="str">
        <f t="shared" si="21"/>
        <v/>
      </c>
      <c r="L376" s="34" t="str">
        <f>IF(A376="","",IFERROR(VLOOKUP(E376,KLASSNING!$A$5:$F$74,5,FALSE()),0))</f>
        <v/>
      </c>
      <c r="M376" s="35" t="str">
        <f t="shared" si="22"/>
        <v/>
      </c>
      <c r="N376" s="34" t="str">
        <f>IF(A376="","",IF(K376&lt;&gt;"Ja","Ej aktuell",IF(L376&lt;=0,"KONTROLLERA MATCHTID",IF(AND(COUNTIFS(BEMANNINGSPLAN!$A$5:$A$546,B376,BEMANNINGSPLAN!$C$5:$C$546,D376,BEMANNINGSPLAN!$D$5:$D$546,"&lt;="&amp;C376,BEMANNINGSPLAN!$E$5:$E$546,"&gt;"&amp;C376)&gt;0,COUNTIFS(BEMANNINGSPLAN!$A$5:$A$546,B376,BEMANNINGSPLAN!$C$5:$C$546,D376,BEMANNINGSPLAN!$D$5:$D$546,"&lt;"&amp;M376,BEMANNINGSPLAN!$E$5:$E$546,"&gt;="&amp;M376)&gt;0),"Ja","SAKNAS TIDSRADER"))))</f>
        <v/>
      </c>
      <c r="O376" s="137" t="str">
        <f>IF(OR(B376="",K376&lt;&gt;"Ja"),"",COUNTIFS($B$5:B376,B376,$K$5:K376,"Ja"))</f>
        <v/>
      </c>
      <c r="P376" s="137" t="str">
        <f t="shared" si="23"/>
        <v/>
      </c>
    </row>
    <row r="377" spans="1:16" ht="13">
      <c r="A377" s="31" t="str">
        <f>IF('IMPORT PROFIXIO'!A377="","",'IMPORT PROFIXIO'!A377)</f>
        <v/>
      </c>
      <c r="B377" s="32" t="str">
        <f>IF(A377="","",IF(ISNUMBER('IMPORT PROFIXIO'!D377),'IMPORT PROFIXIO'!D377,DATEVALUE('IMPORT PROFIXIO'!D377)))</f>
        <v/>
      </c>
      <c r="C377" s="33" t="str">
        <f>IF(A377="","",IF(ISNUMBER('IMPORT PROFIXIO'!E377),'IMPORT PROFIXIO'!E377,(VALUE(LEFT('IMPORT PROFIXIO'!E377,FIND(":",'IMPORT PROFIXIO'!E377)-1))*60+VALUE(MID('IMPORT PROFIXIO'!E377,FIND(":",'IMPORT PROFIXIO'!E377)+1,2)))/1440))</f>
        <v/>
      </c>
      <c r="D377" s="31" t="str">
        <f>IF(A377="","",'IMPORT PROFIXIO'!F377)</f>
        <v/>
      </c>
      <c r="E377" s="31" t="str">
        <f>IF(A377="","",'IMPORT PROFIXIO'!K377)</f>
        <v/>
      </c>
      <c r="F377" s="34" t="str">
        <f>IF(A377="","",IFERROR(VLOOKUP(E377,KLASSNING!$A$5:$F$74,2,FALSE()),"SAKNAS"))</f>
        <v/>
      </c>
      <c r="G377" s="34" t="str">
        <f>IF(A377="","",IFERROR(VLOOKUP(E377,KLASSNING!$A$5:$F$74,3,FALSE()),"SAKNAS"))</f>
        <v/>
      </c>
      <c r="H377" s="34" t="str">
        <f>IF(A377="","",'IMPORT PROFIXIO'!H377)</f>
        <v/>
      </c>
      <c r="I377" s="34" t="str">
        <f>IF(A377="","",'IMPORT PROFIXIO'!I377)</f>
        <v/>
      </c>
      <c r="J377" s="34" t="str">
        <f t="shared" si="20"/>
        <v/>
      </c>
      <c r="K377" s="34" t="str">
        <f t="shared" si="21"/>
        <v/>
      </c>
      <c r="L377" s="34" t="str">
        <f>IF(A377="","",IFERROR(VLOOKUP(E377,KLASSNING!$A$5:$F$74,5,FALSE()),0))</f>
        <v/>
      </c>
      <c r="M377" s="35" t="str">
        <f t="shared" si="22"/>
        <v/>
      </c>
      <c r="N377" s="34" t="str">
        <f>IF(A377="","",IF(K377&lt;&gt;"Ja","Ej aktuell",IF(L377&lt;=0,"KONTROLLERA MATCHTID",IF(AND(COUNTIFS(BEMANNINGSPLAN!$A$5:$A$546,B377,BEMANNINGSPLAN!$C$5:$C$546,D377,BEMANNINGSPLAN!$D$5:$D$546,"&lt;="&amp;C377,BEMANNINGSPLAN!$E$5:$E$546,"&gt;"&amp;C377)&gt;0,COUNTIFS(BEMANNINGSPLAN!$A$5:$A$546,B377,BEMANNINGSPLAN!$C$5:$C$546,D377,BEMANNINGSPLAN!$D$5:$D$546,"&lt;"&amp;M377,BEMANNINGSPLAN!$E$5:$E$546,"&gt;="&amp;M377)&gt;0),"Ja","SAKNAS TIDSRADER"))))</f>
        <v/>
      </c>
      <c r="O377" s="137" t="str">
        <f>IF(OR(B377="",K377&lt;&gt;"Ja"),"",COUNTIFS($B$5:B377,B377,$K$5:K377,"Ja"))</f>
        <v/>
      </c>
      <c r="P377" s="137" t="str">
        <f t="shared" si="23"/>
        <v/>
      </c>
    </row>
    <row r="378" spans="1:16" ht="13">
      <c r="A378" s="31" t="str">
        <f>IF('IMPORT PROFIXIO'!A378="","",'IMPORT PROFIXIO'!A378)</f>
        <v/>
      </c>
      <c r="B378" s="32" t="str">
        <f>IF(A378="","",IF(ISNUMBER('IMPORT PROFIXIO'!D378),'IMPORT PROFIXIO'!D378,DATEVALUE('IMPORT PROFIXIO'!D378)))</f>
        <v/>
      </c>
      <c r="C378" s="33" t="str">
        <f>IF(A378="","",IF(ISNUMBER('IMPORT PROFIXIO'!E378),'IMPORT PROFIXIO'!E378,(VALUE(LEFT('IMPORT PROFIXIO'!E378,FIND(":",'IMPORT PROFIXIO'!E378)-1))*60+VALUE(MID('IMPORT PROFIXIO'!E378,FIND(":",'IMPORT PROFIXIO'!E378)+1,2)))/1440))</f>
        <v/>
      </c>
      <c r="D378" s="31" t="str">
        <f>IF(A378="","",'IMPORT PROFIXIO'!F378)</f>
        <v/>
      </c>
      <c r="E378" s="31" t="str">
        <f>IF(A378="","",'IMPORT PROFIXIO'!K378)</f>
        <v/>
      </c>
      <c r="F378" s="34" t="str">
        <f>IF(A378="","",IFERROR(VLOOKUP(E378,KLASSNING!$A$5:$F$74,2,FALSE()),"SAKNAS"))</f>
        <v/>
      </c>
      <c r="G378" s="34" t="str">
        <f>IF(A378="","",IFERROR(VLOOKUP(E378,KLASSNING!$A$5:$F$74,3,FALSE()),"SAKNAS"))</f>
        <v/>
      </c>
      <c r="H378" s="34" t="str">
        <f>IF(A378="","",'IMPORT PROFIXIO'!H378)</f>
        <v/>
      </c>
      <c r="I378" s="34" t="str">
        <f>IF(A378="","",'IMPORT PROFIXIO'!I378)</f>
        <v/>
      </c>
      <c r="J378" s="34" t="str">
        <f t="shared" si="20"/>
        <v/>
      </c>
      <c r="K378" s="34" t="str">
        <f t="shared" si="21"/>
        <v/>
      </c>
      <c r="L378" s="34" t="str">
        <f>IF(A378="","",IFERROR(VLOOKUP(E378,KLASSNING!$A$5:$F$74,5,FALSE()),0))</f>
        <v/>
      </c>
      <c r="M378" s="35" t="str">
        <f t="shared" si="22"/>
        <v/>
      </c>
      <c r="N378" s="34" t="str">
        <f>IF(A378="","",IF(K378&lt;&gt;"Ja","Ej aktuell",IF(L378&lt;=0,"KONTROLLERA MATCHTID",IF(AND(COUNTIFS(BEMANNINGSPLAN!$A$5:$A$546,B378,BEMANNINGSPLAN!$C$5:$C$546,D378,BEMANNINGSPLAN!$D$5:$D$546,"&lt;="&amp;C378,BEMANNINGSPLAN!$E$5:$E$546,"&gt;"&amp;C378)&gt;0,COUNTIFS(BEMANNINGSPLAN!$A$5:$A$546,B378,BEMANNINGSPLAN!$C$5:$C$546,D378,BEMANNINGSPLAN!$D$5:$D$546,"&lt;"&amp;M378,BEMANNINGSPLAN!$E$5:$E$546,"&gt;="&amp;M378)&gt;0),"Ja","SAKNAS TIDSRADER"))))</f>
        <v/>
      </c>
      <c r="O378" s="137" t="str">
        <f>IF(OR(B378="",K378&lt;&gt;"Ja"),"",COUNTIFS($B$5:B378,B378,$K$5:K378,"Ja"))</f>
        <v/>
      </c>
      <c r="P378" s="137" t="str">
        <f t="shared" si="23"/>
        <v/>
      </c>
    </row>
    <row r="379" spans="1:16" ht="13">
      <c r="A379" s="31" t="str">
        <f>IF('IMPORT PROFIXIO'!A379="","",'IMPORT PROFIXIO'!A379)</f>
        <v/>
      </c>
      <c r="B379" s="32" t="str">
        <f>IF(A379="","",IF(ISNUMBER('IMPORT PROFIXIO'!D379),'IMPORT PROFIXIO'!D379,DATEVALUE('IMPORT PROFIXIO'!D379)))</f>
        <v/>
      </c>
      <c r="C379" s="33" t="str">
        <f>IF(A379="","",IF(ISNUMBER('IMPORT PROFIXIO'!E379),'IMPORT PROFIXIO'!E379,(VALUE(LEFT('IMPORT PROFIXIO'!E379,FIND(":",'IMPORT PROFIXIO'!E379)-1))*60+VALUE(MID('IMPORT PROFIXIO'!E379,FIND(":",'IMPORT PROFIXIO'!E379)+1,2)))/1440))</f>
        <v/>
      </c>
      <c r="D379" s="31" t="str">
        <f>IF(A379="","",'IMPORT PROFIXIO'!F379)</f>
        <v/>
      </c>
      <c r="E379" s="31" t="str">
        <f>IF(A379="","",'IMPORT PROFIXIO'!K379)</f>
        <v/>
      </c>
      <c r="F379" s="34" t="str">
        <f>IF(A379="","",IFERROR(VLOOKUP(E379,KLASSNING!$A$5:$F$74,2,FALSE()),"SAKNAS"))</f>
        <v/>
      </c>
      <c r="G379" s="34" t="str">
        <f>IF(A379="","",IFERROR(VLOOKUP(E379,KLASSNING!$A$5:$F$74,3,FALSE()),"SAKNAS"))</f>
        <v/>
      </c>
      <c r="H379" s="34" t="str">
        <f>IF(A379="","",'IMPORT PROFIXIO'!H379)</f>
        <v/>
      </c>
      <c r="I379" s="34" t="str">
        <f>IF(A379="","",'IMPORT PROFIXIO'!I379)</f>
        <v/>
      </c>
      <c r="J379" s="34" t="str">
        <f t="shared" si="20"/>
        <v/>
      </c>
      <c r="K379" s="34" t="str">
        <f t="shared" si="21"/>
        <v/>
      </c>
      <c r="L379" s="34" t="str">
        <f>IF(A379="","",IFERROR(VLOOKUP(E379,KLASSNING!$A$5:$F$74,5,FALSE()),0))</f>
        <v/>
      </c>
      <c r="M379" s="35" t="str">
        <f t="shared" si="22"/>
        <v/>
      </c>
      <c r="N379" s="34" t="str">
        <f>IF(A379="","",IF(K379&lt;&gt;"Ja","Ej aktuell",IF(L379&lt;=0,"KONTROLLERA MATCHTID",IF(AND(COUNTIFS(BEMANNINGSPLAN!$A$5:$A$546,B379,BEMANNINGSPLAN!$C$5:$C$546,D379,BEMANNINGSPLAN!$D$5:$D$546,"&lt;="&amp;C379,BEMANNINGSPLAN!$E$5:$E$546,"&gt;"&amp;C379)&gt;0,COUNTIFS(BEMANNINGSPLAN!$A$5:$A$546,B379,BEMANNINGSPLAN!$C$5:$C$546,D379,BEMANNINGSPLAN!$D$5:$D$546,"&lt;"&amp;M379,BEMANNINGSPLAN!$E$5:$E$546,"&gt;="&amp;M379)&gt;0),"Ja","SAKNAS TIDSRADER"))))</f>
        <v/>
      </c>
      <c r="O379" s="137" t="str">
        <f>IF(OR(B379="",K379&lt;&gt;"Ja"),"",COUNTIFS($B$5:B379,B379,$K$5:K379,"Ja"))</f>
        <v/>
      </c>
      <c r="P379" s="137" t="str">
        <f t="shared" si="23"/>
        <v/>
      </c>
    </row>
    <row r="380" spans="1:16" ht="13">
      <c r="A380" s="31" t="str">
        <f>IF('IMPORT PROFIXIO'!A380="","",'IMPORT PROFIXIO'!A380)</f>
        <v/>
      </c>
      <c r="B380" s="32" t="str">
        <f>IF(A380="","",IF(ISNUMBER('IMPORT PROFIXIO'!D380),'IMPORT PROFIXIO'!D380,DATEVALUE('IMPORT PROFIXIO'!D380)))</f>
        <v/>
      </c>
      <c r="C380" s="33" t="str">
        <f>IF(A380="","",IF(ISNUMBER('IMPORT PROFIXIO'!E380),'IMPORT PROFIXIO'!E380,(VALUE(LEFT('IMPORT PROFIXIO'!E380,FIND(":",'IMPORT PROFIXIO'!E380)-1))*60+VALUE(MID('IMPORT PROFIXIO'!E380,FIND(":",'IMPORT PROFIXIO'!E380)+1,2)))/1440))</f>
        <v/>
      </c>
      <c r="D380" s="31" t="str">
        <f>IF(A380="","",'IMPORT PROFIXIO'!F380)</f>
        <v/>
      </c>
      <c r="E380" s="31" t="str">
        <f>IF(A380="","",'IMPORT PROFIXIO'!K380)</f>
        <v/>
      </c>
      <c r="F380" s="34" t="str">
        <f>IF(A380="","",IFERROR(VLOOKUP(E380,KLASSNING!$A$5:$F$74,2,FALSE()),"SAKNAS"))</f>
        <v/>
      </c>
      <c r="G380" s="34" t="str">
        <f>IF(A380="","",IFERROR(VLOOKUP(E380,KLASSNING!$A$5:$F$74,3,FALSE()),"SAKNAS"))</f>
        <v/>
      </c>
      <c r="H380" s="34" t="str">
        <f>IF(A380="","",'IMPORT PROFIXIO'!H380)</f>
        <v/>
      </c>
      <c r="I380" s="34" t="str">
        <f>IF(A380="","",'IMPORT PROFIXIO'!I380)</f>
        <v/>
      </c>
      <c r="J380" s="34" t="str">
        <f t="shared" si="20"/>
        <v/>
      </c>
      <c r="K380" s="34" t="str">
        <f t="shared" si="21"/>
        <v/>
      </c>
      <c r="L380" s="34" t="str">
        <f>IF(A380="","",IFERROR(VLOOKUP(E380,KLASSNING!$A$5:$F$74,5,FALSE()),0))</f>
        <v/>
      </c>
      <c r="M380" s="35" t="str">
        <f t="shared" si="22"/>
        <v/>
      </c>
      <c r="N380" s="34" t="str">
        <f>IF(A380="","",IF(K380&lt;&gt;"Ja","Ej aktuell",IF(L380&lt;=0,"KONTROLLERA MATCHTID",IF(AND(COUNTIFS(BEMANNINGSPLAN!$A$5:$A$546,B380,BEMANNINGSPLAN!$C$5:$C$546,D380,BEMANNINGSPLAN!$D$5:$D$546,"&lt;="&amp;C380,BEMANNINGSPLAN!$E$5:$E$546,"&gt;"&amp;C380)&gt;0,COUNTIFS(BEMANNINGSPLAN!$A$5:$A$546,B380,BEMANNINGSPLAN!$C$5:$C$546,D380,BEMANNINGSPLAN!$D$5:$D$546,"&lt;"&amp;M380,BEMANNINGSPLAN!$E$5:$E$546,"&gt;="&amp;M380)&gt;0),"Ja","SAKNAS TIDSRADER"))))</f>
        <v/>
      </c>
      <c r="O380" s="137" t="str">
        <f>IF(OR(B380="",K380&lt;&gt;"Ja"),"",COUNTIFS($B$5:B380,B380,$K$5:K380,"Ja"))</f>
        <v/>
      </c>
      <c r="P380" s="137" t="str">
        <f t="shared" si="23"/>
        <v/>
      </c>
    </row>
    <row r="381" spans="1:16" ht="13">
      <c r="A381" s="31" t="str">
        <f>IF('IMPORT PROFIXIO'!A381="","",'IMPORT PROFIXIO'!A381)</f>
        <v/>
      </c>
      <c r="B381" s="32" t="str">
        <f>IF(A381="","",IF(ISNUMBER('IMPORT PROFIXIO'!D381),'IMPORT PROFIXIO'!D381,DATEVALUE('IMPORT PROFIXIO'!D381)))</f>
        <v/>
      </c>
      <c r="C381" s="33" t="str">
        <f>IF(A381="","",IF(ISNUMBER('IMPORT PROFIXIO'!E381),'IMPORT PROFIXIO'!E381,(VALUE(LEFT('IMPORT PROFIXIO'!E381,FIND(":",'IMPORT PROFIXIO'!E381)-1))*60+VALUE(MID('IMPORT PROFIXIO'!E381,FIND(":",'IMPORT PROFIXIO'!E381)+1,2)))/1440))</f>
        <v/>
      </c>
      <c r="D381" s="31" t="str">
        <f>IF(A381="","",'IMPORT PROFIXIO'!F381)</f>
        <v/>
      </c>
      <c r="E381" s="31" t="str">
        <f>IF(A381="","",'IMPORT PROFIXIO'!K381)</f>
        <v/>
      </c>
      <c r="F381" s="34" t="str">
        <f>IF(A381="","",IFERROR(VLOOKUP(E381,KLASSNING!$A$5:$F$74,2,FALSE()),"SAKNAS"))</f>
        <v/>
      </c>
      <c r="G381" s="34" t="str">
        <f>IF(A381="","",IFERROR(VLOOKUP(E381,KLASSNING!$A$5:$F$74,3,FALSE()),"SAKNAS"))</f>
        <v/>
      </c>
      <c r="H381" s="34" t="str">
        <f>IF(A381="","",'IMPORT PROFIXIO'!H381)</f>
        <v/>
      </c>
      <c r="I381" s="34" t="str">
        <f>IF(A381="","",'IMPORT PROFIXIO'!I381)</f>
        <v/>
      </c>
      <c r="J381" s="34" t="str">
        <f t="shared" si="20"/>
        <v/>
      </c>
      <c r="K381" s="34" t="str">
        <f t="shared" si="21"/>
        <v/>
      </c>
      <c r="L381" s="34" t="str">
        <f>IF(A381="","",IFERROR(VLOOKUP(E381,KLASSNING!$A$5:$F$74,5,FALSE()),0))</f>
        <v/>
      </c>
      <c r="M381" s="35" t="str">
        <f t="shared" si="22"/>
        <v/>
      </c>
      <c r="N381" s="34" t="str">
        <f>IF(A381="","",IF(K381&lt;&gt;"Ja","Ej aktuell",IF(L381&lt;=0,"KONTROLLERA MATCHTID",IF(AND(COUNTIFS(BEMANNINGSPLAN!$A$5:$A$546,B381,BEMANNINGSPLAN!$C$5:$C$546,D381,BEMANNINGSPLAN!$D$5:$D$546,"&lt;="&amp;C381,BEMANNINGSPLAN!$E$5:$E$546,"&gt;"&amp;C381)&gt;0,COUNTIFS(BEMANNINGSPLAN!$A$5:$A$546,B381,BEMANNINGSPLAN!$C$5:$C$546,D381,BEMANNINGSPLAN!$D$5:$D$546,"&lt;"&amp;M381,BEMANNINGSPLAN!$E$5:$E$546,"&gt;="&amp;M381)&gt;0),"Ja","SAKNAS TIDSRADER"))))</f>
        <v/>
      </c>
      <c r="O381" s="137" t="str">
        <f>IF(OR(B381="",K381&lt;&gt;"Ja"),"",COUNTIFS($B$5:B381,B381,$K$5:K381,"Ja"))</f>
        <v/>
      </c>
      <c r="P381" s="137" t="str">
        <f t="shared" si="23"/>
        <v/>
      </c>
    </row>
    <row r="382" spans="1:16" ht="13">
      <c r="A382" s="31" t="str">
        <f>IF('IMPORT PROFIXIO'!A382="","",'IMPORT PROFIXIO'!A382)</f>
        <v/>
      </c>
      <c r="B382" s="32" t="str">
        <f>IF(A382="","",IF(ISNUMBER('IMPORT PROFIXIO'!D382),'IMPORT PROFIXIO'!D382,DATEVALUE('IMPORT PROFIXIO'!D382)))</f>
        <v/>
      </c>
      <c r="C382" s="33" t="str">
        <f>IF(A382="","",IF(ISNUMBER('IMPORT PROFIXIO'!E382),'IMPORT PROFIXIO'!E382,(VALUE(LEFT('IMPORT PROFIXIO'!E382,FIND(":",'IMPORT PROFIXIO'!E382)-1))*60+VALUE(MID('IMPORT PROFIXIO'!E382,FIND(":",'IMPORT PROFIXIO'!E382)+1,2)))/1440))</f>
        <v/>
      </c>
      <c r="D382" s="31" t="str">
        <f>IF(A382="","",'IMPORT PROFIXIO'!F382)</f>
        <v/>
      </c>
      <c r="E382" s="31" t="str">
        <f>IF(A382="","",'IMPORT PROFIXIO'!K382)</f>
        <v/>
      </c>
      <c r="F382" s="34" t="str">
        <f>IF(A382="","",IFERROR(VLOOKUP(E382,KLASSNING!$A$5:$F$74,2,FALSE()),"SAKNAS"))</f>
        <v/>
      </c>
      <c r="G382" s="34" t="str">
        <f>IF(A382="","",IFERROR(VLOOKUP(E382,KLASSNING!$A$5:$F$74,3,FALSE()),"SAKNAS"))</f>
        <v/>
      </c>
      <c r="H382" s="34" t="str">
        <f>IF(A382="","",'IMPORT PROFIXIO'!H382)</f>
        <v/>
      </c>
      <c r="I382" s="34" t="str">
        <f>IF(A382="","",'IMPORT PROFIXIO'!I382)</f>
        <v/>
      </c>
      <c r="J382" s="34" t="str">
        <f t="shared" si="20"/>
        <v/>
      </c>
      <c r="K382" s="34" t="str">
        <f t="shared" si="21"/>
        <v/>
      </c>
      <c r="L382" s="34" t="str">
        <f>IF(A382="","",IFERROR(VLOOKUP(E382,KLASSNING!$A$5:$F$74,5,FALSE()),0))</f>
        <v/>
      </c>
      <c r="M382" s="35" t="str">
        <f t="shared" si="22"/>
        <v/>
      </c>
      <c r="N382" s="34" t="str">
        <f>IF(A382="","",IF(K382&lt;&gt;"Ja","Ej aktuell",IF(L382&lt;=0,"KONTROLLERA MATCHTID",IF(AND(COUNTIFS(BEMANNINGSPLAN!$A$5:$A$546,B382,BEMANNINGSPLAN!$C$5:$C$546,D382,BEMANNINGSPLAN!$D$5:$D$546,"&lt;="&amp;C382,BEMANNINGSPLAN!$E$5:$E$546,"&gt;"&amp;C382)&gt;0,COUNTIFS(BEMANNINGSPLAN!$A$5:$A$546,B382,BEMANNINGSPLAN!$C$5:$C$546,D382,BEMANNINGSPLAN!$D$5:$D$546,"&lt;"&amp;M382,BEMANNINGSPLAN!$E$5:$E$546,"&gt;="&amp;M382)&gt;0),"Ja","SAKNAS TIDSRADER"))))</f>
        <v/>
      </c>
      <c r="O382" s="137" t="str">
        <f>IF(OR(B382="",K382&lt;&gt;"Ja"),"",COUNTIFS($B$5:B382,B382,$K$5:K382,"Ja"))</f>
        <v/>
      </c>
      <c r="P382" s="137" t="str">
        <f t="shared" si="23"/>
        <v/>
      </c>
    </row>
    <row r="383" spans="1:16" ht="13">
      <c r="A383" s="31" t="str">
        <f>IF('IMPORT PROFIXIO'!A383="","",'IMPORT PROFIXIO'!A383)</f>
        <v/>
      </c>
      <c r="B383" s="32" t="str">
        <f>IF(A383="","",IF(ISNUMBER('IMPORT PROFIXIO'!D383),'IMPORT PROFIXIO'!D383,DATEVALUE('IMPORT PROFIXIO'!D383)))</f>
        <v/>
      </c>
      <c r="C383" s="33" t="str">
        <f>IF(A383="","",IF(ISNUMBER('IMPORT PROFIXIO'!E383),'IMPORT PROFIXIO'!E383,(VALUE(LEFT('IMPORT PROFIXIO'!E383,FIND(":",'IMPORT PROFIXIO'!E383)-1))*60+VALUE(MID('IMPORT PROFIXIO'!E383,FIND(":",'IMPORT PROFIXIO'!E383)+1,2)))/1440))</f>
        <v/>
      </c>
      <c r="D383" s="31" t="str">
        <f>IF(A383="","",'IMPORT PROFIXIO'!F383)</f>
        <v/>
      </c>
      <c r="E383" s="31" t="str">
        <f>IF(A383="","",'IMPORT PROFIXIO'!K383)</f>
        <v/>
      </c>
      <c r="F383" s="34" t="str">
        <f>IF(A383="","",IFERROR(VLOOKUP(E383,KLASSNING!$A$5:$F$74,2,FALSE()),"SAKNAS"))</f>
        <v/>
      </c>
      <c r="G383" s="34" t="str">
        <f>IF(A383="","",IFERROR(VLOOKUP(E383,KLASSNING!$A$5:$F$74,3,FALSE()),"SAKNAS"))</f>
        <v/>
      </c>
      <c r="H383" s="34" t="str">
        <f>IF(A383="","",'IMPORT PROFIXIO'!H383)</f>
        <v/>
      </c>
      <c r="I383" s="34" t="str">
        <f>IF(A383="","",'IMPORT PROFIXIO'!I383)</f>
        <v/>
      </c>
      <c r="J383" s="34" t="str">
        <f t="shared" si="20"/>
        <v/>
      </c>
      <c r="K383" s="34" t="str">
        <f t="shared" si="21"/>
        <v/>
      </c>
      <c r="L383" s="34" t="str">
        <f>IF(A383="","",IFERROR(VLOOKUP(E383,KLASSNING!$A$5:$F$74,5,FALSE()),0))</f>
        <v/>
      </c>
      <c r="M383" s="35" t="str">
        <f t="shared" si="22"/>
        <v/>
      </c>
      <c r="N383" s="34" t="str">
        <f>IF(A383="","",IF(K383&lt;&gt;"Ja","Ej aktuell",IF(L383&lt;=0,"KONTROLLERA MATCHTID",IF(AND(COUNTIFS(BEMANNINGSPLAN!$A$5:$A$546,B383,BEMANNINGSPLAN!$C$5:$C$546,D383,BEMANNINGSPLAN!$D$5:$D$546,"&lt;="&amp;C383,BEMANNINGSPLAN!$E$5:$E$546,"&gt;"&amp;C383)&gt;0,COUNTIFS(BEMANNINGSPLAN!$A$5:$A$546,B383,BEMANNINGSPLAN!$C$5:$C$546,D383,BEMANNINGSPLAN!$D$5:$D$546,"&lt;"&amp;M383,BEMANNINGSPLAN!$E$5:$E$546,"&gt;="&amp;M383)&gt;0),"Ja","SAKNAS TIDSRADER"))))</f>
        <v/>
      </c>
      <c r="O383" s="137" t="str">
        <f>IF(OR(B383="",K383&lt;&gt;"Ja"),"",COUNTIFS($B$5:B383,B383,$K$5:K383,"Ja"))</f>
        <v/>
      </c>
      <c r="P383" s="137" t="str">
        <f t="shared" si="23"/>
        <v/>
      </c>
    </row>
    <row r="384" spans="1:16" ht="13">
      <c r="A384" s="31" t="str">
        <f>IF('IMPORT PROFIXIO'!A384="","",'IMPORT PROFIXIO'!A384)</f>
        <v/>
      </c>
      <c r="B384" s="32" t="str">
        <f>IF(A384="","",IF(ISNUMBER('IMPORT PROFIXIO'!D384),'IMPORT PROFIXIO'!D384,DATEVALUE('IMPORT PROFIXIO'!D384)))</f>
        <v/>
      </c>
      <c r="C384" s="33" t="str">
        <f>IF(A384="","",IF(ISNUMBER('IMPORT PROFIXIO'!E384),'IMPORT PROFIXIO'!E384,(VALUE(LEFT('IMPORT PROFIXIO'!E384,FIND(":",'IMPORT PROFIXIO'!E384)-1))*60+VALUE(MID('IMPORT PROFIXIO'!E384,FIND(":",'IMPORT PROFIXIO'!E384)+1,2)))/1440))</f>
        <v/>
      </c>
      <c r="D384" s="31" t="str">
        <f>IF(A384="","",'IMPORT PROFIXIO'!F384)</f>
        <v/>
      </c>
      <c r="E384" s="31" t="str">
        <f>IF(A384="","",'IMPORT PROFIXIO'!K384)</f>
        <v/>
      </c>
      <c r="F384" s="34" t="str">
        <f>IF(A384="","",IFERROR(VLOOKUP(E384,KLASSNING!$A$5:$F$74,2,FALSE()),"SAKNAS"))</f>
        <v/>
      </c>
      <c r="G384" s="34" t="str">
        <f>IF(A384="","",IFERROR(VLOOKUP(E384,KLASSNING!$A$5:$F$74,3,FALSE()),"SAKNAS"))</f>
        <v/>
      </c>
      <c r="H384" s="34" t="str">
        <f>IF(A384="","",'IMPORT PROFIXIO'!H384)</f>
        <v/>
      </c>
      <c r="I384" s="34" t="str">
        <f>IF(A384="","",'IMPORT PROFIXIO'!I384)</f>
        <v/>
      </c>
      <c r="J384" s="34" t="str">
        <f t="shared" si="20"/>
        <v/>
      </c>
      <c r="K384" s="34" t="str">
        <f t="shared" si="21"/>
        <v/>
      </c>
      <c r="L384" s="34" t="str">
        <f>IF(A384="","",IFERROR(VLOOKUP(E384,KLASSNING!$A$5:$F$74,5,FALSE()),0))</f>
        <v/>
      </c>
      <c r="M384" s="35" t="str">
        <f t="shared" si="22"/>
        <v/>
      </c>
      <c r="N384" s="34" t="str">
        <f>IF(A384="","",IF(K384&lt;&gt;"Ja","Ej aktuell",IF(L384&lt;=0,"KONTROLLERA MATCHTID",IF(AND(COUNTIFS(BEMANNINGSPLAN!$A$5:$A$546,B384,BEMANNINGSPLAN!$C$5:$C$546,D384,BEMANNINGSPLAN!$D$5:$D$546,"&lt;="&amp;C384,BEMANNINGSPLAN!$E$5:$E$546,"&gt;"&amp;C384)&gt;0,COUNTIFS(BEMANNINGSPLAN!$A$5:$A$546,B384,BEMANNINGSPLAN!$C$5:$C$546,D384,BEMANNINGSPLAN!$D$5:$D$546,"&lt;"&amp;M384,BEMANNINGSPLAN!$E$5:$E$546,"&gt;="&amp;M384)&gt;0),"Ja","SAKNAS TIDSRADER"))))</f>
        <v/>
      </c>
      <c r="O384" s="137" t="str">
        <f>IF(OR(B384="",K384&lt;&gt;"Ja"),"",COUNTIFS($B$5:B384,B384,$K$5:K384,"Ja"))</f>
        <v/>
      </c>
      <c r="P384" s="137" t="str">
        <f t="shared" si="23"/>
        <v/>
      </c>
    </row>
    <row r="385" spans="1:16" ht="13">
      <c r="A385" s="31" t="str">
        <f>IF('IMPORT PROFIXIO'!A385="","",'IMPORT PROFIXIO'!A385)</f>
        <v/>
      </c>
      <c r="B385" s="32" t="str">
        <f>IF(A385="","",IF(ISNUMBER('IMPORT PROFIXIO'!D385),'IMPORT PROFIXIO'!D385,DATEVALUE('IMPORT PROFIXIO'!D385)))</f>
        <v/>
      </c>
      <c r="C385" s="33" t="str">
        <f>IF(A385="","",IF(ISNUMBER('IMPORT PROFIXIO'!E385),'IMPORT PROFIXIO'!E385,(VALUE(LEFT('IMPORT PROFIXIO'!E385,FIND(":",'IMPORT PROFIXIO'!E385)-1))*60+VALUE(MID('IMPORT PROFIXIO'!E385,FIND(":",'IMPORT PROFIXIO'!E385)+1,2)))/1440))</f>
        <v/>
      </c>
      <c r="D385" s="31" t="str">
        <f>IF(A385="","",'IMPORT PROFIXIO'!F385)</f>
        <v/>
      </c>
      <c r="E385" s="31" t="str">
        <f>IF(A385="","",'IMPORT PROFIXIO'!K385)</f>
        <v/>
      </c>
      <c r="F385" s="34" t="str">
        <f>IF(A385="","",IFERROR(VLOOKUP(E385,KLASSNING!$A$5:$F$74,2,FALSE()),"SAKNAS"))</f>
        <v/>
      </c>
      <c r="G385" s="34" t="str">
        <f>IF(A385="","",IFERROR(VLOOKUP(E385,KLASSNING!$A$5:$F$74,3,FALSE()),"SAKNAS"))</f>
        <v/>
      </c>
      <c r="H385" s="34" t="str">
        <f>IF(A385="","",'IMPORT PROFIXIO'!H385)</f>
        <v/>
      </c>
      <c r="I385" s="34" t="str">
        <f>IF(A385="","",'IMPORT PROFIXIO'!I385)</f>
        <v/>
      </c>
      <c r="J385" s="34" t="str">
        <f t="shared" si="20"/>
        <v/>
      </c>
      <c r="K385" s="34" t="str">
        <f t="shared" si="21"/>
        <v/>
      </c>
      <c r="L385" s="34" t="str">
        <f>IF(A385="","",IFERROR(VLOOKUP(E385,KLASSNING!$A$5:$F$74,5,FALSE()),0))</f>
        <v/>
      </c>
      <c r="M385" s="35" t="str">
        <f t="shared" si="22"/>
        <v/>
      </c>
      <c r="N385" s="34" t="str">
        <f>IF(A385="","",IF(K385&lt;&gt;"Ja","Ej aktuell",IF(L385&lt;=0,"KONTROLLERA MATCHTID",IF(AND(COUNTIFS(BEMANNINGSPLAN!$A$5:$A$546,B385,BEMANNINGSPLAN!$C$5:$C$546,D385,BEMANNINGSPLAN!$D$5:$D$546,"&lt;="&amp;C385,BEMANNINGSPLAN!$E$5:$E$546,"&gt;"&amp;C385)&gt;0,COUNTIFS(BEMANNINGSPLAN!$A$5:$A$546,B385,BEMANNINGSPLAN!$C$5:$C$546,D385,BEMANNINGSPLAN!$D$5:$D$546,"&lt;"&amp;M385,BEMANNINGSPLAN!$E$5:$E$546,"&gt;="&amp;M385)&gt;0),"Ja","SAKNAS TIDSRADER"))))</f>
        <v/>
      </c>
      <c r="O385" s="137" t="str">
        <f>IF(OR(B385="",K385&lt;&gt;"Ja"),"",COUNTIFS($B$5:B385,B385,$K$5:K385,"Ja"))</f>
        <v/>
      </c>
      <c r="P385" s="137" t="str">
        <f t="shared" si="23"/>
        <v/>
      </c>
    </row>
    <row r="386" spans="1:16" ht="13">
      <c r="A386" s="31" t="str">
        <f>IF('IMPORT PROFIXIO'!A386="","",'IMPORT PROFIXIO'!A386)</f>
        <v/>
      </c>
      <c r="B386" s="32" t="str">
        <f>IF(A386="","",IF(ISNUMBER('IMPORT PROFIXIO'!D386),'IMPORT PROFIXIO'!D386,DATEVALUE('IMPORT PROFIXIO'!D386)))</f>
        <v/>
      </c>
      <c r="C386" s="33" t="str">
        <f>IF(A386="","",IF(ISNUMBER('IMPORT PROFIXIO'!E386),'IMPORT PROFIXIO'!E386,(VALUE(LEFT('IMPORT PROFIXIO'!E386,FIND(":",'IMPORT PROFIXIO'!E386)-1))*60+VALUE(MID('IMPORT PROFIXIO'!E386,FIND(":",'IMPORT PROFIXIO'!E386)+1,2)))/1440))</f>
        <v/>
      </c>
      <c r="D386" s="31" t="str">
        <f>IF(A386="","",'IMPORT PROFIXIO'!F386)</f>
        <v/>
      </c>
      <c r="E386" s="31" t="str">
        <f>IF(A386="","",'IMPORT PROFIXIO'!K386)</f>
        <v/>
      </c>
      <c r="F386" s="34" t="str">
        <f>IF(A386="","",IFERROR(VLOOKUP(E386,KLASSNING!$A$5:$F$74,2,FALSE()),"SAKNAS"))</f>
        <v/>
      </c>
      <c r="G386" s="34" t="str">
        <f>IF(A386="","",IFERROR(VLOOKUP(E386,KLASSNING!$A$5:$F$74,3,FALSE()),"SAKNAS"))</f>
        <v/>
      </c>
      <c r="H386" s="34" t="str">
        <f>IF(A386="","",'IMPORT PROFIXIO'!H386)</f>
        <v/>
      </c>
      <c r="I386" s="34" t="str">
        <f>IF(A386="","",'IMPORT PROFIXIO'!I386)</f>
        <v/>
      </c>
      <c r="J386" s="34" t="str">
        <f t="shared" si="20"/>
        <v/>
      </c>
      <c r="K386" s="34" t="str">
        <f t="shared" si="21"/>
        <v/>
      </c>
      <c r="L386" s="34" t="str">
        <f>IF(A386="","",IFERROR(VLOOKUP(E386,KLASSNING!$A$5:$F$74,5,FALSE()),0))</f>
        <v/>
      </c>
      <c r="M386" s="35" t="str">
        <f t="shared" si="22"/>
        <v/>
      </c>
      <c r="N386" s="34" t="str">
        <f>IF(A386="","",IF(K386&lt;&gt;"Ja","Ej aktuell",IF(L386&lt;=0,"KONTROLLERA MATCHTID",IF(AND(COUNTIFS(BEMANNINGSPLAN!$A$5:$A$546,B386,BEMANNINGSPLAN!$C$5:$C$546,D386,BEMANNINGSPLAN!$D$5:$D$546,"&lt;="&amp;C386,BEMANNINGSPLAN!$E$5:$E$546,"&gt;"&amp;C386)&gt;0,COUNTIFS(BEMANNINGSPLAN!$A$5:$A$546,B386,BEMANNINGSPLAN!$C$5:$C$546,D386,BEMANNINGSPLAN!$D$5:$D$546,"&lt;"&amp;M386,BEMANNINGSPLAN!$E$5:$E$546,"&gt;="&amp;M386)&gt;0),"Ja","SAKNAS TIDSRADER"))))</f>
        <v/>
      </c>
      <c r="O386" s="137" t="str">
        <f>IF(OR(B386="",K386&lt;&gt;"Ja"),"",COUNTIFS($B$5:B386,B386,$K$5:K386,"Ja"))</f>
        <v/>
      </c>
      <c r="P386" s="137" t="str">
        <f t="shared" si="23"/>
        <v/>
      </c>
    </row>
    <row r="387" spans="1:16" ht="13">
      <c r="A387" s="31" t="str">
        <f>IF('IMPORT PROFIXIO'!A387="","",'IMPORT PROFIXIO'!A387)</f>
        <v/>
      </c>
      <c r="B387" s="32" t="str">
        <f>IF(A387="","",IF(ISNUMBER('IMPORT PROFIXIO'!D387),'IMPORT PROFIXIO'!D387,DATEVALUE('IMPORT PROFIXIO'!D387)))</f>
        <v/>
      </c>
      <c r="C387" s="33" t="str">
        <f>IF(A387="","",IF(ISNUMBER('IMPORT PROFIXIO'!E387),'IMPORT PROFIXIO'!E387,(VALUE(LEFT('IMPORT PROFIXIO'!E387,FIND(":",'IMPORT PROFIXIO'!E387)-1))*60+VALUE(MID('IMPORT PROFIXIO'!E387,FIND(":",'IMPORT PROFIXIO'!E387)+1,2)))/1440))</f>
        <v/>
      </c>
      <c r="D387" s="31" t="str">
        <f>IF(A387="","",'IMPORT PROFIXIO'!F387)</f>
        <v/>
      </c>
      <c r="E387" s="31" t="str">
        <f>IF(A387="","",'IMPORT PROFIXIO'!K387)</f>
        <v/>
      </c>
      <c r="F387" s="34" t="str">
        <f>IF(A387="","",IFERROR(VLOOKUP(E387,KLASSNING!$A$5:$F$74,2,FALSE()),"SAKNAS"))</f>
        <v/>
      </c>
      <c r="G387" s="34" t="str">
        <f>IF(A387="","",IFERROR(VLOOKUP(E387,KLASSNING!$A$5:$F$74,3,FALSE()),"SAKNAS"))</f>
        <v/>
      </c>
      <c r="H387" s="34" t="str">
        <f>IF(A387="","",'IMPORT PROFIXIO'!H387)</f>
        <v/>
      </c>
      <c r="I387" s="34" t="str">
        <f>IF(A387="","",'IMPORT PROFIXIO'!I387)</f>
        <v/>
      </c>
      <c r="J387" s="34" t="str">
        <f t="shared" si="20"/>
        <v/>
      </c>
      <c r="K387" s="34" t="str">
        <f t="shared" si="21"/>
        <v/>
      </c>
      <c r="L387" s="34" t="str">
        <f>IF(A387="","",IFERROR(VLOOKUP(E387,KLASSNING!$A$5:$F$74,5,FALSE()),0))</f>
        <v/>
      </c>
      <c r="M387" s="35" t="str">
        <f t="shared" si="22"/>
        <v/>
      </c>
      <c r="N387" s="34" t="str">
        <f>IF(A387="","",IF(K387&lt;&gt;"Ja","Ej aktuell",IF(L387&lt;=0,"KONTROLLERA MATCHTID",IF(AND(COUNTIFS(BEMANNINGSPLAN!$A$5:$A$546,B387,BEMANNINGSPLAN!$C$5:$C$546,D387,BEMANNINGSPLAN!$D$5:$D$546,"&lt;="&amp;C387,BEMANNINGSPLAN!$E$5:$E$546,"&gt;"&amp;C387)&gt;0,COUNTIFS(BEMANNINGSPLAN!$A$5:$A$546,B387,BEMANNINGSPLAN!$C$5:$C$546,D387,BEMANNINGSPLAN!$D$5:$D$546,"&lt;"&amp;M387,BEMANNINGSPLAN!$E$5:$E$546,"&gt;="&amp;M387)&gt;0),"Ja","SAKNAS TIDSRADER"))))</f>
        <v/>
      </c>
      <c r="O387" s="137" t="str">
        <f>IF(OR(B387="",K387&lt;&gt;"Ja"),"",COUNTIFS($B$5:B387,B387,$K$5:K387,"Ja"))</f>
        <v/>
      </c>
      <c r="P387" s="137" t="str">
        <f t="shared" si="23"/>
        <v/>
      </c>
    </row>
    <row r="388" spans="1:16" ht="13">
      <c r="A388" s="31" t="str">
        <f>IF('IMPORT PROFIXIO'!A388="","",'IMPORT PROFIXIO'!A388)</f>
        <v/>
      </c>
      <c r="B388" s="32" t="str">
        <f>IF(A388="","",IF(ISNUMBER('IMPORT PROFIXIO'!D388),'IMPORT PROFIXIO'!D388,DATEVALUE('IMPORT PROFIXIO'!D388)))</f>
        <v/>
      </c>
      <c r="C388" s="33" t="str">
        <f>IF(A388="","",IF(ISNUMBER('IMPORT PROFIXIO'!E388),'IMPORT PROFIXIO'!E388,(VALUE(LEFT('IMPORT PROFIXIO'!E388,FIND(":",'IMPORT PROFIXIO'!E388)-1))*60+VALUE(MID('IMPORT PROFIXIO'!E388,FIND(":",'IMPORT PROFIXIO'!E388)+1,2)))/1440))</f>
        <v/>
      </c>
      <c r="D388" s="31" t="str">
        <f>IF(A388="","",'IMPORT PROFIXIO'!F388)</f>
        <v/>
      </c>
      <c r="E388" s="31" t="str">
        <f>IF(A388="","",'IMPORT PROFIXIO'!K388)</f>
        <v/>
      </c>
      <c r="F388" s="34" t="str">
        <f>IF(A388="","",IFERROR(VLOOKUP(E388,KLASSNING!$A$5:$F$74,2,FALSE()),"SAKNAS"))</f>
        <v/>
      </c>
      <c r="G388" s="34" t="str">
        <f>IF(A388="","",IFERROR(VLOOKUP(E388,KLASSNING!$A$5:$F$74,3,FALSE()),"SAKNAS"))</f>
        <v/>
      </c>
      <c r="H388" s="34" t="str">
        <f>IF(A388="","",'IMPORT PROFIXIO'!H388)</f>
        <v/>
      </c>
      <c r="I388" s="34" t="str">
        <f>IF(A388="","",'IMPORT PROFIXIO'!I388)</f>
        <v/>
      </c>
      <c r="J388" s="34" t="str">
        <f t="shared" si="20"/>
        <v/>
      </c>
      <c r="K388" s="34" t="str">
        <f t="shared" si="21"/>
        <v/>
      </c>
      <c r="L388" s="34" t="str">
        <f>IF(A388="","",IFERROR(VLOOKUP(E388,KLASSNING!$A$5:$F$74,5,FALSE()),0))</f>
        <v/>
      </c>
      <c r="M388" s="35" t="str">
        <f t="shared" si="22"/>
        <v/>
      </c>
      <c r="N388" s="34" t="str">
        <f>IF(A388="","",IF(K388&lt;&gt;"Ja","Ej aktuell",IF(L388&lt;=0,"KONTROLLERA MATCHTID",IF(AND(COUNTIFS(BEMANNINGSPLAN!$A$5:$A$546,B388,BEMANNINGSPLAN!$C$5:$C$546,D388,BEMANNINGSPLAN!$D$5:$D$546,"&lt;="&amp;C388,BEMANNINGSPLAN!$E$5:$E$546,"&gt;"&amp;C388)&gt;0,COUNTIFS(BEMANNINGSPLAN!$A$5:$A$546,B388,BEMANNINGSPLAN!$C$5:$C$546,D388,BEMANNINGSPLAN!$D$5:$D$546,"&lt;"&amp;M388,BEMANNINGSPLAN!$E$5:$E$546,"&gt;="&amp;M388)&gt;0),"Ja","SAKNAS TIDSRADER"))))</f>
        <v/>
      </c>
      <c r="O388" s="137" t="str">
        <f>IF(OR(B388="",K388&lt;&gt;"Ja"),"",COUNTIFS($B$5:B388,B388,$K$5:K388,"Ja"))</f>
        <v/>
      </c>
      <c r="P388" s="137" t="str">
        <f t="shared" si="23"/>
        <v/>
      </c>
    </row>
    <row r="389" spans="1:16" ht="13">
      <c r="A389" s="31" t="str">
        <f>IF('IMPORT PROFIXIO'!A389="","",'IMPORT PROFIXIO'!A389)</f>
        <v/>
      </c>
      <c r="B389" s="32" t="str">
        <f>IF(A389="","",IF(ISNUMBER('IMPORT PROFIXIO'!D389),'IMPORT PROFIXIO'!D389,DATEVALUE('IMPORT PROFIXIO'!D389)))</f>
        <v/>
      </c>
      <c r="C389" s="33" t="str">
        <f>IF(A389="","",IF(ISNUMBER('IMPORT PROFIXIO'!E389),'IMPORT PROFIXIO'!E389,(VALUE(LEFT('IMPORT PROFIXIO'!E389,FIND(":",'IMPORT PROFIXIO'!E389)-1))*60+VALUE(MID('IMPORT PROFIXIO'!E389,FIND(":",'IMPORT PROFIXIO'!E389)+1,2)))/1440))</f>
        <v/>
      </c>
      <c r="D389" s="31" t="str">
        <f>IF(A389="","",'IMPORT PROFIXIO'!F389)</f>
        <v/>
      </c>
      <c r="E389" s="31" t="str">
        <f>IF(A389="","",'IMPORT PROFIXIO'!K389)</f>
        <v/>
      </c>
      <c r="F389" s="34" t="str">
        <f>IF(A389="","",IFERROR(VLOOKUP(E389,KLASSNING!$A$5:$F$74,2,FALSE()),"SAKNAS"))</f>
        <v/>
      </c>
      <c r="G389" s="34" t="str">
        <f>IF(A389="","",IFERROR(VLOOKUP(E389,KLASSNING!$A$5:$F$74,3,FALSE()),"SAKNAS"))</f>
        <v/>
      </c>
      <c r="H389" s="34" t="str">
        <f>IF(A389="","",'IMPORT PROFIXIO'!H389)</f>
        <v/>
      </c>
      <c r="I389" s="34" t="str">
        <f>IF(A389="","",'IMPORT PROFIXIO'!I389)</f>
        <v/>
      </c>
      <c r="J389" s="34" t="str">
        <f t="shared" ref="J389:J452" si="24">IF(A389="","",IF(LEFT(H389,3)="AIK",IF(H389="AIK 2",F389&amp;" 2",F389),IF(LEFT(I389,3)="AIK",IF(I389="AIK 2",F389&amp;" 2",F389),"")))</f>
        <v/>
      </c>
      <c r="K389" s="34" t="str">
        <f t="shared" ref="K389:K452" si="25">IF(A389="","",IF(D389="Solnahallen","Nej","Ja"))</f>
        <v/>
      </c>
      <c r="L389" s="34" t="str">
        <f>IF(A389="","",IFERROR(VLOOKUP(E389,KLASSNING!$A$5:$F$74,5,FALSE()),0))</f>
        <v/>
      </c>
      <c r="M389" s="35" t="str">
        <f t="shared" ref="M389:M452" si="26">IF(OR(A389="",K389&lt;&gt;"Ja"),"",C389+L389/1440)</f>
        <v/>
      </c>
      <c r="N389" s="34" t="str">
        <f>IF(A389="","",IF(K389&lt;&gt;"Ja","Ej aktuell",IF(L389&lt;=0,"KONTROLLERA MATCHTID",IF(AND(COUNTIFS(BEMANNINGSPLAN!$A$5:$A$546,B389,BEMANNINGSPLAN!$C$5:$C$546,D389,BEMANNINGSPLAN!$D$5:$D$546,"&lt;="&amp;C389,BEMANNINGSPLAN!$E$5:$E$546,"&gt;"&amp;C389)&gt;0,COUNTIFS(BEMANNINGSPLAN!$A$5:$A$546,B389,BEMANNINGSPLAN!$C$5:$C$546,D389,BEMANNINGSPLAN!$D$5:$D$546,"&lt;"&amp;M389,BEMANNINGSPLAN!$E$5:$E$546,"&gt;="&amp;M389)&gt;0),"Ja","SAKNAS TIDSRADER"))))</f>
        <v/>
      </c>
      <c r="O389" s="137" t="str">
        <f>IF(OR(B389="",K389&lt;&gt;"Ja"),"",COUNTIFS($B$5:B389,B389,$K$5:K389,"Ja"))</f>
        <v/>
      </c>
      <c r="P389" s="137" t="str">
        <f t="shared" ref="P389:P452" si="27">IF(O389="","",TEXT(B389,"yyyy-mm-dd")&amp;"|"&amp;O389)</f>
        <v/>
      </c>
    </row>
    <row r="390" spans="1:16" ht="13">
      <c r="A390" s="31" t="str">
        <f>IF('IMPORT PROFIXIO'!A390="","",'IMPORT PROFIXIO'!A390)</f>
        <v/>
      </c>
      <c r="B390" s="32" t="str">
        <f>IF(A390="","",IF(ISNUMBER('IMPORT PROFIXIO'!D390),'IMPORT PROFIXIO'!D390,DATEVALUE('IMPORT PROFIXIO'!D390)))</f>
        <v/>
      </c>
      <c r="C390" s="33" t="str">
        <f>IF(A390="","",IF(ISNUMBER('IMPORT PROFIXIO'!E390),'IMPORT PROFIXIO'!E390,(VALUE(LEFT('IMPORT PROFIXIO'!E390,FIND(":",'IMPORT PROFIXIO'!E390)-1))*60+VALUE(MID('IMPORT PROFIXIO'!E390,FIND(":",'IMPORT PROFIXIO'!E390)+1,2)))/1440))</f>
        <v/>
      </c>
      <c r="D390" s="31" t="str">
        <f>IF(A390="","",'IMPORT PROFIXIO'!F390)</f>
        <v/>
      </c>
      <c r="E390" s="31" t="str">
        <f>IF(A390="","",'IMPORT PROFIXIO'!K390)</f>
        <v/>
      </c>
      <c r="F390" s="34" t="str">
        <f>IF(A390="","",IFERROR(VLOOKUP(E390,KLASSNING!$A$5:$F$74,2,FALSE()),"SAKNAS"))</f>
        <v/>
      </c>
      <c r="G390" s="34" t="str">
        <f>IF(A390="","",IFERROR(VLOOKUP(E390,KLASSNING!$A$5:$F$74,3,FALSE()),"SAKNAS"))</f>
        <v/>
      </c>
      <c r="H390" s="34" t="str">
        <f>IF(A390="","",'IMPORT PROFIXIO'!H390)</f>
        <v/>
      </c>
      <c r="I390" s="34" t="str">
        <f>IF(A390="","",'IMPORT PROFIXIO'!I390)</f>
        <v/>
      </c>
      <c r="J390" s="34" t="str">
        <f t="shared" si="24"/>
        <v/>
      </c>
      <c r="K390" s="34" t="str">
        <f t="shared" si="25"/>
        <v/>
      </c>
      <c r="L390" s="34" t="str">
        <f>IF(A390="","",IFERROR(VLOOKUP(E390,KLASSNING!$A$5:$F$74,5,FALSE()),0))</f>
        <v/>
      </c>
      <c r="M390" s="35" t="str">
        <f t="shared" si="26"/>
        <v/>
      </c>
      <c r="N390" s="34" t="str">
        <f>IF(A390="","",IF(K390&lt;&gt;"Ja","Ej aktuell",IF(L390&lt;=0,"KONTROLLERA MATCHTID",IF(AND(COUNTIFS(BEMANNINGSPLAN!$A$5:$A$546,B390,BEMANNINGSPLAN!$C$5:$C$546,D390,BEMANNINGSPLAN!$D$5:$D$546,"&lt;="&amp;C390,BEMANNINGSPLAN!$E$5:$E$546,"&gt;"&amp;C390)&gt;0,COUNTIFS(BEMANNINGSPLAN!$A$5:$A$546,B390,BEMANNINGSPLAN!$C$5:$C$546,D390,BEMANNINGSPLAN!$D$5:$D$546,"&lt;"&amp;M390,BEMANNINGSPLAN!$E$5:$E$546,"&gt;="&amp;M390)&gt;0),"Ja","SAKNAS TIDSRADER"))))</f>
        <v/>
      </c>
      <c r="O390" s="137" t="str">
        <f>IF(OR(B390="",K390&lt;&gt;"Ja"),"",COUNTIFS($B$5:B390,B390,$K$5:K390,"Ja"))</f>
        <v/>
      </c>
      <c r="P390" s="137" t="str">
        <f t="shared" si="27"/>
        <v/>
      </c>
    </row>
    <row r="391" spans="1:16" ht="13">
      <c r="A391" s="31" t="str">
        <f>IF('IMPORT PROFIXIO'!A391="","",'IMPORT PROFIXIO'!A391)</f>
        <v/>
      </c>
      <c r="B391" s="32" t="str">
        <f>IF(A391="","",IF(ISNUMBER('IMPORT PROFIXIO'!D391),'IMPORT PROFIXIO'!D391,DATEVALUE('IMPORT PROFIXIO'!D391)))</f>
        <v/>
      </c>
      <c r="C391" s="33" t="str">
        <f>IF(A391="","",IF(ISNUMBER('IMPORT PROFIXIO'!E391),'IMPORT PROFIXIO'!E391,(VALUE(LEFT('IMPORT PROFIXIO'!E391,FIND(":",'IMPORT PROFIXIO'!E391)-1))*60+VALUE(MID('IMPORT PROFIXIO'!E391,FIND(":",'IMPORT PROFIXIO'!E391)+1,2)))/1440))</f>
        <v/>
      </c>
      <c r="D391" s="31" t="str">
        <f>IF(A391="","",'IMPORT PROFIXIO'!F391)</f>
        <v/>
      </c>
      <c r="E391" s="31" t="str">
        <f>IF(A391="","",'IMPORT PROFIXIO'!K391)</f>
        <v/>
      </c>
      <c r="F391" s="34" t="str">
        <f>IF(A391="","",IFERROR(VLOOKUP(E391,KLASSNING!$A$5:$F$74,2,FALSE()),"SAKNAS"))</f>
        <v/>
      </c>
      <c r="G391" s="34" t="str">
        <f>IF(A391="","",IFERROR(VLOOKUP(E391,KLASSNING!$A$5:$F$74,3,FALSE()),"SAKNAS"))</f>
        <v/>
      </c>
      <c r="H391" s="34" t="str">
        <f>IF(A391="","",'IMPORT PROFIXIO'!H391)</f>
        <v/>
      </c>
      <c r="I391" s="34" t="str">
        <f>IF(A391="","",'IMPORT PROFIXIO'!I391)</f>
        <v/>
      </c>
      <c r="J391" s="34" t="str">
        <f t="shared" si="24"/>
        <v/>
      </c>
      <c r="K391" s="34" t="str">
        <f t="shared" si="25"/>
        <v/>
      </c>
      <c r="L391" s="34" t="str">
        <f>IF(A391="","",IFERROR(VLOOKUP(E391,KLASSNING!$A$5:$F$74,5,FALSE()),0))</f>
        <v/>
      </c>
      <c r="M391" s="35" t="str">
        <f t="shared" si="26"/>
        <v/>
      </c>
      <c r="N391" s="34" t="str">
        <f>IF(A391="","",IF(K391&lt;&gt;"Ja","Ej aktuell",IF(L391&lt;=0,"KONTROLLERA MATCHTID",IF(AND(COUNTIFS(BEMANNINGSPLAN!$A$5:$A$546,B391,BEMANNINGSPLAN!$C$5:$C$546,D391,BEMANNINGSPLAN!$D$5:$D$546,"&lt;="&amp;C391,BEMANNINGSPLAN!$E$5:$E$546,"&gt;"&amp;C391)&gt;0,COUNTIFS(BEMANNINGSPLAN!$A$5:$A$546,B391,BEMANNINGSPLAN!$C$5:$C$546,D391,BEMANNINGSPLAN!$D$5:$D$546,"&lt;"&amp;M391,BEMANNINGSPLAN!$E$5:$E$546,"&gt;="&amp;M391)&gt;0),"Ja","SAKNAS TIDSRADER"))))</f>
        <v/>
      </c>
      <c r="O391" s="137" t="str">
        <f>IF(OR(B391="",K391&lt;&gt;"Ja"),"",COUNTIFS($B$5:B391,B391,$K$5:K391,"Ja"))</f>
        <v/>
      </c>
      <c r="P391" s="137" t="str">
        <f t="shared" si="27"/>
        <v/>
      </c>
    </row>
    <row r="392" spans="1:16" ht="13">
      <c r="A392" s="31" t="str">
        <f>IF('IMPORT PROFIXIO'!A392="","",'IMPORT PROFIXIO'!A392)</f>
        <v/>
      </c>
      <c r="B392" s="32" t="str">
        <f>IF(A392="","",IF(ISNUMBER('IMPORT PROFIXIO'!D392),'IMPORT PROFIXIO'!D392,DATEVALUE('IMPORT PROFIXIO'!D392)))</f>
        <v/>
      </c>
      <c r="C392" s="33" t="str">
        <f>IF(A392="","",IF(ISNUMBER('IMPORT PROFIXIO'!E392),'IMPORT PROFIXIO'!E392,(VALUE(LEFT('IMPORT PROFIXIO'!E392,FIND(":",'IMPORT PROFIXIO'!E392)-1))*60+VALUE(MID('IMPORT PROFIXIO'!E392,FIND(":",'IMPORT PROFIXIO'!E392)+1,2)))/1440))</f>
        <v/>
      </c>
      <c r="D392" s="31" t="str">
        <f>IF(A392="","",'IMPORT PROFIXIO'!F392)</f>
        <v/>
      </c>
      <c r="E392" s="31" t="str">
        <f>IF(A392="","",'IMPORT PROFIXIO'!K392)</f>
        <v/>
      </c>
      <c r="F392" s="34" t="str">
        <f>IF(A392="","",IFERROR(VLOOKUP(E392,KLASSNING!$A$5:$F$74,2,FALSE()),"SAKNAS"))</f>
        <v/>
      </c>
      <c r="G392" s="34" t="str">
        <f>IF(A392="","",IFERROR(VLOOKUP(E392,KLASSNING!$A$5:$F$74,3,FALSE()),"SAKNAS"))</f>
        <v/>
      </c>
      <c r="H392" s="34" t="str">
        <f>IF(A392="","",'IMPORT PROFIXIO'!H392)</f>
        <v/>
      </c>
      <c r="I392" s="34" t="str">
        <f>IF(A392="","",'IMPORT PROFIXIO'!I392)</f>
        <v/>
      </c>
      <c r="J392" s="34" t="str">
        <f t="shared" si="24"/>
        <v/>
      </c>
      <c r="K392" s="34" t="str">
        <f t="shared" si="25"/>
        <v/>
      </c>
      <c r="L392" s="34" t="str">
        <f>IF(A392="","",IFERROR(VLOOKUP(E392,KLASSNING!$A$5:$F$74,5,FALSE()),0))</f>
        <v/>
      </c>
      <c r="M392" s="35" t="str">
        <f t="shared" si="26"/>
        <v/>
      </c>
      <c r="N392" s="34" t="str">
        <f>IF(A392="","",IF(K392&lt;&gt;"Ja","Ej aktuell",IF(L392&lt;=0,"KONTROLLERA MATCHTID",IF(AND(COUNTIFS(BEMANNINGSPLAN!$A$5:$A$546,B392,BEMANNINGSPLAN!$C$5:$C$546,D392,BEMANNINGSPLAN!$D$5:$D$546,"&lt;="&amp;C392,BEMANNINGSPLAN!$E$5:$E$546,"&gt;"&amp;C392)&gt;0,COUNTIFS(BEMANNINGSPLAN!$A$5:$A$546,B392,BEMANNINGSPLAN!$C$5:$C$546,D392,BEMANNINGSPLAN!$D$5:$D$546,"&lt;"&amp;M392,BEMANNINGSPLAN!$E$5:$E$546,"&gt;="&amp;M392)&gt;0),"Ja","SAKNAS TIDSRADER"))))</f>
        <v/>
      </c>
      <c r="O392" s="137" t="str">
        <f>IF(OR(B392="",K392&lt;&gt;"Ja"),"",COUNTIFS($B$5:B392,B392,$K$5:K392,"Ja"))</f>
        <v/>
      </c>
      <c r="P392" s="137" t="str">
        <f t="shared" si="27"/>
        <v/>
      </c>
    </row>
    <row r="393" spans="1:16" ht="13">
      <c r="A393" s="31" t="str">
        <f>IF('IMPORT PROFIXIO'!A393="","",'IMPORT PROFIXIO'!A393)</f>
        <v/>
      </c>
      <c r="B393" s="32" t="str">
        <f>IF(A393="","",IF(ISNUMBER('IMPORT PROFIXIO'!D393),'IMPORT PROFIXIO'!D393,DATEVALUE('IMPORT PROFIXIO'!D393)))</f>
        <v/>
      </c>
      <c r="C393" s="33" t="str">
        <f>IF(A393="","",IF(ISNUMBER('IMPORT PROFIXIO'!E393),'IMPORT PROFIXIO'!E393,(VALUE(LEFT('IMPORT PROFIXIO'!E393,FIND(":",'IMPORT PROFIXIO'!E393)-1))*60+VALUE(MID('IMPORT PROFIXIO'!E393,FIND(":",'IMPORT PROFIXIO'!E393)+1,2)))/1440))</f>
        <v/>
      </c>
      <c r="D393" s="31" t="str">
        <f>IF(A393="","",'IMPORT PROFIXIO'!F393)</f>
        <v/>
      </c>
      <c r="E393" s="31" t="str">
        <f>IF(A393="","",'IMPORT PROFIXIO'!K393)</f>
        <v/>
      </c>
      <c r="F393" s="34" t="str">
        <f>IF(A393="","",IFERROR(VLOOKUP(E393,KLASSNING!$A$5:$F$74,2,FALSE()),"SAKNAS"))</f>
        <v/>
      </c>
      <c r="G393" s="34" t="str">
        <f>IF(A393="","",IFERROR(VLOOKUP(E393,KLASSNING!$A$5:$F$74,3,FALSE()),"SAKNAS"))</f>
        <v/>
      </c>
      <c r="H393" s="34" t="str">
        <f>IF(A393="","",'IMPORT PROFIXIO'!H393)</f>
        <v/>
      </c>
      <c r="I393" s="34" t="str">
        <f>IF(A393="","",'IMPORT PROFIXIO'!I393)</f>
        <v/>
      </c>
      <c r="J393" s="34" t="str">
        <f t="shared" si="24"/>
        <v/>
      </c>
      <c r="K393" s="34" t="str">
        <f t="shared" si="25"/>
        <v/>
      </c>
      <c r="L393" s="34" t="str">
        <f>IF(A393="","",IFERROR(VLOOKUP(E393,KLASSNING!$A$5:$F$74,5,FALSE()),0))</f>
        <v/>
      </c>
      <c r="M393" s="35" t="str">
        <f t="shared" si="26"/>
        <v/>
      </c>
      <c r="N393" s="34" t="str">
        <f>IF(A393="","",IF(K393&lt;&gt;"Ja","Ej aktuell",IF(L393&lt;=0,"KONTROLLERA MATCHTID",IF(AND(COUNTIFS(BEMANNINGSPLAN!$A$5:$A$546,B393,BEMANNINGSPLAN!$C$5:$C$546,D393,BEMANNINGSPLAN!$D$5:$D$546,"&lt;="&amp;C393,BEMANNINGSPLAN!$E$5:$E$546,"&gt;"&amp;C393)&gt;0,COUNTIFS(BEMANNINGSPLAN!$A$5:$A$546,B393,BEMANNINGSPLAN!$C$5:$C$546,D393,BEMANNINGSPLAN!$D$5:$D$546,"&lt;"&amp;M393,BEMANNINGSPLAN!$E$5:$E$546,"&gt;="&amp;M393)&gt;0),"Ja","SAKNAS TIDSRADER"))))</f>
        <v/>
      </c>
      <c r="O393" s="137" t="str">
        <f>IF(OR(B393="",K393&lt;&gt;"Ja"),"",COUNTIFS($B$5:B393,B393,$K$5:K393,"Ja"))</f>
        <v/>
      </c>
      <c r="P393" s="137" t="str">
        <f t="shared" si="27"/>
        <v/>
      </c>
    </row>
    <row r="394" spans="1:16" ht="13">
      <c r="A394" s="31" t="str">
        <f>IF('IMPORT PROFIXIO'!A394="","",'IMPORT PROFIXIO'!A394)</f>
        <v/>
      </c>
      <c r="B394" s="32" t="str">
        <f>IF(A394="","",IF(ISNUMBER('IMPORT PROFIXIO'!D394),'IMPORT PROFIXIO'!D394,DATEVALUE('IMPORT PROFIXIO'!D394)))</f>
        <v/>
      </c>
      <c r="C394" s="33" t="str">
        <f>IF(A394="","",IF(ISNUMBER('IMPORT PROFIXIO'!E394),'IMPORT PROFIXIO'!E394,(VALUE(LEFT('IMPORT PROFIXIO'!E394,FIND(":",'IMPORT PROFIXIO'!E394)-1))*60+VALUE(MID('IMPORT PROFIXIO'!E394,FIND(":",'IMPORT PROFIXIO'!E394)+1,2)))/1440))</f>
        <v/>
      </c>
      <c r="D394" s="31" t="str">
        <f>IF(A394="","",'IMPORT PROFIXIO'!F394)</f>
        <v/>
      </c>
      <c r="E394" s="31" t="str">
        <f>IF(A394="","",'IMPORT PROFIXIO'!K394)</f>
        <v/>
      </c>
      <c r="F394" s="34" t="str">
        <f>IF(A394="","",IFERROR(VLOOKUP(E394,KLASSNING!$A$5:$F$74,2,FALSE()),"SAKNAS"))</f>
        <v/>
      </c>
      <c r="G394" s="34" t="str">
        <f>IF(A394="","",IFERROR(VLOOKUP(E394,KLASSNING!$A$5:$F$74,3,FALSE()),"SAKNAS"))</f>
        <v/>
      </c>
      <c r="H394" s="34" t="str">
        <f>IF(A394="","",'IMPORT PROFIXIO'!H394)</f>
        <v/>
      </c>
      <c r="I394" s="34" t="str">
        <f>IF(A394="","",'IMPORT PROFIXIO'!I394)</f>
        <v/>
      </c>
      <c r="J394" s="34" t="str">
        <f t="shared" si="24"/>
        <v/>
      </c>
      <c r="K394" s="34" t="str">
        <f t="shared" si="25"/>
        <v/>
      </c>
      <c r="L394" s="34" t="str">
        <f>IF(A394="","",IFERROR(VLOOKUP(E394,KLASSNING!$A$5:$F$74,5,FALSE()),0))</f>
        <v/>
      </c>
      <c r="M394" s="35" t="str">
        <f t="shared" si="26"/>
        <v/>
      </c>
      <c r="N394" s="34" t="str">
        <f>IF(A394="","",IF(K394&lt;&gt;"Ja","Ej aktuell",IF(L394&lt;=0,"KONTROLLERA MATCHTID",IF(AND(COUNTIFS(BEMANNINGSPLAN!$A$5:$A$546,B394,BEMANNINGSPLAN!$C$5:$C$546,D394,BEMANNINGSPLAN!$D$5:$D$546,"&lt;="&amp;C394,BEMANNINGSPLAN!$E$5:$E$546,"&gt;"&amp;C394)&gt;0,COUNTIFS(BEMANNINGSPLAN!$A$5:$A$546,B394,BEMANNINGSPLAN!$C$5:$C$546,D394,BEMANNINGSPLAN!$D$5:$D$546,"&lt;"&amp;M394,BEMANNINGSPLAN!$E$5:$E$546,"&gt;="&amp;M394)&gt;0),"Ja","SAKNAS TIDSRADER"))))</f>
        <v/>
      </c>
      <c r="O394" s="137" t="str">
        <f>IF(OR(B394="",K394&lt;&gt;"Ja"),"",COUNTIFS($B$5:B394,B394,$K$5:K394,"Ja"))</f>
        <v/>
      </c>
      <c r="P394" s="137" t="str">
        <f t="shared" si="27"/>
        <v/>
      </c>
    </row>
    <row r="395" spans="1:16" ht="13">
      <c r="A395" s="31" t="str">
        <f>IF('IMPORT PROFIXIO'!A395="","",'IMPORT PROFIXIO'!A395)</f>
        <v/>
      </c>
      <c r="B395" s="32" t="str">
        <f>IF(A395="","",IF(ISNUMBER('IMPORT PROFIXIO'!D395),'IMPORT PROFIXIO'!D395,DATEVALUE('IMPORT PROFIXIO'!D395)))</f>
        <v/>
      </c>
      <c r="C395" s="33" t="str">
        <f>IF(A395="","",IF(ISNUMBER('IMPORT PROFIXIO'!E395),'IMPORT PROFIXIO'!E395,(VALUE(LEFT('IMPORT PROFIXIO'!E395,FIND(":",'IMPORT PROFIXIO'!E395)-1))*60+VALUE(MID('IMPORT PROFIXIO'!E395,FIND(":",'IMPORT PROFIXIO'!E395)+1,2)))/1440))</f>
        <v/>
      </c>
      <c r="D395" s="31" t="str">
        <f>IF(A395="","",'IMPORT PROFIXIO'!F395)</f>
        <v/>
      </c>
      <c r="E395" s="31" t="str">
        <f>IF(A395="","",'IMPORT PROFIXIO'!K395)</f>
        <v/>
      </c>
      <c r="F395" s="34" t="str">
        <f>IF(A395="","",IFERROR(VLOOKUP(E395,KLASSNING!$A$5:$F$74,2,FALSE()),"SAKNAS"))</f>
        <v/>
      </c>
      <c r="G395" s="34" t="str">
        <f>IF(A395="","",IFERROR(VLOOKUP(E395,KLASSNING!$A$5:$F$74,3,FALSE()),"SAKNAS"))</f>
        <v/>
      </c>
      <c r="H395" s="34" t="str">
        <f>IF(A395="","",'IMPORT PROFIXIO'!H395)</f>
        <v/>
      </c>
      <c r="I395" s="34" t="str">
        <f>IF(A395="","",'IMPORT PROFIXIO'!I395)</f>
        <v/>
      </c>
      <c r="J395" s="34" t="str">
        <f t="shared" si="24"/>
        <v/>
      </c>
      <c r="K395" s="34" t="str">
        <f t="shared" si="25"/>
        <v/>
      </c>
      <c r="L395" s="34" t="str">
        <f>IF(A395="","",IFERROR(VLOOKUP(E395,KLASSNING!$A$5:$F$74,5,FALSE()),0))</f>
        <v/>
      </c>
      <c r="M395" s="35" t="str">
        <f t="shared" si="26"/>
        <v/>
      </c>
      <c r="N395" s="34" t="str">
        <f>IF(A395="","",IF(K395&lt;&gt;"Ja","Ej aktuell",IF(L395&lt;=0,"KONTROLLERA MATCHTID",IF(AND(COUNTIFS(BEMANNINGSPLAN!$A$5:$A$546,B395,BEMANNINGSPLAN!$C$5:$C$546,D395,BEMANNINGSPLAN!$D$5:$D$546,"&lt;="&amp;C395,BEMANNINGSPLAN!$E$5:$E$546,"&gt;"&amp;C395)&gt;0,COUNTIFS(BEMANNINGSPLAN!$A$5:$A$546,B395,BEMANNINGSPLAN!$C$5:$C$546,D395,BEMANNINGSPLAN!$D$5:$D$546,"&lt;"&amp;M395,BEMANNINGSPLAN!$E$5:$E$546,"&gt;="&amp;M395)&gt;0),"Ja","SAKNAS TIDSRADER"))))</f>
        <v/>
      </c>
      <c r="O395" s="137" t="str">
        <f>IF(OR(B395="",K395&lt;&gt;"Ja"),"",COUNTIFS($B$5:B395,B395,$K$5:K395,"Ja"))</f>
        <v/>
      </c>
      <c r="P395" s="137" t="str">
        <f t="shared" si="27"/>
        <v/>
      </c>
    </row>
    <row r="396" spans="1:16" ht="13">
      <c r="A396" s="31" t="str">
        <f>IF('IMPORT PROFIXIO'!A396="","",'IMPORT PROFIXIO'!A396)</f>
        <v/>
      </c>
      <c r="B396" s="32" t="str">
        <f>IF(A396="","",IF(ISNUMBER('IMPORT PROFIXIO'!D396),'IMPORT PROFIXIO'!D396,DATEVALUE('IMPORT PROFIXIO'!D396)))</f>
        <v/>
      </c>
      <c r="C396" s="33" t="str">
        <f>IF(A396="","",IF(ISNUMBER('IMPORT PROFIXIO'!E396),'IMPORT PROFIXIO'!E396,(VALUE(LEFT('IMPORT PROFIXIO'!E396,FIND(":",'IMPORT PROFIXIO'!E396)-1))*60+VALUE(MID('IMPORT PROFIXIO'!E396,FIND(":",'IMPORT PROFIXIO'!E396)+1,2)))/1440))</f>
        <v/>
      </c>
      <c r="D396" s="31" t="str">
        <f>IF(A396="","",'IMPORT PROFIXIO'!F396)</f>
        <v/>
      </c>
      <c r="E396" s="31" t="str">
        <f>IF(A396="","",'IMPORT PROFIXIO'!K396)</f>
        <v/>
      </c>
      <c r="F396" s="34" t="str">
        <f>IF(A396="","",IFERROR(VLOOKUP(E396,KLASSNING!$A$5:$F$74,2,FALSE()),"SAKNAS"))</f>
        <v/>
      </c>
      <c r="G396" s="34" t="str">
        <f>IF(A396="","",IFERROR(VLOOKUP(E396,KLASSNING!$A$5:$F$74,3,FALSE()),"SAKNAS"))</f>
        <v/>
      </c>
      <c r="H396" s="34" t="str">
        <f>IF(A396="","",'IMPORT PROFIXIO'!H396)</f>
        <v/>
      </c>
      <c r="I396" s="34" t="str">
        <f>IF(A396="","",'IMPORT PROFIXIO'!I396)</f>
        <v/>
      </c>
      <c r="J396" s="34" t="str">
        <f t="shared" si="24"/>
        <v/>
      </c>
      <c r="K396" s="34" t="str">
        <f t="shared" si="25"/>
        <v/>
      </c>
      <c r="L396" s="34" t="str">
        <f>IF(A396="","",IFERROR(VLOOKUP(E396,KLASSNING!$A$5:$F$74,5,FALSE()),0))</f>
        <v/>
      </c>
      <c r="M396" s="35" t="str">
        <f t="shared" si="26"/>
        <v/>
      </c>
      <c r="N396" s="34" t="str">
        <f>IF(A396="","",IF(K396&lt;&gt;"Ja","Ej aktuell",IF(L396&lt;=0,"KONTROLLERA MATCHTID",IF(AND(COUNTIFS(BEMANNINGSPLAN!$A$5:$A$546,B396,BEMANNINGSPLAN!$C$5:$C$546,D396,BEMANNINGSPLAN!$D$5:$D$546,"&lt;="&amp;C396,BEMANNINGSPLAN!$E$5:$E$546,"&gt;"&amp;C396)&gt;0,COUNTIFS(BEMANNINGSPLAN!$A$5:$A$546,B396,BEMANNINGSPLAN!$C$5:$C$546,D396,BEMANNINGSPLAN!$D$5:$D$546,"&lt;"&amp;M396,BEMANNINGSPLAN!$E$5:$E$546,"&gt;="&amp;M396)&gt;0),"Ja","SAKNAS TIDSRADER"))))</f>
        <v/>
      </c>
      <c r="O396" s="137" t="str">
        <f>IF(OR(B396="",K396&lt;&gt;"Ja"),"",COUNTIFS($B$5:B396,B396,$K$5:K396,"Ja"))</f>
        <v/>
      </c>
      <c r="P396" s="137" t="str">
        <f t="shared" si="27"/>
        <v/>
      </c>
    </row>
    <row r="397" spans="1:16" ht="13">
      <c r="A397" s="31" t="str">
        <f>IF('IMPORT PROFIXIO'!A397="","",'IMPORT PROFIXIO'!A397)</f>
        <v/>
      </c>
      <c r="B397" s="32" t="str">
        <f>IF(A397="","",IF(ISNUMBER('IMPORT PROFIXIO'!D397),'IMPORT PROFIXIO'!D397,DATEVALUE('IMPORT PROFIXIO'!D397)))</f>
        <v/>
      </c>
      <c r="C397" s="33" t="str">
        <f>IF(A397="","",IF(ISNUMBER('IMPORT PROFIXIO'!E397),'IMPORT PROFIXIO'!E397,(VALUE(LEFT('IMPORT PROFIXIO'!E397,FIND(":",'IMPORT PROFIXIO'!E397)-1))*60+VALUE(MID('IMPORT PROFIXIO'!E397,FIND(":",'IMPORT PROFIXIO'!E397)+1,2)))/1440))</f>
        <v/>
      </c>
      <c r="D397" s="31" t="str">
        <f>IF(A397="","",'IMPORT PROFIXIO'!F397)</f>
        <v/>
      </c>
      <c r="E397" s="31" t="str">
        <f>IF(A397="","",'IMPORT PROFIXIO'!K397)</f>
        <v/>
      </c>
      <c r="F397" s="34" t="str">
        <f>IF(A397="","",IFERROR(VLOOKUP(E397,KLASSNING!$A$5:$F$74,2,FALSE()),"SAKNAS"))</f>
        <v/>
      </c>
      <c r="G397" s="34" t="str">
        <f>IF(A397="","",IFERROR(VLOOKUP(E397,KLASSNING!$A$5:$F$74,3,FALSE()),"SAKNAS"))</f>
        <v/>
      </c>
      <c r="H397" s="34" t="str">
        <f>IF(A397="","",'IMPORT PROFIXIO'!H397)</f>
        <v/>
      </c>
      <c r="I397" s="34" t="str">
        <f>IF(A397="","",'IMPORT PROFIXIO'!I397)</f>
        <v/>
      </c>
      <c r="J397" s="34" t="str">
        <f t="shared" si="24"/>
        <v/>
      </c>
      <c r="K397" s="34" t="str">
        <f t="shared" si="25"/>
        <v/>
      </c>
      <c r="L397" s="34" t="str">
        <f>IF(A397="","",IFERROR(VLOOKUP(E397,KLASSNING!$A$5:$F$74,5,FALSE()),0))</f>
        <v/>
      </c>
      <c r="M397" s="35" t="str">
        <f t="shared" si="26"/>
        <v/>
      </c>
      <c r="N397" s="34" t="str">
        <f>IF(A397="","",IF(K397&lt;&gt;"Ja","Ej aktuell",IF(L397&lt;=0,"KONTROLLERA MATCHTID",IF(AND(COUNTIFS(BEMANNINGSPLAN!$A$5:$A$546,B397,BEMANNINGSPLAN!$C$5:$C$546,D397,BEMANNINGSPLAN!$D$5:$D$546,"&lt;="&amp;C397,BEMANNINGSPLAN!$E$5:$E$546,"&gt;"&amp;C397)&gt;0,COUNTIFS(BEMANNINGSPLAN!$A$5:$A$546,B397,BEMANNINGSPLAN!$C$5:$C$546,D397,BEMANNINGSPLAN!$D$5:$D$546,"&lt;"&amp;M397,BEMANNINGSPLAN!$E$5:$E$546,"&gt;="&amp;M397)&gt;0),"Ja","SAKNAS TIDSRADER"))))</f>
        <v/>
      </c>
      <c r="O397" s="137" t="str">
        <f>IF(OR(B397="",K397&lt;&gt;"Ja"),"",COUNTIFS($B$5:B397,B397,$K$5:K397,"Ja"))</f>
        <v/>
      </c>
      <c r="P397" s="137" t="str">
        <f t="shared" si="27"/>
        <v/>
      </c>
    </row>
    <row r="398" spans="1:16" ht="13">
      <c r="A398" s="31" t="str">
        <f>IF('IMPORT PROFIXIO'!A398="","",'IMPORT PROFIXIO'!A398)</f>
        <v/>
      </c>
      <c r="B398" s="32" t="str">
        <f>IF(A398="","",IF(ISNUMBER('IMPORT PROFIXIO'!D398),'IMPORT PROFIXIO'!D398,DATEVALUE('IMPORT PROFIXIO'!D398)))</f>
        <v/>
      </c>
      <c r="C398" s="33" t="str">
        <f>IF(A398="","",IF(ISNUMBER('IMPORT PROFIXIO'!E398),'IMPORT PROFIXIO'!E398,(VALUE(LEFT('IMPORT PROFIXIO'!E398,FIND(":",'IMPORT PROFIXIO'!E398)-1))*60+VALUE(MID('IMPORT PROFIXIO'!E398,FIND(":",'IMPORT PROFIXIO'!E398)+1,2)))/1440))</f>
        <v/>
      </c>
      <c r="D398" s="31" t="str">
        <f>IF(A398="","",'IMPORT PROFIXIO'!F398)</f>
        <v/>
      </c>
      <c r="E398" s="31" t="str">
        <f>IF(A398="","",'IMPORT PROFIXIO'!K398)</f>
        <v/>
      </c>
      <c r="F398" s="34" t="str">
        <f>IF(A398="","",IFERROR(VLOOKUP(E398,KLASSNING!$A$5:$F$74,2,FALSE()),"SAKNAS"))</f>
        <v/>
      </c>
      <c r="G398" s="34" t="str">
        <f>IF(A398="","",IFERROR(VLOOKUP(E398,KLASSNING!$A$5:$F$74,3,FALSE()),"SAKNAS"))</f>
        <v/>
      </c>
      <c r="H398" s="34" t="str">
        <f>IF(A398="","",'IMPORT PROFIXIO'!H398)</f>
        <v/>
      </c>
      <c r="I398" s="34" t="str">
        <f>IF(A398="","",'IMPORT PROFIXIO'!I398)</f>
        <v/>
      </c>
      <c r="J398" s="34" t="str">
        <f t="shared" si="24"/>
        <v/>
      </c>
      <c r="K398" s="34" t="str">
        <f t="shared" si="25"/>
        <v/>
      </c>
      <c r="L398" s="34" t="str">
        <f>IF(A398="","",IFERROR(VLOOKUP(E398,KLASSNING!$A$5:$F$74,5,FALSE()),0))</f>
        <v/>
      </c>
      <c r="M398" s="35" t="str">
        <f t="shared" si="26"/>
        <v/>
      </c>
      <c r="N398" s="34" t="str">
        <f>IF(A398="","",IF(K398&lt;&gt;"Ja","Ej aktuell",IF(L398&lt;=0,"KONTROLLERA MATCHTID",IF(AND(COUNTIFS(BEMANNINGSPLAN!$A$5:$A$546,B398,BEMANNINGSPLAN!$C$5:$C$546,D398,BEMANNINGSPLAN!$D$5:$D$546,"&lt;="&amp;C398,BEMANNINGSPLAN!$E$5:$E$546,"&gt;"&amp;C398)&gt;0,COUNTIFS(BEMANNINGSPLAN!$A$5:$A$546,B398,BEMANNINGSPLAN!$C$5:$C$546,D398,BEMANNINGSPLAN!$D$5:$D$546,"&lt;"&amp;M398,BEMANNINGSPLAN!$E$5:$E$546,"&gt;="&amp;M398)&gt;0),"Ja","SAKNAS TIDSRADER"))))</f>
        <v/>
      </c>
      <c r="O398" s="137" t="str">
        <f>IF(OR(B398="",K398&lt;&gt;"Ja"),"",COUNTIFS($B$5:B398,B398,$K$5:K398,"Ja"))</f>
        <v/>
      </c>
      <c r="P398" s="137" t="str">
        <f t="shared" si="27"/>
        <v/>
      </c>
    </row>
    <row r="399" spans="1:16" ht="13">
      <c r="A399" s="31" t="str">
        <f>IF('IMPORT PROFIXIO'!A399="","",'IMPORT PROFIXIO'!A399)</f>
        <v/>
      </c>
      <c r="B399" s="32" t="str">
        <f>IF(A399="","",IF(ISNUMBER('IMPORT PROFIXIO'!D399),'IMPORT PROFIXIO'!D399,DATEVALUE('IMPORT PROFIXIO'!D399)))</f>
        <v/>
      </c>
      <c r="C399" s="33" t="str">
        <f>IF(A399="","",IF(ISNUMBER('IMPORT PROFIXIO'!E399),'IMPORT PROFIXIO'!E399,(VALUE(LEFT('IMPORT PROFIXIO'!E399,FIND(":",'IMPORT PROFIXIO'!E399)-1))*60+VALUE(MID('IMPORT PROFIXIO'!E399,FIND(":",'IMPORT PROFIXIO'!E399)+1,2)))/1440))</f>
        <v/>
      </c>
      <c r="D399" s="31" t="str">
        <f>IF(A399="","",'IMPORT PROFIXIO'!F399)</f>
        <v/>
      </c>
      <c r="E399" s="31" t="str">
        <f>IF(A399="","",'IMPORT PROFIXIO'!K399)</f>
        <v/>
      </c>
      <c r="F399" s="34" t="str">
        <f>IF(A399="","",IFERROR(VLOOKUP(E399,KLASSNING!$A$5:$F$74,2,FALSE()),"SAKNAS"))</f>
        <v/>
      </c>
      <c r="G399" s="34" t="str">
        <f>IF(A399="","",IFERROR(VLOOKUP(E399,KLASSNING!$A$5:$F$74,3,FALSE()),"SAKNAS"))</f>
        <v/>
      </c>
      <c r="H399" s="34" t="str">
        <f>IF(A399="","",'IMPORT PROFIXIO'!H399)</f>
        <v/>
      </c>
      <c r="I399" s="34" t="str">
        <f>IF(A399="","",'IMPORT PROFIXIO'!I399)</f>
        <v/>
      </c>
      <c r="J399" s="34" t="str">
        <f t="shared" si="24"/>
        <v/>
      </c>
      <c r="K399" s="34" t="str">
        <f t="shared" si="25"/>
        <v/>
      </c>
      <c r="L399" s="34" t="str">
        <f>IF(A399="","",IFERROR(VLOOKUP(E399,KLASSNING!$A$5:$F$74,5,FALSE()),0))</f>
        <v/>
      </c>
      <c r="M399" s="35" t="str">
        <f t="shared" si="26"/>
        <v/>
      </c>
      <c r="N399" s="34" t="str">
        <f>IF(A399="","",IF(K399&lt;&gt;"Ja","Ej aktuell",IF(L399&lt;=0,"KONTROLLERA MATCHTID",IF(AND(COUNTIFS(BEMANNINGSPLAN!$A$5:$A$546,B399,BEMANNINGSPLAN!$C$5:$C$546,D399,BEMANNINGSPLAN!$D$5:$D$546,"&lt;="&amp;C399,BEMANNINGSPLAN!$E$5:$E$546,"&gt;"&amp;C399)&gt;0,COUNTIFS(BEMANNINGSPLAN!$A$5:$A$546,B399,BEMANNINGSPLAN!$C$5:$C$546,D399,BEMANNINGSPLAN!$D$5:$D$546,"&lt;"&amp;M399,BEMANNINGSPLAN!$E$5:$E$546,"&gt;="&amp;M399)&gt;0),"Ja","SAKNAS TIDSRADER"))))</f>
        <v/>
      </c>
      <c r="O399" s="137" t="str">
        <f>IF(OR(B399="",K399&lt;&gt;"Ja"),"",COUNTIFS($B$5:B399,B399,$K$5:K399,"Ja"))</f>
        <v/>
      </c>
      <c r="P399" s="137" t="str">
        <f t="shared" si="27"/>
        <v/>
      </c>
    </row>
    <row r="400" spans="1:16" ht="13">
      <c r="A400" s="31" t="str">
        <f>IF('IMPORT PROFIXIO'!A400="","",'IMPORT PROFIXIO'!A400)</f>
        <v/>
      </c>
      <c r="B400" s="32" t="str">
        <f>IF(A400="","",IF(ISNUMBER('IMPORT PROFIXIO'!D400),'IMPORT PROFIXIO'!D400,DATEVALUE('IMPORT PROFIXIO'!D400)))</f>
        <v/>
      </c>
      <c r="C400" s="33" t="str">
        <f>IF(A400="","",IF(ISNUMBER('IMPORT PROFIXIO'!E400),'IMPORT PROFIXIO'!E400,(VALUE(LEFT('IMPORT PROFIXIO'!E400,FIND(":",'IMPORT PROFIXIO'!E400)-1))*60+VALUE(MID('IMPORT PROFIXIO'!E400,FIND(":",'IMPORT PROFIXIO'!E400)+1,2)))/1440))</f>
        <v/>
      </c>
      <c r="D400" s="31" t="str">
        <f>IF(A400="","",'IMPORT PROFIXIO'!F400)</f>
        <v/>
      </c>
      <c r="E400" s="31" t="str">
        <f>IF(A400="","",'IMPORT PROFIXIO'!K400)</f>
        <v/>
      </c>
      <c r="F400" s="34" t="str">
        <f>IF(A400="","",IFERROR(VLOOKUP(E400,KLASSNING!$A$5:$F$74,2,FALSE()),"SAKNAS"))</f>
        <v/>
      </c>
      <c r="G400" s="34" t="str">
        <f>IF(A400="","",IFERROR(VLOOKUP(E400,KLASSNING!$A$5:$F$74,3,FALSE()),"SAKNAS"))</f>
        <v/>
      </c>
      <c r="H400" s="34" t="str">
        <f>IF(A400="","",'IMPORT PROFIXIO'!H400)</f>
        <v/>
      </c>
      <c r="I400" s="34" t="str">
        <f>IF(A400="","",'IMPORT PROFIXIO'!I400)</f>
        <v/>
      </c>
      <c r="J400" s="34" t="str">
        <f t="shared" si="24"/>
        <v/>
      </c>
      <c r="K400" s="34" t="str">
        <f t="shared" si="25"/>
        <v/>
      </c>
      <c r="L400" s="34" t="str">
        <f>IF(A400="","",IFERROR(VLOOKUP(E400,KLASSNING!$A$5:$F$74,5,FALSE()),0))</f>
        <v/>
      </c>
      <c r="M400" s="35" t="str">
        <f t="shared" si="26"/>
        <v/>
      </c>
      <c r="N400" s="34" t="str">
        <f>IF(A400="","",IF(K400&lt;&gt;"Ja","Ej aktuell",IF(L400&lt;=0,"KONTROLLERA MATCHTID",IF(AND(COUNTIFS(BEMANNINGSPLAN!$A$5:$A$546,B400,BEMANNINGSPLAN!$C$5:$C$546,D400,BEMANNINGSPLAN!$D$5:$D$546,"&lt;="&amp;C400,BEMANNINGSPLAN!$E$5:$E$546,"&gt;"&amp;C400)&gt;0,COUNTIFS(BEMANNINGSPLAN!$A$5:$A$546,B400,BEMANNINGSPLAN!$C$5:$C$546,D400,BEMANNINGSPLAN!$D$5:$D$546,"&lt;"&amp;M400,BEMANNINGSPLAN!$E$5:$E$546,"&gt;="&amp;M400)&gt;0),"Ja","SAKNAS TIDSRADER"))))</f>
        <v/>
      </c>
      <c r="O400" s="137" t="str">
        <f>IF(OR(B400="",K400&lt;&gt;"Ja"),"",COUNTIFS($B$5:B400,B400,$K$5:K400,"Ja"))</f>
        <v/>
      </c>
      <c r="P400" s="137" t="str">
        <f t="shared" si="27"/>
        <v/>
      </c>
    </row>
    <row r="401" spans="1:16" ht="13">
      <c r="A401" s="31" t="str">
        <f>IF('IMPORT PROFIXIO'!A401="","",'IMPORT PROFIXIO'!A401)</f>
        <v/>
      </c>
      <c r="B401" s="32" t="str">
        <f>IF(A401="","",IF(ISNUMBER('IMPORT PROFIXIO'!D401),'IMPORT PROFIXIO'!D401,DATEVALUE('IMPORT PROFIXIO'!D401)))</f>
        <v/>
      </c>
      <c r="C401" s="33" t="str">
        <f>IF(A401="","",IF(ISNUMBER('IMPORT PROFIXIO'!E401),'IMPORT PROFIXIO'!E401,(VALUE(LEFT('IMPORT PROFIXIO'!E401,FIND(":",'IMPORT PROFIXIO'!E401)-1))*60+VALUE(MID('IMPORT PROFIXIO'!E401,FIND(":",'IMPORT PROFIXIO'!E401)+1,2)))/1440))</f>
        <v/>
      </c>
      <c r="D401" s="31" t="str">
        <f>IF(A401="","",'IMPORT PROFIXIO'!F401)</f>
        <v/>
      </c>
      <c r="E401" s="31" t="str">
        <f>IF(A401="","",'IMPORT PROFIXIO'!K401)</f>
        <v/>
      </c>
      <c r="F401" s="34" t="str">
        <f>IF(A401="","",IFERROR(VLOOKUP(E401,KLASSNING!$A$5:$F$74,2,FALSE()),"SAKNAS"))</f>
        <v/>
      </c>
      <c r="G401" s="34" t="str">
        <f>IF(A401="","",IFERROR(VLOOKUP(E401,KLASSNING!$A$5:$F$74,3,FALSE()),"SAKNAS"))</f>
        <v/>
      </c>
      <c r="H401" s="34" t="str">
        <f>IF(A401="","",'IMPORT PROFIXIO'!H401)</f>
        <v/>
      </c>
      <c r="I401" s="34" t="str">
        <f>IF(A401="","",'IMPORT PROFIXIO'!I401)</f>
        <v/>
      </c>
      <c r="J401" s="34" t="str">
        <f t="shared" si="24"/>
        <v/>
      </c>
      <c r="K401" s="34" t="str">
        <f t="shared" si="25"/>
        <v/>
      </c>
      <c r="L401" s="34" t="str">
        <f>IF(A401="","",IFERROR(VLOOKUP(E401,KLASSNING!$A$5:$F$74,5,FALSE()),0))</f>
        <v/>
      </c>
      <c r="M401" s="35" t="str">
        <f t="shared" si="26"/>
        <v/>
      </c>
      <c r="N401" s="34" t="str">
        <f>IF(A401="","",IF(K401&lt;&gt;"Ja","Ej aktuell",IF(L401&lt;=0,"KONTROLLERA MATCHTID",IF(AND(COUNTIFS(BEMANNINGSPLAN!$A$5:$A$546,B401,BEMANNINGSPLAN!$C$5:$C$546,D401,BEMANNINGSPLAN!$D$5:$D$546,"&lt;="&amp;C401,BEMANNINGSPLAN!$E$5:$E$546,"&gt;"&amp;C401)&gt;0,COUNTIFS(BEMANNINGSPLAN!$A$5:$A$546,B401,BEMANNINGSPLAN!$C$5:$C$546,D401,BEMANNINGSPLAN!$D$5:$D$546,"&lt;"&amp;M401,BEMANNINGSPLAN!$E$5:$E$546,"&gt;="&amp;M401)&gt;0),"Ja","SAKNAS TIDSRADER"))))</f>
        <v/>
      </c>
      <c r="O401" s="137" t="str">
        <f>IF(OR(B401="",K401&lt;&gt;"Ja"),"",COUNTIFS($B$5:B401,B401,$K$5:K401,"Ja"))</f>
        <v/>
      </c>
      <c r="P401" s="137" t="str">
        <f t="shared" si="27"/>
        <v/>
      </c>
    </row>
    <row r="402" spans="1:16" ht="13">
      <c r="A402" s="31" t="str">
        <f>IF('IMPORT PROFIXIO'!A402="","",'IMPORT PROFIXIO'!A402)</f>
        <v/>
      </c>
      <c r="B402" s="32" t="str">
        <f>IF(A402="","",IF(ISNUMBER('IMPORT PROFIXIO'!D402),'IMPORT PROFIXIO'!D402,DATEVALUE('IMPORT PROFIXIO'!D402)))</f>
        <v/>
      </c>
      <c r="C402" s="33" t="str">
        <f>IF(A402="","",IF(ISNUMBER('IMPORT PROFIXIO'!E402),'IMPORT PROFIXIO'!E402,(VALUE(LEFT('IMPORT PROFIXIO'!E402,FIND(":",'IMPORT PROFIXIO'!E402)-1))*60+VALUE(MID('IMPORT PROFIXIO'!E402,FIND(":",'IMPORT PROFIXIO'!E402)+1,2)))/1440))</f>
        <v/>
      </c>
      <c r="D402" s="31" t="str">
        <f>IF(A402="","",'IMPORT PROFIXIO'!F402)</f>
        <v/>
      </c>
      <c r="E402" s="31" t="str">
        <f>IF(A402="","",'IMPORT PROFIXIO'!K402)</f>
        <v/>
      </c>
      <c r="F402" s="34" t="str">
        <f>IF(A402="","",IFERROR(VLOOKUP(E402,KLASSNING!$A$5:$F$74,2,FALSE()),"SAKNAS"))</f>
        <v/>
      </c>
      <c r="G402" s="34" t="str">
        <f>IF(A402="","",IFERROR(VLOOKUP(E402,KLASSNING!$A$5:$F$74,3,FALSE()),"SAKNAS"))</f>
        <v/>
      </c>
      <c r="H402" s="34" t="str">
        <f>IF(A402="","",'IMPORT PROFIXIO'!H402)</f>
        <v/>
      </c>
      <c r="I402" s="34" t="str">
        <f>IF(A402="","",'IMPORT PROFIXIO'!I402)</f>
        <v/>
      </c>
      <c r="J402" s="34" t="str">
        <f t="shared" si="24"/>
        <v/>
      </c>
      <c r="K402" s="34" t="str">
        <f t="shared" si="25"/>
        <v/>
      </c>
      <c r="L402" s="34" t="str">
        <f>IF(A402="","",IFERROR(VLOOKUP(E402,KLASSNING!$A$5:$F$74,5,FALSE()),0))</f>
        <v/>
      </c>
      <c r="M402" s="35" t="str">
        <f t="shared" si="26"/>
        <v/>
      </c>
      <c r="N402" s="34" t="str">
        <f>IF(A402="","",IF(K402&lt;&gt;"Ja","Ej aktuell",IF(L402&lt;=0,"KONTROLLERA MATCHTID",IF(AND(COUNTIFS(BEMANNINGSPLAN!$A$5:$A$546,B402,BEMANNINGSPLAN!$C$5:$C$546,D402,BEMANNINGSPLAN!$D$5:$D$546,"&lt;="&amp;C402,BEMANNINGSPLAN!$E$5:$E$546,"&gt;"&amp;C402)&gt;0,COUNTIFS(BEMANNINGSPLAN!$A$5:$A$546,B402,BEMANNINGSPLAN!$C$5:$C$546,D402,BEMANNINGSPLAN!$D$5:$D$546,"&lt;"&amp;M402,BEMANNINGSPLAN!$E$5:$E$546,"&gt;="&amp;M402)&gt;0),"Ja","SAKNAS TIDSRADER"))))</f>
        <v/>
      </c>
      <c r="O402" s="137" t="str">
        <f>IF(OR(B402="",K402&lt;&gt;"Ja"),"",COUNTIFS($B$5:B402,B402,$K$5:K402,"Ja"))</f>
        <v/>
      </c>
      <c r="P402" s="137" t="str">
        <f t="shared" si="27"/>
        <v/>
      </c>
    </row>
    <row r="403" spans="1:16" ht="13">
      <c r="A403" s="31" t="str">
        <f>IF('IMPORT PROFIXIO'!A403="","",'IMPORT PROFIXIO'!A403)</f>
        <v/>
      </c>
      <c r="B403" s="32" t="str">
        <f>IF(A403="","",IF(ISNUMBER('IMPORT PROFIXIO'!D403),'IMPORT PROFIXIO'!D403,DATEVALUE('IMPORT PROFIXIO'!D403)))</f>
        <v/>
      </c>
      <c r="C403" s="33" t="str">
        <f>IF(A403="","",IF(ISNUMBER('IMPORT PROFIXIO'!E403),'IMPORT PROFIXIO'!E403,(VALUE(LEFT('IMPORT PROFIXIO'!E403,FIND(":",'IMPORT PROFIXIO'!E403)-1))*60+VALUE(MID('IMPORT PROFIXIO'!E403,FIND(":",'IMPORT PROFIXIO'!E403)+1,2)))/1440))</f>
        <v/>
      </c>
      <c r="D403" s="31" t="str">
        <f>IF(A403="","",'IMPORT PROFIXIO'!F403)</f>
        <v/>
      </c>
      <c r="E403" s="31" t="str">
        <f>IF(A403="","",'IMPORT PROFIXIO'!K403)</f>
        <v/>
      </c>
      <c r="F403" s="34" t="str">
        <f>IF(A403="","",IFERROR(VLOOKUP(E403,KLASSNING!$A$5:$F$74,2,FALSE()),"SAKNAS"))</f>
        <v/>
      </c>
      <c r="G403" s="34" t="str">
        <f>IF(A403="","",IFERROR(VLOOKUP(E403,KLASSNING!$A$5:$F$74,3,FALSE()),"SAKNAS"))</f>
        <v/>
      </c>
      <c r="H403" s="34" t="str">
        <f>IF(A403="","",'IMPORT PROFIXIO'!H403)</f>
        <v/>
      </c>
      <c r="I403" s="34" t="str">
        <f>IF(A403="","",'IMPORT PROFIXIO'!I403)</f>
        <v/>
      </c>
      <c r="J403" s="34" t="str">
        <f t="shared" si="24"/>
        <v/>
      </c>
      <c r="K403" s="34" t="str">
        <f t="shared" si="25"/>
        <v/>
      </c>
      <c r="L403" s="34" t="str">
        <f>IF(A403="","",IFERROR(VLOOKUP(E403,KLASSNING!$A$5:$F$74,5,FALSE()),0))</f>
        <v/>
      </c>
      <c r="M403" s="35" t="str">
        <f t="shared" si="26"/>
        <v/>
      </c>
      <c r="N403" s="34" t="str">
        <f>IF(A403="","",IF(K403&lt;&gt;"Ja","Ej aktuell",IF(L403&lt;=0,"KONTROLLERA MATCHTID",IF(AND(COUNTIFS(BEMANNINGSPLAN!$A$5:$A$546,B403,BEMANNINGSPLAN!$C$5:$C$546,D403,BEMANNINGSPLAN!$D$5:$D$546,"&lt;="&amp;C403,BEMANNINGSPLAN!$E$5:$E$546,"&gt;"&amp;C403)&gt;0,COUNTIFS(BEMANNINGSPLAN!$A$5:$A$546,B403,BEMANNINGSPLAN!$C$5:$C$546,D403,BEMANNINGSPLAN!$D$5:$D$546,"&lt;"&amp;M403,BEMANNINGSPLAN!$E$5:$E$546,"&gt;="&amp;M403)&gt;0),"Ja","SAKNAS TIDSRADER"))))</f>
        <v/>
      </c>
      <c r="O403" s="137" t="str">
        <f>IF(OR(B403="",K403&lt;&gt;"Ja"),"",COUNTIFS($B$5:B403,B403,$K$5:K403,"Ja"))</f>
        <v/>
      </c>
      <c r="P403" s="137" t="str">
        <f t="shared" si="27"/>
        <v/>
      </c>
    </row>
    <row r="404" spans="1:16" ht="13">
      <c r="A404" s="31" t="str">
        <f>IF('IMPORT PROFIXIO'!A404="","",'IMPORT PROFIXIO'!A404)</f>
        <v/>
      </c>
      <c r="B404" s="32" t="str">
        <f>IF(A404="","",IF(ISNUMBER('IMPORT PROFIXIO'!D404),'IMPORT PROFIXIO'!D404,DATEVALUE('IMPORT PROFIXIO'!D404)))</f>
        <v/>
      </c>
      <c r="C404" s="33" t="str">
        <f>IF(A404="","",IF(ISNUMBER('IMPORT PROFIXIO'!E404),'IMPORT PROFIXIO'!E404,(VALUE(LEFT('IMPORT PROFIXIO'!E404,FIND(":",'IMPORT PROFIXIO'!E404)-1))*60+VALUE(MID('IMPORT PROFIXIO'!E404,FIND(":",'IMPORT PROFIXIO'!E404)+1,2)))/1440))</f>
        <v/>
      </c>
      <c r="D404" s="31" t="str">
        <f>IF(A404="","",'IMPORT PROFIXIO'!F404)</f>
        <v/>
      </c>
      <c r="E404" s="31" t="str">
        <f>IF(A404="","",'IMPORT PROFIXIO'!K404)</f>
        <v/>
      </c>
      <c r="F404" s="34" t="str">
        <f>IF(A404="","",IFERROR(VLOOKUP(E404,KLASSNING!$A$5:$F$74,2,FALSE()),"SAKNAS"))</f>
        <v/>
      </c>
      <c r="G404" s="34" t="str">
        <f>IF(A404="","",IFERROR(VLOOKUP(E404,KLASSNING!$A$5:$F$74,3,FALSE()),"SAKNAS"))</f>
        <v/>
      </c>
      <c r="H404" s="34" t="str">
        <f>IF(A404="","",'IMPORT PROFIXIO'!H404)</f>
        <v/>
      </c>
      <c r="I404" s="34" t="str">
        <f>IF(A404="","",'IMPORT PROFIXIO'!I404)</f>
        <v/>
      </c>
      <c r="J404" s="34" t="str">
        <f t="shared" si="24"/>
        <v/>
      </c>
      <c r="K404" s="34" t="str">
        <f t="shared" si="25"/>
        <v/>
      </c>
      <c r="L404" s="34" t="str">
        <f>IF(A404="","",IFERROR(VLOOKUP(E404,KLASSNING!$A$5:$F$74,5,FALSE()),0))</f>
        <v/>
      </c>
      <c r="M404" s="35" t="str">
        <f t="shared" si="26"/>
        <v/>
      </c>
      <c r="N404" s="34" t="str">
        <f>IF(A404="","",IF(K404&lt;&gt;"Ja","Ej aktuell",IF(L404&lt;=0,"KONTROLLERA MATCHTID",IF(AND(COUNTIFS(BEMANNINGSPLAN!$A$5:$A$546,B404,BEMANNINGSPLAN!$C$5:$C$546,D404,BEMANNINGSPLAN!$D$5:$D$546,"&lt;="&amp;C404,BEMANNINGSPLAN!$E$5:$E$546,"&gt;"&amp;C404)&gt;0,COUNTIFS(BEMANNINGSPLAN!$A$5:$A$546,B404,BEMANNINGSPLAN!$C$5:$C$546,D404,BEMANNINGSPLAN!$D$5:$D$546,"&lt;"&amp;M404,BEMANNINGSPLAN!$E$5:$E$546,"&gt;="&amp;M404)&gt;0),"Ja","SAKNAS TIDSRADER"))))</f>
        <v/>
      </c>
      <c r="O404" s="137" t="str">
        <f>IF(OR(B404="",K404&lt;&gt;"Ja"),"",COUNTIFS($B$5:B404,B404,$K$5:K404,"Ja"))</f>
        <v/>
      </c>
      <c r="P404" s="137" t="str">
        <f t="shared" si="27"/>
        <v/>
      </c>
    </row>
    <row r="405" spans="1:16" ht="13">
      <c r="A405" s="31" t="str">
        <f>IF('IMPORT PROFIXIO'!A405="","",'IMPORT PROFIXIO'!A405)</f>
        <v/>
      </c>
      <c r="B405" s="32" t="str">
        <f>IF(A405="","",IF(ISNUMBER('IMPORT PROFIXIO'!D405),'IMPORT PROFIXIO'!D405,DATEVALUE('IMPORT PROFIXIO'!D405)))</f>
        <v/>
      </c>
      <c r="C405" s="33" t="str">
        <f>IF(A405="","",IF(ISNUMBER('IMPORT PROFIXIO'!E405),'IMPORT PROFIXIO'!E405,(VALUE(LEFT('IMPORT PROFIXIO'!E405,FIND(":",'IMPORT PROFIXIO'!E405)-1))*60+VALUE(MID('IMPORT PROFIXIO'!E405,FIND(":",'IMPORT PROFIXIO'!E405)+1,2)))/1440))</f>
        <v/>
      </c>
      <c r="D405" s="31" t="str">
        <f>IF(A405="","",'IMPORT PROFIXIO'!F405)</f>
        <v/>
      </c>
      <c r="E405" s="31" t="str">
        <f>IF(A405="","",'IMPORT PROFIXIO'!K405)</f>
        <v/>
      </c>
      <c r="F405" s="34" t="str">
        <f>IF(A405="","",IFERROR(VLOOKUP(E405,KLASSNING!$A$5:$F$74,2,FALSE()),"SAKNAS"))</f>
        <v/>
      </c>
      <c r="G405" s="34" t="str">
        <f>IF(A405="","",IFERROR(VLOOKUP(E405,KLASSNING!$A$5:$F$74,3,FALSE()),"SAKNAS"))</f>
        <v/>
      </c>
      <c r="H405" s="34" t="str">
        <f>IF(A405="","",'IMPORT PROFIXIO'!H405)</f>
        <v/>
      </c>
      <c r="I405" s="34" t="str">
        <f>IF(A405="","",'IMPORT PROFIXIO'!I405)</f>
        <v/>
      </c>
      <c r="J405" s="34" t="str">
        <f t="shared" si="24"/>
        <v/>
      </c>
      <c r="K405" s="34" t="str">
        <f t="shared" si="25"/>
        <v/>
      </c>
      <c r="L405" s="34" t="str">
        <f>IF(A405="","",IFERROR(VLOOKUP(E405,KLASSNING!$A$5:$F$74,5,FALSE()),0))</f>
        <v/>
      </c>
      <c r="M405" s="35" t="str">
        <f t="shared" si="26"/>
        <v/>
      </c>
      <c r="N405" s="34" t="str">
        <f>IF(A405="","",IF(K405&lt;&gt;"Ja","Ej aktuell",IF(L405&lt;=0,"KONTROLLERA MATCHTID",IF(AND(COUNTIFS(BEMANNINGSPLAN!$A$5:$A$546,B405,BEMANNINGSPLAN!$C$5:$C$546,D405,BEMANNINGSPLAN!$D$5:$D$546,"&lt;="&amp;C405,BEMANNINGSPLAN!$E$5:$E$546,"&gt;"&amp;C405)&gt;0,COUNTIFS(BEMANNINGSPLAN!$A$5:$A$546,B405,BEMANNINGSPLAN!$C$5:$C$546,D405,BEMANNINGSPLAN!$D$5:$D$546,"&lt;"&amp;M405,BEMANNINGSPLAN!$E$5:$E$546,"&gt;="&amp;M405)&gt;0),"Ja","SAKNAS TIDSRADER"))))</f>
        <v/>
      </c>
      <c r="O405" s="137" t="str">
        <f>IF(OR(B405="",K405&lt;&gt;"Ja"),"",COUNTIFS($B$5:B405,B405,$K$5:K405,"Ja"))</f>
        <v/>
      </c>
      <c r="P405" s="137" t="str">
        <f t="shared" si="27"/>
        <v/>
      </c>
    </row>
    <row r="406" spans="1:16" ht="13">
      <c r="A406" s="31" t="str">
        <f>IF('IMPORT PROFIXIO'!A406="","",'IMPORT PROFIXIO'!A406)</f>
        <v/>
      </c>
      <c r="B406" s="32" t="str">
        <f>IF(A406="","",IF(ISNUMBER('IMPORT PROFIXIO'!D406),'IMPORT PROFIXIO'!D406,DATEVALUE('IMPORT PROFIXIO'!D406)))</f>
        <v/>
      </c>
      <c r="C406" s="33" t="str">
        <f>IF(A406="","",IF(ISNUMBER('IMPORT PROFIXIO'!E406),'IMPORT PROFIXIO'!E406,(VALUE(LEFT('IMPORT PROFIXIO'!E406,FIND(":",'IMPORT PROFIXIO'!E406)-1))*60+VALUE(MID('IMPORT PROFIXIO'!E406,FIND(":",'IMPORT PROFIXIO'!E406)+1,2)))/1440))</f>
        <v/>
      </c>
      <c r="D406" s="31" t="str">
        <f>IF(A406="","",'IMPORT PROFIXIO'!F406)</f>
        <v/>
      </c>
      <c r="E406" s="31" t="str">
        <f>IF(A406="","",'IMPORT PROFIXIO'!K406)</f>
        <v/>
      </c>
      <c r="F406" s="34" t="str">
        <f>IF(A406="","",IFERROR(VLOOKUP(E406,KLASSNING!$A$5:$F$74,2,FALSE()),"SAKNAS"))</f>
        <v/>
      </c>
      <c r="G406" s="34" t="str">
        <f>IF(A406="","",IFERROR(VLOOKUP(E406,KLASSNING!$A$5:$F$74,3,FALSE()),"SAKNAS"))</f>
        <v/>
      </c>
      <c r="H406" s="34" t="str">
        <f>IF(A406="","",'IMPORT PROFIXIO'!H406)</f>
        <v/>
      </c>
      <c r="I406" s="34" t="str">
        <f>IF(A406="","",'IMPORT PROFIXIO'!I406)</f>
        <v/>
      </c>
      <c r="J406" s="34" t="str">
        <f t="shared" si="24"/>
        <v/>
      </c>
      <c r="K406" s="34" t="str">
        <f t="shared" si="25"/>
        <v/>
      </c>
      <c r="L406" s="34" t="str">
        <f>IF(A406="","",IFERROR(VLOOKUP(E406,KLASSNING!$A$5:$F$74,5,FALSE()),0))</f>
        <v/>
      </c>
      <c r="M406" s="35" t="str">
        <f t="shared" si="26"/>
        <v/>
      </c>
      <c r="N406" s="34" t="str">
        <f>IF(A406="","",IF(K406&lt;&gt;"Ja","Ej aktuell",IF(L406&lt;=0,"KONTROLLERA MATCHTID",IF(AND(COUNTIFS(BEMANNINGSPLAN!$A$5:$A$546,B406,BEMANNINGSPLAN!$C$5:$C$546,D406,BEMANNINGSPLAN!$D$5:$D$546,"&lt;="&amp;C406,BEMANNINGSPLAN!$E$5:$E$546,"&gt;"&amp;C406)&gt;0,COUNTIFS(BEMANNINGSPLAN!$A$5:$A$546,B406,BEMANNINGSPLAN!$C$5:$C$546,D406,BEMANNINGSPLAN!$D$5:$D$546,"&lt;"&amp;M406,BEMANNINGSPLAN!$E$5:$E$546,"&gt;="&amp;M406)&gt;0),"Ja","SAKNAS TIDSRADER"))))</f>
        <v/>
      </c>
      <c r="O406" s="137" t="str">
        <f>IF(OR(B406="",K406&lt;&gt;"Ja"),"",COUNTIFS($B$5:B406,B406,$K$5:K406,"Ja"))</f>
        <v/>
      </c>
      <c r="P406" s="137" t="str">
        <f t="shared" si="27"/>
        <v/>
      </c>
    </row>
    <row r="407" spans="1:16" ht="13">
      <c r="A407" s="31" t="str">
        <f>IF('IMPORT PROFIXIO'!A407="","",'IMPORT PROFIXIO'!A407)</f>
        <v/>
      </c>
      <c r="B407" s="32" t="str">
        <f>IF(A407="","",IF(ISNUMBER('IMPORT PROFIXIO'!D407),'IMPORT PROFIXIO'!D407,DATEVALUE('IMPORT PROFIXIO'!D407)))</f>
        <v/>
      </c>
      <c r="C407" s="33" t="str">
        <f>IF(A407="","",IF(ISNUMBER('IMPORT PROFIXIO'!E407),'IMPORT PROFIXIO'!E407,(VALUE(LEFT('IMPORT PROFIXIO'!E407,FIND(":",'IMPORT PROFIXIO'!E407)-1))*60+VALUE(MID('IMPORT PROFIXIO'!E407,FIND(":",'IMPORT PROFIXIO'!E407)+1,2)))/1440))</f>
        <v/>
      </c>
      <c r="D407" s="31" t="str">
        <f>IF(A407="","",'IMPORT PROFIXIO'!F407)</f>
        <v/>
      </c>
      <c r="E407" s="31" t="str">
        <f>IF(A407="","",'IMPORT PROFIXIO'!K407)</f>
        <v/>
      </c>
      <c r="F407" s="34" t="str">
        <f>IF(A407="","",IFERROR(VLOOKUP(E407,KLASSNING!$A$5:$F$74,2,FALSE()),"SAKNAS"))</f>
        <v/>
      </c>
      <c r="G407" s="34" t="str">
        <f>IF(A407="","",IFERROR(VLOOKUP(E407,KLASSNING!$A$5:$F$74,3,FALSE()),"SAKNAS"))</f>
        <v/>
      </c>
      <c r="H407" s="34" t="str">
        <f>IF(A407="","",'IMPORT PROFIXIO'!H407)</f>
        <v/>
      </c>
      <c r="I407" s="34" t="str">
        <f>IF(A407="","",'IMPORT PROFIXIO'!I407)</f>
        <v/>
      </c>
      <c r="J407" s="34" t="str">
        <f t="shared" si="24"/>
        <v/>
      </c>
      <c r="K407" s="34" t="str">
        <f t="shared" si="25"/>
        <v/>
      </c>
      <c r="L407" s="34" t="str">
        <f>IF(A407="","",IFERROR(VLOOKUP(E407,KLASSNING!$A$5:$F$74,5,FALSE()),0))</f>
        <v/>
      </c>
      <c r="M407" s="35" t="str">
        <f t="shared" si="26"/>
        <v/>
      </c>
      <c r="N407" s="34" t="str">
        <f>IF(A407="","",IF(K407&lt;&gt;"Ja","Ej aktuell",IF(L407&lt;=0,"KONTROLLERA MATCHTID",IF(AND(COUNTIFS(BEMANNINGSPLAN!$A$5:$A$546,B407,BEMANNINGSPLAN!$C$5:$C$546,D407,BEMANNINGSPLAN!$D$5:$D$546,"&lt;="&amp;C407,BEMANNINGSPLAN!$E$5:$E$546,"&gt;"&amp;C407)&gt;0,COUNTIFS(BEMANNINGSPLAN!$A$5:$A$546,B407,BEMANNINGSPLAN!$C$5:$C$546,D407,BEMANNINGSPLAN!$D$5:$D$546,"&lt;"&amp;M407,BEMANNINGSPLAN!$E$5:$E$546,"&gt;="&amp;M407)&gt;0),"Ja","SAKNAS TIDSRADER"))))</f>
        <v/>
      </c>
      <c r="O407" s="137" t="str">
        <f>IF(OR(B407="",K407&lt;&gt;"Ja"),"",COUNTIFS($B$5:B407,B407,$K$5:K407,"Ja"))</f>
        <v/>
      </c>
      <c r="P407" s="137" t="str">
        <f t="shared" si="27"/>
        <v/>
      </c>
    </row>
    <row r="408" spans="1:16" ht="13">
      <c r="A408" s="31" t="str">
        <f>IF('IMPORT PROFIXIO'!A408="","",'IMPORT PROFIXIO'!A408)</f>
        <v/>
      </c>
      <c r="B408" s="32" t="str">
        <f>IF(A408="","",IF(ISNUMBER('IMPORT PROFIXIO'!D408),'IMPORT PROFIXIO'!D408,DATEVALUE('IMPORT PROFIXIO'!D408)))</f>
        <v/>
      </c>
      <c r="C408" s="33" t="str">
        <f>IF(A408="","",IF(ISNUMBER('IMPORT PROFIXIO'!E408),'IMPORT PROFIXIO'!E408,(VALUE(LEFT('IMPORT PROFIXIO'!E408,FIND(":",'IMPORT PROFIXIO'!E408)-1))*60+VALUE(MID('IMPORT PROFIXIO'!E408,FIND(":",'IMPORT PROFIXIO'!E408)+1,2)))/1440))</f>
        <v/>
      </c>
      <c r="D408" s="31" t="str">
        <f>IF(A408="","",'IMPORT PROFIXIO'!F408)</f>
        <v/>
      </c>
      <c r="E408" s="31" t="str">
        <f>IF(A408="","",'IMPORT PROFIXIO'!K408)</f>
        <v/>
      </c>
      <c r="F408" s="34" t="str">
        <f>IF(A408="","",IFERROR(VLOOKUP(E408,KLASSNING!$A$5:$F$74,2,FALSE()),"SAKNAS"))</f>
        <v/>
      </c>
      <c r="G408" s="34" t="str">
        <f>IF(A408="","",IFERROR(VLOOKUP(E408,KLASSNING!$A$5:$F$74,3,FALSE()),"SAKNAS"))</f>
        <v/>
      </c>
      <c r="H408" s="34" t="str">
        <f>IF(A408="","",'IMPORT PROFIXIO'!H408)</f>
        <v/>
      </c>
      <c r="I408" s="34" t="str">
        <f>IF(A408="","",'IMPORT PROFIXIO'!I408)</f>
        <v/>
      </c>
      <c r="J408" s="34" t="str">
        <f t="shared" si="24"/>
        <v/>
      </c>
      <c r="K408" s="34" t="str">
        <f t="shared" si="25"/>
        <v/>
      </c>
      <c r="L408" s="34" t="str">
        <f>IF(A408="","",IFERROR(VLOOKUP(E408,KLASSNING!$A$5:$F$74,5,FALSE()),0))</f>
        <v/>
      </c>
      <c r="M408" s="35" t="str">
        <f t="shared" si="26"/>
        <v/>
      </c>
      <c r="N408" s="34" t="str">
        <f>IF(A408="","",IF(K408&lt;&gt;"Ja","Ej aktuell",IF(L408&lt;=0,"KONTROLLERA MATCHTID",IF(AND(COUNTIFS(BEMANNINGSPLAN!$A$5:$A$546,B408,BEMANNINGSPLAN!$C$5:$C$546,D408,BEMANNINGSPLAN!$D$5:$D$546,"&lt;="&amp;C408,BEMANNINGSPLAN!$E$5:$E$546,"&gt;"&amp;C408)&gt;0,COUNTIFS(BEMANNINGSPLAN!$A$5:$A$546,B408,BEMANNINGSPLAN!$C$5:$C$546,D408,BEMANNINGSPLAN!$D$5:$D$546,"&lt;"&amp;M408,BEMANNINGSPLAN!$E$5:$E$546,"&gt;="&amp;M408)&gt;0),"Ja","SAKNAS TIDSRADER"))))</f>
        <v/>
      </c>
      <c r="O408" s="137" t="str">
        <f>IF(OR(B408="",K408&lt;&gt;"Ja"),"",COUNTIFS($B$5:B408,B408,$K$5:K408,"Ja"))</f>
        <v/>
      </c>
      <c r="P408" s="137" t="str">
        <f t="shared" si="27"/>
        <v/>
      </c>
    </row>
    <row r="409" spans="1:16" ht="13">
      <c r="A409" s="31" t="str">
        <f>IF('IMPORT PROFIXIO'!A409="","",'IMPORT PROFIXIO'!A409)</f>
        <v/>
      </c>
      <c r="B409" s="32" t="str">
        <f>IF(A409="","",IF(ISNUMBER('IMPORT PROFIXIO'!D409),'IMPORT PROFIXIO'!D409,DATEVALUE('IMPORT PROFIXIO'!D409)))</f>
        <v/>
      </c>
      <c r="C409" s="33" t="str">
        <f>IF(A409="","",IF(ISNUMBER('IMPORT PROFIXIO'!E409),'IMPORT PROFIXIO'!E409,(VALUE(LEFT('IMPORT PROFIXIO'!E409,FIND(":",'IMPORT PROFIXIO'!E409)-1))*60+VALUE(MID('IMPORT PROFIXIO'!E409,FIND(":",'IMPORT PROFIXIO'!E409)+1,2)))/1440))</f>
        <v/>
      </c>
      <c r="D409" s="31" t="str">
        <f>IF(A409="","",'IMPORT PROFIXIO'!F409)</f>
        <v/>
      </c>
      <c r="E409" s="31" t="str">
        <f>IF(A409="","",'IMPORT PROFIXIO'!K409)</f>
        <v/>
      </c>
      <c r="F409" s="34" t="str">
        <f>IF(A409="","",IFERROR(VLOOKUP(E409,KLASSNING!$A$5:$F$74,2,FALSE()),"SAKNAS"))</f>
        <v/>
      </c>
      <c r="G409" s="34" t="str">
        <f>IF(A409="","",IFERROR(VLOOKUP(E409,KLASSNING!$A$5:$F$74,3,FALSE()),"SAKNAS"))</f>
        <v/>
      </c>
      <c r="H409" s="34" t="str">
        <f>IF(A409="","",'IMPORT PROFIXIO'!H409)</f>
        <v/>
      </c>
      <c r="I409" s="34" t="str">
        <f>IF(A409="","",'IMPORT PROFIXIO'!I409)</f>
        <v/>
      </c>
      <c r="J409" s="34" t="str">
        <f t="shared" si="24"/>
        <v/>
      </c>
      <c r="K409" s="34" t="str">
        <f t="shared" si="25"/>
        <v/>
      </c>
      <c r="L409" s="34" t="str">
        <f>IF(A409="","",IFERROR(VLOOKUP(E409,KLASSNING!$A$5:$F$74,5,FALSE()),0))</f>
        <v/>
      </c>
      <c r="M409" s="35" t="str">
        <f t="shared" si="26"/>
        <v/>
      </c>
      <c r="N409" s="34" t="str">
        <f>IF(A409="","",IF(K409&lt;&gt;"Ja","Ej aktuell",IF(L409&lt;=0,"KONTROLLERA MATCHTID",IF(AND(COUNTIFS(BEMANNINGSPLAN!$A$5:$A$546,B409,BEMANNINGSPLAN!$C$5:$C$546,D409,BEMANNINGSPLAN!$D$5:$D$546,"&lt;="&amp;C409,BEMANNINGSPLAN!$E$5:$E$546,"&gt;"&amp;C409)&gt;0,COUNTIFS(BEMANNINGSPLAN!$A$5:$A$546,B409,BEMANNINGSPLAN!$C$5:$C$546,D409,BEMANNINGSPLAN!$D$5:$D$546,"&lt;"&amp;M409,BEMANNINGSPLAN!$E$5:$E$546,"&gt;="&amp;M409)&gt;0),"Ja","SAKNAS TIDSRADER"))))</f>
        <v/>
      </c>
      <c r="O409" s="137" t="str">
        <f>IF(OR(B409="",K409&lt;&gt;"Ja"),"",COUNTIFS($B$5:B409,B409,$K$5:K409,"Ja"))</f>
        <v/>
      </c>
      <c r="P409" s="137" t="str">
        <f t="shared" si="27"/>
        <v/>
      </c>
    </row>
    <row r="410" spans="1:16" ht="13">
      <c r="A410" s="31" t="str">
        <f>IF('IMPORT PROFIXIO'!A410="","",'IMPORT PROFIXIO'!A410)</f>
        <v/>
      </c>
      <c r="B410" s="32" t="str">
        <f>IF(A410="","",IF(ISNUMBER('IMPORT PROFIXIO'!D410),'IMPORT PROFIXIO'!D410,DATEVALUE('IMPORT PROFIXIO'!D410)))</f>
        <v/>
      </c>
      <c r="C410" s="33" t="str">
        <f>IF(A410="","",IF(ISNUMBER('IMPORT PROFIXIO'!E410),'IMPORT PROFIXIO'!E410,(VALUE(LEFT('IMPORT PROFIXIO'!E410,FIND(":",'IMPORT PROFIXIO'!E410)-1))*60+VALUE(MID('IMPORT PROFIXIO'!E410,FIND(":",'IMPORT PROFIXIO'!E410)+1,2)))/1440))</f>
        <v/>
      </c>
      <c r="D410" s="31" t="str">
        <f>IF(A410="","",'IMPORT PROFIXIO'!F410)</f>
        <v/>
      </c>
      <c r="E410" s="31" t="str">
        <f>IF(A410="","",'IMPORT PROFIXIO'!K410)</f>
        <v/>
      </c>
      <c r="F410" s="34" t="str">
        <f>IF(A410="","",IFERROR(VLOOKUP(E410,KLASSNING!$A$5:$F$74,2,FALSE()),"SAKNAS"))</f>
        <v/>
      </c>
      <c r="G410" s="34" t="str">
        <f>IF(A410="","",IFERROR(VLOOKUP(E410,KLASSNING!$A$5:$F$74,3,FALSE()),"SAKNAS"))</f>
        <v/>
      </c>
      <c r="H410" s="34" t="str">
        <f>IF(A410="","",'IMPORT PROFIXIO'!H410)</f>
        <v/>
      </c>
      <c r="I410" s="34" t="str">
        <f>IF(A410="","",'IMPORT PROFIXIO'!I410)</f>
        <v/>
      </c>
      <c r="J410" s="34" t="str">
        <f t="shared" si="24"/>
        <v/>
      </c>
      <c r="K410" s="34" t="str">
        <f t="shared" si="25"/>
        <v/>
      </c>
      <c r="L410" s="34" t="str">
        <f>IF(A410="","",IFERROR(VLOOKUP(E410,KLASSNING!$A$5:$F$74,5,FALSE()),0))</f>
        <v/>
      </c>
      <c r="M410" s="35" t="str">
        <f t="shared" si="26"/>
        <v/>
      </c>
      <c r="N410" s="34" t="str">
        <f>IF(A410="","",IF(K410&lt;&gt;"Ja","Ej aktuell",IF(L410&lt;=0,"KONTROLLERA MATCHTID",IF(AND(COUNTIFS(BEMANNINGSPLAN!$A$5:$A$546,B410,BEMANNINGSPLAN!$C$5:$C$546,D410,BEMANNINGSPLAN!$D$5:$D$546,"&lt;="&amp;C410,BEMANNINGSPLAN!$E$5:$E$546,"&gt;"&amp;C410)&gt;0,COUNTIFS(BEMANNINGSPLAN!$A$5:$A$546,B410,BEMANNINGSPLAN!$C$5:$C$546,D410,BEMANNINGSPLAN!$D$5:$D$546,"&lt;"&amp;M410,BEMANNINGSPLAN!$E$5:$E$546,"&gt;="&amp;M410)&gt;0),"Ja","SAKNAS TIDSRADER"))))</f>
        <v/>
      </c>
      <c r="O410" s="137" t="str">
        <f>IF(OR(B410="",K410&lt;&gt;"Ja"),"",COUNTIFS($B$5:B410,B410,$K$5:K410,"Ja"))</f>
        <v/>
      </c>
      <c r="P410" s="137" t="str">
        <f t="shared" si="27"/>
        <v/>
      </c>
    </row>
    <row r="411" spans="1:16" ht="13">
      <c r="A411" s="31" t="str">
        <f>IF('IMPORT PROFIXIO'!A411="","",'IMPORT PROFIXIO'!A411)</f>
        <v/>
      </c>
      <c r="B411" s="32" t="str">
        <f>IF(A411="","",IF(ISNUMBER('IMPORT PROFIXIO'!D411),'IMPORT PROFIXIO'!D411,DATEVALUE('IMPORT PROFIXIO'!D411)))</f>
        <v/>
      </c>
      <c r="C411" s="33" t="str">
        <f>IF(A411="","",IF(ISNUMBER('IMPORT PROFIXIO'!E411),'IMPORT PROFIXIO'!E411,(VALUE(LEFT('IMPORT PROFIXIO'!E411,FIND(":",'IMPORT PROFIXIO'!E411)-1))*60+VALUE(MID('IMPORT PROFIXIO'!E411,FIND(":",'IMPORT PROFIXIO'!E411)+1,2)))/1440))</f>
        <v/>
      </c>
      <c r="D411" s="31" t="str">
        <f>IF(A411="","",'IMPORT PROFIXIO'!F411)</f>
        <v/>
      </c>
      <c r="E411" s="31" t="str">
        <f>IF(A411="","",'IMPORT PROFIXIO'!K411)</f>
        <v/>
      </c>
      <c r="F411" s="34" t="str">
        <f>IF(A411="","",IFERROR(VLOOKUP(E411,KLASSNING!$A$5:$F$74,2,FALSE()),"SAKNAS"))</f>
        <v/>
      </c>
      <c r="G411" s="34" t="str">
        <f>IF(A411="","",IFERROR(VLOOKUP(E411,KLASSNING!$A$5:$F$74,3,FALSE()),"SAKNAS"))</f>
        <v/>
      </c>
      <c r="H411" s="34" t="str">
        <f>IF(A411="","",'IMPORT PROFIXIO'!H411)</f>
        <v/>
      </c>
      <c r="I411" s="34" t="str">
        <f>IF(A411="","",'IMPORT PROFIXIO'!I411)</f>
        <v/>
      </c>
      <c r="J411" s="34" t="str">
        <f t="shared" si="24"/>
        <v/>
      </c>
      <c r="K411" s="34" t="str">
        <f t="shared" si="25"/>
        <v/>
      </c>
      <c r="L411" s="34" t="str">
        <f>IF(A411="","",IFERROR(VLOOKUP(E411,KLASSNING!$A$5:$F$74,5,FALSE()),0))</f>
        <v/>
      </c>
      <c r="M411" s="35" t="str">
        <f t="shared" si="26"/>
        <v/>
      </c>
      <c r="N411" s="34" t="str">
        <f>IF(A411="","",IF(K411&lt;&gt;"Ja","Ej aktuell",IF(L411&lt;=0,"KONTROLLERA MATCHTID",IF(AND(COUNTIFS(BEMANNINGSPLAN!$A$5:$A$546,B411,BEMANNINGSPLAN!$C$5:$C$546,D411,BEMANNINGSPLAN!$D$5:$D$546,"&lt;="&amp;C411,BEMANNINGSPLAN!$E$5:$E$546,"&gt;"&amp;C411)&gt;0,COUNTIFS(BEMANNINGSPLAN!$A$5:$A$546,B411,BEMANNINGSPLAN!$C$5:$C$546,D411,BEMANNINGSPLAN!$D$5:$D$546,"&lt;"&amp;M411,BEMANNINGSPLAN!$E$5:$E$546,"&gt;="&amp;M411)&gt;0),"Ja","SAKNAS TIDSRADER"))))</f>
        <v/>
      </c>
      <c r="O411" s="137" t="str">
        <f>IF(OR(B411="",K411&lt;&gt;"Ja"),"",COUNTIFS($B$5:B411,B411,$K$5:K411,"Ja"))</f>
        <v/>
      </c>
      <c r="P411" s="137" t="str">
        <f t="shared" si="27"/>
        <v/>
      </c>
    </row>
    <row r="412" spans="1:16" ht="13">
      <c r="A412" s="31" t="str">
        <f>IF('IMPORT PROFIXIO'!A412="","",'IMPORT PROFIXIO'!A412)</f>
        <v/>
      </c>
      <c r="B412" s="32" t="str">
        <f>IF(A412="","",IF(ISNUMBER('IMPORT PROFIXIO'!D412),'IMPORT PROFIXIO'!D412,DATEVALUE('IMPORT PROFIXIO'!D412)))</f>
        <v/>
      </c>
      <c r="C412" s="33" t="str">
        <f>IF(A412="","",IF(ISNUMBER('IMPORT PROFIXIO'!E412),'IMPORT PROFIXIO'!E412,(VALUE(LEFT('IMPORT PROFIXIO'!E412,FIND(":",'IMPORT PROFIXIO'!E412)-1))*60+VALUE(MID('IMPORT PROFIXIO'!E412,FIND(":",'IMPORT PROFIXIO'!E412)+1,2)))/1440))</f>
        <v/>
      </c>
      <c r="D412" s="31" t="str">
        <f>IF(A412="","",'IMPORT PROFIXIO'!F412)</f>
        <v/>
      </c>
      <c r="E412" s="31" t="str">
        <f>IF(A412="","",'IMPORT PROFIXIO'!K412)</f>
        <v/>
      </c>
      <c r="F412" s="34" t="str">
        <f>IF(A412="","",IFERROR(VLOOKUP(E412,KLASSNING!$A$5:$F$74,2,FALSE()),"SAKNAS"))</f>
        <v/>
      </c>
      <c r="G412" s="34" t="str">
        <f>IF(A412="","",IFERROR(VLOOKUP(E412,KLASSNING!$A$5:$F$74,3,FALSE()),"SAKNAS"))</f>
        <v/>
      </c>
      <c r="H412" s="34" t="str">
        <f>IF(A412="","",'IMPORT PROFIXIO'!H412)</f>
        <v/>
      </c>
      <c r="I412" s="34" t="str">
        <f>IF(A412="","",'IMPORT PROFIXIO'!I412)</f>
        <v/>
      </c>
      <c r="J412" s="34" t="str">
        <f t="shared" si="24"/>
        <v/>
      </c>
      <c r="K412" s="34" t="str">
        <f t="shared" si="25"/>
        <v/>
      </c>
      <c r="L412" s="34" t="str">
        <f>IF(A412="","",IFERROR(VLOOKUP(E412,KLASSNING!$A$5:$F$74,5,FALSE()),0))</f>
        <v/>
      </c>
      <c r="M412" s="35" t="str">
        <f t="shared" si="26"/>
        <v/>
      </c>
      <c r="N412" s="34" t="str">
        <f>IF(A412="","",IF(K412&lt;&gt;"Ja","Ej aktuell",IF(L412&lt;=0,"KONTROLLERA MATCHTID",IF(AND(COUNTIFS(BEMANNINGSPLAN!$A$5:$A$546,B412,BEMANNINGSPLAN!$C$5:$C$546,D412,BEMANNINGSPLAN!$D$5:$D$546,"&lt;="&amp;C412,BEMANNINGSPLAN!$E$5:$E$546,"&gt;"&amp;C412)&gt;0,COUNTIFS(BEMANNINGSPLAN!$A$5:$A$546,B412,BEMANNINGSPLAN!$C$5:$C$546,D412,BEMANNINGSPLAN!$D$5:$D$546,"&lt;"&amp;M412,BEMANNINGSPLAN!$E$5:$E$546,"&gt;="&amp;M412)&gt;0),"Ja","SAKNAS TIDSRADER"))))</f>
        <v/>
      </c>
      <c r="O412" s="137" t="str">
        <f>IF(OR(B412="",K412&lt;&gt;"Ja"),"",COUNTIFS($B$5:B412,B412,$K$5:K412,"Ja"))</f>
        <v/>
      </c>
      <c r="P412" s="137" t="str">
        <f t="shared" si="27"/>
        <v/>
      </c>
    </row>
    <row r="413" spans="1:16" ht="13">
      <c r="A413" s="31" t="str">
        <f>IF('IMPORT PROFIXIO'!A413="","",'IMPORT PROFIXIO'!A413)</f>
        <v/>
      </c>
      <c r="B413" s="32" t="str">
        <f>IF(A413="","",IF(ISNUMBER('IMPORT PROFIXIO'!D413),'IMPORT PROFIXIO'!D413,DATEVALUE('IMPORT PROFIXIO'!D413)))</f>
        <v/>
      </c>
      <c r="C413" s="33" t="str">
        <f>IF(A413="","",IF(ISNUMBER('IMPORT PROFIXIO'!E413),'IMPORT PROFIXIO'!E413,(VALUE(LEFT('IMPORT PROFIXIO'!E413,FIND(":",'IMPORT PROFIXIO'!E413)-1))*60+VALUE(MID('IMPORT PROFIXIO'!E413,FIND(":",'IMPORT PROFIXIO'!E413)+1,2)))/1440))</f>
        <v/>
      </c>
      <c r="D413" s="31" t="str">
        <f>IF(A413="","",'IMPORT PROFIXIO'!F413)</f>
        <v/>
      </c>
      <c r="E413" s="31" t="str">
        <f>IF(A413="","",'IMPORT PROFIXIO'!K413)</f>
        <v/>
      </c>
      <c r="F413" s="34" t="str">
        <f>IF(A413="","",IFERROR(VLOOKUP(E413,KLASSNING!$A$5:$F$74,2,FALSE()),"SAKNAS"))</f>
        <v/>
      </c>
      <c r="G413" s="34" t="str">
        <f>IF(A413="","",IFERROR(VLOOKUP(E413,KLASSNING!$A$5:$F$74,3,FALSE()),"SAKNAS"))</f>
        <v/>
      </c>
      <c r="H413" s="34" t="str">
        <f>IF(A413="","",'IMPORT PROFIXIO'!H413)</f>
        <v/>
      </c>
      <c r="I413" s="34" t="str">
        <f>IF(A413="","",'IMPORT PROFIXIO'!I413)</f>
        <v/>
      </c>
      <c r="J413" s="34" t="str">
        <f t="shared" si="24"/>
        <v/>
      </c>
      <c r="K413" s="34" t="str">
        <f t="shared" si="25"/>
        <v/>
      </c>
      <c r="L413" s="34" t="str">
        <f>IF(A413="","",IFERROR(VLOOKUP(E413,KLASSNING!$A$5:$F$74,5,FALSE()),0))</f>
        <v/>
      </c>
      <c r="M413" s="35" t="str">
        <f t="shared" si="26"/>
        <v/>
      </c>
      <c r="N413" s="34" t="str">
        <f>IF(A413="","",IF(K413&lt;&gt;"Ja","Ej aktuell",IF(L413&lt;=0,"KONTROLLERA MATCHTID",IF(AND(COUNTIFS(BEMANNINGSPLAN!$A$5:$A$546,B413,BEMANNINGSPLAN!$C$5:$C$546,D413,BEMANNINGSPLAN!$D$5:$D$546,"&lt;="&amp;C413,BEMANNINGSPLAN!$E$5:$E$546,"&gt;"&amp;C413)&gt;0,COUNTIFS(BEMANNINGSPLAN!$A$5:$A$546,B413,BEMANNINGSPLAN!$C$5:$C$546,D413,BEMANNINGSPLAN!$D$5:$D$546,"&lt;"&amp;M413,BEMANNINGSPLAN!$E$5:$E$546,"&gt;="&amp;M413)&gt;0),"Ja","SAKNAS TIDSRADER"))))</f>
        <v/>
      </c>
      <c r="O413" s="137" t="str">
        <f>IF(OR(B413="",K413&lt;&gt;"Ja"),"",COUNTIFS($B$5:B413,B413,$K$5:K413,"Ja"))</f>
        <v/>
      </c>
      <c r="P413" s="137" t="str">
        <f t="shared" si="27"/>
        <v/>
      </c>
    </row>
    <row r="414" spans="1:16" ht="13">
      <c r="A414" s="31" t="str">
        <f>IF('IMPORT PROFIXIO'!A414="","",'IMPORT PROFIXIO'!A414)</f>
        <v/>
      </c>
      <c r="B414" s="32" t="str">
        <f>IF(A414="","",IF(ISNUMBER('IMPORT PROFIXIO'!D414),'IMPORT PROFIXIO'!D414,DATEVALUE('IMPORT PROFIXIO'!D414)))</f>
        <v/>
      </c>
      <c r="C414" s="33" t="str">
        <f>IF(A414="","",IF(ISNUMBER('IMPORT PROFIXIO'!E414),'IMPORT PROFIXIO'!E414,(VALUE(LEFT('IMPORT PROFIXIO'!E414,FIND(":",'IMPORT PROFIXIO'!E414)-1))*60+VALUE(MID('IMPORT PROFIXIO'!E414,FIND(":",'IMPORT PROFIXIO'!E414)+1,2)))/1440))</f>
        <v/>
      </c>
      <c r="D414" s="31" t="str">
        <f>IF(A414="","",'IMPORT PROFIXIO'!F414)</f>
        <v/>
      </c>
      <c r="E414" s="31" t="str">
        <f>IF(A414="","",'IMPORT PROFIXIO'!K414)</f>
        <v/>
      </c>
      <c r="F414" s="34" t="str">
        <f>IF(A414="","",IFERROR(VLOOKUP(E414,KLASSNING!$A$5:$F$74,2,FALSE()),"SAKNAS"))</f>
        <v/>
      </c>
      <c r="G414" s="34" t="str">
        <f>IF(A414="","",IFERROR(VLOOKUP(E414,KLASSNING!$A$5:$F$74,3,FALSE()),"SAKNAS"))</f>
        <v/>
      </c>
      <c r="H414" s="34" t="str">
        <f>IF(A414="","",'IMPORT PROFIXIO'!H414)</f>
        <v/>
      </c>
      <c r="I414" s="34" t="str">
        <f>IF(A414="","",'IMPORT PROFIXIO'!I414)</f>
        <v/>
      </c>
      <c r="J414" s="34" t="str">
        <f t="shared" si="24"/>
        <v/>
      </c>
      <c r="K414" s="34" t="str">
        <f t="shared" si="25"/>
        <v/>
      </c>
      <c r="L414" s="34" t="str">
        <f>IF(A414="","",IFERROR(VLOOKUP(E414,KLASSNING!$A$5:$F$74,5,FALSE()),0))</f>
        <v/>
      </c>
      <c r="M414" s="35" t="str">
        <f t="shared" si="26"/>
        <v/>
      </c>
      <c r="N414" s="34" t="str">
        <f>IF(A414="","",IF(K414&lt;&gt;"Ja","Ej aktuell",IF(L414&lt;=0,"KONTROLLERA MATCHTID",IF(AND(COUNTIFS(BEMANNINGSPLAN!$A$5:$A$546,B414,BEMANNINGSPLAN!$C$5:$C$546,D414,BEMANNINGSPLAN!$D$5:$D$546,"&lt;="&amp;C414,BEMANNINGSPLAN!$E$5:$E$546,"&gt;"&amp;C414)&gt;0,COUNTIFS(BEMANNINGSPLAN!$A$5:$A$546,B414,BEMANNINGSPLAN!$C$5:$C$546,D414,BEMANNINGSPLAN!$D$5:$D$546,"&lt;"&amp;M414,BEMANNINGSPLAN!$E$5:$E$546,"&gt;="&amp;M414)&gt;0),"Ja","SAKNAS TIDSRADER"))))</f>
        <v/>
      </c>
      <c r="O414" s="137" t="str">
        <f>IF(OR(B414="",K414&lt;&gt;"Ja"),"",COUNTIFS($B$5:B414,B414,$K$5:K414,"Ja"))</f>
        <v/>
      </c>
      <c r="P414" s="137" t="str">
        <f t="shared" si="27"/>
        <v/>
      </c>
    </row>
    <row r="415" spans="1:16" ht="13">
      <c r="A415" s="31" t="str">
        <f>IF('IMPORT PROFIXIO'!A415="","",'IMPORT PROFIXIO'!A415)</f>
        <v/>
      </c>
      <c r="B415" s="32" t="str">
        <f>IF(A415="","",IF(ISNUMBER('IMPORT PROFIXIO'!D415),'IMPORT PROFIXIO'!D415,DATEVALUE('IMPORT PROFIXIO'!D415)))</f>
        <v/>
      </c>
      <c r="C415" s="33" t="str">
        <f>IF(A415="","",IF(ISNUMBER('IMPORT PROFIXIO'!E415),'IMPORT PROFIXIO'!E415,(VALUE(LEFT('IMPORT PROFIXIO'!E415,FIND(":",'IMPORT PROFIXIO'!E415)-1))*60+VALUE(MID('IMPORT PROFIXIO'!E415,FIND(":",'IMPORT PROFIXIO'!E415)+1,2)))/1440))</f>
        <v/>
      </c>
      <c r="D415" s="31" t="str">
        <f>IF(A415="","",'IMPORT PROFIXIO'!F415)</f>
        <v/>
      </c>
      <c r="E415" s="31" t="str">
        <f>IF(A415="","",'IMPORT PROFIXIO'!K415)</f>
        <v/>
      </c>
      <c r="F415" s="34" t="str">
        <f>IF(A415="","",IFERROR(VLOOKUP(E415,KLASSNING!$A$5:$F$74,2,FALSE()),"SAKNAS"))</f>
        <v/>
      </c>
      <c r="G415" s="34" t="str">
        <f>IF(A415="","",IFERROR(VLOOKUP(E415,KLASSNING!$A$5:$F$74,3,FALSE()),"SAKNAS"))</f>
        <v/>
      </c>
      <c r="H415" s="34" t="str">
        <f>IF(A415="","",'IMPORT PROFIXIO'!H415)</f>
        <v/>
      </c>
      <c r="I415" s="34" t="str">
        <f>IF(A415="","",'IMPORT PROFIXIO'!I415)</f>
        <v/>
      </c>
      <c r="J415" s="34" t="str">
        <f t="shared" si="24"/>
        <v/>
      </c>
      <c r="K415" s="34" t="str">
        <f t="shared" si="25"/>
        <v/>
      </c>
      <c r="L415" s="34" t="str">
        <f>IF(A415="","",IFERROR(VLOOKUP(E415,KLASSNING!$A$5:$F$74,5,FALSE()),0))</f>
        <v/>
      </c>
      <c r="M415" s="35" t="str">
        <f t="shared" si="26"/>
        <v/>
      </c>
      <c r="N415" s="34" t="str">
        <f>IF(A415="","",IF(K415&lt;&gt;"Ja","Ej aktuell",IF(L415&lt;=0,"KONTROLLERA MATCHTID",IF(AND(COUNTIFS(BEMANNINGSPLAN!$A$5:$A$546,B415,BEMANNINGSPLAN!$C$5:$C$546,D415,BEMANNINGSPLAN!$D$5:$D$546,"&lt;="&amp;C415,BEMANNINGSPLAN!$E$5:$E$546,"&gt;"&amp;C415)&gt;0,COUNTIFS(BEMANNINGSPLAN!$A$5:$A$546,B415,BEMANNINGSPLAN!$C$5:$C$546,D415,BEMANNINGSPLAN!$D$5:$D$546,"&lt;"&amp;M415,BEMANNINGSPLAN!$E$5:$E$546,"&gt;="&amp;M415)&gt;0),"Ja","SAKNAS TIDSRADER"))))</f>
        <v/>
      </c>
      <c r="O415" s="137" t="str">
        <f>IF(OR(B415="",K415&lt;&gt;"Ja"),"",COUNTIFS($B$5:B415,B415,$K$5:K415,"Ja"))</f>
        <v/>
      </c>
      <c r="P415" s="137" t="str">
        <f t="shared" si="27"/>
        <v/>
      </c>
    </row>
    <row r="416" spans="1:16" ht="13">
      <c r="A416" s="31" t="str">
        <f>IF('IMPORT PROFIXIO'!A416="","",'IMPORT PROFIXIO'!A416)</f>
        <v/>
      </c>
      <c r="B416" s="32" t="str">
        <f>IF(A416="","",IF(ISNUMBER('IMPORT PROFIXIO'!D416),'IMPORT PROFIXIO'!D416,DATEVALUE('IMPORT PROFIXIO'!D416)))</f>
        <v/>
      </c>
      <c r="C416" s="33" t="str">
        <f>IF(A416="","",IF(ISNUMBER('IMPORT PROFIXIO'!E416),'IMPORT PROFIXIO'!E416,(VALUE(LEFT('IMPORT PROFIXIO'!E416,FIND(":",'IMPORT PROFIXIO'!E416)-1))*60+VALUE(MID('IMPORT PROFIXIO'!E416,FIND(":",'IMPORT PROFIXIO'!E416)+1,2)))/1440))</f>
        <v/>
      </c>
      <c r="D416" s="31" t="str">
        <f>IF(A416="","",'IMPORT PROFIXIO'!F416)</f>
        <v/>
      </c>
      <c r="E416" s="31" t="str">
        <f>IF(A416="","",'IMPORT PROFIXIO'!K416)</f>
        <v/>
      </c>
      <c r="F416" s="34" t="str">
        <f>IF(A416="","",IFERROR(VLOOKUP(E416,KLASSNING!$A$5:$F$74,2,FALSE()),"SAKNAS"))</f>
        <v/>
      </c>
      <c r="G416" s="34" t="str">
        <f>IF(A416="","",IFERROR(VLOOKUP(E416,KLASSNING!$A$5:$F$74,3,FALSE()),"SAKNAS"))</f>
        <v/>
      </c>
      <c r="H416" s="34" t="str">
        <f>IF(A416="","",'IMPORT PROFIXIO'!H416)</f>
        <v/>
      </c>
      <c r="I416" s="34" t="str">
        <f>IF(A416="","",'IMPORT PROFIXIO'!I416)</f>
        <v/>
      </c>
      <c r="J416" s="34" t="str">
        <f t="shared" si="24"/>
        <v/>
      </c>
      <c r="K416" s="34" t="str">
        <f t="shared" si="25"/>
        <v/>
      </c>
      <c r="L416" s="34" t="str">
        <f>IF(A416="","",IFERROR(VLOOKUP(E416,KLASSNING!$A$5:$F$74,5,FALSE()),0))</f>
        <v/>
      </c>
      <c r="M416" s="35" t="str">
        <f t="shared" si="26"/>
        <v/>
      </c>
      <c r="N416" s="34" t="str">
        <f>IF(A416="","",IF(K416&lt;&gt;"Ja","Ej aktuell",IF(L416&lt;=0,"KONTROLLERA MATCHTID",IF(AND(COUNTIFS(BEMANNINGSPLAN!$A$5:$A$546,B416,BEMANNINGSPLAN!$C$5:$C$546,D416,BEMANNINGSPLAN!$D$5:$D$546,"&lt;="&amp;C416,BEMANNINGSPLAN!$E$5:$E$546,"&gt;"&amp;C416)&gt;0,COUNTIFS(BEMANNINGSPLAN!$A$5:$A$546,B416,BEMANNINGSPLAN!$C$5:$C$546,D416,BEMANNINGSPLAN!$D$5:$D$546,"&lt;"&amp;M416,BEMANNINGSPLAN!$E$5:$E$546,"&gt;="&amp;M416)&gt;0),"Ja","SAKNAS TIDSRADER"))))</f>
        <v/>
      </c>
      <c r="O416" s="137" t="str">
        <f>IF(OR(B416="",K416&lt;&gt;"Ja"),"",COUNTIFS($B$5:B416,B416,$K$5:K416,"Ja"))</f>
        <v/>
      </c>
      <c r="P416" s="137" t="str">
        <f t="shared" si="27"/>
        <v/>
      </c>
    </row>
    <row r="417" spans="1:16" ht="13">
      <c r="A417" s="31" t="str">
        <f>IF('IMPORT PROFIXIO'!A417="","",'IMPORT PROFIXIO'!A417)</f>
        <v/>
      </c>
      <c r="B417" s="32" t="str">
        <f>IF(A417="","",IF(ISNUMBER('IMPORT PROFIXIO'!D417),'IMPORT PROFIXIO'!D417,DATEVALUE('IMPORT PROFIXIO'!D417)))</f>
        <v/>
      </c>
      <c r="C417" s="33" t="str">
        <f>IF(A417="","",IF(ISNUMBER('IMPORT PROFIXIO'!E417),'IMPORT PROFIXIO'!E417,(VALUE(LEFT('IMPORT PROFIXIO'!E417,FIND(":",'IMPORT PROFIXIO'!E417)-1))*60+VALUE(MID('IMPORT PROFIXIO'!E417,FIND(":",'IMPORT PROFIXIO'!E417)+1,2)))/1440))</f>
        <v/>
      </c>
      <c r="D417" s="31" t="str">
        <f>IF(A417="","",'IMPORT PROFIXIO'!F417)</f>
        <v/>
      </c>
      <c r="E417" s="31" t="str">
        <f>IF(A417="","",'IMPORT PROFIXIO'!K417)</f>
        <v/>
      </c>
      <c r="F417" s="34" t="str">
        <f>IF(A417="","",IFERROR(VLOOKUP(E417,KLASSNING!$A$5:$F$74,2,FALSE()),"SAKNAS"))</f>
        <v/>
      </c>
      <c r="G417" s="34" t="str">
        <f>IF(A417="","",IFERROR(VLOOKUP(E417,KLASSNING!$A$5:$F$74,3,FALSE()),"SAKNAS"))</f>
        <v/>
      </c>
      <c r="H417" s="34" t="str">
        <f>IF(A417="","",'IMPORT PROFIXIO'!H417)</f>
        <v/>
      </c>
      <c r="I417" s="34" t="str">
        <f>IF(A417="","",'IMPORT PROFIXIO'!I417)</f>
        <v/>
      </c>
      <c r="J417" s="34" t="str">
        <f t="shared" si="24"/>
        <v/>
      </c>
      <c r="K417" s="34" t="str">
        <f t="shared" si="25"/>
        <v/>
      </c>
      <c r="L417" s="34" t="str">
        <f>IF(A417="","",IFERROR(VLOOKUP(E417,KLASSNING!$A$5:$F$74,5,FALSE()),0))</f>
        <v/>
      </c>
      <c r="M417" s="35" t="str">
        <f t="shared" si="26"/>
        <v/>
      </c>
      <c r="N417" s="34" t="str">
        <f>IF(A417="","",IF(K417&lt;&gt;"Ja","Ej aktuell",IF(L417&lt;=0,"KONTROLLERA MATCHTID",IF(AND(COUNTIFS(BEMANNINGSPLAN!$A$5:$A$546,B417,BEMANNINGSPLAN!$C$5:$C$546,D417,BEMANNINGSPLAN!$D$5:$D$546,"&lt;="&amp;C417,BEMANNINGSPLAN!$E$5:$E$546,"&gt;"&amp;C417)&gt;0,COUNTIFS(BEMANNINGSPLAN!$A$5:$A$546,B417,BEMANNINGSPLAN!$C$5:$C$546,D417,BEMANNINGSPLAN!$D$5:$D$546,"&lt;"&amp;M417,BEMANNINGSPLAN!$E$5:$E$546,"&gt;="&amp;M417)&gt;0),"Ja","SAKNAS TIDSRADER"))))</f>
        <v/>
      </c>
      <c r="O417" s="137" t="str">
        <f>IF(OR(B417="",K417&lt;&gt;"Ja"),"",COUNTIFS($B$5:B417,B417,$K$5:K417,"Ja"))</f>
        <v/>
      </c>
      <c r="P417" s="137" t="str">
        <f t="shared" si="27"/>
        <v/>
      </c>
    </row>
    <row r="418" spans="1:16" ht="13">
      <c r="A418" s="31" t="str">
        <f>IF('IMPORT PROFIXIO'!A418="","",'IMPORT PROFIXIO'!A418)</f>
        <v/>
      </c>
      <c r="B418" s="32" t="str">
        <f>IF(A418="","",IF(ISNUMBER('IMPORT PROFIXIO'!D418),'IMPORT PROFIXIO'!D418,DATEVALUE('IMPORT PROFIXIO'!D418)))</f>
        <v/>
      </c>
      <c r="C418" s="33" t="str">
        <f>IF(A418="","",IF(ISNUMBER('IMPORT PROFIXIO'!E418),'IMPORT PROFIXIO'!E418,(VALUE(LEFT('IMPORT PROFIXIO'!E418,FIND(":",'IMPORT PROFIXIO'!E418)-1))*60+VALUE(MID('IMPORT PROFIXIO'!E418,FIND(":",'IMPORT PROFIXIO'!E418)+1,2)))/1440))</f>
        <v/>
      </c>
      <c r="D418" s="31" t="str">
        <f>IF(A418="","",'IMPORT PROFIXIO'!F418)</f>
        <v/>
      </c>
      <c r="E418" s="31" t="str">
        <f>IF(A418="","",'IMPORT PROFIXIO'!K418)</f>
        <v/>
      </c>
      <c r="F418" s="34" t="str">
        <f>IF(A418="","",IFERROR(VLOOKUP(E418,KLASSNING!$A$5:$F$74,2,FALSE()),"SAKNAS"))</f>
        <v/>
      </c>
      <c r="G418" s="34" t="str">
        <f>IF(A418="","",IFERROR(VLOOKUP(E418,KLASSNING!$A$5:$F$74,3,FALSE()),"SAKNAS"))</f>
        <v/>
      </c>
      <c r="H418" s="34" t="str">
        <f>IF(A418="","",'IMPORT PROFIXIO'!H418)</f>
        <v/>
      </c>
      <c r="I418" s="34" t="str">
        <f>IF(A418="","",'IMPORT PROFIXIO'!I418)</f>
        <v/>
      </c>
      <c r="J418" s="34" t="str">
        <f t="shared" si="24"/>
        <v/>
      </c>
      <c r="K418" s="34" t="str">
        <f t="shared" si="25"/>
        <v/>
      </c>
      <c r="L418" s="34" t="str">
        <f>IF(A418="","",IFERROR(VLOOKUP(E418,KLASSNING!$A$5:$F$74,5,FALSE()),0))</f>
        <v/>
      </c>
      <c r="M418" s="35" t="str">
        <f t="shared" si="26"/>
        <v/>
      </c>
      <c r="N418" s="34" t="str">
        <f>IF(A418="","",IF(K418&lt;&gt;"Ja","Ej aktuell",IF(L418&lt;=0,"KONTROLLERA MATCHTID",IF(AND(COUNTIFS(BEMANNINGSPLAN!$A$5:$A$546,B418,BEMANNINGSPLAN!$C$5:$C$546,D418,BEMANNINGSPLAN!$D$5:$D$546,"&lt;="&amp;C418,BEMANNINGSPLAN!$E$5:$E$546,"&gt;"&amp;C418)&gt;0,COUNTIFS(BEMANNINGSPLAN!$A$5:$A$546,B418,BEMANNINGSPLAN!$C$5:$C$546,D418,BEMANNINGSPLAN!$D$5:$D$546,"&lt;"&amp;M418,BEMANNINGSPLAN!$E$5:$E$546,"&gt;="&amp;M418)&gt;0),"Ja","SAKNAS TIDSRADER"))))</f>
        <v/>
      </c>
      <c r="O418" s="137" t="str">
        <f>IF(OR(B418="",K418&lt;&gt;"Ja"),"",COUNTIFS($B$5:B418,B418,$K$5:K418,"Ja"))</f>
        <v/>
      </c>
      <c r="P418" s="137" t="str">
        <f t="shared" si="27"/>
        <v/>
      </c>
    </row>
    <row r="419" spans="1:16" ht="13">
      <c r="A419" s="31" t="str">
        <f>IF('IMPORT PROFIXIO'!A419="","",'IMPORT PROFIXIO'!A419)</f>
        <v/>
      </c>
      <c r="B419" s="32" t="str">
        <f>IF(A419="","",IF(ISNUMBER('IMPORT PROFIXIO'!D419),'IMPORT PROFIXIO'!D419,DATEVALUE('IMPORT PROFIXIO'!D419)))</f>
        <v/>
      </c>
      <c r="C419" s="33" t="str">
        <f>IF(A419="","",IF(ISNUMBER('IMPORT PROFIXIO'!E419),'IMPORT PROFIXIO'!E419,(VALUE(LEFT('IMPORT PROFIXIO'!E419,FIND(":",'IMPORT PROFIXIO'!E419)-1))*60+VALUE(MID('IMPORT PROFIXIO'!E419,FIND(":",'IMPORT PROFIXIO'!E419)+1,2)))/1440))</f>
        <v/>
      </c>
      <c r="D419" s="31" t="str">
        <f>IF(A419="","",'IMPORT PROFIXIO'!F419)</f>
        <v/>
      </c>
      <c r="E419" s="31" t="str">
        <f>IF(A419="","",'IMPORT PROFIXIO'!K419)</f>
        <v/>
      </c>
      <c r="F419" s="34" t="str">
        <f>IF(A419="","",IFERROR(VLOOKUP(E419,KLASSNING!$A$5:$F$74,2,FALSE()),"SAKNAS"))</f>
        <v/>
      </c>
      <c r="G419" s="34" t="str">
        <f>IF(A419="","",IFERROR(VLOOKUP(E419,KLASSNING!$A$5:$F$74,3,FALSE()),"SAKNAS"))</f>
        <v/>
      </c>
      <c r="H419" s="34" t="str">
        <f>IF(A419="","",'IMPORT PROFIXIO'!H419)</f>
        <v/>
      </c>
      <c r="I419" s="34" t="str">
        <f>IF(A419="","",'IMPORT PROFIXIO'!I419)</f>
        <v/>
      </c>
      <c r="J419" s="34" t="str">
        <f t="shared" si="24"/>
        <v/>
      </c>
      <c r="K419" s="34" t="str">
        <f t="shared" si="25"/>
        <v/>
      </c>
      <c r="L419" s="34" t="str">
        <f>IF(A419="","",IFERROR(VLOOKUP(E419,KLASSNING!$A$5:$F$74,5,FALSE()),0))</f>
        <v/>
      </c>
      <c r="M419" s="35" t="str">
        <f t="shared" si="26"/>
        <v/>
      </c>
      <c r="N419" s="34" t="str">
        <f>IF(A419="","",IF(K419&lt;&gt;"Ja","Ej aktuell",IF(L419&lt;=0,"KONTROLLERA MATCHTID",IF(AND(COUNTIFS(BEMANNINGSPLAN!$A$5:$A$546,B419,BEMANNINGSPLAN!$C$5:$C$546,D419,BEMANNINGSPLAN!$D$5:$D$546,"&lt;="&amp;C419,BEMANNINGSPLAN!$E$5:$E$546,"&gt;"&amp;C419)&gt;0,COUNTIFS(BEMANNINGSPLAN!$A$5:$A$546,B419,BEMANNINGSPLAN!$C$5:$C$546,D419,BEMANNINGSPLAN!$D$5:$D$546,"&lt;"&amp;M419,BEMANNINGSPLAN!$E$5:$E$546,"&gt;="&amp;M419)&gt;0),"Ja","SAKNAS TIDSRADER"))))</f>
        <v/>
      </c>
      <c r="O419" s="137" t="str">
        <f>IF(OR(B419="",K419&lt;&gt;"Ja"),"",COUNTIFS($B$5:B419,B419,$K$5:K419,"Ja"))</f>
        <v/>
      </c>
      <c r="P419" s="137" t="str">
        <f t="shared" si="27"/>
        <v/>
      </c>
    </row>
    <row r="420" spans="1:16" ht="13">
      <c r="A420" s="31" t="str">
        <f>IF('IMPORT PROFIXIO'!A420="","",'IMPORT PROFIXIO'!A420)</f>
        <v/>
      </c>
      <c r="B420" s="32" t="str">
        <f>IF(A420="","",IF(ISNUMBER('IMPORT PROFIXIO'!D420),'IMPORT PROFIXIO'!D420,DATEVALUE('IMPORT PROFIXIO'!D420)))</f>
        <v/>
      </c>
      <c r="C420" s="33" t="str">
        <f>IF(A420="","",IF(ISNUMBER('IMPORT PROFIXIO'!E420),'IMPORT PROFIXIO'!E420,(VALUE(LEFT('IMPORT PROFIXIO'!E420,FIND(":",'IMPORT PROFIXIO'!E420)-1))*60+VALUE(MID('IMPORT PROFIXIO'!E420,FIND(":",'IMPORT PROFIXIO'!E420)+1,2)))/1440))</f>
        <v/>
      </c>
      <c r="D420" s="31" t="str">
        <f>IF(A420="","",'IMPORT PROFIXIO'!F420)</f>
        <v/>
      </c>
      <c r="E420" s="31" t="str">
        <f>IF(A420="","",'IMPORT PROFIXIO'!K420)</f>
        <v/>
      </c>
      <c r="F420" s="34" t="str">
        <f>IF(A420="","",IFERROR(VLOOKUP(E420,KLASSNING!$A$5:$F$74,2,FALSE()),"SAKNAS"))</f>
        <v/>
      </c>
      <c r="G420" s="34" t="str">
        <f>IF(A420="","",IFERROR(VLOOKUP(E420,KLASSNING!$A$5:$F$74,3,FALSE()),"SAKNAS"))</f>
        <v/>
      </c>
      <c r="H420" s="34" t="str">
        <f>IF(A420="","",'IMPORT PROFIXIO'!H420)</f>
        <v/>
      </c>
      <c r="I420" s="34" t="str">
        <f>IF(A420="","",'IMPORT PROFIXIO'!I420)</f>
        <v/>
      </c>
      <c r="J420" s="34" t="str">
        <f t="shared" si="24"/>
        <v/>
      </c>
      <c r="K420" s="34" t="str">
        <f t="shared" si="25"/>
        <v/>
      </c>
      <c r="L420" s="34" t="str">
        <f>IF(A420="","",IFERROR(VLOOKUP(E420,KLASSNING!$A$5:$F$74,5,FALSE()),0))</f>
        <v/>
      </c>
      <c r="M420" s="35" t="str">
        <f t="shared" si="26"/>
        <v/>
      </c>
      <c r="N420" s="34" t="str">
        <f>IF(A420="","",IF(K420&lt;&gt;"Ja","Ej aktuell",IF(L420&lt;=0,"KONTROLLERA MATCHTID",IF(AND(COUNTIFS(BEMANNINGSPLAN!$A$5:$A$546,B420,BEMANNINGSPLAN!$C$5:$C$546,D420,BEMANNINGSPLAN!$D$5:$D$546,"&lt;="&amp;C420,BEMANNINGSPLAN!$E$5:$E$546,"&gt;"&amp;C420)&gt;0,COUNTIFS(BEMANNINGSPLAN!$A$5:$A$546,B420,BEMANNINGSPLAN!$C$5:$C$546,D420,BEMANNINGSPLAN!$D$5:$D$546,"&lt;"&amp;M420,BEMANNINGSPLAN!$E$5:$E$546,"&gt;="&amp;M420)&gt;0),"Ja","SAKNAS TIDSRADER"))))</f>
        <v/>
      </c>
      <c r="O420" s="137" t="str">
        <f>IF(OR(B420="",K420&lt;&gt;"Ja"),"",COUNTIFS($B$5:B420,B420,$K$5:K420,"Ja"))</f>
        <v/>
      </c>
      <c r="P420" s="137" t="str">
        <f t="shared" si="27"/>
        <v/>
      </c>
    </row>
    <row r="421" spans="1:16" ht="13">
      <c r="A421" s="31" t="str">
        <f>IF('IMPORT PROFIXIO'!A421="","",'IMPORT PROFIXIO'!A421)</f>
        <v/>
      </c>
      <c r="B421" s="32" t="str">
        <f>IF(A421="","",IF(ISNUMBER('IMPORT PROFIXIO'!D421),'IMPORT PROFIXIO'!D421,DATEVALUE('IMPORT PROFIXIO'!D421)))</f>
        <v/>
      </c>
      <c r="C421" s="33" t="str">
        <f>IF(A421="","",IF(ISNUMBER('IMPORT PROFIXIO'!E421),'IMPORT PROFIXIO'!E421,(VALUE(LEFT('IMPORT PROFIXIO'!E421,FIND(":",'IMPORT PROFIXIO'!E421)-1))*60+VALUE(MID('IMPORT PROFIXIO'!E421,FIND(":",'IMPORT PROFIXIO'!E421)+1,2)))/1440))</f>
        <v/>
      </c>
      <c r="D421" s="31" t="str">
        <f>IF(A421="","",'IMPORT PROFIXIO'!F421)</f>
        <v/>
      </c>
      <c r="E421" s="31" t="str">
        <f>IF(A421="","",'IMPORT PROFIXIO'!K421)</f>
        <v/>
      </c>
      <c r="F421" s="34" t="str">
        <f>IF(A421="","",IFERROR(VLOOKUP(E421,KLASSNING!$A$5:$F$74,2,FALSE()),"SAKNAS"))</f>
        <v/>
      </c>
      <c r="G421" s="34" t="str">
        <f>IF(A421="","",IFERROR(VLOOKUP(E421,KLASSNING!$A$5:$F$74,3,FALSE()),"SAKNAS"))</f>
        <v/>
      </c>
      <c r="H421" s="34" t="str">
        <f>IF(A421="","",'IMPORT PROFIXIO'!H421)</f>
        <v/>
      </c>
      <c r="I421" s="34" t="str">
        <f>IF(A421="","",'IMPORT PROFIXIO'!I421)</f>
        <v/>
      </c>
      <c r="J421" s="34" t="str">
        <f t="shared" si="24"/>
        <v/>
      </c>
      <c r="K421" s="34" t="str">
        <f t="shared" si="25"/>
        <v/>
      </c>
      <c r="L421" s="34" t="str">
        <f>IF(A421="","",IFERROR(VLOOKUP(E421,KLASSNING!$A$5:$F$74,5,FALSE()),0))</f>
        <v/>
      </c>
      <c r="M421" s="35" t="str">
        <f t="shared" si="26"/>
        <v/>
      </c>
      <c r="N421" s="34" t="str">
        <f>IF(A421="","",IF(K421&lt;&gt;"Ja","Ej aktuell",IF(L421&lt;=0,"KONTROLLERA MATCHTID",IF(AND(COUNTIFS(BEMANNINGSPLAN!$A$5:$A$546,B421,BEMANNINGSPLAN!$C$5:$C$546,D421,BEMANNINGSPLAN!$D$5:$D$546,"&lt;="&amp;C421,BEMANNINGSPLAN!$E$5:$E$546,"&gt;"&amp;C421)&gt;0,COUNTIFS(BEMANNINGSPLAN!$A$5:$A$546,B421,BEMANNINGSPLAN!$C$5:$C$546,D421,BEMANNINGSPLAN!$D$5:$D$546,"&lt;"&amp;M421,BEMANNINGSPLAN!$E$5:$E$546,"&gt;="&amp;M421)&gt;0),"Ja","SAKNAS TIDSRADER"))))</f>
        <v/>
      </c>
      <c r="O421" s="137" t="str">
        <f>IF(OR(B421="",K421&lt;&gt;"Ja"),"",COUNTIFS($B$5:B421,B421,$K$5:K421,"Ja"))</f>
        <v/>
      </c>
      <c r="P421" s="137" t="str">
        <f t="shared" si="27"/>
        <v/>
      </c>
    </row>
    <row r="422" spans="1:16" ht="13">
      <c r="A422" s="31" t="str">
        <f>IF('IMPORT PROFIXIO'!A422="","",'IMPORT PROFIXIO'!A422)</f>
        <v/>
      </c>
      <c r="B422" s="32" t="str">
        <f>IF(A422="","",IF(ISNUMBER('IMPORT PROFIXIO'!D422),'IMPORT PROFIXIO'!D422,DATEVALUE('IMPORT PROFIXIO'!D422)))</f>
        <v/>
      </c>
      <c r="C422" s="33" t="str">
        <f>IF(A422="","",IF(ISNUMBER('IMPORT PROFIXIO'!E422),'IMPORT PROFIXIO'!E422,(VALUE(LEFT('IMPORT PROFIXIO'!E422,FIND(":",'IMPORT PROFIXIO'!E422)-1))*60+VALUE(MID('IMPORT PROFIXIO'!E422,FIND(":",'IMPORT PROFIXIO'!E422)+1,2)))/1440))</f>
        <v/>
      </c>
      <c r="D422" s="31" t="str">
        <f>IF(A422="","",'IMPORT PROFIXIO'!F422)</f>
        <v/>
      </c>
      <c r="E422" s="31" t="str">
        <f>IF(A422="","",'IMPORT PROFIXIO'!K422)</f>
        <v/>
      </c>
      <c r="F422" s="34" t="str">
        <f>IF(A422="","",IFERROR(VLOOKUP(E422,KLASSNING!$A$5:$F$74,2,FALSE()),"SAKNAS"))</f>
        <v/>
      </c>
      <c r="G422" s="34" t="str">
        <f>IF(A422="","",IFERROR(VLOOKUP(E422,KLASSNING!$A$5:$F$74,3,FALSE()),"SAKNAS"))</f>
        <v/>
      </c>
      <c r="H422" s="34" t="str">
        <f>IF(A422="","",'IMPORT PROFIXIO'!H422)</f>
        <v/>
      </c>
      <c r="I422" s="34" t="str">
        <f>IF(A422="","",'IMPORT PROFIXIO'!I422)</f>
        <v/>
      </c>
      <c r="J422" s="34" t="str">
        <f t="shared" si="24"/>
        <v/>
      </c>
      <c r="K422" s="34" t="str">
        <f t="shared" si="25"/>
        <v/>
      </c>
      <c r="L422" s="34" t="str">
        <f>IF(A422="","",IFERROR(VLOOKUP(E422,KLASSNING!$A$5:$F$74,5,FALSE()),0))</f>
        <v/>
      </c>
      <c r="M422" s="35" t="str">
        <f t="shared" si="26"/>
        <v/>
      </c>
      <c r="N422" s="34" t="str">
        <f>IF(A422="","",IF(K422&lt;&gt;"Ja","Ej aktuell",IF(L422&lt;=0,"KONTROLLERA MATCHTID",IF(AND(COUNTIFS(BEMANNINGSPLAN!$A$5:$A$546,B422,BEMANNINGSPLAN!$C$5:$C$546,D422,BEMANNINGSPLAN!$D$5:$D$546,"&lt;="&amp;C422,BEMANNINGSPLAN!$E$5:$E$546,"&gt;"&amp;C422)&gt;0,COUNTIFS(BEMANNINGSPLAN!$A$5:$A$546,B422,BEMANNINGSPLAN!$C$5:$C$546,D422,BEMANNINGSPLAN!$D$5:$D$546,"&lt;"&amp;M422,BEMANNINGSPLAN!$E$5:$E$546,"&gt;="&amp;M422)&gt;0),"Ja","SAKNAS TIDSRADER"))))</f>
        <v/>
      </c>
      <c r="O422" s="137" t="str">
        <f>IF(OR(B422="",K422&lt;&gt;"Ja"),"",COUNTIFS($B$5:B422,B422,$K$5:K422,"Ja"))</f>
        <v/>
      </c>
      <c r="P422" s="137" t="str">
        <f t="shared" si="27"/>
        <v/>
      </c>
    </row>
    <row r="423" spans="1:16" ht="13">
      <c r="A423" s="31" t="str">
        <f>IF('IMPORT PROFIXIO'!A423="","",'IMPORT PROFIXIO'!A423)</f>
        <v/>
      </c>
      <c r="B423" s="32" t="str">
        <f>IF(A423="","",IF(ISNUMBER('IMPORT PROFIXIO'!D423),'IMPORT PROFIXIO'!D423,DATEVALUE('IMPORT PROFIXIO'!D423)))</f>
        <v/>
      </c>
      <c r="C423" s="33" t="str">
        <f>IF(A423="","",IF(ISNUMBER('IMPORT PROFIXIO'!E423),'IMPORT PROFIXIO'!E423,(VALUE(LEFT('IMPORT PROFIXIO'!E423,FIND(":",'IMPORT PROFIXIO'!E423)-1))*60+VALUE(MID('IMPORT PROFIXIO'!E423,FIND(":",'IMPORT PROFIXIO'!E423)+1,2)))/1440))</f>
        <v/>
      </c>
      <c r="D423" s="31" t="str">
        <f>IF(A423="","",'IMPORT PROFIXIO'!F423)</f>
        <v/>
      </c>
      <c r="E423" s="31" t="str">
        <f>IF(A423="","",'IMPORT PROFIXIO'!K423)</f>
        <v/>
      </c>
      <c r="F423" s="34" t="str">
        <f>IF(A423="","",IFERROR(VLOOKUP(E423,KLASSNING!$A$5:$F$74,2,FALSE()),"SAKNAS"))</f>
        <v/>
      </c>
      <c r="G423" s="34" t="str">
        <f>IF(A423="","",IFERROR(VLOOKUP(E423,KLASSNING!$A$5:$F$74,3,FALSE()),"SAKNAS"))</f>
        <v/>
      </c>
      <c r="H423" s="34" t="str">
        <f>IF(A423="","",'IMPORT PROFIXIO'!H423)</f>
        <v/>
      </c>
      <c r="I423" s="34" t="str">
        <f>IF(A423="","",'IMPORT PROFIXIO'!I423)</f>
        <v/>
      </c>
      <c r="J423" s="34" t="str">
        <f t="shared" si="24"/>
        <v/>
      </c>
      <c r="K423" s="34" t="str">
        <f t="shared" si="25"/>
        <v/>
      </c>
      <c r="L423" s="34" t="str">
        <f>IF(A423="","",IFERROR(VLOOKUP(E423,KLASSNING!$A$5:$F$74,5,FALSE()),0))</f>
        <v/>
      </c>
      <c r="M423" s="35" t="str">
        <f t="shared" si="26"/>
        <v/>
      </c>
      <c r="N423" s="34" t="str">
        <f>IF(A423="","",IF(K423&lt;&gt;"Ja","Ej aktuell",IF(L423&lt;=0,"KONTROLLERA MATCHTID",IF(AND(COUNTIFS(BEMANNINGSPLAN!$A$5:$A$546,B423,BEMANNINGSPLAN!$C$5:$C$546,D423,BEMANNINGSPLAN!$D$5:$D$546,"&lt;="&amp;C423,BEMANNINGSPLAN!$E$5:$E$546,"&gt;"&amp;C423)&gt;0,COUNTIFS(BEMANNINGSPLAN!$A$5:$A$546,B423,BEMANNINGSPLAN!$C$5:$C$546,D423,BEMANNINGSPLAN!$D$5:$D$546,"&lt;"&amp;M423,BEMANNINGSPLAN!$E$5:$E$546,"&gt;="&amp;M423)&gt;0),"Ja","SAKNAS TIDSRADER"))))</f>
        <v/>
      </c>
      <c r="O423" s="137" t="str">
        <f>IF(OR(B423="",K423&lt;&gt;"Ja"),"",COUNTIFS($B$5:B423,B423,$K$5:K423,"Ja"))</f>
        <v/>
      </c>
      <c r="P423" s="137" t="str">
        <f t="shared" si="27"/>
        <v/>
      </c>
    </row>
    <row r="424" spans="1:16" ht="13">
      <c r="A424" s="31" t="str">
        <f>IF('IMPORT PROFIXIO'!A424="","",'IMPORT PROFIXIO'!A424)</f>
        <v/>
      </c>
      <c r="B424" s="32" t="str">
        <f>IF(A424="","",IF(ISNUMBER('IMPORT PROFIXIO'!D424),'IMPORT PROFIXIO'!D424,DATEVALUE('IMPORT PROFIXIO'!D424)))</f>
        <v/>
      </c>
      <c r="C424" s="33" t="str">
        <f>IF(A424="","",IF(ISNUMBER('IMPORT PROFIXIO'!E424),'IMPORT PROFIXIO'!E424,(VALUE(LEFT('IMPORT PROFIXIO'!E424,FIND(":",'IMPORT PROFIXIO'!E424)-1))*60+VALUE(MID('IMPORT PROFIXIO'!E424,FIND(":",'IMPORT PROFIXIO'!E424)+1,2)))/1440))</f>
        <v/>
      </c>
      <c r="D424" s="31" t="str">
        <f>IF(A424="","",'IMPORT PROFIXIO'!F424)</f>
        <v/>
      </c>
      <c r="E424" s="31" t="str">
        <f>IF(A424="","",'IMPORT PROFIXIO'!K424)</f>
        <v/>
      </c>
      <c r="F424" s="34" t="str">
        <f>IF(A424="","",IFERROR(VLOOKUP(E424,KLASSNING!$A$5:$F$74,2,FALSE()),"SAKNAS"))</f>
        <v/>
      </c>
      <c r="G424" s="34" t="str">
        <f>IF(A424="","",IFERROR(VLOOKUP(E424,KLASSNING!$A$5:$F$74,3,FALSE()),"SAKNAS"))</f>
        <v/>
      </c>
      <c r="H424" s="34" t="str">
        <f>IF(A424="","",'IMPORT PROFIXIO'!H424)</f>
        <v/>
      </c>
      <c r="I424" s="34" t="str">
        <f>IF(A424="","",'IMPORT PROFIXIO'!I424)</f>
        <v/>
      </c>
      <c r="J424" s="34" t="str">
        <f t="shared" si="24"/>
        <v/>
      </c>
      <c r="K424" s="34" t="str">
        <f t="shared" si="25"/>
        <v/>
      </c>
      <c r="L424" s="34" t="str">
        <f>IF(A424="","",IFERROR(VLOOKUP(E424,KLASSNING!$A$5:$F$74,5,FALSE()),0))</f>
        <v/>
      </c>
      <c r="M424" s="35" t="str">
        <f t="shared" si="26"/>
        <v/>
      </c>
      <c r="N424" s="34" t="str">
        <f>IF(A424="","",IF(K424&lt;&gt;"Ja","Ej aktuell",IF(L424&lt;=0,"KONTROLLERA MATCHTID",IF(AND(COUNTIFS(BEMANNINGSPLAN!$A$5:$A$546,B424,BEMANNINGSPLAN!$C$5:$C$546,D424,BEMANNINGSPLAN!$D$5:$D$546,"&lt;="&amp;C424,BEMANNINGSPLAN!$E$5:$E$546,"&gt;"&amp;C424)&gt;0,COUNTIFS(BEMANNINGSPLAN!$A$5:$A$546,B424,BEMANNINGSPLAN!$C$5:$C$546,D424,BEMANNINGSPLAN!$D$5:$D$546,"&lt;"&amp;M424,BEMANNINGSPLAN!$E$5:$E$546,"&gt;="&amp;M424)&gt;0),"Ja","SAKNAS TIDSRADER"))))</f>
        <v/>
      </c>
      <c r="O424" s="137" t="str">
        <f>IF(OR(B424="",K424&lt;&gt;"Ja"),"",COUNTIFS($B$5:B424,B424,$K$5:K424,"Ja"))</f>
        <v/>
      </c>
      <c r="P424" s="137" t="str">
        <f t="shared" si="27"/>
        <v/>
      </c>
    </row>
    <row r="425" spans="1:16" ht="13">
      <c r="A425" s="31" t="str">
        <f>IF('IMPORT PROFIXIO'!A425="","",'IMPORT PROFIXIO'!A425)</f>
        <v/>
      </c>
      <c r="B425" s="32" t="str">
        <f>IF(A425="","",IF(ISNUMBER('IMPORT PROFIXIO'!D425),'IMPORT PROFIXIO'!D425,DATEVALUE('IMPORT PROFIXIO'!D425)))</f>
        <v/>
      </c>
      <c r="C425" s="33" t="str">
        <f>IF(A425="","",IF(ISNUMBER('IMPORT PROFIXIO'!E425),'IMPORT PROFIXIO'!E425,(VALUE(LEFT('IMPORT PROFIXIO'!E425,FIND(":",'IMPORT PROFIXIO'!E425)-1))*60+VALUE(MID('IMPORT PROFIXIO'!E425,FIND(":",'IMPORT PROFIXIO'!E425)+1,2)))/1440))</f>
        <v/>
      </c>
      <c r="D425" s="31" t="str">
        <f>IF(A425="","",'IMPORT PROFIXIO'!F425)</f>
        <v/>
      </c>
      <c r="E425" s="31" t="str">
        <f>IF(A425="","",'IMPORT PROFIXIO'!K425)</f>
        <v/>
      </c>
      <c r="F425" s="34" t="str">
        <f>IF(A425="","",IFERROR(VLOOKUP(E425,KLASSNING!$A$5:$F$74,2,FALSE()),"SAKNAS"))</f>
        <v/>
      </c>
      <c r="G425" s="34" t="str">
        <f>IF(A425="","",IFERROR(VLOOKUP(E425,KLASSNING!$A$5:$F$74,3,FALSE()),"SAKNAS"))</f>
        <v/>
      </c>
      <c r="H425" s="34" t="str">
        <f>IF(A425="","",'IMPORT PROFIXIO'!H425)</f>
        <v/>
      </c>
      <c r="I425" s="34" t="str">
        <f>IF(A425="","",'IMPORT PROFIXIO'!I425)</f>
        <v/>
      </c>
      <c r="J425" s="34" t="str">
        <f t="shared" si="24"/>
        <v/>
      </c>
      <c r="K425" s="34" t="str">
        <f t="shared" si="25"/>
        <v/>
      </c>
      <c r="L425" s="34" t="str">
        <f>IF(A425="","",IFERROR(VLOOKUP(E425,KLASSNING!$A$5:$F$74,5,FALSE()),0))</f>
        <v/>
      </c>
      <c r="M425" s="35" t="str">
        <f t="shared" si="26"/>
        <v/>
      </c>
      <c r="N425" s="34" t="str">
        <f>IF(A425="","",IF(K425&lt;&gt;"Ja","Ej aktuell",IF(L425&lt;=0,"KONTROLLERA MATCHTID",IF(AND(COUNTIFS(BEMANNINGSPLAN!$A$5:$A$546,B425,BEMANNINGSPLAN!$C$5:$C$546,D425,BEMANNINGSPLAN!$D$5:$D$546,"&lt;="&amp;C425,BEMANNINGSPLAN!$E$5:$E$546,"&gt;"&amp;C425)&gt;0,COUNTIFS(BEMANNINGSPLAN!$A$5:$A$546,B425,BEMANNINGSPLAN!$C$5:$C$546,D425,BEMANNINGSPLAN!$D$5:$D$546,"&lt;"&amp;M425,BEMANNINGSPLAN!$E$5:$E$546,"&gt;="&amp;M425)&gt;0),"Ja","SAKNAS TIDSRADER"))))</f>
        <v/>
      </c>
      <c r="O425" s="137" t="str">
        <f>IF(OR(B425="",K425&lt;&gt;"Ja"),"",COUNTIFS($B$5:B425,B425,$K$5:K425,"Ja"))</f>
        <v/>
      </c>
      <c r="P425" s="137" t="str">
        <f t="shared" si="27"/>
        <v/>
      </c>
    </row>
    <row r="426" spans="1:16" ht="13">
      <c r="A426" s="31" t="str">
        <f>IF('IMPORT PROFIXIO'!A426="","",'IMPORT PROFIXIO'!A426)</f>
        <v/>
      </c>
      <c r="B426" s="32" t="str">
        <f>IF(A426="","",IF(ISNUMBER('IMPORT PROFIXIO'!D426),'IMPORT PROFIXIO'!D426,DATEVALUE('IMPORT PROFIXIO'!D426)))</f>
        <v/>
      </c>
      <c r="C426" s="33" t="str">
        <f>IF(A426="","",IF(ISNUMBER('IMPORT PROFIXIO'!E426),'IMPORT PROFIXIO'!E426,(VALUE(LEFT('IMPORT PROFIXIO'!E426,FIND(":",'IMPORT PROFIXIO'!E426)-1))*60+VALUE(MID('IMPORT PROFIXIO'!E426,FIND(":",'IMPORT PROFIXIO'!E426)+1,2)))/1440))</f>
        <v/>
      </c>
      <c r="D426" s="31" t="str">
        <f>IF(A426="","",'IMPORT PROFIXIO'!F426)</f>
        <v/>
      </c>
      <c r="E426" s="31" t="str">
        <f>IF(A426="","",'IMPORT PROFIXIO'!K426)</f>
        <v/>
      </c>
      <c r="F426" s="34" t="str">
        <f>IF(A426="","",IFERROR(VLOOKUP(E426,KLASSNING!$A$5:$F$74,2,FALSE()),"SAKNAS"))</f>
        <v/>
      </c>
      <c r="G426" s="34" t="str">
        <f>IF(A426="","",IFERROR(VLOOKUP(E426,KLASSNING!$A$5:$F$74,3,FALSE()),"SAKNAS"))</f>
        <v/>
      </c>
      <c r="H426" s="34" t="str">
        <f>IF(A426="","",'IMPORT PROFIXIO'!H426)</f>
        <v/>
      </c>
      <c r="I426" s="34" t="str">
        <f>IF(A426="","",'IMPORT PROFIXIO'!I426)</f>
        <v/>
      </c>
      <c r="J426" s="34" t="str">
        <f t="shared" si="24"/>
        <v/>
      </c>
      <c r="K426" s="34" t="str">
        <f t="shared" si="25"/>
        <v/>
      </c>
      <c r="L426" s="34" t="str">
        <f>IF(A426="","",IFERROR(VLOOKUP(E426,KLASSNING!$A$5:$F$74,5,FALSE()),0))</f>
        <v/>
      </c>
      <c r="M426" s="35" t="str">
        <f t="shared" si="26"/>
        <v/>
      </c>
      <c r="N426" s="34" t="str">
        <f>IF(A426="","",IF(K426&lt;&gt;"Ja","Ej aktuell",IF(L426&lt;=0,"KONTROLLERA MATCHTID",IF(AND(COUNTIFS(BEMANNINGSPLAN!$A$5:$A$546,B426,BEMANNINGSPLAN!$C$5:$C$546,D426,BEMANNINGSPLAN!$D$5:$D$546,"&lt;="&amp;C426,BEMANNINGSPLAN!$E$5:$E$546,"&gt;"&amp;C426)&gt;0,COUNTIFS(BEMANNINGSPLAN!$A$5:$A$546,B426,BEMANNINGSPLAN!$C$5:$C$546,D426,BEMANNINGSPLAN!$D$5:$D$546,"&lt;"&amp;M426,BEMANNINGSPLAN!$E$5:$E$546,"&gt;="&amp;M426)&gt;0),"Ja","SAKNAS TIDSRADER"))))</f>
        <v/>
      </c>
      <c r="O426" s="137" t="str">
        <f>IF(OR(B426="",K426&lt;&gt;"Ja"),"",COUNTIFS($B$5:B426,B426,$K$5:K426,"Ja"))</f>
        <v/>
      </c>
      <c r="P426" s="137" t="str">
        <f t="shared" si="27"/>
        <v/>
      </c>
    </row>
    <row r="427" spans="1:16" ht="13">
      <c r="A427" s="31" t="str">
        <f>IF('IMPORT PROFIXIO'!A427="","",'IMPORT PROFIXIO'!A427)</f>
        <v/>
      </c>
      <c r="B427" s="32" t="str">
        <f>IF(A427="","",IF(ISNUMBER('IMPORT PROFIXIO'!D427),'IMPORT PROFIXIO'!D427,DATEVALUE('IMPORT PROFIXIO'!D427)))</f>
        <v/>
      </c>
      <c r="C427" s="33" t="str">
        <f>IF(A427="","",IF(ISNUMBER('IMPORT PROFIXIO'!E427),'IMPORT PROFIXIO'!E427,(VALUE(LEFT('IMPORT PROFIXIO'!E427,FIND(":",'IMPORT PROFIXIO'!E427)-1))*60+VALUE(MID('IMPORT PROFIXIO'!E427,FIND(":",'IMPORT PROFIXIO'!E427)+1,2)))/1440))</f>
        <v/>
      </c>
      <c r="D427" s="31" t="str">
        <f>IF(A427="","",'IMPORT PROFIXIO'!F427)</f>
        <v/>
      </c>
      <c r="E427" s="31" t="str">
        <f>IF(A427="","",'IMPORT PROFIXIO'!K427)</f>
        <v/>
      </c>
      <c r="F427" s="34" t="str">
        <f>IF(A427="","",IFERROR(VLOOKUP(E427,KLASSNING!$A$5:$F$74,2,FALSE()),"SAKNAS"))</f>
        <v/>
      </c>
      <c r="G427" s="34" t="str">
        <f>IF(A427="","",IFERROR(VLOOKUP(E427,KLASSNING!$A$5:$F$74,3,FALSE()),"SAKNAS"))</f>
        <v/>
      </c>
      <c r="H427" s="34" t="str">
        <f>IF(A427="","",'IMPORT PROFIXIO'!H427)</f>
        <v/>
      </c>
      <c r="I427" s="34" t="str">
        <f>IF(A427="","",'IMPORT PROFIXIO'!I427)</f>
        <v/>
      </c>
      <c r="J427" s="34" t="str">
        <f t="shared" si="24"/>
        <v/>
      </c>
      <c r="K427" s="34" t="str">
        <f t="shared" si="25"/>
        <v/>
      </c>
      <c r="L427" s="34" t="str">
        <f>IF(A427="","",IFERROR(VLOOKUP(E427,KLASSNING!$A$5:$F$74,5,FALSE()),0))</f>
        <v/>
      </c>
      <c r="M427" s="35" t="str">
        <f t="shared" si="26"/>
        <v/>
      </c>
      <c r="N427" s="34" t="str">
        <f>IF(A427="","",IF(K427&lt;&gt;"Ja","Ej aktuell",IF(L427&lt;=0,"KONTROLLERA MATCHTID",IF(AND(COUNTIFS(BEMANNINGSPLAN!$A$5:$A$546,B427,BEMANNINGSPLAN!$C$5:$C$546,D427,BEMANNINGSPLAN!$D$5:$D$546,"&lt;="&amp;C427,BEMANNINGSPLAN!$E$5:$E$546,"&gt;"&amp;C427)&gt;0,COUNTIFS(BEMANNINGSPLAN!$A$5:$A$546,B427,BEMANNINGSPLAN!$C$5:$C$546,D427,BEMANNINGSPLAN!$D$5:$D$546,"&lt;"&amp;M427,BEMANNINGSPLAN!$E$5:$E$546,"&gt;="&amp;M427)&gt;0),"Ja","SAKNAS TIDSRADER"))))</f>
        <v/>
      </c>
      <c r="O427" s="137" t="str">
        <f>IF(OR(B427="",K427&lt;&gt;"Ja"),"",COUNTIFS($B$5:B427,B427,$K$5:K427,"Ja"))</f>
        <v/>
      </c>
      <c r="P427" s="137" t="str">
        <f t="shared" si="27"/>
        <v/>
      </c>
    </row>
    <row r="428" spans="1:16" ht="13">
      <c r="A428" s="31" t="str">
        <f>IF('IMPORT PROFIXIO'!A428="","",'IMPORT PROFIXIO'!A428)</f>
        <v/>
      </c>
      <c r="B428" s="32" t="str">
        <f>IF(A428="","",IF(ISNUMBER('IMPORT PROFIXIO'!D428),'IMPORT PROFIXIO'!D428,DATEVALUE('IMPORT PROFIXIO'!D428)))</f>
        <v/>
      </c>
      <c r="C428" s="33" t="str">
        <f>IF(A428="","",IF(ISNUMBER('IMPORT PROFIXIO'!E428),'IMPORT PROFIXIO'!E428,(VALUE(LEFT('IMPORT PROFIXIO'!E428,FIND(":",'IMPORT PROFIXIO'!E428)-1))*60+VALUE(MID('IMPORT PROFIXIO'!E428,FIND(":",'IMPORT PROFIXIO'!E428)+1,2)))/1440))</f>
        <v/>
      </c>
      <c r="D428" s="31" t="str">
        <f>IF(A428="","",'IMPORT PROFIXIO'!F428)</f>
        <v/>
      </c>
      <c r="E428" s="31" t="str">
        <f>IF(A428="","",'IMPORT PROFIXIO'!K428)</f>
        <v/>
      </c>
      <c r="F428" s="34" t="str">
        <f>IF(A428="","",IFERROR(VLOOKUP(E428,KLASSNING!$A$5:$F$74,2,FALSE()),"SAKNAS"))</f>
        <v/>
      </c>
      <c r="G428" s="34" t="str">
        <f>IF(A428="","",IFERROR(VLOOKUP(E428,KLASSNING!$A$5:$F$74,3,FALSE()),"SAKNAS"))</f>
        <v/>
      </c>
      <c r="H428" s="34" t="str">
        <f>IF(A428="","",'IMPORT PROFIXIO'!H428)</f>
        <v/>
      </c>
      <c r="I428" s="34" t="str">
        <f>IF(A428="","",'IMPORT PROFIXIO'!I428)</f>
        <v/>
      </c>
      <c r="J428" s="34" t="str">
        <f t="shared" si="24"/>
        <v/>
      </c>
      <c r="K428" s="34" t="str">
        <f t="shared" si="25"/>
        <v/>
      </c>
      <c r="L428" s="34" t="str">
        <f>IF(A428="","",IFERROR(VLOOKUP(E428,KLASSNING!$A$5:$F$74,5,FALSE()),0))</f>
        <v/>
      </c>
      <c r="M428" s="35" t="str">
        <f t="shared" si="26"/>
        <v/>
      </c>
      <c r="N428" s="34" t="str">
        <f>IF(A428="","",IF(K428&lt;&gt;"Ja","Ej aktuell",IF(L428&lt;=0,"KONTROLLERA MATCHTID",IF(AND(COUNTIFS(BEMANNINGSPLAN!$A$5:$A$546,B428,BEMANNINGSPLAN!$C$5:$C$546,D428,BEMANNINGSPLAN!$D$5:$D$546,"&lt;="&amp;C428,BEMANNINGSPLAN!$E$5:$E$546,"&gt;"&amp;C428)&gt;0,COUNTIFS(BEMANNINGSPLAN!$A$5:$A$546,B428,BEMANNINGSPLAN!$C$5:$C$546,D428,BEMANNINGSPLAN!$D$5:$D$546,"&lt;"&amp;M428,BEMANNINGSPLAN!$E$5:$E$546,"&gt;="&amp;M428)&gt;0),"Ja","SAKNAS TIDSRADER"))))</f>
        <v/>
      </c>
      <c r="O428" s="137" t="str">
        <f>IF(OR(B428="",K428&lt;&gt;"Ja"),"",COUNTIFS($B$5:B428,B428,$K$5:K428,"Ja"))</f>
        <v/>
      </c>
      <c r="P428" s="137" t="str">
        <f t="shared" si="27"/>
        <v/>
      </c>
    </row>
    <row r="429" spans="1:16" ht="13">
      <c r="A429" s="31" t="str">
        <f>IF('IMPORT PROFIXIO'!A429="","",'IMPORT PROFIXIO'!A429)</f>
        <v/>
      </c>
      <c r="B429" s="32" t="str">
        <f>IF(A429="","",IF(ISNUMBER('IMPORT PROFIXIO'!D429),'IMPORT PROFIXIO'!D429,DATEVALUE('IMPORT PROFIXIO'!D429)))</f>
        <v/>
      </c>
      <c r="C429" s="33" t="str">
        <f>IF(A429="","",IF(ISNUMBER('IMPORT PROFIXIO'!E429),'IMPORT PROFIXIO'!E429,(VALUE(LEFT('IMPORT PROFIXIO'!E429,FIND(":",'IMPORT PROFIXIO'!E429)-1))*60+VALUE(MID('IMPORT PROFIXIO'!E429,FIND(":",'IMPORT PROFIXIO'!E429)+1,2)))/1440))</f>
        <v/>
      </c>
      <c r="D429" s="31" t="str">
        <f>IF(A429="","",'IMPORT PROFIXIO'!F429)</f>
        <v/>
      </c>
      <c r="E429" s="31" t="str">
        <f>IF(A429="","",'IMPORT PROFIXIO'!K429)</f>
        <v/>
      </c>
      <c r="F429" s="34" t="str">
        <f>IF(A429="","",IFERROR(VLOOKUP(E429,KLASSNING!$A$5:$F$74,2,FALSE()),"SAKNAS"))</f>
        <v/>
      </c>
      <c r="G429" s="34" t="str">
        <f>IF(A429="","",IFERROR(VLOOKUP(E429,KLASSNING!$A$5:$F$74,3,FALSE()),"SAKNAS"))</f>
        <v/>
      </c>
      <c r="H429" s="34" t="str">
        <f>IF(A429="","",'IMPORT PROFIXIO'!H429)</f>
        <v/>
      </c>
      <c r="I429" s="34" t="str">
        <f>IF(A429="","",'IMPORT PROFIXIO'!I429)</f>
        <v/>
      </c>
      <c r="J429" s="34" t="str">
        <f t="shared" si="24"/>
        <v/>
      </c>
      <c r="K429" s="34" t="str">
        <f t="shared" si="25"/>
        <v/>
      </c>
      <c r="L429" s="34" t="str">
        <f>IF(A429="","",IFERROR(VLOOKUP(E429,KLASSNING!$A$5:$F$74,5,FALSE()),0))</f>
        <v/>
      </c>
      <c r="M429" s="35" t="str">
        <f t="shared" si="26"/>
        <v/>
      </c>
      <c r="N429" s="34" t="str">
        <f>IF(A429="","",IF(K429&lt;&gt;"Ja","Ej aktuell",IF(L429&lt;=0,"KONTROLLERA MATCHTID",IF(AND(COUNTIFS(BEMANNINGSPLAN!$A$5:$A$546,B429,BEMANNINGSPLAN!$C$5:$C$546,D429,BEMANNINGSPLAN!$D$5:$D$546,"&lt;="&amp;C429,BEMANNINGSPLAN!$E$5:$E$546,"&gt;"&amp;C429)&gt;0,COUNTIFS(BEMANNINGSPLAN!$A$5:$A$546,B429,BEMANNINGSPLAN!$C$5:$C$546,D429,BEMANNINGSPLAN!$D$5:$D$546,"&lt;"&amp;M429,BEMANNINGSPLAN!$E$5:$E$546,"&gt;="&amp;M429)&gt;0),"Ja","SAKNAS TIDSRADER"))))</f>
        <v/>
      </c>
      <c r="O429" s="137" t="str">
        <f>IF(OR(B429="",K429&lt;&gt;"Ja"),"",COUNTIFS($B$5:B429,B429,$K$5:K429,"Ja"))</f>
        <v/>
      </c>
      <c r="P429" s="137" t="str">
        <f t="shared" si="27"/>
        <v/>
      </c>
    </row>
    <row r="430" spans="1:16" ht="13">
      <c r="A430" s="31" t="str">
        <f>IF('IMPORT PROFIXIO'!A430="","",'IMPORT PROFIXIO'!A430)</f>
        <v/>
      </c>
      <c r="B430" s="32" t="str">
        <f>IF(A430="","",IF(ISNUMBER('IMPORT PROFIXIO'!D430),'IMPORT PROFIXIO'!D430,DATEVALUE('IMPORT PROFIXIO'!D430)))</f>
        <v/>
      </c>
      <c r="C430" s="33" t="str">
        <f>IF(A430="","",IF(ISNUMBER('IMPORT PROFIXIO'!E430),'IMPORT PROFIXIO'!E430,(VALUE(LEFT('IMPORT PROFIXIO'!E430,FIND(":",'IMPORT PROFIXIO'!E430)-1))*60+VALUE(MID('IMPORT PROFIXIO'!E430,FIND(":",'IMPORT PROFIXIO'!E430)+1,2)))/1440))</f>
        <v/>
      </c>
      <c r="D430" s="31" t="str">
        <f>IF(A430="","",'IMPORT PROFIXIO'!F430)</f>
        <v/>
      </c>
      <c r="E430" s="31" t="str">
        <f>IF(A430="","",'IMPORT PROFIXIO'!K430)</f>
        <v/>
      </c>
      <c r="F430" s="34" t="str">
        <f>IF(A430="","",IFERROR(VLOOKUP(E430,KLASSNING!$A$5:$F$74,2,FALSE()),"SAKNAS"))</f>
        <v/>
      </c>
      <c r="G430" s="34" t="str">
        <f>IF(A430="","",IFERROR(VLOOKUP(E430,KLASSNING!$A$5:$F$74,3,FALSE()),"SAKNAS"))</f>
        <v/>
      </c>
      <c r="H430" s="34" t="str">
        <f>IF(A430="","",'IMPORT PROFIXIO'!H430)</f>
        <v/>
      </c>
      <c r="I430" s="34" t="str">
        <f>IF(A430="","",'IMPORT PROFIXIO'!I430)</f>
        <v/>
      </c>
      <c r="J430" s="34" t="str">
        <f t="shared" si="24"/>
        <v/>
      </c>
      <c r="K430" s="34" t="str">
        <f t="shared" si="25"/>
        <v/>
      </c>
      <c r="L430" s="34" t="str">
        <f>IF(A430="","",IFERROR(VLOOKUP(E430,KLASSNING!$A$5:$F$74,5,FALSE()),0))</f>
        <v/>
      </c>
      <c r="M430" s="35" t="str">
        <f t="shared" si="26"/>
        <v/>
      </c>
      <c r="N430" s="34" t="str">
        <f>IF(A430="","",IF(K430&lt;&gt;"Ja","Ej aktuell",IF(L430&lt;=0,"KONTROLLERA MATCHTID",IF(AND(COUNTIFS(BEMANNINGSPLAN!$A$5:$A$546,B430,BEMANNINGSPLAN!$C$5:$C$546,D430,BEMANNINGSPLAN!$D$5:$D$546,"&lt;="&amp;C430,BEMANNINGSPLAN!$E$5:$E$546,"&gt;"&amp;C430)&gt;0,COUNTIFS(BEMANNINGSPLAN!$A$5:$A$546,B430,BEMANNINGSPLAN!$C$5:$C$546,D430,BEMANNINGSPLAN!$D$5:$D$546,"&lt;"&amp;M430,BEMANNINGSPLAN!$E$5:$E$546,"&gt;="&amp;M430)&gt;0),"Ja","SAKNAS TIDSRADER"))))</f>
        <v/>
      </c>
      <c r="O430" s="137" t="str">
        <f>IF(OR(B430="",K430&lt;&gt;"Ja"),"",COUNTIFS($B$5:B430,B430,$K$5:K430,"Ja"))</f>
        <v/>
      </c>
      <c r="P430" s="137" t="str">
        <f t="shared" si="27"/>
        <v/>
      </c>
    </row>
    <row r="431" spans="1:16" ht="13">
      <c r="A431" s="31" t="str">
        <f>IF('IMPORT PROFIXIO'!A431="","",'IMPORT PROFIXIO'!A431)</f>
        <v/>
      </c>
      <c r="B431" s="32" t="str">
        <f>IF(A431="","",IF(ISNUMBER('IMPORT PROFIXIO'!D431),'IMPORT PROFIXIO'!D431,DATEVALUE('IMPORT PROFIXIO'!D431)))</f>
        <v/>
      </c>
      <c r="C431" s="33" t="str">
        <f>IF(A431="","",IF(ISNUMBER('IMPORT PROFIXIO'!E431),'IMPORT PROFIXIO'!E431,(VALUE(LEFT('IMPORT PROFIXIO'!E431,FIND(":",'IMPORT PROFIXIO'!E431)-1))*60+VALUE(MID('IMPORT PROFIXIO'!E431,FIND(":",'IMPORT PROFIXIO'!E431)+1,2)))/1440))</f>
        <v/>
      </c>
      <c r="D431" s="31" t="str">
        <f>IF(A431="","",'IMPORT PROFIXIO'!F431)</f>
        <v/>
      </c>
      <c r="E431" s="31" t="str">
        <f>IF(A431="","",'IMPORT PROFIXIO'!K431)</f>
        <v/>
      </c>
      <c r="F431" s="34" t="str">
        <f>IF(A431="","",IFERROR(VLOOKUP(E431,KLASSNING!$A$5:$F$74,2,FALSE()),"SAKNAS"))</f>
        <v/>
      </c>
      <c r="G431" s="34" t="str">
        <f>IF(A431="","",IFERROR(VLOOKUP(E431,KLASSNING!$A$5:$F$74,3,FALSE()),"SAKNAS"))</f>
        <v/>
      </c>
      <c r="H431" s="34" t="str">
        <f>IF(A431="","",'IMPORT PROFIXIO'!H431)</f>
        <v/>
      </c>
      <c r="I431" s="34" t="str">
        <f>IF(A431="","",'IMPORT PROFIXIO'!I431)</f>
        <v/>
      </c>
      <c r="J431" s="34" t="str">
        <f t="shared" si="24"/>
        <v/>
      </c>
      <c r="K431" s="34" t="str">
        <f t="shared" si="25"/>
        <v/>
      </c>
      <c r="L431" s="34" t="str">
        <f>IF(A431="","",IFERROR(VLOOKUP(E431,KLASSNING!$A$5:$F$74,5,FALSE()),0))</f>
        <v/>
      </c>
      <c r="M431" s="35" t="str">
        <f t="shared" si="26"/>
        <v/>
      </c>
      <c r="N431" s="34" t="str">
        <f>IF(A431="","",IF(K431&lt;&gt;"Ja","Ej aktuell",IF(L431&lt;=0,"KONTROLLERA MATCHTID",IF(AND(COUNTIFS(BEMANNINGSPLAN!$A$5:$A$546,B431,BEMANNINGSPLAN!$C$5:$C$546,D431,BEMANNINGSPLAN!$D$5:$D$546,"&lt;="&amp;C431,BEMANNINGSPLAN!$E$5:$E$546,"&gt;"&amp;C431)&gt;0,COUNTIFS(BEMANNINGSPLAN!$A$5:$A$546,B431,BEMANNINGSPLAN!$C$5:$C$546,D431,BEMANNINGSPLAN!$D$5:$D$546,"&lt;"&amp;M431,BEMANNINGSPLAN!$E$5:$E$546,"&gt;="&amp;M431)&gt;0),"Ja","SAKNAS TIDSRADER"))))</f>
        <v/>
      </c>
      <c r="O431" s="137" t="str">
        <f>IF(OR(B431="",K431&lt;&gt;"Ja"),"",COUNTIFS($B$5:B431,B431,$K$5:K431,"Ja"))</f>
        <v/>
      </c>
      <c r="P431" s="137" t="str">
        <f t="shared" si="27"/>
        <v/>
      </c>
    </row>
    <row r="432" spans="1:16" ht="13">
      <c r="A432" s="31" t="str">
        <f>IF('IMPORT PROFIXIO'!A432="","",'IMPORT PROFIXIO'!A432)</f>
        <v/>
      </c>
      <c r="B432" s="32" t="str">
        <f>IF(A432="","",IF(ISNUMBER('IMPORT PROFIXIO'!D432),'IMPORT PROFIXIO'!D432,DATEVALUE('IMPORT PROFIXIO'!D432)))</f>
        <v/>
      </c>
      <c r="C432" s="33" t="str">
        <f>IF(A432="","",IF(ISNUMBER('IMPORT PROFIXIO'!E432),'IMPORT PROFIXIO'!E432,(VALUE(LEFT('IMPORT PROFIXIO'!E432,FIND(":",'IMPORT PROFIXIO'!E432)-1))*60+VALUE(MID('IMPORT PROFIXIO'!E432,FIND(":",'IMPORT PROFIXIO'!E432)+1,2)))/1440))</f>
        <v/>
      </c>
      <c r="D432" s="31" t="str">
        <f>IF(A432="","",'IMPORT PROFIXIO'!F432)</f>
        <v/>
      </c>
      <c r="E432" s="31" t="str">
        <f>IF(A432="","",'IMPORT PROFIXIO'!K432)</f>
        <v/>
      </c>
      <c r="F432" s="34" t="str">
        <f>IF(A432="","",IFERROR(VLOOKUP(E432,KLASSNING!$A$5:$F$74,2,FALSE()),"SAKNAS"))</f>
        <v/>
      </c>
      <c r="G432" s="34" t="str">
        <f>IF(A432="","",IFERROR(VLOOKUP(E432,KLASSNING!$A$5:$F$74,3,FALSE()),"SAKNAS"))</f>
        <v/>
      </c>
      <c r="H432" s="34" t="str">
        <f>IF(A432="","",'IMPORT PROFIXIO'!H432)</f>
        <v/>
      </c>
      <c r="I432" s="34" t="str">
        <f>IF(A432="","",'IMPORT PROFIXIO'!I432)</f>
        <v/>
      </c>
      <c r="J432" s="34" t="str">
        <f t="shared" si="24"/>
        <v/>
      </c>
      <c r="K432" s="34" t="str">
        <f t="shared" si="25"/>
        <v/>
      </c>
      <c r="L432" s="34" t="str">
        <f>IF(A432="","",IFERROR(VLOOKUP(E432,KLASSNING!$A$5:$F$74,5,FALSE()),0))</f>
        <v/>
      </c>
      <c r="M432" s="35" t="str">
        <f t="shared" si="26"/>
        <v/>
      </c>
      <c r="N432" s="34" t="str">
        <f>IF(A432="","",IF(K432&lt;&gt;"Ja","Ej aktuell",IF(L432&lt;=0,"KONTROLLERA MATCHTID",IF(AND(COUNTIFS(BEMANNINGSPLAN!$A$5:$A$546,B432,BEMANNINGSPLAN!$C$5:$C$546,D432,BEMANNINGSPLAN!$D$5:$D$546,"&lt;="&amp;C432,BEMANNINGSPLAN!$E$5:$E$546,"&gt;"&amp;C432)&gt;0,COUNTIFS(BEMANNINGSPLAN!$A$5:$A$546,B432,BEMANNINGSPLAN!$C$5:$C$546,D432,BEMANNINGSPLAN!$D$5:$D$546,"&lt;"&amp;M432,BEMANNINGSPLAN!$E$5:$E$546,"&gt;="&amp;M432)&gt;0),"Ja","SAKNAS TIDSRADER"))))</f>
        <v/>
      </c>
      <c r="O432" s="137" t="str">
        <f>IF(OR(B432="",K432&lt;&gt;"Ja"),"",COUNTIFS($B$5:B432,B432,$K$5:K432,"Ja"))</f>
        <v/>
      </c>
      <c r="P432" s="137" t="str">
        <f t="shared" si="27"/>
        <v/>
      </c>
    </row>
    <row r="433" spans="1:16" ht="13">
      <c r="A433" s="31" t="str">
        <f>IF('IMPORT PROFIXIO'!A433="","",'IMPORT PROFIXIO'!A433)</f>
        <v/>
      </c>
      <c r="B433" s="32" t="str">
        <f>IF(A433="","",IF(ISNUMBER('IMPORT PROFIXIO'!D433),'IMPORT PROFIXIO'!D433,DATEVALUE('IMPORT PROFIXIO'!D433)))</f>
        <v/>
      </c>
      <c r="C433" s="33" t="str">
        <f>IF(A433="","",IF(ISNUMBER('IMPORT PROFIXIO'!E433),'IMPORT PROFIXIO'!E433,(VALUE(LEFT('IMPORT PROFIXIO'!E433,FIND(":",'IMPORT PROFIXIO'!E433)-1))*60+VALUE(MID('IMPORT PROFIXIO'!E433,FIND(":",'IMPORT PROFIXIO'!E433)+1,2)))/1440))</f>
        <v/>
      </c>
      <c r="D433" s="31" t="str">
        <f>IF(A433="","",'IMPORT PROFIXIO'!F433)</f>
        <v/>
      </c>
      <c r="E433" s="31" t="str">
        <f>IF(A433="","",'IMPORT PROFIXIO'!K433)</f>
        <v/>
      </c>
      <c r="F433" s="34" t="str">
        <f>IF(A433="","",IFERROR(VLOOKUP(E433,KLASSNING!$A$5:$F$74,2,FALSE()),"SAKNAS"))</f>
        <v/>
      </c>
      <c r="G433" s="34" t="str">
        <f>IF(A433="","",IFERROR(VLOOKUP(E433,KLASSNING!$A$5:$F$74,3,FALSE()),"SAKNAS"))</f>
        <v/>
      </c>
      <c r="H433" s="34" t="str">
        <f>IF(A433="","",'IMPORT PROFIXIO'!H433)</f>
        <v/>
      </c>
      <c r="I433" s="34" t="str">
        <f>IF(A433="","",'IMPORT PROFIXIO'!I433)</f>
        <v/>
      </c>
      <c r="J433" s="34" t="str">
        <f t="shared" si="24"/>
        <v/>
      </c>
      <c r="K433" s="34" t="str">
        <f t="shared" si="25"/>
        <v/>
      </c>
      <c r="L433" s="34" t="str">
        <f>IF(A433="","",IFERROR(VLOOKUP(E433,KLASSNING!$A$5:$F$74,5,FALSE()),0))</f>
        <v/>
      </c>
      <c r="M433" s="35" t="str">
        <f t="shared" si="26"/>
        <v/>
      </c>
      <c r="N433" s="34" t="str">
        <f>IF(A433="","",IF(K433&lt;&gt;"Ja","Ej aktuell",IF(L433&lt;=0,"KONTROLLERA MATCHTID",IF(AND(COUNTIFS(BEMANNINGSPLAN!$A$5:$A$546,B433,BEMANNINGSPLAN!$C$5:$C$546,D433,BEMANNINGSPLAN!$D$5:$D$546,"&lt;="&amp;C433,BEMANNINGSPLAN!$E$5:$E$546,"&gt;"&amp;C433)&gt;0,COUNTIFS(BEMANNINGSPLAN!$A$5:$A$546,B433,BEMANNINGSPLAN!$C$5:$C$546,D433,BEMANNINGSPLAN!$D$5:$D$546,"&lt;"&amp;M433,BEMANNINGSPLAN!$E$5:$E$546,"&gt;="&amp;M433)&gt;0),"Ja","SAKNAS TIDSRADER"))))</f>
        <v/>
      </c>
      <c r="O433" s="137" t="str">
        <f>IF(OR(B433="",K433&lt;&gt;"Ja"),"",COUNTIFS($B$5:B433,B433,$K$5:K433,"Ja"))</f>
        <v/>
      </c>
      <c r="P433" s="137" t="str">
        <f t="shared" si="27"/>
        <v/>
      </c>
    </row>
    <row r="434" spans="1:16" ht="13">
      <c r="A434" s="31" t="str">
        <f>IF('IMPORT PROFIXIO'!A434="","",'IMPORT PROFIXIO'!A434)</f>
        <v/>
      </c>
      <c r="B434" s="32" t="str">
        <f>IF(A434="","",IF(ISNUMBER('IMPORT PROFIXIO'!D434),'IMPORT PROFIXIO'!D434,DATEVALUE('IMPORT PROFIXIO'!D434)))</f>
        <v/>
      </c>
      <c r="C434" s="33" t="str">
        <f>IF(A434="","",IF(ISNUMBER('IMPORT PROFIXIO'!E434),'IMPORT PROFIXIO'!E434,(VALUE(LEFT('IMPORT PROFIXIO'!E434,FIND(":",'IMPORT PROFIXIO'!E434)-1))*60+VALUE(MID('IMPORT PROFIXIO'!E434,FIND(":",'IMPORT PROFIXIO'!E434)+1,2)))/1440))</f>
        <v/>
      </c>
      <c r="D434" s="31" t="str">
        <f>IF(A434="","",'IMPORT PROFIXIO'!F434)</f>
        <v/>
      </c>
      <c r="E434" s="31" t="str">
        <f>IF(A434="","",'IMPORT PROFIXIO'!K434)</f>
        <v/>
      </c>
      <c r="F434" s="34" t="str">
        <f>IF(A434="","",IFERROR(VLOOKUP(E434,KLASSNING!$A$5:$F$74,2,FALSE()),"SAKNAS"))</f>
        <v/>
      </c>
      <c r="G434" s="34" t="str">
        <f>IF(A434="","",IFERROR(VLOOKUP(E434,KLASSNING!$A$5:$F$74,3,FALSE()),"SAKNAS"))</f>
        <v/>
      </c>
      <c r="H434" s="34" t="str">
        <f>IF(A434="","",'IMPORT PROFIXIO'!H434)</f>
        <v/>
      </c>
      <c r="I434" s="34" t="str">
        <f>IF(A434="","",'IMPORT PROFIXIO'!I434)</f>
        <v/>
      </c>
      <c r="J434" s="34" t="str">
        <f t="shared" si="24"/>
        <v/>
      </c>
      <c r="K434" s="34" t="str">
        <f t="shared" si="25"/>
        <v/>
      </c>
      <c r="L434" s="34" t="str">
        <f>IF(A434="","",IFERROR(VLOOKUP(E434,KLASSNING!$A$5:$F$74,5,FALSE()),0))</f>
        <v/>
      </c>
      <c r="M434" s="35" t="str">
        <f t="shared" si="26"/>
        <v/>
      </c>
      <c r="N434" s="34" t="str">
        <f>IF(A434="","",IF(K434&lt;&gt;"Ja","Ej aktuell",IF(L434&lt;=0,"KONTROLLERA MATCHTID",IF(AND(COUNTIFS(BEMANNINGSPLAN!$A$5:$A$546,B434,BEMANNINGSPLAN!$C$5:$C$546,D434,BEMANNINGSPLAN!$D$5:$D$546,"&lt;="&amp;C434,BEMANNINGSPLAN!$E$5:$E$546,"&gt;"&amp;C434)&gt;0,COUNTIFS(BEMANNINGSPLAN!$A$5:$A$546,B434,BEMANNINGSPLAN!$C$5:$C$546,D434,BEMANNINGSPLAN!$D$5:$D$546,"&lt;"&amp;M434,BEMANNINGSPLAN!$E$5:$E$546,"&gt;="&amp;M434)&gt;0),"Ja","SAKNAS TIDSRADER"))))</f>
        <v/>
      </c>
      <c r="O434" s="137" t="str">
        <f>IF(OR(B434="",K434&lt;&gt;"Ja"),"",COUNTIFS($B$5:B434,B434,$K$5:K434,"Ja"))</f>
        <v/>
      </c>
      <c r="P434" s="137" t="str">
        <f t="shared" si="27"/>
        <v/>
      </c>
    </row>
    <row r="435" spans="1:16" ht="13">
      <c r="A435" s="31" t="str">
        <f>IF('IMPORT PROFIXIO'!A435="","",'IMPORT PROFIXIO'!A435)</f>
        <v/>
      </c>
      <c r="B435" s="32" t="str">
        <f>IF(A435="","",IF(ISNUMBER('IMPORT PROFIXIO'!D435),'IMPORT PROFIXIO'!D435,DATEVALUE('IMPORT PROFIXIO'!D435)))</f>
        <v/>
      </c>
      <c r="C435" s="33" t="str">
        <f>IF(A435="","",IF(ISNUMBER('IMPORT PROFIXIO'!E435),'IMPORT PROFIXIO'!E435,(VALUE(LEFT('IMPORT PROFIXIO'!E435,FIND(":",'IMPORT PROFIXIO'!E435)-1))*60+VALUE(MID('IMPORT PROFIXIO'!E435,FIND(":",'IMPORT PROFIXIO'!E435)+1,2)))/1440))</f>
        <v/>
      </c>
      <c r="D435" s="31" t="str">
        <f>IF(A435="","",'IMPORT PROFIXIO'!F435)</f>
        <v/>
      </c>
      <c r="E435" s="31" t="str">
        <f>IF(A435="","",'IMPORT PROFIXIO'!K435)</f>
        <v/>
      </c>
      <c r="F435" s="34" t="str">
        <f>IF(A435="","",IFERROR(VLOOKUP(E435,KLASSNING!$A$5:$F$74,2,FALSE()),"SAKNAS"))</f>
        <v/>
      </c>
      <c r="G435" s="34" t="str">
        <f>IF(A435="","",IFERROR(VLOOKUP(E435,KLASSNING!$A$5:$F$74,3,FALSE()),"SAKNAS"))</f>
        <v/>
      </c>
      <c r="H435" s="34" t="str">
        <f>IF(A435="","",'IMPORT PROFIXIO'!H435)</f>
        <v/>
      </c>
      <c r="I435" s="34" t="str">
        <f>IF(A435="","",'IMPORT PROFIXIO'!I435)</f>
        <v/>
      </c>
      <c r="J435" s="34" t="str">
        <f t="shared" si="24"/>
        <v/>
      </c>
      <c r="K435" s="34" t="str">
        <f t="shared" si="25"/>
        <v/>
      </c>
      <c r="L435" s="34" t="str">
        <f>IF(A435="","",IFERROR(VLOOKUP(E435,KLASSNING!$A$5:$F$74,5,FALSE()),0))</f>
        <v/>
      </c>
      <c r="M435" s="35" t="str">
        <f t="shared" si="26"/>
        <v/>
      </c>
      <c r="N435" s="34" t="str">
        <f>IF(A435="","",IF(K435&lt;&gt;"Ja","Ej aktuell",IF(L435&lt;=0,"KONTROLLERA MATCHTID",IF(AND(COUNTIFS(BEMANNINGSPLAN!$A$5:$A$546,B435,BEMANNINGSPLAN!$C$5:$C$546,D435,BEMANNINGSPLAN!$D$5:$D$546,"&lt;="&amp;C435,BEMANNINGSPLAN!$E$5:$E$546,"&gt;"&amp;C435)&gt;0,COUNTIFS(BEMANNINGSPLAN!$A$5:$A$546,B435,BEMANNINGSPLAN!$C$5:$C$546,D435,BEMANNINGSPLAN!$D$5:$D$546,"&lt;"&amp;M435,BEMANNINGSPLAN!$E$5:$E$546,"&gt;="&amp;M435)&gt;0),"Ja","SAKNAS TIDSRADER"))))</f>
        <v/>
      </c>
      <c r="O435" s="137" t="str">
        <f>IF(OR(B435="",K435&lt;&gt;"Ja"),"",COUNTIFS($B$5:B435,B435,$K$5:K435,"Ja"))</f>
        <v/>
      </c>
      <c r="P435" s="137" t="str">
        <f t="shared" si="27"/>
        <v/>
      </c>
    </row>
    <row r="436" spans="1:16" ht="13">
      <c r="A436" s="31" t="str">
        <f>IF('IMPORT PROFIXIO'!A436="","",'IMPORT PROFIXIO'!A436)</f>
        <v/>
      </c>
      <c r="B436" s="32" t="str">
        <f>IF(A436="","",IF(ISNUMBER('IMPORT PROFIXIO'!D436),'IMPORT PROFIXIO'!D436,DATEVALUE('IMPORT PROFIXIO'!D436)))</f>
        <v/>
      </c>
      <c r="C436" s="33" t="str">
        <f>IF(A436="","",IF(ISNUMBER('IMPORT PROFIXIO'!E436),'IMPORT PROFIXIO'!E436,(VALUE(LEFT('IMPORT PROFIXIO'!E436,FIND(":",'IMPORT PROFIXIO'!E436)-1))*60+VALUE(MID('IMPORT PROFIXIO'!E436,FIND(":",'IMPORT PROFIXIO'!E436)+1,2)))/1440))</f>
        <v/>
      </c>
      <c r="D436" s="31" t="str">
        <f>IF(A436="","",'IMPORT PROFIXIO'!F436)</f>
        <v/>
      </c>
      <c r="E436" s="31" t="str">
        <f>IF(A436="","",'IMPORT PROFIXIO'!K436)</f>
        <v/>
      </c>
      <c r="F436" s="34" t="str">
        <f>IF(A436="","",IFERROR(VLOOKUP(E436,KLASSNING!$A$5:$F$74,2,FALSE()),"SAKNAS"))</f>
        <v/>
      </c>
      <c r="G436" s="34" t="str">
        <f>IF(A436="","",IFERROR(VLOOKUP(E436,KLASSNING!$A$5:$F$74,3,FALSE()),"SAKNAS"))</f>
        <v/>
      </c>
      <c r="H436" s="34" t="str">
        <f>IF(A436="","",'IMPORT PROFIXIO'!H436)</f>
        <v/>
      </c>
      <c r="I436" s="34" t="str">
        <f>IF(A436="","",'IMPORT PROFIXIO'!I436)</f>
        <v/>
      </c>
      <c r="J436" s="34" t="str">
        <f t="shared" si="24"/>
        <v/>
      </c>
      <c r="K436" s="34" t="str">
        <f t="shared" si="25"/>
        <v/>
      </c>
      <c r="L436" s="34" t="str">
        <f>IF(A436="","",IFERROR(VLOOKUP(E436,KLASSNING!$A$5:$F$74,5,FALSE()),0))</f>
        <v/>
      </c>
      <c r="M436" s="35" t="str">
        <f t="shared" si="26"/>
        <v/>
      </c>
      <c r="N436" s="34" t="str">
        <f>IF(A436="","",IF(K436&lt;&gt;"Ja","Ej aktuell",IF(L436&lt;=0,"KONTROLLERA MATCHTID",IF(AND(COUNTIFS(BEMANNINGSPLAN!$A$5:$A$546,B436,BEMANNINGSPLAN!$C$5:$C$546,D436,BEMANNINGSPLAN!$D$5:$D$546,"&lt;="&amp;C436,BEMANNINGSPLAN!$E$5:$E$546,"&gt;"&amp;C436)&gt;0,COUNTIFS(BEMANNINGSPLAN!$A$5:$A$546,B436,BEMANNINGSPLAN!$C$5:$C$546,D436,BEMANNINGSPLAN!$D$5:$D$546,"&lt;"&amp;M436,BEMANNINGSPLAN!$E$5:$E$546,"&gt;="&amp;M436)&gt;0),"Ja","SAKNAS TIDSRADER"))))</f>
        <v/>
      </c>
      <c r="O436" s="137" t="str">
        <f>IF(OR(B436="",K436&lt;&gt;"Ja"),"",COUNTIFS($B$5:B436,B436,$K$5:K436,"Ja"))</f>
        <v/>
      </c>
      <c r="P436" s="137" t="str">
        <f t="shared" si="27"/>
        <v/>
      </c>
    </row>
    <row r="437" spans="1:16" ht="13">
      <c r="A437" s="31" t="str">
        <f>IF('IMPORT PROFIXIO'!A437="","",'IMPORT PROFIXIO'!A437)</f>
        <v/>
      </c>
      <c r="B437" s="32" t="str">
        <f>IF(A437="","",IF(ISNUMBER('IMPORT PROFIXIO'!D437),'IMPORT PROFIXIO'!D437,DATEVALUE('IMPORT PROFIXIO'!D437)))</f>
        <v/>
      </c>
      <c r="C437" s="33" t="str">
        <f>IF(A437="","",IF(ISNUMBER('IMPORT PROFIXIO'!E437),'IMPORT PROFIXIO'!E437,(VALUE(LEFT('IMPORT PROFIXIO'!E437,FIND(":",'IMPORT PROFIXIO'!E437)-1))*60+VALUE(MID('IMPORT PROFIXIO'!E437,FIND(":",'IMPORT PROFIXIO'!E437)+1,2)))/1440))</f>
        <v/>
      </c>
      <c r="D437" s="31" t="str">
        <f>IF(A437="","",'IMPORT PROFIXIO'!F437)</f>
        <v/>
      </c>
      <c r="E437" s="31" t="str">
        <f>IF(A437="","",'IMPORT PROFIXIO'!K437)</f>
        <v/>
      </c>
      <c r="F437" s="34" t="str">
        <f>IF(A437="","",IFERROR(VLOOKUP(E437,KLASSNING!$A$5:$F$74,2,FALSE()),"SAKNAS"))</f>
        <v/>
      </c>
      <c r="G437" s="34" t="str">
        <f>IF(A437="","",IFERROR(VLOOKUP(E437,KLASSNING!$A$5:$F$74,3,FALSE()),"SAKNAS"))</f>
        <v/>
      </c>
      <c r="H437" s="34" t="str">
        <f>IF(A437="","",'IMPORT PROFIXIO'!H437)</f>
        <v/>
      </c>
      <c r="I437" s="34" t="str">
        <f>IF(A437="","",'IMPORT PROFIXIO'!I437)</f>
        <v/>
      </c>
      <c r="J437" s="34" t="str">
        <f t="shared" si="24"/>
        <v/>
      </c>
      <c r="K437" s="34" t="str">
        <f t="shared" si="25"/>
        <v/>
      </c>
      <c r="L437" s="34" t="str">
        <f>IF(A437="","",IFERROR(VLOOKUP(E437,KLASSNING!$A$5:$F$74,5,FALSE()),0))</f>
        <v/>
      </c>
      <c r="M437" s="35" t="str">
        <f t="shared" si="26"/>
        <v/>
      </c>
      <c r="N437" s="34" t="str">
        <f>IF(A437="","",IF(K437&lt;&gt;"Ja","Ej aktuell",IF(L437&lt;=0,"KONTROLLERA MATCHTID",IF(AND(COUNTIFS(BEMANNINGSPLAN!$A$5:$A$546,B437,BEMANNINGSPLAN!$C$5:$C$546,D437,BEMANNINGSPLAN!$D$5:$D$546,"&lt;="&amp;C437,BEMANNINGSPLAN!$E$5:$E$546,"&gt;"&amp;C437)&gt;0,COUNTIFS(BEMANNINGSPLAN!$A$5:$A$546,B437,BEMANNINGSPLAN!$C$5:$C$546,D437,BEMANNINGSPLAN!$D$5:$D$546,"&lt;"&amp;M437,BEMANNINGSPLAN!$E$5:$E$546,"&gt;="&amp;M437)&gt;0),"Ja","SAKNAS TIDSRADER"))))</f>
        <v/>
      </c>
      <c r="O437" s="137" t="str">
        <f>IF(OR(B437="",K437&lt;&gt;"Ja"),"",COUNTIFS($B$5:B437,B437,$K$5:K437,"Ja"))</f>
        <v/>
      </c>
      <c r="P437" s="137" t="str">
        <f t="shared" si="27"/>
        <v/>
      </c>
    </row>
    <row r="438" spans="1:16" ht="13">
      <c r="A438" s="31" t="str">
        <f>IF('IMPORT PROFIXIO'!A438="","",'IMPORT PROFIXIO'!A438)</f>
        <v/>
      </c>
      <c r="B438" s="32" t="str">
        <f>IF(A438="","",IF(ISNUMBER('IMPORT PROFIXIO'!D438),'IMPORT PROFIXIO'!D438,DATEVALUE('IMPORT PROFIXIO'!D438)))</f>
        <v/>
      </c>
      <c r="C438" s="33" t="str">
        <f>IF(A438="","",IF(ISNUMBER('IMPORT PROFIXIO'!E438),'IMPORT PROFIXIO'!E438,(VALUE(LEFT('IMPORT PROFIXIO'!E438,FIND(":",'IMPORT PROFIXIO'!E438)-1))*60+VALUE(MID('IMPORT PROFIXIO'!E438,FIND(":",'IMPORT PROFIXIO'!E438)+1,2)))/1440))</f>
        <v/>
      </c>
      <c r="D438" s="31" t="str">
        <f>IF(A438="","",'IMPORT PROFIXIO'!F438)</f>
        <v/>
      </c>
      <c r="E438" s="31" t="str">
        <f>IF(A438="","",'IMPORT PROFIXIO'!K438)</f>
        <v/>
      </c>
      <c r="F438" s="34" t="str">
        <f>IF(A438="","",IFERROR(VLOOKUP(E438,KLASSNING!$A$5:$F$74,2,FALSE()),"SAKNAS"))</f>
        <v/>
      </c>
      <c r="G438" s="34" t="str">
        <f>IF(A438="","",IFERROR(VLOOKUP(E438,KLASSNING!$A$5:$F$74,3,FALSE()),"SAKNAS"))</f>
        <v/>
      </c>
      <c r="H438" s="34" t="str">
        <f>IF(A438="","",'IMPORT PROFIXIO'!H438)</f>
        <v/>
      </c>
      <c r="I438" s="34" t="str">
        <f>IF(A438="","",'IMPORT PROFIXIO'!I438)</f>
        <v/>
      </c>
      <c r="J438" s="34" t="str">
        <f t="shared" si="24"/>
        <v/>
      </c>
      <c r="K438" s="34" t="str">
        <f t="shared" si="25"/>
        <v/>
      </c>
      <c r="L438" s="34" t="str">
        <f>IF(A438="","",IFERROR(VLOOKUP(E438,KLASSNING!$A$5:$F$74,5,FALSE()),0))</f>
        <v/>
      </c>
      <c r="M438" s="35" t="str">
        <f t="shared" si="26"/>
        <v/>
      </c>
      <c r="N438" s="34" t="str">
        <f>IF(A438="","",IF(K438&lt;&gt;"Ja","Ej aktuell",IF(L438&lt;=0,"KONTROLLERA MATCHTID",IF(AND(COUNTIFS(BEMANNINGSPLAN!$A$5:$A$546,B438,BEMANNINGSPLAN!$C$5:$C$546,D438,BEMANNINGSPLAN!$D$5:$D$546,"&lt;="&amp;C438,BEMANNINGSPLAN!$E$5:$E$546,"&gt;"&amp;C438)&gt;0,COUNTIFS(BEMANNINGSPLAN!$A$5:$A$546,B438,BEMANNINGSPLAN!$C$5:$C$546,D438,BEMANNINGSPLAN!$D$5:$D$546,"&lt;"&amp;M438,BEMANNINGSPLAN!$E$5:$E$546,"&gt;="&amp;M438)&gt;0),"Ja","SAKNAS TIDSRADER"))))</f>
        <v/>
      </c>
      <c r="O438" s="137" t="str">
        <f>IF(OR(B438="",K438&lt;&gt;"Ja"),"",COUNTIFS($B$5:B438,B438,$K$5:K438,"Ja"))</f>
        <v/>
      </c>
      <c r="P438" s="137" t="str">
        <f t="shared" si="27"/>
        <v/>
      </c>
    </row>
    <row r="439" spans="1:16" ht="13">
      <c r="A439" s="31" t="str">
        <f>IF('IMPORT PROFIXIO'!A439="","",'IMPORT PROFIXIO'!A439)</f>
        <v/>
      </c>
      <c r="B439" s="32" t="str">
        <f>IF(A439="","",IF(ISNUMBER('IMPORT PROFIXIO'!D439),'IMPORT PROFIXIO'!D439,DATEVALUE('IMPORT PROFIXIO'!D439)))</f>
        <v/>
      </c>
      <c r="C439" s="33" t="str">
        <f>IF(A439="","",IF(ISNUMBER('IMPORT PROFIXIO'!E439),'IMPORT PROFIXIO'!E439,(VALUE(LEFT('IMPORT PROFIXIO'!E439,FIND(":",'IMPORT PROFIXIO'!E439)-1))*60+VALUE(MID('IMPORT PROFIXIO'!E439,FIND(":",'IMPORT PROFIXIO'!E439)+1,2)))/1440))</f>
        <v/>
      </c>
      <c r="D439" s="31" t="str">
        <f>IF(A439="","",'IMPORT PROFIXIO'!F439)</f>
        <v/>
      </c>
      <c r="E439" s="31" t="str">
        <f>IF(A439="","",'IMPORT PROFIXIO'!K439)</f>
        <v/>
      </c>
      <c r="F439" s="34" t="str">
        <f>IF(A439="","",IFERROR(VLOOKUP(E439,KLASSNING!$A$5:$F$74,2,FALSE()),"SAKNAS"))</f>
        <v/>
      </c>
      <c r="G439" s="34" t="str">
        <f>IF(A439="","",IFERROR(VLOOKUP(E439,KLASSNING!$A$5:$F$74,3,FALSE()),"SAKNAS"))</f>
        <v/>
      </c>
      <c r="H439" s="34" t="str">
        <f>IF(A439="","",'IMPORT PROFIXIO'!H439)</f>
        <v/>
      </c>
      <c r="I439" s="34" t="str">
        <f>IF(A439="","",'IMPORT PROFIXIO'!I439)</f>
        <v/>
      </c>
      <c r="J439" s="34" t="str">
        <f t="shared" si="24"/>
        <v/>
      </c>
      <c r="K439" s="34" t="str">
        <f t="shared" si="25"/>
        <v/>
      </c>
      <c r="L439" s="34" t="str">
        <f>IF(A439="","",IFERROR(VLOOKUP(E439,KLASSNING!$A$5:$F$74,5,FALSE()),0))</f>
        <v/>
      </c>
      <c r="M439" s="35" t="str">
        <f t="shared" si="26"/>
        <v/>
      </c>
      <c r="N439" s="34" t="str">
        <f>IF(A439="","",IF(K439&lt;&gt;"Ja","Ej aktuell",IF(L439&lt;=0,"KONTROLLERA MATCHTID",IF(AND(COUNTIFS(BEMANNINGSPLAN!$A$5:$A$546,B439,BEMANNINGSPLAN!$C$5:$C$546,D439,BEMANNINGSPLAN!$D$5:$D$546,"&lt;="&amp;C439,BEMANNINGSPLAN!$E$5:$E$546,"&gt;"&amp;C439)&gt;0,COUNTIFS(BEMANNINGSPLAN!$A$5:$A$546,B439,BEMANNINGSPLAN!$C$5:$C$546,D439,BEMANNINGSPLAN!$D$5:$D$546,"&lt;"&amp;M439,BEMANNINGSPLAN!$E$5:$E$546,"&gt;="&amp;M439)&gt;0),"Ja","SAKNAS TIDSRADER"))))</f>
        <v/>
      </c>
      <c r="O439" s="137" t="str">
        <f>IF(OR(B439="",K439&lt;&gt;"Ja"),"",COUNTIFS($B$5:B439,B439,$K$5:K439,"Ja"))</f>
        <v/>
      </c>
      <c r="P439" s="137" t="str">
        <f t="shared" si="27"/>
        <v/>
      </c>
    </row>
    <row r="440" spans="1:16" ht="13">
      <c r="A440" s="31" t="str">
        <f>IF('IMPORT PROFIXIO'!A440="","",'IMPORT PROFIXIO'!A440)</f>
        <v/>
      </c>
      <c r="B440" s="32" t="str">
        <f>IF(A440="","",IF(ISNUMBER('IMPORT PROFIXIO'!D440),'IMPORT PROFIXIO'!D440,DATEVALUE('IMPORT PROFIXIO'!D440)))</f>
        <v/>
      </c>
      <c r="C440" s="33" t="str">
        <f>IF(A440="","",IF(ISNUMBER('IMPORT PROFIXIO'!E440),'IMPORT PROFIXIO'!E440,(VALUE(LEFT('IMPORT PROFIXIO'!E440,FIND(":",'IMPORT PROFIXIO'!E440)-1))*60+VALUE(MID('IMPORT PROFIXIO'!E440,FIND(":",'IMPORT PROFIXIO'!E440)+1,2)))/1440))</f>
        <v/>
      </c>
      <c r="D440" s="31" t="str">
        <f>IF(A440="","",'IMPORT PROFIXIO'!F440)</f>
        <v/>
      </c>
      <c r="E440" s="31" t="str">
        <f>IF(A440="","",'IMPORT PROFIXIO'!K440)</f>
        <v/>
      </c>
      <c r="F440" s="34" t="str">
        <f>IF(A440="","",IFERROR(VLOOKUP(E440,KLASSNING!$A$5:$F$74,2,FALSE()),"SAKNAS"))</f>
        <v/>
      </c>
      <c r="G440" s="34" t="str">
        <f>IF(A440="","",IFERROR(VLOOKUP(E440,KLASSNING!$A$5:$F$74,3,FALSE()),"SAKNAS"))</f>
        <v/>
      </c>
      <c r="H440" s="34" t="str">
        <f>IF(A440="","",'IMPORT PROFIXIO'!H440)</f>
        <v/>
      </c>
      <c r="I440" s="34" t="str">
        <f>IF(A440="","",'IMPORT PROFIXIO'!I440)</f>
        <v/>
      </c>
      <c r="J440" s="34" t="str">
        <f t="shared" si="24"/>
        <v/>
      </c>
      <c r="K440" s="34" t="str">
        <f t="shared" si="25"/>
        <v/>
      </c>
      <c r="L440" s="34" t="str">
        <f>IF(A440="","",IFERROR(VLOOKUP(E440,KLASSNING!$A$5:$F$74,5,FALSE()),0))</f>
        <v/>
      </c>
      <c r="M440" s="35" t="str">
        <f t="shared" si="26"/>
        <v/>
      </c>
      <c r="N440" s="34" t="str">
        <f>IF(A440="","",IF(K440&lt;&gt;"Ja","Ej aktuell",IF(L440&lt;=0,"KONTROLLERA MATCHTID",IF(AND(COUNTIFS(BEMANNINGSPLAN!$A$5:$A$546,B440,BEMANNINGSPLAN!$C$5:$C$546,D440,BEMANNINGSPLAN!$D$5:$D$546,"&lt;="&amp;C440,BEMANNINGSPLAN!$E$5:$E$546,"&gt;"&amp;C440)&gt;0,COUNTIFS(BEMANNINGSPLAN!$A$5:$A$546,B440,BEMANNINGSPLAN!$C$5:$C$546,D440,BEMANNINGSPLAN!$D$5:$D$546,"&lt;"&amp;M440,BEMANNINGSPLAN!$E$5:$E$546,"&gt;="&amp;M440)&gt;0),"Ja","SAKNAS TIDSRADER"))))</f>
        <v/>
      </c>
      <c r="O440" s="137" t="str">
        <f>IF(OR(B440="",K440&lt;&gt;"Ja"),"",COUNTIFS($B$5:B440,B440,$K$5:K440,"Ja"))</f>
        <v/>
      </c>
      <c r="P440" s="137" t="str">
        <f t="shared" si="27"/>
        <v/>
      </c>
    </row>
    <row r="441" spans="1:16" ht="13">
      <c r="A441" s="31" t="str">
        <f>IF('IMPORT PROFIXIO'!A441="","",'IMPORT PROFIXIO'!A441)</f>
        <v/>
      </c>
      <c r="B441" s="32" t="str">
        <f>IF(A441="","",IF(ISNUMBER('IMPORT PROFIXIO'!D441),'IMPORT PROFIXIO'!D441,DATEVALUE('IMPORT PROFIXIO'!D441)))</f>
        <v/>
      </c>
      <c r="C441" s="33" t="str">
        <f>IF(A441="","",IF(ISNUMBER('IMPORT PROFIXIO'!E441),'IMPORT PROFIXIO'!E441,(VALUE(LEFT('IMPORT PROFIXIO'!E441,FIND(":",'IMPORT PROFIXIO'!E441)-1))*60+VALUE(MID('IMPORT PROFIXIO'!E441,FIND(":",'IMPORT PROFIXIO'!E441)+1,2)))/1440))</f>
        <v/>
      </c>
      <c r="D441" s="31" t="str">
        <f>IF(A441="","",'IMPORT PROFIXIO'!F441)</f>
        <v/>
      </c>
      <c r="E441" s="31" t="str">
        <f>IF(A441="","",'IMPORT PROFIXIO'!K441)</f>
        <v/>
      </c>
      <c r="F441" s="34" t="str">
        <f>IF(A441="","",IFERROR(VLOOKUP(E441,KLASSNING!$A$5:$F$74,2,FALSE()),"SAKNAS"))</f>
        <v/>
      </c>
      <c r="G441" s="34" t="str">
        <f>IF(A441="","",IFERROR(VLOOKUP(E441,KLASSNING!$A$5:$F$74,3,FALSE()),"SAKNAS"))</f>
        <v/>
      </c>
      <c r="H441" s="34" t="str">
        <f>IF(A441="","",'IMPORT PROFIXIO'!H441)</f>
        <v/>
      </c>
      <c r="I441" s="34" t="str">
        <f>IF(A441="","",'IMPORT PROFIXIO'!I441)</f>
        <v/>
      </c>
      <c r="J441" s="34" t="str">
        <f t="shared" si="24"/>
        <v/>
      </c>
      <c r="K441" s="34" t="str">
        <f t="shared" si="25"/>
        <v/>
      </c>
      <c r="L441" s="34" t="str">
        <f>IF(A441="","",IFERROR(VLOOKUP(E441,KLASSNING!$A$5:$F$74,5,FALSE()),0))</f>
        <v/>
      </c>
      <c r="M441" s="35" t="str">
        <f t="shared" si="26"/>
        <v/>
      </c>
      <c r="N441" s="34" t="str">
        <f>IF(A441="","",IF(K441&lt;&gt;"Ja","Ej aktuell",IF(L441&lt;=0,"KONTROLLERA MATCHTID",IF(AND(COUNTIFS(BEMANNINGSPLAN!$A$5:$A$546,B441,BEMANNINGSPLAN!$C$5:$C$546,D441,BEMANNINGSPLAN!$D$5:$D$546,"&lt;="&amp;C441,BEMANNINGSPLAN!$E$5:$E$546,"&gt;"&amp;C441)&gt;0,COUNTIFS(BEMANNINGSPLAN!$A$5:$A$546,B441,BEMANNINGSPLAN!$C$5:$C$546,D441,BEMANNINGSPLAN!$D$5:$D$546,"&lt;"&amp;M441,BEMANNINGSPLAN!$E$5:$E$546,"&gt;="&amp;M441)&gt;0),"Ja","SAKNAS TIDSRADER"))))</f>
        <v/>
      </c>
      <c r="O441" s="137" t="str">
        <f>IF(OR(B441="",K441&lt;&gt;"Ja"),"",COUNTIFS($B$5:B441,B441,$K$5:K441,"Ja"))</f>
        <v/>
      </c>
      <c r="P441" s="137" t="str">
        <f t="shared" si="27"/>
        <v/>
      </c>
    </row>
    <row r="442" spans="1:16" ht="13">
      <c r="A442" s="31" t="str">
        <f>IF('IMPORT PROFIXIO'!A442="","",'IMPORT PROFIXIO'!A442)</f>
        <v/>
      </c>
      <c r="B442" s="32" t="str">
        <f>IF(A442="","",IF(ISNUMBER('IMPORT PROFIXIO'!D442),'IMPORT PROFIXIO'!D442,DATEVALUE('IMPORT PROFIXIO'!D442)))</f>
        <v/>
      </c>
      <c r="C442" s="33" t="str">
        <f>IF(A442="","",IF(ISNUMBER('IMPORT PROFIXIO'!E442),'IMPORT PROFIXIO'!E442,(VALUE(LEFT('IMPORT PROFIXIO'!E442,FIND(":",'IMPORT PROFIXIO'!E442)-1))*60+VALUE(MID('IMPORT PROFIXIO'!E442,FIND(":",'IMPORT PROFIXIO'!E442)+1,2)))/1440))</f>
        <v/>
      </c>
      <c r="D442" s="31" t="str">
        <f>IF(A442="","",'IMPORT PROFIXIO'!F442)</f>
        <v/>
      </c>
      <c r="E442" s="31" t="str">
        <f>IF(A442="","",'IMPORT PROFIXIO'!K442)</f>
        <v/>
      </c>
      <c r="F442" s="34" t="str">
        <f>IF(A442="","",IFERROR(VLOOKUP(E442,KLASSNING!$A$5:$F$74,2,FALSE()),"SAKNAS"))</f>
        <v/>
      </c>
      <c r="G442" s="34" t="str">
        <f>IF(A442="","",IFERROR(VLOOKUP(E442,KLASSNING!$A$5:$F$74,3,FALSE()),"SAKNAS"))</f>
        <v/>
      </c>
      <c r="H442" s="34" t="str">
        <f>IF(A442="","",'IMPORT PROFIXIO'!H442)</f>
        <v/>
      </c>
      <c r="I442" s="34" t="str">
        <f>IF(A442="","",'IMPORT PROFIXIO'!I442)</f>
        <v/>
      </c>
      <c r="J442" s="34" t="str">
        <f t="shared" si="24"/>
        <v/>
      </c>
      <c r="K442" s="34" t="str">
        <f t="shared" si="25"/>
        <v/>
      </c>
      <c r="L442" s="34" t="str">
        <f>IF(A442="","",IFERROR(VLOOKUP(E442,KLASSNING!$A$5:$F$74,5,FALSE()),0))</f>
        <v/>
      </c>
      <c r="M442" s="35" t="str">
        <f t="shared" si="26"/>
        <v/>
      </c>
      <c r="N442" s="34" t="str">
        <f>IF(A442="","",IF(K442&lt;&gt;"Ja","Ej aktuell",IF(L442&lt;=0,"KONTROLLERA MATCHTID",IF(AND(COUNTIFS(BEMANNINGSPLAN!$A$5:$A$546,B442,BEMANNINGSPLAN!$C$5:$C$546,D442,BEMANNINGSPLAN!$D$5:$D$546,"&lt;="&amp;C442,BEMANNINGSPLAN!$E$5:$E$546,"&gt;"&amp;C442)&gt;0,COUNTIFS(BEMANNINGSPLAN!$A$5:$A$546,B442,BEMANNINGSPLAN!$C$5:$C$546,D442,BEMANNINGSPLAN!$D$5:$D$546,"&lt;"&amp;M442,BEMANNINGSPLAN!$E$5:$E$546,"&gt;="&amp;M442)&gt;0),"Ja","SAKNAS TIDSRADER"))))</f>
        <v/>
      </c>
      <c r="O442" s="137" t="str">
        <f>IF(OR(B442="",K442&lt;&gt;"Ja"),"",COUNTIFS($B$5:B442,B442,$K$5:K442,"Ja"))</f>
        <v/>
      </c>
      <c r="P442" s="137" t="str">
        <f t="shared" si="27"/>
        <v/>
      </c>
    </row>
    <row r="443" spans="1:16" ht="13">
      <c r="A443" s="31" t="str">
        <f>IF('IMPORT PROFIXIO'!A443="","",'IMPORT PROFIXIO'!A443)</f>
        <v/>
      </c>
      <c r="B443" s="32" t="str">
        <f>IF(A443="","",IF(ISNUMBER('IMPORT PROFIXIO'!D443),'IMPORT PROFIXIO'!D443,DATEVALUE('IMPORT PROFIXIO'!D443)))</f>
        <v/>
      </c>
      <c r="C443" s="33" t="str">
        <f>IF(A443="","",IF(ISNUMBER('IMPORT PROFIXIO'!E443),'IMPORT PROFIXIO'!E443,(VALUE(LEFT('IMPORT PROFIXIO'!E443,FIND(":",'IMPORT PROFIXIO'!E443)-1))*60+VALUE(MID('IMPORT PROFIXIO'!E443,FIND(":",'IMPORT PROFIXIO'!E443)+1,2)))/1440))</f>
        <v/>
      </c>
      <c r="D443" s="31" t="str">
        <f>IF(A443="","",'IMPORT PROFIXIO'!F443)</f>
        <v/>
      </c>
      <c r="E443" s="31" t="str">
        <f>IF(A443="","",'IMPORT PROFIXIO'!K443)</f>
        <v/>
      </c>
      <c r="F443" s="34" t="str">
        <f>IF(A443="","",IFERROR(VLOOKUP(E443,KLASSNING!$A$5:$F$74,2,FALSE()),"SAKNAS"))</f>
        <v/>
      </c>
      <c r="G443" s="34" t="str">
        <f>IF(A443="","",IFERROR(VLOOKUP(E443,KLASSNING!$A$5:$F$74,3,FALSE()),"SAKNAS"))</f>
        <v/>
      </c>
      <c r="H443" s="34" t="str">
        <f>IF(A443="","",'IMPORT PROFIXIO'!H443)</f>
        <v/>
      </c>
      <c r="I443" s="34" t="str">
        <f>IF(A443="","",'IMPORT PROFIXIO'!I443)</f>
        <v/>
      </c>
      <c r="J443" s="34" t="str">
        <f t="shared" si="24"/>
        <v/>
      </c>
      <c r="K443" s="34" t="str">
        <f t="shared" si="25"/>
        <v/>
      </c>
      <c r="L443" s="34" t="str">
        <f>IF(A443="","",IFERROR(VLOOKUP(E443,KLASSNING!$A$5:$F$74,5,FALSE()),0))</f>
        <v/>
      </c>
      <c r="M443" s="35" t="str">
        <f t="shared" si="26"/>
        <v/>
      </c>
      <c r="N443" s="34" t="str">
        <f>IF(A443="","",IF(K443&lt;&gt;"Ja","Ej aktuell",IF(L443&lt;=0,"KONTROLLERA MATCHTID",IF(AND(COUNTIFS(BEMANNINGSPLAN!$A$5:$A$546,B443,BEMANNINGSPLAN!$C$5:$C$546,D443,BEMANNINGSPLAN!$D$5:$D$546,"&lt;="&amp;C443,BEMANNINGSPLAN!$E$5:$E$546,"&gt;"&amp;C443)&gt;0,COUNTIFS(BEMANNINGSPLAN!$A$5:$A$546,B443,BEMANNINGSPLAN!$C$5:$C$546,D443,BEMANNINGSPLAN!$D$5:$D$546,"&lt;"&amp;M443,BEMANNINGSPLAN!$E$5:$E$546,"&gt;="&amp;M443)&gt;0),"Ja","SAKNAS TIDSRADER"))))</f>
        <v/>
      </c>
      <c r="O443" s="137" t="str">
        <f>IF(OR(B443="",K443&lt;&gt;"Ja"),"",COUNTIFS($B$5:B443,B443,$K$5:K443,"Ja"))</f>
        <v/>
      </c>
      <c r="P443" s="137" t="str">
        <f t="shared" si="27"/>
        <v/>
      </c>
    </row>
    <row r="444" spans="1:16" ht="13">
      <c r="A444" s="31" t="str">
        <f>IF('IMPORT PROFIXIO'!A444="","",'IMPORT PROFIXIO'!A444)</f>
        <v/>
      </c>
      <c r="B444" s="32" t="str">
        <f>IF(A444="","",IF(ISNUMBER('IMPORT PROFIXIO'!D444),'IMPORT PROFIXIO'!D444,DATEVALUE('IMPORT PROFIXIO'!D444)))</f>
        <v/>
      </c>
      <c r="C444" s="33" t="str">
        <f>IF(A444="","",IF(ISNUMBER('IMPORT PROFIXIO'!E444),'IMPORT PROFIXIO'!E444,(VALUE(LEFT('IMPORT PROFIXIO'!E444,FIND(":",'IMPORT PROFIXIO'!E444)-1))*60+VALUE(MID('IMPORT PROFIXIO'!E444,FIND(":",'IMPORT PROFIXIO'!E444)+1,2)))/1440))</f>
        <v/>
      </c>
      <c r="D444" s="31" t="str">
        <f>IF(A444="","",'IMPORT PROFIXIO'!F444)</f>
        <v/>
      </c>
      <c r="E444" s="31" t="str">
        <f>IF(A444="","",'IMPORT PROFIXIO'!K444)</f>
        <v/>
      </c>
      <c r="F444" s="34" t="str">
        <f>IF(A444="","",IFERROR(VLOOKUP(E444,KLASSNING!$A$5:$F$74,2,FALSE()),"SAKNAS"))</f>
        <v/>
      </c>
      <c r="G444" s="34" t="str">
        <f>IF(A444="","",IFERROR(VLOOKUP(E444,KLASSNING!$A$5:$F$74,3,FALSE()),"SAKNAS"))</f>
        <v/>
      </c>
      <c r="H444" s="34" t="str">
        <f>IF(A444="","",'IMPORT PROFIXIO'!H444)</f>
        <v/>
      </c>
      <c r="I444" s="34" t="str">
        <f>IF(A444="","",'IMPORT PROFIXIO'!I444)</f>
        <v/>
      </c>
      <c r="J444" s="34" t="str">
        <f t="shared" si="24"/>
        <v/>
      </c>
      <c r="K444" s="34" t="str">
        <f t="shared" si="25"/>
        <v/>
      </c>
      <c r="L444" s="34" t="str">
        <f>IF(A444="","",IFERROR(VLOOKUP(E444,KLASSNING!$A$5:$F$74,5,FALSE()),0))</f>
        <v/>
      </c>
      <c r="M444" s="35" t="str">
        <f t="shared" si="26"/>
        <v/>
      </c>
      <c r="N444" s="34" t="str">
        <f>IF(A444="","",IF(K444&lt;&gt;"Ja","Ej aktuell",IF(L444&lt;=0,"KONTROLLERA MATCHTID",IF(AND(COUNTIFS(BEMANNINGSPLAN!$A$5:$A$546,B444,BEMANNINGSPLAN!$C$5:$C$546,D444,BEMANNINGSPLAN!$D$5:$D$546,"&lt;="&amp;C444,BEMANNINGSPLAN!$E$5:$E$546,"&gt;"&amp;C444)&gt;0,COUNTIFS(BEMANNINGSPLAN!$A$5:$A$546,B444,BEMANNINGSPLAN!$C$5:$C$546,D444,BEMANNINGSPLAN!$D$5:$D$546,"&lt;"&amp;M444,BEMANNINGSPLAN!$E$5:$E$546,"&gt;="&amp;M444)&gt;0),"Ja","SAKNAS TIDSRADER"))))</f>
        <v/>
      </c>
      <c r="O444" s="137" t="str">
        <f>IF(OR(B444="",K444&lt;&gt;"Ja"),"",COUNTIFS($B$5:B444,B444,$K$5:K444,"Ja"))</f>
        <v/>
      </c>
      <c r="P444" s="137" t="str">
        <f t="shared" si="27"/>
        <v/>
      </c>
    </row>
    <row r="445" spans="1:16" ht="13">
      <c r="A445" s="31" t="str">
        <f>IF('IMPORT PROFIXIO'!A445="","",'IMPORT PROFIXIO'!A445)</f>
        <v/>
      </c>
      <c r="B445" s="32" t="str">
        <f>IF(A445="","",IF(ISNUMBER('IMPORT PROFIXIO'!D445),'IMPORT PROFIXIO'!D445,DATEVALUE('IMPORT PROFIXIO'!D445)))</f>
        <v/>
      </c>
      <c r="C445" s="33" t="str">
        <f>IF(A445="","",IF(ISNUMBER('IMPORT PROFIXIO'!E445),'IMPORT PROFIXIO'!E445,(VALUE(LEFT('IMPORT PROFIXIO'!E445,FIND(":",'IMPORT PROFIXIO'!E445)-1))*60+VALUE(MID('IMPORT PROFIXIO'!E445,FIND(":",'IMPORT PROFIXIO'!E445)+1,2)))/1440))</f>
        <v/>
      </c>
      <c r="D445" s="31" t="str">
        <f>IF(A445="","",'IMPORT PROFIXIO'!F445)</f>
        <v/>
      </c>
      <c r="E445" s="31" t="str">
        <f>IF(A445="","",'IMPORT PROFIXIO'!K445)</f>
        <v/>
      </c>
      <c r="F445" s="34" t="str">
        <f>IF(A445="","",IFERROR(VLOOKUP(E445,KLASSNING!$A$5:$F$74,2,FALSE()),"SAKNAS"))</f>
        <v/>
      </c>
      <c r="G445" s="34" t="str">
        <f>IF(A445="","",IFERROR(VLOOKUP(E445,KLASSNING!$A$5:$F$74,3,FALSE()),"SAKNAS"))</f>
        <v/>
      </c>
      <c r="H445" s="34" t="str">
        <f>IF(A445="","",'IMPORT PROFIXIO'!H445)</f>
        <v/>
      </c>
      <c r="I445" s="34" t="str">
        <f>IF(A445="","",'IMPORT PROFIXIO'!I445)</f>
        <v/>
      </c>
      <c r="J445" s="34" t="str">
        <f t="shared" si="24"/>
        <v/>
      </c>
      <c r="K445" s="34" t="str">
        <f t="shared" si="25"/>
        <v/>
      </c>
      <c r="L445" s="34" t="str">
        <f>IF(A445="","",IFERROR(VLOOKUP(E445,KLASSNING!$A$5:$F$74,5,FALSE()),0))</f>
        <v/>
      </c>
      <c r="M445" s="35" t="str">
        <f t="shared" si="26"/>
        <v/>
      </c>
      <c r="N445" s="34" t="str">
        <f>IF(A445="","",IF(K445&lt;&gt;"Ja","Ej aktuell",IF(L445&lt;=0,"KONTROLLERA MATCHTID",IF(AND(COUNTIFS(BEMANNINGSPLAN!$A$5:$A$546,B445,BEMANNINGSPLAN!$C$5:$C$546,D445,BEMANNINGSPLAN!$D$5:$D$546,"&lt;="&amp;C445,BEMANNINGSPLAN!$E$5:$E$546,"&gt;"&amp;C445)&gt;0,COUNTIFS(BEMANNINGSPLAN!$A$5:$A$546,B445,BEMANNINGSPLAN!$C$5:$C$546,D445,BEMANNINGSPLAN!$D$5:$D$546,"&lt;"&amp;M445,BEMANNINGSPLAN!$E$5:$E$546,"&gt;="&amp;M445)&gt;0),"Ja","SAKNAS TIDSRADER"))))</f>
        <v/>
      </c>
      <c r="O445" s="137" t="str">
        <f>IF(OR(B445="",K445&lt;&gt;"Ja"),"",COUNTIFS($B$5:B445,B445,$K$5:K445,"Ja"))</f>
        <v/>
      </c>
      <c r="P445" s="137" t="str">
        <f t="shared" si="27"/>
        <v/>
      </c>
    </row>
    <row r="446" spans="1:16" ht="13">
      <c r="A446" s="31" t="str">
        <f>IF('IMPORT PROFIXIO'!A446="","",'IMPORT PROFIXIO'!A446)</f>
        <v/>
      </c>
      <c r="B446" s="32" t="str">
        <f>IF(A446="","",IF(ISNUMBER('IMPORT PROFIXIO'!D446),'IMPORT PROFIXIO'!D446,DATEVALUE('IMPORT PROFIXIO'!D446)))</f>
        <v/>
      </c>
      <c r="C446" s="33" t="str">
        <f>IF(A446="","",IF(ISNUMBER('IMPORT PROFIXIO'!E446),'IMPORT PROFIXIO'!E446,(VALUE(LEFT('IMPORT PROFIXIO'!E446,FIND(":",'IMPORT PROFIXIO'!E446)-1))*60+VALUE(MID('IMPORT PROFIXIO'!E446,FIND(":",'IMPORT PROFIXIO'!E446)+1,2)))/1440))</f>
        <v/>
      </c>
      <c r="D446" s="31" t="str">
        <f>IF(A446="","",'IMPORT PROFIXIO'!F446)</f>
        <v/>
      </c>
      <c r="E446" s="31" t="str">
        <f>IF(A446="","",'IMPORT PROFIXIO'!K446)</f>
        <v/>
      </c>
      <c r="F446" s="34" t="str">
        <f>IF(A446="","",IFERROR(VLOOKUP(E446,KLASSNING!$A$5:$F$74,2,FALSE()),"SAKNAS"))</f>
        <v/>
      </c>
      <c r="G446" s="34" t="str">
        <f>IF(A446="","",IFERROR(VLOOKUP(E446,KLASSNING!$A$5:$F$74,3,FALSE()),"SAKNAS"))</f>
        <v/>
      </c>
      <c r="H446" s="34" t="str">
        <f>IF(A446="","",'IMPORT PROFIXIO'!H446)</f>
        <v/>
      </c>
      <c r="I446" s="34" t="str">
        <f>IF(A446="","",'IMPORT PROFIXIO'!I446)</f>
        <v/>
      </c>
      <c r="J446" s="34" t="str">
        <f t="shared" si="24"/>
        <v/>
      </c>
      <c r="K446" s="34" t="str">
        <f t="shared" si="25"/>
        <v/>
      </c>
      <c r="L446" s="34" t="str">
        <f>IF(A446="","",IFERROR(VLOOKUP(E446,KLASSNING!$A$5:$F$74,5,FALSE()),0))</f>
        <v/>
      </c>
      <c r="M446" s="35" t="str">
        <f t="shared" si="26"/>
        <v/>
      </c>
      <c r="N446" s="34" t="str">
        <f>IF(A446="","",IF(K446&lt;&gt;"Ja","Ej aktuell",IF(L446&lt;=0,"KONTROLLERA MATCHTID",IF(AND(COUNTIFS(BEMANNINGSPLAN!$A$5:$A$546,B446,BEMANNINGSPLAN!$C$5:$C$546,D446,BEMANNINGSPLAN!$D$5:$D$546,"&lt;="&amp;C446,BEMANNINGSPLAN!$E$5:$E$546,"&gt;"&amp;C446)&gt;0,COUNTIFS(BEMANNINGSPLAN!$A$5:$A$546,B446,BEMANNINGSPLAN!$C$5:$C$546,D446,BEMANNINGSPLAN!$D$5:$D$546,"&lt;"&amp;M446,BEMANNINGSPLAN!$E$5:$E$546,"&gt;="&amp;M446)&gt;0),"Ja","SAKNAS TIDSRADER"))))</f>
        <v/>
      </c>
      <c r="O446" s="137" t="str">
        <f>IF(OR(B446="",K446&lt;&gt;"Ja"),"",COUNTIFS($B$5:B446,B446,$K$5:K446,"Ja"))</f>
        <v/>
      </c>
      <c r="P446" s="137" t="str">
        <f t="shared" si="27"/>
        <v/>
      </c>
    </row>
    <row r="447" spans="1:16" ht="13">
      <c r="A447" s="31" t="str">
        <f>IF('IMPORT PROFIXIO'!A447="","",'IMPORT PROFIXIO'!A447)</f>
        <v/>
      </c>
      <c r="B447" s="32" t="str">
        <f>IF(A447="","",IF(ISNUMBER('IMPORT PROFIXIO'!D447),'IMPORT PROFIXIO'!D447,DATEVALUE('IMPORT PROFIXIO'!D447)))</f>
        <v/>
      </c>
      <c r="C447" s="33" t="str">
        <f>IF(A447="","",IF(ISNUMBER('IMPORT PROFIXIO'!E447),'IMPORT PROFIXIO'!E447,(VALUE(LEFT('IMPORT PROFIXIO'!E447,FIND(":",'IMPORT PROFIXIO'!E447)-1))*60+VALUE(MID('IMPORT PROFIXIO'!E447,FIND(":",'IMPORT PROFIXIO'!E447)+1,2)))/1440))</f>
        <v/>
      </c>
      <c r="D447" s="31" t="str">
        <f>IF(A447="","",'IMPORT PROFIXIO'!F447)</f>
        <v/>
      </c>
      <c r="E447" s="31" t="str">
        <f>IF(A447="","",'IMPORT PROFIXIO'!K447)</f>
        <v/>
      </c>
      <c r="F447" s="34" t="str">
        <f>IF(A447="","",IFERROR(VLOOKUP(E447,KLASSNING!$A$5:$F$74,2,FALSE()),"SAKNAS"))</f>
        <v/>
      </c>
      <c r="G447" s="34" t="str">
        <f>IF(A447="","",IFERROR(VLOOKUP(E447,KLASSNING!$A$5:$F$74,3,FALSE()),"SAKNAS"))</f>
        <v/>
      </c>
      <c r="H447" s="34" t="str">
        <f>IF(A447="","",'IMPORT PROFIXIO'!H447)</f>
        <v/>
      </c>
      <c r="I447" s="34" t="str">
        <f>IF(A447="","",'IMPORT PROFIXIO'!I447)</f>
        <v/>
      </c>
      <c r="J447" s="34" t="str">
        <f t="shared" si="24"/>
        <v/>
      </c>
      <c r="K447" s="34" t="str">
        <f t="shared" si="25"/>
        <v/>
      </c>
      <c r="L447" s="34" t="str">
        <f>IF(A447="","",IFERROR(VLOOKUP(E447,KLASSNING!$A$5:$F$74,5,FALSE()),0))</f>
        <v/>
      </c>
      <c r="M447" s="35" t="str">
        <f t="shared" si="26"/>
        <v/>
      </c>
      <c r="N447" s="34" t="str">
        <f>IF(A447="","",IF(K447&lt;&gt;"Ja","Ej aktuell",IF(L447&lt;=0,"KONTROLLERA MATCHTID",IF(AND(COUNTIFS(BEMANNINGSPLAN!$A$5:$A$546,B447,BEMANNINGSPLAN!$C$5:$C$546,D447,BEMANNINGSPLAN!$D$5:$D$546,"&lt;="&amp;C447,BEMANNINGSPLAN!$E$5:$E$546,"&gt;"&amp;C447)&gt;0,COUNTIFS(BEMANNINGSPLAN!$A$5:$A$546,B447,BEMANNINGSPLAN!$C$5:$C$546,D447,BEMANNINGSPLAN!$D$5:$D$546,"&lt;"&amp;M447,BEMANNINGSPLAN!$E$5:$E$546,"&gt;="&amp;M447)&gt;0),"Ja","SAKNAS TIDSRADER"))))</f>
        <v/>
      </c>
      <c r="O447" s="137" t="str">
        <f>IF(OR(B447="",K447&lt;&gt;"Ja"),"",COUNTIFS($B$5:B447,B447,$K$5:K447,"Ja"))</f>
        <v/>
      </c>
      <c r="P447" s="137" t="str">
        <f t="shared" si="27"/>
        <v/>
      </c>
    </row>
    <row r="448" spans="1:16" ht="13">
      <c r="A448" s="31" t="str">
        <f>IF('IMPORT PROFIXIO'!A448="","",'IMPORT PROFIXIO'!A448)</f>
        <v/>
      </c>
      <c r="B448" s="32" t="str">
        <f>IF(A448="","",IF(ISNUMBER('IMPORT PROFIXIO'!D448),'IMPORT PROFIXIO'!D448,DATEVALUE('IMPORT PROFIXIO'!D448)))</f>
        <v/>
      </c>
      <c r="C448" s="33" t="str">
        <f>IF(A448="","",IF(ISNUMBER('IMPORT PROFIXIO'!E448),'IMPORT PROFIXIO'!E448,(VALUE(LEFT('IMPORT PROFIXIO'!E448,FIND(":",'IMPORT PROFIXIO'!E448)-1))*60+VALUE(MID('IMPORT PROFIXIO'!E448,FIND(":",'IMPORT PROFIXIO'!E448)+1,2)))/1440))</f>
        <v/>
      </c>
      <c r="D448" s="31" t="str">
        <f>IF(A448="","",'IMPORT PROFIXIO'!F448)</f>
        <v/>
      </c>
      <c r="E448" s="31" t="str">
        <f>IF(A448="","",'IMPORT PROFIXIO'!K448)</f>
        <v/>
      </c>
      <c r="F448" s="34" t="str">
        <f>IF(A448="","",IFERROR(VLOOKUP(E448,KLASSNING!$A$5:$F$74,2,FALSE()),"SAKNAS"))</f>
        <v/>
      </c>
      <c r="G448" s="34" t="str">
        <f>IF(A448="","",IFERROR(VLOOKUP(E448,KLASSNING!$A$5:$F$74,3,FALSE()),"SAKNAS"))</f>
        <v/>
      </c>
      <c r="H448" s="34" t="str">
        <f>IF(A448="","",'IMPORT PROFIXIO'!H448)</f>
        <v/>
      </c>
      <c r="I448" s="34" t="str">
        <f>IF(A448="","",'IMPORT PROFIXIO'!I448)</f>
        <v/>
      </c>
      <c r="J448" s="34" t="str">
        <f t="shared" si="24"/>
        <v/>
      </c>
      <c r="K448" s="34" t="str">
        <f t="shared" si="25"/>
        <v/>
      </c>
      <c r="L448" s="34" t="str">
        <f>IF(A448="","",IFERROR(VLOOKUP(E448,KLASSNING!$A$5:$F$74,5,FALSE()),0))</f>
        <v/>
      </c>
      <c r="M448" s="35" t="str">
        <f t="shared" si="26"/>
        <v/>
      </c>
      <c r="N448" s="34" t="str">
        <f>IF(A448="","",IF(K448&lt;&gt;"Ja","Ej aktuell",IF(L448&lt;=0,"KONTROLLERA MATCHTID",IF(AND(COUNTIFS(BEMANNINGSPLAN!$A$5:$A$546,B448,BEMANNINGSPLAN!$C$5:$C$546,D448,BEMANNINGSPLAN!$D$5:$D$546,"&lt;="&amp;C448,BEMANNINGSPLAN!$E$5:$E$546,"&gt;"&amp;C448)&gt;0,COUNTIFS(BEMANNINGSPLAN!$A$5:$A$546,B448,BEMANNINGSPLAN!$C$5:$C$546,D448,BEMANNINGSPLAN!$D$5:$D$546,"&lt;"&amp;M448,BEMANNINGSPLAN!$E$5:$E$546,"&gt;="&amp;M448)&gt;0),"Ja","SAKNAS TIDSRADER"))))</f>
        <v/>
      </c>
      <c r="O448" s="137" t="str">
        <f>IF(OR(B448="",K448&lt;&gt;"Ja"),"",COUNTIFS($B$5:B448,B448,$K$5:K448,"Ja"))</f>
        <v/>
      </c>
      <c r="P448" s="137" t="str">
        <f t="shared" si="27"/>
        <v/>
      </c>
    </row>
    <row r="449" spans="1:16" ht="13">
      <c r="A449" s="31" t="str">
        <f>IF('IMPORT PROFIXIO'!A449="","",'IMPORT PROFIXIO'!A449)</f>
        <v/>
      </c>
      <c r="B449" s="32" t="str">
        <f>IF(A449="","",IF(ISNUMBER('IMPORT PROFIXIO'!D449),'IMPORT PROFIXIO'!D449,DATEVALUE('IMPORT PROFIXIO'!D449)))</f>
        <v/>
      </c>
      <c r="C449" s="33" t="str">
        <f>IF(A449="","",IF(ISNUMBER('IMPORT PROFIXIO'!E449),'IMPORT PROFIXIO'!E449,(VALUE(LEFT('IMPORT PROFIXIO'!E449,FIND(":",'IMPORT PROFIXIO'!E449)-1))*60+VALUE(MID('IMPORT PROFIXIO'!E449,FIND(":",'IMPORT PROFIXIO'!E449)+1,2)))/1440))</f>
        <v/>
      </c>
      <c r="D449" s="31" t="str">
        <f>IF(A449="","",'IMPORT PROFIXIO'!F449)</f>
        <v/>
      </c>
      <c r="E449" s="31" t="str">
        <f>IF(A449="","",'IMPORT PROFIXIO'!K449)</f>
        <v/>
      </c>
      <c r="F449" s="34" t="str">
        <f>IF(A449="","",IFERROR(VLOOKUP(E449,KLASSNING!$A$5:$F$74,2,FALSE()),"SAKNAS"))</f>
        <v/>
      </c>
      <c r="G449" s="34" t="str">
        <f>IF(A449="","",IFERROR(VLOOKUP(E449,KLASSNING!$A$5:$F$74,3,FALSE()),"SAKNAS"))</f>
        <v/>
      </c>
      <c r="H449" s="34" t="str">
        <f>IF(A449="","",'IMPORT PROFIXIO'!H449)</f>
        <v/>
      </c>
      <c r="I449" s="34" t="str">
        <f>IF(A449="","",'IMPORT PROFIXIO'!I449)</f>
        <v/>
      </c>
      <c r="J449" s="34" t="str">
        <f t="shared" si="24"/>
        <v/>
      </c>
      <c r="K449" s="34" t="str">
        <f t="shared" si="25"/>
        <v/>
      </c>
      <c r="L449" s="34" t="str">
        <f>IF(A449="","",IFERROR(VLOOKUP(E449,KLASSNING!$A$5:$F$74,5,FALSE()),0))</f>
        <v/>
      </c>
      <c r="M449" s="35" t="str">
        <f t="shared" si="26"/>
        <v/>
      </c>
      <c r="N449" s="34" t="str">
        <f>IF(A449="","",IF(K449&lt;&gt;"Ja","Ej aktuell",IF(L449&lt;=0,"KONTROLLERA MATCHTID",IF(AND(COUNTIFS(BEMANNINGSPLAN!$A$5:$A$546,B449,BEMANNINGSPLAN!$C$5:$C$546,D449,BEMANNINGSPLAN!$D$5:$D$546,"&lt;="&amp;C449,BEMANNINGSPLAN!$E$5:$E$546,"&gt;"&amp;C449)&gt;0,COUNTIFS(BEMANNINGSPLAN!$A$5:$A$546,B449,BEMANNINGSPLAN!$C$5:$C$546,D449,BEMANNINGSPLAN!$D$5:$D$546,"&lt;"&amp;M449,BEMANNINGSPLAN!$E$5:$E$546,"&gt;="&amp;M449)&gt;0),"Ja","SAKNAS TIDSRADER"))))</f>
        <v/>
      </c>
      <c r="O449" s="137" t="str">
        <f>IF(OR(B449="",K449&lt;&gt;"Ja"),"",COUNTIFS($B$5:B449,B449,$K$5:K449,"Ja"))</f>
        <v/>
      </c>
      <c r="P449" s="137" t="str">
        <f t="shared" si="27"/>
        <v/>
      </c>
    </row>
    <row r="450" spans="1:16" ht="13">
      <c r="A450" s="31" t="str">
        <f>IF('IMPORT PROFIXIO'!A450="","",'IMPORT PROFIXIO'!A450)</f>
        <v/>
      </c>
      <c r="B450" s="32" t="str">
        <f>IF(A450="","",IF(ISNUMBER('IMPORT PROFIXIO'!D450),'IMPORT PROFIXIO'!D450,DATEVALUE('IMPORT PROFIXIO'!D450)))</f>
        <v/>
      </c>
      <c r="C450" s="33" t="str">
        <f>IF(A450="","",IF(ISNUMBER('IMPORT PROFIXIO'!E450),'IMPORT PROFIXIO'!E450,(VALUE(LEFT('IMPORT PROFIXIO'!E450,FIND(":",'IMPORT PROFIXIO'!E450)-1))*60+VALUE(MID('IMPORT PROFIXIO'!E450,FIND(":",'IMPORT PROFIXIO'!E450)+1,2)))/1440))</f>
        <v/>
      </c>
      <c r="D450" s="31" t="str">
        <f>IF(A450="","",'IMPORT PROFIXIO'!F450)</f>
        <v/>
      </c>
      <c r="E450" s="31" t="str">
        <f>IF(A450="","",'IMPORT PROFIXIO'!K450)</f>
        <v/>
      </c>
      <c r="F450" s="34" t="str">
        <f>IF(A450="","",IFERROR(VLOOKUP(E450,KLASSNING!$A$5:$F$74,2,FALSE()),"SAKNAS"))</f>
        <v/>
      </c>
      <c r="G450" s="34" t="str">
        <f>IF(A450="","",IFERROR(VLOOKUP(E450,KLASSNING!$A$5:$F$74,3,FALSE()),"SAKNAS"))</f>
        <v/>
      </c>
      <c r="H450" s="34" t="str">
        <f>IF(A450="","",'IMPORT PROFIXIO'!H450)</f>
        <v/>
      </c>
      <c r="I450" s="34" t="str">
        <f>IF(A450="","",'IMPORT PROFIXIO'!I450)</f>
        <v/>
      </c>
      <c r="J450" s="34" t="str">
        <f t="shared" si="24"/>
        <v/>
      </c>
      <c r="K450" s="34" t="str">
        <f t="shared" si="25"/>
        <v/>
      </c>
      <c r="L450" s="34" t="str">
        <f>IF(A450="","",IFERROR(VLOOKUP(E450,KLASSNING!$A$5:$F$74,5,FALSE()),0))</f>
        <v/>
      </c>
      <c r="M450" s="35" t="str">
        <f t="shared" si="26"/>
        <v/>
      </c>
      <c r="N450" s="34" t="str">
        <f>IF(A450="","",IF(K450&lt;&gt;"Ja","Ej aktuell",IF(L450&lt;=0,"KONTROLLERA MATCHTID",IF(AND(COUNTIFS(BEMANNINGSPLAN!$A$5:$A$546,B450,BEMANNINGSPLAN!$C$5:$C$546,D450,BEMANNINGSPLAN!$D$5:$D$546,"&lt;="&amp;C450,BEMANNINGSPLAN!$E$5:$E$546,"&gt;"&amp;C450)&gt;0,COUNTIFS(BEMANNINGSPLAN!$A$5:$A$546,B450,BEMANNINGSPLAN!$C$5:$C$546,D450,BEMANNINGSPLAN!$D$5:$D$546,"&lt;"&amp;M450,BEMANNINGSPLAN!$E$5:$E$546,"&gt;="&amp;M450)&gt;0),"Ja","SAKNAS TIDSRADER"))))</f>
        <v/>
      </c>
      <c r="O450" s="137" t="str">
        <f>IF(OR(B450="",K450&lt;&gt;"Ja"),"",COUNTIFS($B$5:B450,B450,$K$5:K450,"Ja"))</f>
        <v/>
      </c>
      <c r="P450" s="137" t="str">
        <f t="shared" si="27"/>
        <v/>
      </c>
    </row>
    <row r="451" spans="1:16" ht="13">
      <c r="A451" s="31" t="str">
        <f>IF('IMPORT PROFIXIO'!A451="","",'IMPORT PROFIXIO'!A451)</f>
        <v/>
      </c>
      <c r="B451" s="32" t="str">
        <f>IF(A451="","",IF(ISNUMBER('IMPORT PROFIXIO'!D451),'IMPORT PROFIXIO'!D451,DATEVALUE('IMPORT PROFIXIO'!D451)))</f>
        <v/>
      </c>
      <c r="C451" s="33" t="str">
        <f>IF(A451="","",IF(ISNUMBER('IMPORT PROFIXIO'!E451),'IMPORT PROFIXIO'!E451,(VALUE(LEFT('IMPORT PROFIXIO'!E451,FIND(":",'IMPORT PROFIXIO'!E451)-1))*60+VALUE(MID('IMPORT PROFIXIO'!E451,FIND(":",'IMPORT PROFIXIO'!E451)+1,2)))/1440))</f>
        <v/>
      </c>
      <c r="D451" s="31" t="str">
        <f>IF(A451="","",'IMPORT PROFIXIO'!F451)</f>
        <v/>
      </c>
      <c r="E451" s="31" t="str">
        <f>IF(A451="","",'IMPORT PROFIXIO'!K451)</f>
        <v/>
      </c>
      <c r="F451" s="34" t="str">
        <f>IF(A451="","",IFERROR(VLOOKUP(E451,KLASSNING!$A$5:$F$74,2,FALSE()),"SAKNAS"))</f>
        <v/>
      </c>
      <c r="G451" s="34" t="str">
        <f>IF(A451="","",IFERROR(VLOOKUP(E451,KLASSNING!$A$5:$F$74,3,FALSE()),"SAKNAS"))</f>
        <v/>
      </c>
      <c r="H451" s="34" t="str">
        <f>IF(A451="","",'IMPORT PROFIXIO'!H451)</f>
        <v/>
      </c>
      <c r="I451" s="34" t="str">
        <f>IF(A451="","",'IMPORT PROFIXIO'!I451)</f>
        <v/>
      </c>
      <c r="J451" s="34" t="str">
        <f t="shared" si="24"/>
        <v/>
      </c>
      <c r="K451" s="34" t="str">
        <f t="shared" si="25"/>
        <v/>
      </c>
      <c r="L451" s="34" t="str">
        <f>IF(A451="","",IFERROR(VLOOKUP(E451,KLASSNING!$A$5:$F$74,5,FALSE()),0))</f>
        <v/>
      </c>
      <c r="M451" s="35" t="str">
        <f t="shared" si="26"/>
        <v/>
      </c>
      <c r="N451" s="34" t="str">
        <f>IF(A451="","",IF(K451&lt;&gt;"Ja","Ej aktuell",IF(L451&lt;=0,"KONTROLLERA MATCHTID",IF(AND(COUNTIFS(BEMANNINGSPLAN!$A$5:$A$546,B451,BEMANNINGSPLAN!$C$5:$C$546,D451,BEMANNINGSPLAN!$D$5:$D$546,"&lt;="&amp;C451,BEMANNINGSPLAN!$E$5:$E$546,"&gt;"&amp;C451)&gt;0,COUNTIFS(BEMANNINGSPLAN!$A$5:$A$546,B451,BEMANNINGSPLAN!$C$5:$C$546,D451,BEMANNINGSPLAN!$D$5:$D$546,"&lt;"&amp;M451,BEMANNINGSPLAN!$E$5:$E$546,"&gt;="&amp;M451)&gt;0),"Ja","SAKNAS TIDSRADER"))))</f>
        <v/>
      </c>
      <c r="O451" s="137" t="str">
        <f>IF(OR(B451="",K451&lt;&gt;"Ja"),"",COUNTIFS($B$5:B451,B451,$K$5:K451,"Ja"))</f>
        <v/>
      </c>
      <c r="P451" s="137" t="str">
        <f t="shared" si="27"/>
        <v/>
      </c>
    </row>
    <row r="452" spans="1:16" ht="13">
      <c r="A452" s="31" t="str">
        <f>IF('IMPORT PROFIXIO'!A452="","",'IMPORT PROFIXIO'!A452)</f>
        <v/>
      </c>
      <c r="B452" s="32" t="str">
        <f>IF(A452="","",IF(ISNUMBER('IMPORT PROFIXIO'!D452),'IMPORT PROFIXIO'!D452,DATEVALUE('IMPORT PROFIXIO'!D452)))</f>
        <v/>
      </c>
      <c r="C452" s="33" t="str">
        <f>IF(A452="","",IF(ISNUMBER('IMPORT PROFIXIO'!E452),'IMPORT PROFIXIO'!E452,(VALUE(LEFT('IMPORT PROFIXIO'!E452,FIND(":",'IMPORT PROFIXIO'!E452)-1))*60+VALUE(MID('IMPORT PROFIXIO'!E452,FIND(":",'IMPORT PROFIXIO'!E452)+1,2)))/1440))</f>
        <v/>
      </c>
      <c r="D452" s="31" t="str">
        <f>IF(A452="","",'IMPORT PROFIXIO'!F452)</f>
        <v/>
      </c>
      <c r="E452" s="31" t="str">
        <f>IF(A452="","",'IMPORT PROFIXIO'!K452)</f>
        <v/>
      </c>
      <c r="F452" s="34" t="str">
        <f>IF(A452="","",IFERROR(VLOOKUP(E452,KLASSNING!$A$5:$F$74,2,FALSE()),"SAKNAS"))</f>
        <v/>
      </c>
      <c r="G452" s="34" t="str">
        <f>IF(A452="","",IFERROR(VLOOKUP(E452,KLASSNING!$A$5:$F$74,3,FALSE()),"SAKNAS"))</f>
        <v/>
      </c>
      <c r="H452" s="34" t="str">
        <f>IF(A452="","",'IMPORT PROFIXIO'!H452)</f>
        <v/>
      </c>
      <c r="I452" s="34" t="str">
        <f>IF(A452="","",'IMPORT PROFIXIO'!I452)</f>
        <v/>
      </c>
      <c r="J452" s="34" t="str">
        <f t="shared" si="24"/>
        <v/>
      </c>
      <c r="K452" s="34" t="str">
        <f t="shared" si="25"/>
        <v/>
      </c>
      <c r="L452" s="34" t="str">
        <f>IF(A452="","",IFERROR(VLOOKUP(E452,KLASSNING!$A$5:$F$74,5,FALSE()),0))</f>
        <v/>
      </c>
      <c r="M452" s="35" t="str">
        <f t="shared" si="26"/>
        <v/>
      </c>
      <c r="N452" s="34" t="str">
        <f>IF(A452="","",IF(K452&lt;&gt;"Ja","Ej aktuell",IF(L452&lt;=0,"KONTROLLERA MATCHTID",IF(AND(COUNTIFS(BEMANNINGSPLAN!$A$5:$A$546,B452,BEMANNINGSPLAN!$C$5:$C$546,D452,BEMANNINGSPLAN!$D$5:$D$546,"&lt;="&amp;C452,BEMANNINGSPLAN!$E$5:$E$546,"&gt;"&amp;C452)&gt;0,COUNTIFS(BEMANNINGSPLAN!$A$5:$A$546,B452,BEMANNINGSPLAN!$C$5:$C$546,D452,BEMANNINGSPLAN!$D$5:$D$546,"&lt;"&amp;M452,BEMANNINGSPLAN!$E$5:$E$546,"&gt;="&amp;M452)&gt;0),"Ja","SAKNAS TIDSRADER"))))</f>
        <v/>
      </c>
      <c r="O452" s="137" t="str">
        <f>IF(OR(B452="",K452&lt;&gt;"Ja"),"",COUNTIFS($B$5:B452,B452,$K$5:K452,"Ja"))</f>
        <v/>
      </c>
      <c r="P452" s="137" t="str">
        <f t="shared" si="27"/>
        <v/>
      </c>
    </row>
    <row r="453" spans="1:16" ht="13">
      <c r="A453" s="31" t="str">
        <f>IF('IMPORT PROFIXIO'!A453="","",'IMPORT PROFIXIO'!A453)</f>
        <v/>
      </c>
      <c r="B453" s="32" t="str">
        <f>IF(A453="","",IF(ISNUMBER('IMPORT PROFIXIO'!D453),'IMPORT PROFIXIO'!D453,DATEVALUE('IMPORT PROFIXIO'!D453)))</f>
        <v/>
      </c>
      <c r="C453" s="33" t="str">
        <f>IF(A453="","",IF(ISNUMBER('IMPORT PROFIXIO'!E453),'IMPORT PROFIXIO'!E453,(VALUE(LEFT('IMPORT PROFIXIO'!E453,FIND(":",'IMPORT PROFIXIO'!E453)-1))*60+VALUE(MID('IMPORT PROFIXIO'!E453,FIND(":",'IMPORT PROFIXIO'!E453)+1,2)))/1440))</f>
        <v/>
      </c>
      <c r="D453" s="31" t="str">
        <f>IF(A453="","",'IMPORT PROFIXIO'!F453)</f>
        <v/>
      </c>
      <c r="E453" s="31" t="str">
        <f>IF(A453="","",'IMPORT PROFIXIO'!K453)</f>
        <v/>
      </c>
      <c r="F453" s="34" t="str">
        <f>IF(A453="","",IFERROR(VLOOKUP(E453,KLASSNING!$A$5:$F$74,2,FALSE()),"SAKNAS"))</f>
        <v/>
      </c>
      <c r="G453" s="34" t="str">
        <f>IF(A453="","",IFERROR(VLOOKUP(E453,KLASSNING!$A$5:$F$74,3,FALSE()),"SAKNAS"))</f>
        <v/>
      </c>
      <c r="H453" s="34" t="str">
        <f>IF(A453="","",'IMPORT PROFIXIO'!H453)</f>
        <v/>
      </c>
      <c r="I453" s="34" t="str">
        <f>IF(A453="","",'IMPORT PROFIXIO'!I453)</f>
        <v/>
      </c>
      <c r="J453" s="34" t="str">
        <f t="shared" ref="J453:J504" si="28">IF(A453="","",IF(LEFT(H453,3)="AIK",IF(H453="AIK 2",F453&amp;" 2",F453),IF(LEFT(I453,3)="AIK",IF(I453="AIK 2",F453&amp;" 2",F453),"")))</f>
        <v/>
      </c>
      <c r="K453" s="34" t="str">
        <f t="shared" ref="K453:K504" si="29">IF(A453="","",IF(D453="Solnahallen","Nej","Ja"))</f>
        <v/>
      </c>
      <c r="L453" s="34" t="str">
        <f>IF(A453="","",IFERROR(VLOOKUP(E453,KLASSNING!$A$5:$F$74,5,FALSE()),0))</f>
        <v/>
      </c>
      <c r="M453" s="35" t="str">
        <f t="shared" ref="M453:M504" si="30">IF(OR(A453="",K453&lt;&gt;"Ja"),"",C453+L453/1440)</f>
        <v/>
      </c>
      <c r="N453" s="34" t="str">
        <f>IF(A453="","",IF(K453&lt;&gt;"Ja","Ej aktuell",IF(L453&lt;=0,"KONTROLLERA MATCHTID",IF(AND(COUNTIFS(BEMANNINGSPLAN!$A$5:$A$546,B453,BEMANNINGSPLAN!$C$5:$C$546,D453,BEMANNINGSPLAN!$D$5:$D$546,"&lt;="&amp;C453,BEMANNINGSPLAN!$E$5:$E$546,"&gt;"&amp;C453)&gt;0,COUNTIFS(BEMANNINGSPLAN!$A$5:$A$546,B453,BEMANNINGSPLAN!$C$5:$C$546,D453,BEMANNINGSPLAN!$D$5:$D$546,"&lt;"&amp;M453,BEMANNINGSPLAN!$E$5:$E$546,"&gt;="&amp;M453)&gt;0),"Ja","SAKNAS TIDSRADER"))))</f>
        <v/>
      </c>
      <c r="O453" s="137" t="str">
        <f>IF(OR(B453="",K453&lt;&gt;"Ja"),"",COUNTIFS($B$5:B453,B453,$K$5:K453,"Ja"))</f>
        <v/>
      </c>
      <c r="P453" s="137" t="str">
        <f t="shared" ref="P453:P504" si="31">IF(O453="","",TEXT(B453,"yyyy-mm-dd")&amp;"|"&amp;O453)</f>
        <v/>
      </c>
    </row>
    <row r="454" spans="1:16" ht="13">
      <c r="A454" s="31" t="str">
        <f>IF('IMPORT PROFIXIO'!A454="","",'IMPORT PROFIXIO'!A454)</f>
        <v/>
      </c>
      <c r="B454" s="32" t="str">
        <f>IF(A454="","",IF(ISNUMBER('IMPORT PROFIXIO'!D454),'IMPORT PROFIXIO'!D454,DATEVALUE('IMPORT PROFIXIO'!D454)))</f>
        <v/>
      </c>
      <c r="C454" s="33" t="str">
        <f>IF(A454="","",IF(ISNUMBER('IMPORT PROFIXIO'!E454),'IMPORT PROFIXIO'!E454,(VALUE(LEFT('IMPORT PROFIXIO'!E454,FIND(":",'IMPORT PROFIXIO'!E454)-1))*60+VALUE(MID('IMPORT PROFIXIO'!E454,FIND(":",'IMPORT PROFIXIO'!E454)+1,2)))/1440))</f>
        <v/>
      </c>
      <c r="D454" s="31" t="str">
        <f>IF(A454="","",'IMPORT PROFIXIO'!F454)</f>
        <v/>
      </c>
      <c r="E454" s="31" t="str">
        <f>IF(A454="","",'IMPORT PROFIXIO'!K454)</f>
        <v/>
      </c>
      <c r="F454" s="34" t="str">
        <f>IF(A454="","",IFERROR(VLOOKUP(E454,KLASSNING!$A$5:$F$74,2,FALSE()),"SAKNAS"))</f>
        <v/>
      </c>
      <c r="G454" s="34" t="str">
        <f>IF(A454="","",IFERROR(VLOOKUP(E454,KLASSNING!$A$5:$F$74,3,FALSE()),"SAKNAS"))</f>
        <v/>
      </c>
      <c r="H454" s="34" t="str">
        <f>IF(A454="","",'IMPORT PROFIXIO'!H454)</f>
        <v/>
      </c>
      <c r="I454" s="34" t="str">
        <f>IF(A454="","",'IMPORT PROFIXIO'!I454)</f>
        <v/>
      </c>
      <c r="J454" s="34" t="str">
        <f t="shared" si="28"/>
        <v/>
      </c>
      <c r="K454" s="34" t="str">
        <f t="shared" si="29"/>
        <v/>
      </c>
      <c r="L454" s="34" t="str">
        <f>IF(A454="","",IFERROR(VLOOKUP(E454,KLASSNING!$A$5:$F$74,5,FALSE()),0))</f>
        <v/>
      </c>
      <c r="M454" s="35" t="str">
        <f t="shared" si="30"/>
        <v/>
      </c>
      <c r="N454" s="34" t="str">
        <f>IF(A454="","",IF(K454&lt;&gt;"Ja","Ej aktuell",IF(L454&lt;=0,"KONTROLLERA MATCHTID",IF(AND(COUNTIFS(BEMANNINGSPLAN!$A$5:$A$546,B454,BEMANNINGSPLAN!$C$5:$C$546,D454,BEMANNINGSPLAN!$D$5:$D$546,"&lt;="&amp;C454,BEMANNINGSPLAN!$E$5:$E$546,"&gt;"&amp;C454)&gt;0,COUNTIFS(BEMANNINGSPLAN!$A$5:$A$546,B454,BEMANNINGSPLAN!$C$5:$C$546,D454,BEMANNINGSPLAN!$D$5:$D$546,"&lt;"&amp;M454,BEMANNINGSPLAN!$E$5:$E$546,"&gt;="&amp;M454)&gt;0),"Ja","SAKNAS TIDSRADER"))))</f>
        <v/>
      </c>
      <c r="O454" s="137" t="str">
        <f>IF(OR(B454="",K454&lt;&gt;"Ja"),"",COUNTIFS($B$5:B454,B454,$K$5:K454,"Ja"))</f>
        <v/>
      </c>
      <c r="P454" s="137" t="str">
        <f t="shared" si="31"/>
        <v/>
      </c>
    </row>
    <row r="455" spans="1:16" ht="13">
      <c r="A455" s="31" t="str">
        <f>IF('IMPORT PROFIXIO'!A455="","",'IMPORT PROFIXIO'!A455)</f>
        <v/>
      </c>
      <c r="B455" s="32" t="str">
        <f>IF(A455="","",IF(ISNUMBER('IMPORT PROFIXIO'!D455),'IMPORT PROFIXIO'!D455,DATEVALUE('IMPORT PROFIXIO'!D455)))</f>
        <v/>
      </c>
      <c r="C455" s="33" t="str">
        <f>IF(A455="","",IF(ISNUMBER('IMPORT PROFIXIO'!E455),'IMPORT PROFIXIO'!E455,(VALUE(LEFT('IMPORT PROFIXIO'!E455,FIND(":",'IMPORT PROFIXIO'!E455)-1))*60+VALUE(MID('IMPORT PROFIXIO'!E455,FIND(":",'IMPORT PROFIXIO'!E455)+1,2)))/1440))</f>
        <v/>
      </c>
      <c r="D455" s="31" t="str">
        <f>IF(A455="","",'IMPORT PROFIXIO'!F455)</f>
        <v/>
      </c>
      <c r="E455" s="31" t="str">
        <f>IF(A455="","",'IMPORT PROFIXIO'!K455)</f>
        <v/>
      </c>
      <c r="F455" s="34" t="str">
        <f>IF(A455="","",IFERROR(VLOOKUP(E455,KLASSNING!$A$5:$F$74,2,FALSE()),"SAKNAS"))</f>
        <v/>
      </c>
      <c r="G455" s="34" t="str">
        <f>IF(A455="","",IFERROR(VLOOKUP(E455,KLASSNING!$A$5:$F$74,3,FALSE()),"SAKNAS"))</f>
        <v/>
      </c>
      <c r="H455" s="34" t="str">
        <f>IF(A455="","",'IMPORT PROFIXIO'!H455)</f>
        <v/>
      </c>
      <c r="I455" s="34" t="str">
        <f>IF(A455="","",'IMPORT PROFIXIO'!I455)</f>
        <v/>
      </c>
      <c r="J455" s="34" t="str">
        <f t="shared" si="28"/>
        <v/>
      </c>
      <c r="K455" s="34" t="str">
        <f t="shared" si="29"/>
        <v/>
      </c>
      <c r="L455" s="34" t="str">
        <f>IF(A455="","",IFERROR(VLOOKUP(E455,KLASSNING!$A$5:$F$74,5,FALSE()),0))</f>
        <v/>
      </c>
      <c r="M455" s="35" t="str">
        <f t="shared" si="30"/>
        <v/>
      </c>
      <c r="N455" s="34" t="str">
        <f>IF(A455="","",IF(K455&lt;&gt;"Ja","Ej aktuell",IF(L455&lt;=0,"KONTROLLERA MATCHTID",IF(AND(COUNTIFS(BEMANNINGSPLAN!$A$5:$A$546,B455,BEMANNINGSPLAN!$C$5:$C$546,D455,BEMANNINGSPLAN!$D$5:$D$546,"&lt;="&amp;C455,BEMANNINGSPLAN!$E$5:$E$546,"&gt;"&amp;C455)&gt;0,COUNTIFS(BEMANNINGSPLAN!$A$5:$A$546,B455,BEMANNINGSPLAN!$C$5:$C$546,D455,BEMANNINGSPLAN!$D$5:$D$546,"&lt;"&amp;M455,BEMANNINGSPLAN!$E$5:$E$546,"&gt;="&amp;M455)&gt;0),"Ja","SAKNAS TIDSRADER"))))</f>
        <v/>
      </c>
      <c r="O455" s="137" t="str">
        <f>IF(OR(B455="",K455&lt;&gt;"Ja"),"",COUNTIFS($B$5:B455,B455,$K$5:K455,"Ja"))</f>
        <v/>
      </c>
      <c r="P455" s="137" t="str">
        <f t="shared" si="31"/>
        <v/>
      </c>
    </row>
    <row r="456" spans="1:16" ht="13">
      <c r="A456" s="31" t="str">
        <f>IF('IMPORT PROFIXIO'!A456="","",'IMPORT PROFIXIO'!A456)</f>
        <v/>
      </c>
      <c r="B456" s="32" t="str">
        <f>IF(A456="","",IF(ISNUMBER('IMPORT PROFIXIO'!D456),'IMPORT PROFIXIO'!D456,DATEVALUE('IMPORT PROFIXIO'!D456)))</f>
        <v/>
      </c>
      <c r="C456" s="33" t="str">
        <f>IF(A456="","",IF(ISNUMBER('IMPORT PROFIXIO'!E456),'IMPORT PROFIXIO'!E456,(VALUE(LEFT('IMPORT PROFIXIO'!E456,FIND(":",'IMPORT PROFIXIO'!E456)-1))*60+VALUE(MID('IMPORT PROFIXIO'!E456,FIND(":",'IMPORT PROFIXIO'!E456)+1,2)))/1440))</f>
        <v/>
      </c>
      <c r="D456" s="31" t="str">
        <f>IF(A456="","",'IMPORT PROFIXIO'!F456)</f>
        <v/>
      </c>
      <c r="E456" s="31" t="str">
        <f>IF(A456="","",'IMPORT PROFIXIO'!K456)</f>
        <v/>
      </c>
      <c r="F456" s="34" t="str">
        <f>IF(A456="","",IFERROR(VLOOKUP(E456,KLASSNING!$A$5:$F$74,2,FALSE()),"SAKNAS"))</f>
        <v/>
      </c>
      <c r="G456" s="34" t="str">
        <f>IF(A456="","",IFERROR(VLOOKUP(E456,KLASSNING!$A$5:$F$74,3,FALSE()),"SAKNAS"))</f>
        <v/>
      </c>
      <c r="H456" s="34" t="str">
        <f>IF(A456="","",'IMPORT PROFIXIO'!H456)</f>
        <v/>
      </c>
      <c r="I456" s="34" t="str">
        <f>IF(A456="","",'IMPORT PROFIXIO'!I456)</f>
        <v/>
      </c>
      <c r="J456" s="34" t="str">
        <f t="shared" si="28"/>
        <v/>
      </c>
      <c r="K456" s="34" t="str">
        <f t="shared" si="29"/>
        <v/>
      </c>
      <c r="L456" s="34" t="str">
        <f>IF(A456="","",IFERROR(VLOOKUP(E456,KLASSNING!$A$5:$F$74,5,FALSE()),0))</f>
        <v/>
      </c>
      <c r="M456" s="35" t="str">
        <f t="shared" si="30"/>
        <v/>
      </c>
      <c r="N456" s="34" t="str">
        <f>IF(A456="","",IF(K456&lt;&gt;"Ja","Ej aktuell",IF(L456&lt;=0,"KONTROLLERA MATCHTID",IF(AND(COUNTIFS(BEMANNINGSPLAN!$A$5:$A$546,B456,BEMANNINGSPLAN!$C$5:$C$546,D456,BEMANNINGSPLAN!$D$5:$D$546,"&lt;="&amp;C456,BEMANNINGSPLAN!$E$5:$E$546,"&gt;"&amp;C456)&gt;0,COUNTIFS(BEMANNINGSPLAN!$A$5:$A$546,B456,BEMANNINGSPLAN!$C$5:$C$546,D456,BEMANNINGSPLAN!$D$5:$D$546,"&lt;"&amp;M456,BEMANNINGSPLAN!$E$5:$E$546,"&gt;="&amp;M456)&gt;0),"Ja","SAKNAS TIDSRADER"))))</f>
        <v/>
      </c>
      <c r="O456" s="137" t="str">
        <f>IF(OR(B456="",K456&lt;&gt;"Ja"),"",COUNTIFS($B$5:B456,B456,$K$5:K456,"Ja"))</f>
        <v/>
      </c>
      <c r="P456" s="137" t="str">
        <f t="shared" si="31"/>
        <v/>
      </c>
    </row>
    <row r="457" spans="1:16" ht="13">
      <c r="A457" s="31" t="str">
        <f>IF('IMPORT PROFIXIO'!A457="","",'IMPORT PROFIXIO'!A457)</f>
        <v/>
      </c>
      <c r="B457" s="32" t="str">
        <f>IF(A457="","",IF(ISNUMBER('IMPORT PROFIXIO'!D457),'IMPORT PROFIXIO'!D457,DATEVALUE('IMPORT PROFIXIO'!D457)))</f>
        <v/>
      </c>
      <c r="C457" s="33" t="str">
        <f>IF(A457="","",IF(ISNUMBER('IMPORT PROFIXIO'!E457),'IMPORT PROFIXIO'!E457,(VALUE(LEFT('IMPORT PROFIXIO'!E457,FIND(":",'IMPORT PROFIXIO'!E457)-1))*60+VALUE(MID('IMPORT PROFIXIO'!E457,FIND(":",'IMPORT PROFIXIO'!E457)+1,2)))/1440))</f>
        <v/>
      </c>
      <c r="D457" s="31" t="str">
        <f>IF(A457="","",'IMPORT PROFIXIO'!F457)</f>
        <v/>
      </c>
      <c r="E457" s="31" t="str">
        <f>IF(A457="","",'IMPORT PROFIXIO'!K457)</f>
        <v/>
      </c>
      <c r="F457" s="34" t="str">
        <f>IF(A457="","",IFERROR(VLOOKUP(E457,KLASSNING!$A$5:$F$74,2,FALSE()),"SAKNAS"))</f>
        <v/>
      </c>
      <c r="G457" s="34" t="str">
        <f>IF(A457="","",IFERROR(VLOOKUP(E457,KLASSNING!$A$5:$F$74,3,FALSE()),"SAKNAS"))</f>
        <v/>
      </c>
      <c r="H457" s="34" t="str">
        <f>IF(A457="","",'IMPORT PROFIXIO'!H457)</f>
        <v/>
      </c>
      <c r="I457" s="34" t="str">
        <f>IF(A457="","",'IMPORT PROFIXIO'!I457)</f>
        <v/>
      </c>
      <c r="J457" s="34" t="str">
        <f t="shared" si="28"/>
        <v/>
      </c>
      <c r="K457" s="34" t="str">
        <f t="shared" si="29"/>
        <v/>
      </c>
      <c r="L457" s="34" t="str">
        <f>IF(A457="","",IFERROR(VLOOKUP(E457,KLASSNING!$A$5:$F$74,5,FALSE()),0))</f>
        <v/>
      </c>
      <c r="M457" s="35" t="str">
        <f t="shared" si="30"/>
        <v/>
      </c>
      <c r="N457" s="34" t="str">
        <f>IF(A457="","",IF(K457&lt;&gt;"Ja","Ej aktuell",IF(L457&lt;=0,"KONTROLLERA MATCHTID",IF(AND(COUNTIFS(BEMANNINGSPLAN!$A$5:$A$546,B457,BEMANNINGSPLAN!$C$5:$C$546,D457,BEMANNINGSPLAN!$D$5:$D$546,"&lt;="&amp;C457,BEMANNINGSPLAN!$E$5:$E$546,"&gt;"&amp;C457)&gt;0,COUNTIFS(BEMANNINGSPLAN!$A$5:$A$546,B457,BEMANNINGSPLAN!$C$5:$C$546,D457,BEMANNINGSPLAN!$D$5:$D$546,"&lt;"&amp;M457,BEMANNINGSPLAN!$E$5:$E$546,"&gt;="&amp;M457)&gt;0),"Ja","SAKNAS TIDSRADER"))))</f>
        <v/>
      </c>
      <c r="O457" s="137" t="str">
        <f>IF(OR(B457="",K457&lt;&gt;"Ja"),"",COUNTIFS($B$5:B457,B457,$K$5:K457,"Ja"))</f>
        <v/>
      </c>
      <c r="P457" s="137" t="str">
        <f t="shared" si="31"/>
        <v/>
      </c>
    </row>
    <row r="458" spans="1:16" ht="13">
      <c r="A458" s="31" t="str">
        <f>IF('IMPORT PROFIXIO'!A458="","",'IMPORT PROFIXIO'!A458)</f>
        <v/>
      </c>
      <c r="B458" s="32" t="str">
        <f>IF(A458="","",IF(ISNUMBER('IMPORT PROFIXIO'!D458),'IMPORT PROFIXIO'!D458,DATEVALUE('IMPORT PROFIXIO'!D458)))</f>
        <v/>
      </c>
      <c r="C458" s="33" t="str">
        <f>IF(A458="","",IF(ISNUMBER('IMPORT PROFIXIO'!E458),'IMPORT PROFIXIO'!E458,(VALUE(LEFT('IMPORT PROFIXIO'!E458,FIND(":",'IMPORT PROFIXIO'!E458)-1))*60+VALUE(MID('IMPORT PROFIXIO'!E458,FIND(":",'IMPORT PROFIXIO'!E458)+1,2)))/1440))</f>
        <v/>
      </c>
      <c r="D458" s="31" t="str">
        <f>IF(A458="","",'IMPORT PROFIXIO'!F458)</f>
        <v/>
      </c>
      <c r="E458" s="31" t="str">
        <f>IF(A458="","",'IMPORT PROFIXIO'!K458)</f>
        <v/>
      </c>
      <c r="F458" s="34" t="str">
        <f>IF(A458="","",IFERROR(VLOOKUP(E458,KLASSNING!$A$5:$F$74,2,FALSE()),"SAKNAS"))</f>
        <v/>
      </c>
      <c r="G458" s="34" t="str">
        <f>IF(A458="","",IFERROR(VLOOKUP(E458,KLASSNING!$A$5:$F$74,3,FALSE()),"SAKNAS"))</f>
        <v/>
      </c>
      <c r="H458" s="34" t="str">
        <f>IF(A458="","",'IMPORT PROFIXIO'!H458)</f>
        <v/>
      </c>
      <c r="I458" s="34" t="str">
        <f>IF(A458="","",'IMPORT PROFIXIO'!I458)</f>
        <v/>
      </c>
      <c r="J458" s="34" t="str">
        <f t="shared" si="28"/>
        <v/>
      </c>
      <c r="K458" s="34" t="str">
        <f t="shared" si="29"/>
        <v/>
      </c>
      <c r="L458" s="34" t="str">
        <f>IF(A458="","",IFERROR(VLOOKUP(E458,KLASSNING!$A$5:$F$74,5,FALSE()),0))</f>
        <v/>
      </c>
      <c r="M458" s="35" t="str">
        <f t="shared" si="30"/>
        <v/>
      </c>
      <c r="N458" s="34" t="str">
        <f>IF(A458="","",IF(K458&lt;&gt;"Ja","Ej aktuell",IF(L458&lt;=0,"KONTROLLERA MATCHTID",IF(AND(COUNTIFS(BEMANNINGSPLAN!$A$5:$A$546,B458,BEMANNINGSPLAN!$C$5:$C$546,D458,BEMANNINGSPLAN!$D$5:$D$546,"&lt;="&amp;C458,BEMANNINGSPLAN!$E$5:$E$546,"&gt;"&amp;C458)&gt;0,COUNTIFS(BEMANNINGSPLAN!$A$5:$A$546,B458,BEMANNINGSPLAN!$C$5:$C$546,D458,BEMANNINGSPLAN!$D$5:$D$546,"&lt;"&amp;M458,BEMANNINGSPLAN!$E$5:$E$546,"&gt;="&amp;M458)&gt;0),"Ja","SAKNAS TIDSRADER"))))</f>
        <v/>
      </c>
      <c r="O458" s="137" t="str">
        <f>IF(OR(B458="",K458&lt;&gt;"Ja"),"",COUNTIFS($B$5:B458,B458,$K$5:K458,"Ja"))</f>
        <v/>
      </c>
      <c r="P458" s="137" t="str">
        <f t="shared" si="31"/>
        <v/>
      </c>
    </row>
    <row r="459" spans="1:16" ht="13">
      <c r="A459" s="31" t="str">
        <f>IF('IMPORT PROFIXIO'!A459="","",'IMPORT PROFIXIO'!A459)</f>
        <v/>
      </c>
      <c r="B459" s="32" t="str">
        <f>IF(A459="","",IF(ISNUMBER('IMPORT PROFIXIO'!D459),'IMPORT PROFIXIO'!D459,DATEVALUE('IMPORT PROFIXIO'!D459)))</f>
        <v/>
      </c>
      <c r="C459" s="33" t="str">
        <f>IF(A459="","",IF(ISNUMBER('IMPORT PROFIXIO'!E459),'IMPORT PROFIXIO'!E459,(VALUE(LEFT('IMPORT PROFIXIO'!E459,FIND(":",'IMPORT PROFIXIO'!E459)-1))*60+VALUE(MID('IMPORT PROFIXIO'!E459,FIND(":",'IMPORT PROFIXIO'!E459)+1,2)))/1440))</f>
        <v/>
      </c>
      <c r="D459" s="31" t="str">
        <f>IF(A459="","",'IMPORT PROFIXIO'!F459)</f>
        <v/>
      </c>
      <c r="E459" s="31" t="str">
        <f>IF(A459="","",'IMPORT PROFIXIO'!K459)</f>
        <v/>
      </c>
      <c r="F459" s="34" t="str">
        <f>IF(A459="","",IFERROR(VLOOKUP(E459,KLASSNING!$A$5:$F$74,2,FALSE()),"SAKNAS"))</f>
        <v/>
      </c>
      <c r="G459" s="34" t="str">
        <f>IF(A459="","",IFERROR(VLOOKUP(E459,KLASSNING!$A$5:$F$74,3,FALSE()),"SAKNAS"))</f>
        <v/>
      </c>
      <c r="H459" s="34" t="str">
        <f>IF(A459="","",'IMPORT PROFIXIO'!H459)</f>
        <v/>
      </c>
      <c r="I459" s="34" t="str">
        <f>IF(A459="","",'IMPORT PROFIXIO'!I459)</f>
        <v/>
      </c>
      <c r="J459" s="34" t="str">
        <f t="shared" si="28"/>
        <v/>
      </c>
      <c r="K459" s="34" t="str">
        <f t="shared" si="29"/>
        <v/>
      </c>
      <c r="L459" s="34" t="str">
        <f>IF(A459="","",IFERROR(VLOOKUP(E459,KLASSNING!$A$5:$F$74,5,FALSE()),0))</f>
        <v/>
      </c>
      <c r="M459" s="35" t="str">
        <f t="shared" si="30"/>
        <v/>
      </c>
      <c r="N459" s="34" t="str">
        <f>IF(A459="","",IF(K459&lt;&gt;"Ja","Ej aktuell",IF(L459&lt;=0,"KONTROLLERA MATCHTID",IF(AND(COUNTIFS(BEMANNINGSPLAN!$A$5:$A$546,B459,BEMANNINGSPLAN!$C$5:$C$546,D459,BEMANNINGSPLAN!$D$5:$D$546,"&lt;="&amp;C459,BEMANNINGSPLAN!$E$5:$E$546,"&gt;"&amp;C459)&gt;0,COUNTIFS(BEMANNINGSPLAN!$A$5:$A$546,B459,BEMANNINGSPLAN!$C$5:$C$546,D459,BEMANNINGSPLAN!$D$5:$D$546,"&lt;"&amp;M459,BEMANNINGSPLAN!$E$5:$E$546,"&gt;="&amp;M459)&gt;0),"Ja","SAKNAS TIDSRADER"))))</f>
        <v/>
      </c>
      <c r="O459" s="137" t="str">
        <f>IF(OR(B459="",K459&lt;&gt;"Ja"),"",COUNTIFS($B$5:B459,B459,$K$5:K459,"Ja"))</f>
        <v/>
      </c>
      <c r="P459" s="137" t="str">
        <f t="shared" si="31"/>
        <v/>
      </c>
    </row>
    <row r="460" spans="1:16" ht="13">
      <c r="A460" s="31" t="str">
        <f>IF('IMPORT PROFIXIO'!A460="","",'IMPORT PROFIXIO'!A460)</f>
        <v/>
      </c>
      <c r="B460" s="32" t="str">
        <f>IF(A460="","",IF(ISNUMBER('IMPORT PROFIXIO'!D460),'IMPORT PROFIXIO'!D460,DATEVALUE('IMPORT PROFIXIO'!D460)))</f>
        <v/>
      </c>
      <c r="C460" s="33" t="str">
        <f>IF(A460="","",IF(ISNUMBER('IMPORT PROFIXIO'!E460),'IMPORT PROFIXIO'!E460,(VALUE(LEFT('IMPORT PROFIXIO'!E460,FIND(":",'IMPORT PROFIXIO'!E460)-1))*60+VALUE(MID('IMPORT PROFIXIO'!E460,FIND(":",'IMPORT PROFIXIO'!E460)+1,2)))/1440))</f>
        <v/>
      </c>
      <c r="D460" s="31" t="str">
        <f>IF(A460="","",'IMPORT PROFIXIO'!F460)</f>
        <v/>
      </c>
      <c r="E460" s="31" t="str">
        <f>IF(A460="","",'IMPORT PROFIXIO'!K460)</f>
        <v/>
      </c>
      <c r="F460" s="34" t="str">
        <f>IF(A460="","",IFERROR(VLOOKUP(E460,KLASSNING!$A$5:$F$74,2,FALSE()),"SAKNAS"))</f>
        <v/>
      </c>
      <c r="G460" s="34" t="str">
        <f>IF(A460="","",IFERROR(VLOOKUP(E460,KLASSNING!$A$5:$F$74,3,FALSE()),"SAKNAS"))</f>
        <v/>
      </c>
      <c r="H460" s="34" t="str">
        <f>IF(A460="","",'IMPORT PROFIXIO'!H460)</f>
        <v/>
      </c>
      <c r="I460" s="34" t="str">
        <f>IF(A460="","",'IMPORT PROFIXIO'!I460)</f>
        <v/>
      </c>
      <c r="J460" s="34" t="str">
        <f t="shared" si="28"/>
        <v/>
      </c>
      <c r="K460" s="34" t="str">
        <f t="shared" si="29"/>
        <v/>
      </c>
      <c r="L460" s="34" t="str">
        <f>IF(A460="","",IFERROR(VLOOKUP(E460,KLASSNING!$A$5:$F$74,5,FALSE()),0))</f>
        <v/>
      </c>
      <c r="M460" s="35" t="str">
        <f t="shared" si="30"/>
        <v/>
      </c>
      <c r="N460" s="34" t="str">
        <f>IF(A460="","",IF(K460&lt;&gt;"Ja","Ej aktuell",IF(L460&lt;=0,"KONTROLLERA MATCHTID",IF(AND(COUNTIFS(BEMANNINGSPLAN!$A$5:$A$546,B460,BEMANNINGSPLAN!$C$5:$C$546,D460,BEMANNINGSPLAN!$D$5:$D$546,"&lt;="&amp;C460,BEMANNINGSPLAN!$E$5:$E$546,"&gt;"&amp;C460)&gt;0,COUNTIFS(BEMANNINGSPLAN!$A$5:$A$546,B460,BEMANNINGSPLAN!$C$5:$C$546,D460,BEMANNINGSPLAN!$D$5:$D$546,"&lt;"&amp;M460,BEMANNINGSPLAN!$E$5:$E$546,"&gt;="&amp;M460)&gt;0),"Ja","SAKNAS TIDSRADER"))))</f>
        <v/>
      </c>
      <c r="O460" s="137" t="str">
        <f>IF(OR(B460="",K460&lt;&gt;"Ja"),"",COUNTIFS($B$5:B460,B460,$K$5:K460,"Ja"))</f>
        <v/>
      </c>
      <c r="P460" s="137" t="str">
        <f t="shared" si="31"/>
        <v/>
      </c>
    </row>
    <row r="461" spans="1:16" ht="13">
      <c r="A461" s="31" t="str">
        <f>IF('IMPORT PROFIXIO'!A461="","",'IMPORT PROFIXIO'!A461)</f>
        <v/>
      </c>
      <c r="B461" s="32" t="str">
        <f>IF(A461="","",IF(ISNUMBER('IMPORT PROFIXIO'!D461),'IMPORT PROFIXIO'!D461,DATEVALUE('IMPORT PROFIXIO'!D461)))</f>
        <v/>
      </c>
      <c r="C461" s="33" t="str">
        <f>IF(A461="","",IF(ISNUMBER('IMPORT PROFIXIO'!E461),'IMPORT PROFIXIO'!E461,(VALUE(LEFT('IMPORT PROFIXIO'!E461,FIND(":",'IMPORT PROFIXIO'!E461)-1))*60+VALUE(MID('IMPORT PROFIXIO'!E461,FIND(":",'IMPORT PROFIXIO'!E461)+1,2)))/1440))</f>
        <v/>
      </c>
      <c r="D461" s="31" t="str">
        <f>IF(A461="","",'IMPORT PROFIXIO'!F461)</f>
        <v/>
      </c>
      <c r="E461" s="31" t="str">
        <f>IF(A461="","",'IMPORT PROFIXIO'!K461)</f>
        <v/>
      </c>
      <c r="F461" s="34" t="str">
        <f>IF(A461="","",IFERROR(VLOOKUP(E461,KLASSNING!$A$5:$F$74,2,FALSE()),"SAKNAS"))</f>
        <v/>
      </c>
      <c r="G461" s="34" t="str">
        <f>IF(A461="","",IFERROR(VLOOKUP(E461,KLASSNING!$A$5:$F$74,3,FALSE()),"SAKNAS"))</f>
        <v/>
      </c>
      <c r="H461" s="34" t="str">
        <f>IF(A461="","",'IMPORT PROFIXIO'!H461)</f>
        <v/>
      </c>
      <c r="I461" s="34" t="str">
        <f>IF(A461="","",'IMPORT PROFIXIO'!I461)</f>
        <v/>
      </c>
      <c r="J461" s="34" t="str">
        <f t="shared" si="28"/>
        <v/>
      </c>
      <c r="K461" s="34" t="str">
        <f t="shared" si="29"/>
        <v/>
      </c>
      <c r="L461" s="34" t="str">
        <f>IF(A461="","",IFERROR(VLOOKUP(E461,KLASSNING!$A$5:$F$74,5,FALSE()),0))</f>
        <v/>
      </c>
      <c r="M461" s="35" t="str">
        <f t="shared" si="30"/>
        <v/>
      </c>
      <c r="N461" s="34" t="str">
        <f>IF(A461="","",IF(K461&lt;&gt;"Ja","Ej aktuell",IF(L461&lt;=0,"KONTROLLERA MATCHTID",IF(AND(COUNTIFS(BEMANNINGSPLAN!$A$5:$A$546,B461,BEMANNINGSPLAN!$C$5:$C$546,D461,BEMANNINGSPLAN!$D$5:$D$546,"&lt;="&amp;C461,BEMANNINGSPLAN!$E$5:$E$546,"&gt;"&amp;C461)&gt;0,COUNTIFS(BEMANNINGSPLAN!$A$5:$A$546,B461,BEMANNINGSPLAN!$C$5:$C$546,D461,BEMANNINGSPLAN!$D$5:$D$546,"&lt;"&amp;M461,BEMANNINGSPLAN!$E$5:$E$546,"&gt;="&amp;M461)&gt;0),"Ja","SAKNAS TIDSRADER"))))</f>
        <v/>
      </c>
      <c r="O461" s="137" t="str">
        <f>IF(OR(B461="",K461&lt;&gt;"Ja"),"",COUNTIFS($B$5:B461,B461,$K$5:K461,"Ja"))</f>
        <v/>
      </c>
      <c r="P461" s="137" t="str">
        <f t="shared" si="31"/>
        <v/>
      </c>
    </row>
    <row r="462" spans="1:16" ht="13">
      <c r="A462" s="31" t="str">
        <f>IF('IMPORT PROFIXIO'!A462="","",'IMPORT PROFIXIO'!A462)</f>
        <v/>
      </c>
      <c r="B462" s="32" t="str">
        <f>IF(A462="","",IF(ISNUMBER('IMPORT PROFIXIO'!D462),'IMPORT PROFIXIO'!D462,DATEVALUE('IMPORT PROFIXIO'!D462)))</f>
        <v/>
      </c>
      <c r="C462" s="33" t="str">
        <f>IF(A462="","",IF(ISNUMBER('IMPORT PROFIXIO'!E462),'IMPORT PROFIXIO'!E462,(VALUE(LEFT('IMPORT PROFIXIO'!E462,FIND(":",'IMPORT PROFIXIO'!E462)-1))*60+VALUE(MID('IMPORT PROFIXIO'!E462,FIND(":",'IMPORT PROFIXIO'!E462)+1,2)))/1440))</f>
        <v/>
      </c>
      <c r="D462" s="31" t="str">
        <f>IF(A462="","",'IMPORT PROFIXIO'!F462)</f>
        <v/>
      </c>
      <c r="E462" s="31" t="str">
        <f>IF(A462="","",'IMPORT PROFIXIO'!K462)</f>
        <v/>
      </c>
      <c r="F462" s="34" t="str">
        <f>IF(A462="","",IFERROR(VLOOKUP(E462,KLASSNING!$A$5:$F$74,2,FALSE()),"SAKNAS"))</f>
        <v/>
      </c>
      <c r="G462" s="34" t="str">
        <f>IF(A462="","",IFERROR(VLOOKUP(E462,KLASSNING!$A$5:$F$74,3,FALSE()),"SAKNAS"))</f>
        <v/>
      </c>
      <c r="H462" s="34" t="str">
        <f>IF(A462="","",'IMPORT PROFIXIO'!H462)</f>
        <v/>
      </c>
      <c r="I462" s="34" t="str">
        <f>IF(A462="","",'IMPORT PROFIXIO'!I462)</f>
        <v/>
      </c>
      <c r="J462" s="34" t="str">
        <f t="shared" si="28"/>
        <v/>
      </c>
      <c r="K462" s="34" t="str">
        <f t="shared" si="29"/>
        <v/>
      </c>
      <c r="L462" s="34" t="str">
        <f>IF(A462="","",IFERROR(VLOOKUP(E462,KLASSNING!$A$5:$F$74,5,FALSE()),0))</f>
        <v/>
      </c>
      <c r="M462" s="35" t="str">
        <f t="shared" si="30"/>
        <v/>
      </c>
      <c r="N462" s="34" t="str">
        <f>IF(A462="","",IF(K462&lt;&gt;"Ja","Ej aktuell",IF(L462&lt;=0,"KONTROLLERA MATCHTID",IF(AND(COUNTIFS(BEMANNINGSPLAN!$A$5:$A$546,B462,BEMANNINGSPLAN!$C$5:$C$546,D462,BEMANNINGSPLAN!$D$5:$D$546,"&lt;="&amp;C462,BEMANNINGSPLAN!$E$5:$E$546,"&gt;"&amp;C462)&gt;0,COUNTIFS(BEMANNINGSPLAN!$A$5:$A$546,B462,BEMANNINGSPLAN!$C$5:$C$546,D462,BEMANNINGSPLAN!$D$5:$D$546,"&lt;"&amp;M462,BEMANNINGSPLAN!$E$5:$E$546,"&gt;="&amp;M462)&gt;0),"Ja","SAKNAS TIDSRADER"))))</f>
        <v/>
      </c>
      <c r="O462" s="137" t="str">
        <f>IF(OR(B462="",K462&lt;&gt;"Ja"),"",COUNTIFS($B$5:B462,B462,$K$5:K462,"Ja"))</f>
        <v/>
      </c>
      <c r="P462" s="137" t="str">
        <f t="shared" si="31"/>
        <v/>
      </c>
    </row>
    <row r="463" spans="1:16" ht="13">
      <c r="A463" s="31" t="str">
        <f>IF('IMPORT PROFIXIO'!A463="","",'IMPORT PROFIXIO'!A463)</f>
        <v/>
      </c>
      <c r="B463" s="32" t="str">
        <f>IF(A463="","",IF(ISNUMBER('IMPORT PROFIXIO'!D463),'IMPORT PROFIXIO'!D463,DATEVALUE('IMPORT PROFIXIO'!D463)))</f>
        <v/>
      </c>
      <c r="C463" s="33" t="str">
        <f>IF(A463="","",IF(ISNUMBER('IMPORT PROFIXIO'!E463),'IMPORT PROFIXIO'!E463,(VALUE(LEFT('IMPORT PROFIXIO'!E463,FIND(":",'IMPORT PROFIXIO'!E463)-1))*60+VALUE(MID('IMPORT PROFIXIO'!E463,FIND(":",'IMPORT PROFIXIO'!E463)+1,2)))/1440))</f>
        <v/>
      </c>
      <c r="D463" s="31" t="str">
        <f>IF(A463="","",'IMPORT PROFIXIO'!F463)</f>
        <v/>
      </c>
      <c r="E463" s="31" t="str">
        <f>IF(A463="","",'IMPORT PROFIXIO'!K463)</f>
        <v/>
      </c>
      <c r="F463" s="34" t="str">
        <f>IF(A463="","",IFERROR(VLOOKUP(E463,KLASSNING!$A$5:$F$74,2,FALSE()),"SAKNAS"))</f>
        <v/>
      </c>
      <c r="G463" s="34" t="str">
        <f>IF(A463="","",IFERROR(VLOOKUP(E463,KLASSNING!$A$5:$F$74,3,FALSE()),"SAKNAS"))</f>
        <v/>
      </c>
      <c r="H463" s="34" t="str">
        <f>IF(A463="","",'IMPORT PROFIXIO'!H463)</f>
        <v/>
      </c>
      <c r="I463" s="34" t="str">
        <f>IF(A463="","",'IMPORT PROFIXIO'!I463)</f>
        <v/>
      </c>
      <c r="J463" s="34" t="str">
        <f t="shared" si="28"/>
        <v/>
      </c>
      <c r="K463" s="34" t="str">
        <f t="shared" si="29"/>
        <v/>
      </c>
      <c r="L463" s="34" t="str">
        <f>IF(A463="","",IFERROR(VLOOKUP(E463,KLASSNING!$A$5:$F$74,5,FALSE()),0))</f>
        <v/>
      </c>
      <c r="M463" s="35" t="str">
        <f t="shared" si="30"/>
        <v/>
      </c>
      <c r="N463" s="34" t="str">
        <f>IF(A463="","",IF(K463&lt;&gt;"Ja","Ej aktuell",IF(L463&lt;=0,"KONTROLLERA MATCHTID",IF(AND(COUNTIFS(BEMANNINGSPLAN!$A$5:$A$546,B463,BEMANNINGSPLAN!$C$5:$C$546,D463,BEMANNINGSPLAN!$D$5:$D$546,"&lt;="&amp;C463,BEMANNINGSPLAN!$E$5:$E$546,"&gt;"&amp;C463)&gt;0,COUNTIFS(BEMANNINGSPLAN!$A$5:$A$546,B463,BEMANNINGSPLAN!$C$5:$C$546,D463,BEMANNINGSPLAN!$D$5:$D$546,"&lt;"&amp;M463,BEMANNINGSPLAN!$E$5:$E$546,"&gt;="&amp;M463)&gt;0),"Ja","SAKNAS TIDSRADER"))))</f>
        <v/>
      </c>
      <c r="O463" s="137" t="str">
        <f>IF(OR(B463="",K463&lt;&gt;"Ja"),"",COUNTIFS($B$5:B463,B463,$K$5:K463,"Ja"))</f>
        <v/>
      </c>
      <c r="P463" s="137" t="str">
        <f t="shared" si="31"/>
        <v/>
      </c>
    </row>
    <row r="464" spans="1:16" ht="13">
      <c r="A464" s="31" t="str">
        <f>IF('IMPORT PROFIXIO'!A464="","",'IMPORT PROFIXIO'!A464)</f>
        <v/>
      </c>
      <c r="B464" s="32" t="str">
        <f>IF(A464="","",IF(ISNUMBER('IMPORT PROFIXIO'!D464),'IMPORT PROFIXIO'!D464,DATEVALUE('IMPORT PROFIXIO'!D464)))</f>
        <v/>
      </c>
      <c r="C464" s="33" t="str">
        <f>IF(A464="","",IF(ISNUMBER('IMPORT PROFIXIO'!E464),'IMPORT PROFIXIO'!E464,(VALUE(LEFT('IMPORT PROFIXIO'!E464,FIND(":",'IMPORT PROFIXIO'!E464)-1))*60+VALUE(MID('IMPORT PROFIXIO'!E464,FIND(":",'IMPORT PROFIXIO'!E464)+1,2)))/1440))</f>
        <v/>
      </c>
      <c r="D464" s="31" t="str">
        <f>IF(A464="","",'IMPORT PROFIXIO'!F464)</f>
        <v/>
      </c>
      <c r="E464" s="31" t="str">
        <f>IF(A464="","",'IMPORT PROFIXIO'!K464)</f>
        <v/>
      </c>
      <c r="F464" s="34" t="str">
        <f>IF(A464="","",IFERROR(VLOOKUP(E464,KLASSNING!$A$5:$F$74,2,FALSE()),"SAKNAS"))</f>
        <v/>
      </c>
      <c r="G464" s="34" t="str">
        <f>IF(A464="","",IFERROR(VLOOKUP(E464,KLASSNING!$A$5:$F$74,3,FALSE()),"SAKNAS"))</f>
        <v/>
      </c>
      <c r="H464" s="34" t="str">
        <f>IF(A464="","",'IMPORT PROFIXIO'!H464)</f>
        <v/>
      </c>
      <c r="I464" s="34" t="str">
        <f>IF(A464="","",'IMPORT PROFIXIO'!I464)</f>
        <v/>
      </c>
      <c r="J464" s="34" t="str">
        <f t="shared" si="28"/>
        <v/>
      </c>
      <c r="K464" s="34" t="str">
        <f t="shared" si="29"/>
        <v/>
      </c>
      <c r="L464" s="34" t="str">
        <f>IF(A464="","",IFERROR(VLOOKUP(E464,KLASSNING!$A$5:$F$74,5,FALSE()),0))</f>
        <v/>
      </c>
      <c r="M464" s="35" t="str">
        <f t="shared" si="30"/>
        <v/>
      </c>
      <c r="N464" s="34" t="str">
        <f>IF(A464="","",IF(K464&lt;&gt;"Ja","Ej aktuell",IF(L464&lt;=0,"KONTROLLERA MATCHTID",IF(AND(COUNTIFS(BEMANNINGSPLAN!$A$5:$A$546,B464,BEMANNINGSPLAN!$C$5:$C$546,D464,BEMANNINGSPLAN!$D$5:$D$546,"&lt;="&amp;C464,BEMANNINGSPLAN!$E$5:$E$546,"&gt;"&amp;C464)&gt;0,COUNTIFS(BEMANNINGSPLAN!$A$5:$A$546,B464,BEMANNINGSPLAN!$C$5:$C$546,D464,BEMANNINGSPLAN!$D$5:$D$546,"&lt;"&amp;M464,BEMANNINGSPLAN!$E$5:$E$546,"&gt;="&amp;M464)&gt;0),"Ja","SAKNAS TIDSRADER"))))</f>
        <v/>
      </c>
      <c r="O464" s="137" t="str">
        <f>IF(OR(B464="",K464&lt;&gt;"Ja"),"",COUNTIFS($B$5:B464,B464,$K$5:K464,"Ja"))</f>
        <v/>
      </c>
      <c r="P464" s="137" t="str">
        <f t="shared" si="31"/>
        <v/>
      </c>
    </row>
    <row r="465" spans="1:16" ht="13">
      <c r="A465" s="31" t="str">
        <f>IF('IMPORT PROFIXIO'!A465="","",'IMPORT PROFIXIO'!A465)</f>
        <v/>
      </c>
      <c r="B465" s="32" t="str">
        <f>IF(A465="","",IF(ISNUMBER('IMPORT PROFIXIO'!D465),'IMPORT PROFIXIO'!D465,DATEVALUE('IMPORT PROFIXIO'!D465)))</f>
        <v/>
      </c>
      <c r="C465" s="33" t="str">
        <f>IF(A465="","",IF(ISNUMBER('IMPORT PROFIXIO'!E465),'IMPORT PROFIXIO'!E465,(VALUE(LEFT('IMPORT PROFIXIO'!E465,FIND(":",'IMPORT PROFIXIO'!E465)-1))*60+VALUE(MID('IMPORT PROFIXIO'!E465,FIND(":",'IMPORT PROFIXIO'!E465)+1,2)))/1440))</f>
        <v/>
      </c>
      <c r="D465" s="31" t="str">
        <f>IF(A465="","",'IMPORT PROFIXIO'!F465)</f>
        <v/>
      </c>
      <c r="E465" s="31" t="str">
        <f>IF(A465="","",'IMPORT PROFIXIO'!K465)</f>
        <v/>
      </c>
      <c r="F465" s="34" t="str">
        <f>IF(A465="","",IFERROR(VLOOKUP(E465,KLASSNING!$A$5:$F$74,2,FALSE()),"SAKNAS"))</f>
        <v/>
      </c>
      <c r="G465" s="34" t="str">
        <f>IF(A465="","",IFERROR(VLOOKUP(E465,KLASSNING!$A$5:$F$74,3,FALSE()),"SAKNAS"))</f>
        <v/>
      </c>
      <c r="H465" s="34" t="str">
        <f>IF(A465="","",'IMPORT PROFIXIO'!H465)</f>
        <v/>
      </c>
      <c r="I465" s="34" t="str">
        <f>IF(A465="","",'IMPORT PROFIXIO'!I465)</f>
        <v/>
      </c>
      <c r="J465" s="34" t="str">
        <f t="shared" si="28"/>
        <v/>
      </c>
      <c r="K465" s="34" t="str">
        <f t="shared" si="29"/>
        <v/>
      </c>
      <c r="L465" s="34" t="str">
        <f>IF(A465="","",IFERROR(VLOOKUP(E465,KLASSNING!$A$5:$F$74,5,FALSE()),0))</f>
        <v/>
      </c>
      <c r="M465" s="35" t="str">
        <f t="shared" si="30"/>
        <v/>
      </c>
      <c r="N465" s="34" t="str">
        <f>IF(A465="","",IF(K465&lt;&gt;"Ja","Ej aktuell",IF(L465&lt;=0,"KONTROLLERA MATCHTID",IF(AND(COUNTIFS(BEMANNINGSPLAN!$A$5:$A$546,B465,BEMANNINGSPLAN!$C$5:$C$546,D465,BEMANNINGSPLAN!$D$5:$D$546,"&lt;="&amp;C465,BEMANNINGSPLAN!$E$5:$E$546,"&gt;"&amp;C465)&gt;0,COUNTIFS(BEMANNINGSPLAN!$A$5:$A$546,B465,BEMANNINGSPLAN!$C$5:$C$546,D465,BEMANNINGSPLAN!$D$5:$D$546,"&lt;"&amp;M465,BEMANNINGSPLAN!$E$5:$E$546,"&gt;="&amp;M465)&gt;0),"Ja","SAKNAS TIDSRADER"))))</f>
        <v/>
      </c>
      <c r="O465" s="137" t="str">
        <f>IF(OR(B465="",K465&lt;&gt;"Ja"),"",COUNTIFS($B$5:B465,B465,$K$5:K465,"Ja"))</f>
        <v/>
      </c>
      <c r="P465" s="137" t="str">
        <f t="shared" si="31"/>
        <v/>
      </c>
    </row>
    <row r="466" spans="1:16" ht="13">
      <c r="A466" s="31" t="str">
        <f>IF('IMPORT PROFIXIO'!A466="","",'IMPORT PROFIXIO'!A466)</f>
        <v/>
      </c>
      <c r="B466" s="32" t="str">
        <f>IF(A466="","",IF(ISNUMBER('IMPORT PROFIXIO'!D466),'IMPORT PROFIXIO'!D466,DATEVALUE('IMPORT PROFIXIO'!D466)))</f>
        <v/>
      </c>
      <c r="C466" s="33" t="str">
        <f>IF(A466="","",IF(ISNUMBER('IMPORT PROFIXIO'!E466),'IMPORT PROFIXIO'!E466,(VALUE(LEFT('IMPORT PROFIXIO'!E466,FIND(":",'IMPORT PROFIXIO'!E466)-1))*60+VALUE(MID('IMPORT PROFIXIO'!E466,FIND(":",'IMPORT PROFIXIO'!E466)+1,2)))/1440))</f>
        <v/>
      </c>
      <c r="D466" s="31" t="str">
        <f>IF(A466="","",'IMPORT PROFIXIO'!F466)</f>
        <v/>
      </c>
      <c r="E466" s="31" t="str">
        <f>IF(A466="","",'IMPORT PROFIXIO'!K466)</f>
        <v/>
      </c>
      <c r="F466" s="34" t="str">
        <f>IF(A466="","",IFERROR(VLOOKUP(E466,KLASSNING!$A$5:$F$74,2,FALSE()),"SAKNAS"))</f>
        <v/>
      </c>
      <c r="G466" s="34" t="str">
        <f>IF(A466="","",IFERROR(VLOOKUP(E466,KLASSNING!$A$5:$F$74,3,FALSE()),"SAKNAS"))</f>
        <v/>
      </c>
      <c r="H466" s="34" t="str">
        <f>IF(A466="","",'IMPORT PROFIXIO'!H466)</f>
        <v/>
      </c>
      <c r="I466" s="34" t="str">
        <f>IF(A466="","",'IMPORT PROFIXIO'!I466)</f>
        <v/>
      </c>
      <c r="J466" s="34" t="str">
        <f t="shared" si="28"/>
        <v/>
      </c>
      <c r="K466" s="34" t="str">
        <f t="shared" si="29"/>
        <v/>
      </c>
      <c r="L466" s="34" t="str">
        <f>IF(A466="","",IFERROR(VLOOKUP(E466,KLASSNING!$A$5:$F$74,5,FALSE()),0))</f>
        <v/>
      </c>
      <c r="M466" s="35" t="str">
        <f t="shared" si="30"/>
        <v/>
      </c>
      <c r="N466" s="34" t="str">
        <f>IF(A466="","",IF(K466&lt;&gt;"Ja","Ej aktuell",IF(L466&lt;=0,"KONTROLLERA MATCHTID",IF(AND(COUNTIFS(BEMANNINGSPLAN!$A$5:$A$546,B466,BEMANNINGSPLAN!$C$5:$C$546,D466,BEMANNINGSPLAN!$D$5:$D$546,"&lt;="&amp;C466,BEMANNINGSPLAN!$E$5:$E$546,"&gt;"&amp;C466)&gt;0,COUNTIFS(BEMANNINGSPLAN!$A$5:$A$546,B466,BEMANNINGSPLAN!$C$5:$C$546,D466,BEMANNINGSPLAN!$D$5:$D$546,"&lt;"&amp;M466,BEMANNINGSPLAN!$E$5:$E$546,"&gt;="&amp;M466)&gt;0),"Ja","SAKNAS TIDSRADER"))))</f>
        <v/>
      </c>
      <c r="O466" s="137" t="str">
        <f>IF(OR(B466="",K466&lt;&gt;"Ja"),"",COUNTIFS($B$5:B466,B466,$K$5:K466,"Ja"))</f>
        <v/>
      </c>
      <c r="P466" s="137" t="str">
        <f t="shared" si="31"/>
        <v/>
      </c>
    </row>
    <row r="467" spans="1:16" ht="13">
      <c r="A467" s="31" t="str">
        <f>IF('IMPORT PROFIXIO'!A467="","",'IMPORT PROFIXIO'!A467)</f>
        <v/>
      </c>
      <c r="B467" s="32" t="str">
        <f>IF(A467="","",IF(ISNUMBER('IMPORT PROFIXIO'!D467),'IMPORT PROFIXIO'!D467,DATEVALUE('IMPORT PROFIXIO'!D467)))</f>
        <v/>
      </c>
      <c r="C467" s="33" t="str">
        <f>IF(A467="","",IF(ISNUMBER('IMPORT PROFIXIO'!E467),'IMPORT PROFIXIO'!E467,(VALUE(LEFT('IMPORT PROFIXIO'!E467,FIND(":",'IMPORT PROFIXIO'!E467)-1))*60+VALUE(MID('IMPORT PROFIXIO'!E467,FIND(":",'IMPORT PROFIXIO'!E467)+1,2)))/1440))</f>
        <v/>
      </c>
      <c r="D467" s="31" t="str">
        <f>IF(A467="","",'IMPORT PROFIXIO'!F467)</f>
        <v/>
      </c>
      <c r="E467" s="31" t="str">
        <f>IF(A467="","",'IMPORT PROFIXIO'!K467)</f>
        <v/>
      </c>
      <c r="F467" s="34" t="str">
        <f>IF(A467="","",IFERROR(VLOOKUP(E467,KLASSNING!$A$5:$F$74,2,FALSE()),"SAKNAS"))</f>
        <v/>
      </c>
      <c r="G467" s="34" t="str">
        <f>IF(A467="","",IFERROR(VLOOKUP(E467,KLASSNING!$A$5:$F$74,3,FALSE()),"SAKNAS"))</f>
        <v/>
      </c>
      <c r="H467" s="34" t="str">
        <f>IF(A467="","",'IMPORT PROFIXIO'!H467)</f>
        <v/>
      </c>
      <c r="I467" s="34" t="str">
        <f>IF(A467="","",'IMPORT PROFIXIO'!I467)</f>
        <v/>
      </c>
      <c r="J467" s="34" t="str">
        <f t="shared" si="28"/>
        <v/>
      </c>
      <c r="K467" s="34" t="str">
        <f t="shared" si="29"/>
        <v/>
      </c>
      <c r="L467" s="34" t="str">
        <f>IF(A467="","",IFERROR(VLOOKUP(E467,KLASSNING!$A$5:$F$74,5,FALSE()),0))</f>
        <v/>
      </c>
      <c r="M467" s="35" t="str">
        <f t="shared" si="30"/>
        <v/>
      </c>
      <c r="N467" s="34" t="str">
        <f>IF(A467="","",IF(K467&lt;&gt;"Ja","Ej aktuell",IF(L467&lt;=0,"KONTROLLERA MATCHTID",IF(AND(COUNTIFS(BEMANNINGSPLAN!$A$5:$A$546,B467,BEMANNINGSPLAN!$C$5:$C$546,D467,BEMANNINGSPLAN!$D$5:$D$546,"&lt;="&amp;C467,BEMANNINGSPLAN!$E$5:$E$546,"&gt;"&amp;C467)&gt;0,COUNTIFS(BEMANNINGSPLAN!$A$5:$A$546,B467,BEMANNINGSPLAN!$C$5:$C$546,D467,BEMANNINGSPLAN!$D$5:$D$546,"&lt;"&amp;M467,BEMANNINGSPLAN!$E$5:$E$546,"&gt;="&amp;M467)&gt;0),"Ja","SAKNAS TIDSRADER"))))</f>
        <v/>
      </c>
      <c r="O467" s="137" t="str">
        <f>IF(OR(B467="",K467&lt;&gt;"Ja"),"",COUNTIFS($B$5:B467,B467,$K$5:K467,"Ja"))</f>
        <v/>
      </c>
      <c r="P467" s="137" t="str">
        <f t="shared" si="31"/>
        <v/>
      </c>
    </row>
    <row r="468" spans="1:16" ht="13">
      <c r="A468" s="31" t="str">
        <f>IF('IMPORT PROFIXIO'!A468="","",'IMPORT PROFIXIO'!A468)</f>
        <v/>
      </c>
      <c r="B468" s="32" t="str">
        <f>IF(A468="","",IF(ISNUMBER('IMPORT PROFIXIO'!D468),'IMPORT PROFIXIO'!D468,DATEVALUE('IMPORT PROFIXIO'!D468)))</f>
        <v/>
      </c>
      <c r="C468" s="33" t="str">
        <f>IF(A468="","",IF(ISNUMBER('IMPORT PROFIXIO'!E468),'IMPORT PROFIXIO'!E468,(VALUE(LEFT('IMPORT PROFIXIO'!E468,FIND(":",'IMPORT PROFIXIO'!E468)-1))*60+VALUE(MID('IMPORT PROFIXIO'!E468,FIND(":",'IMPORT PROFIXIO'!E468)+1,2)))/1440))</f>
        <v/>
      </c>
      <c r="D468" s="31" t="str">
        <f>IF(A468="","",'IMPORT PROFIXIO'!F468)</f>
        <v/>
      </c>
      <c r="E468" s="31" t="str">
        <f>IF(A468="","",'IMPORT PROFIXIO'!K468)</f>
        <v/>
      </c>
      <c r="F468" s="34" t="str">
        <f>IF(A468="","",IFERROR(VLOOKUP(E468,KLASSNING!$A$5:$F$74,2,FALSE()),"SAKNAS"))</f>
        <v/>
      </c>
      <c r="G468" s="34" t="str">
        <f>IF(A468="","",IFERROR(VLOOKUP(E468,KLASSNING!$A$5:$F$74,3,FALSE()),"SAKNAS"))</f>
        <v/>
      </c>
      <c r="H468" s="34" t="str">
        <f>IF(A468="","",'IMPORT PROFIXIO'!H468)</f>
        <v/>
      </c>
      <c r="I468" s="34" t="str">
        <f>IF(A468="","",'IMPORT PROFIXIO'!I468)</f>
        <v/>
      </c>
      <c r="J468" s="34" t="str">
        <f t="shared" si="28"/>
        <v/>
      </c>
      <c r="K468" s="34" t="str">
        <f t="shared" si="29"/>
        <v/>
      </c>
      <c r="L468" s="34" t="str">
        <f>IF(A468="","",IFERROR(VLOOKUP(E468,KLASSNING!$A$5:$F$74,5,FALSE()),0))</f>
        <v/>
      </c>
      <c r="M468" s="35" t="str">
        <f t="shared" si="30"/>
        <v/>
      </c>
      <c r="N468" s="34" t="str">
        <f>IF(A468="","",IF(K468&lt;&gt;"Ja","Ej aktuell",IF(L468&lt;=0,"KONTROLLERA MATCHTID",IF(AND(COUNTIFS(BEMANNINGSPLAN!$A$5:$A$546,B468,BEMANNINGSPLAN!$C$5:$C$546,D468,BEMANNINGSPLAN!$D$5:$D$546,"&lt;="&amp;C468,BEMANNINGSPLAN!$E$5:$E$546,"&gt;"&amp;C468)&gt;0,COUNTIFS(BEMANNINGSPLAN!$A$5:$A$546,B468,BEMANNINGSPLAN!$C$5:$C$546,D468,BEMANNINGSPLAN!$D$5:$D$546,"&lt;"&amp;M468,BEMANNINGSPLAN!$E$5:$E$546,"&gt;="&amp;M468)&gt;0),"Ja","SAKNAS TIDSRADER"))))</f>
        <v/>
      </c>
      <c r="O468" s="137" t="str">
        <f>IF(OR(B468="",K468&lt;&gt;"Ja"),"",COUNTIFS($B$5:B468,B468,$K$5:K468,"Ja"))</f>
        <v/>
      </c>
      <c r="P468" s="137" t="str">
        <f t="shared" si="31"/>
        <v/>
      </c>
    </row>
    <row r="469" spans="1:16" ht="13">
      <c r="A469" s="31" t="str">
        <f>IF('IMPORT PROFIXIO'!A469="","",'IMPORT PROFIXIO'!A469)</f>
        <v/>
      </c>
      <c r="B469" s="32" t="str">
        <f>IF(A469="","",IF(ISNUMBER('IMPORT PROFIXIO'!D469),'IMPORT PROFIXIO'!D469,DATEVALUE('IMPORT PROFIXIO'!D469)))</f>
        <v/>
      </c>
      <c r="C469" s="33" t="str">
        <f>IF(A469="","",IF(ISNUMBER('IMPORT PROFIXIO'!E469),'IMPORT PROFIXIO'!E469,(VALUE(LEFT('IMPORT PROFIXIO'!E469,FIND(":",'IMPORT PROFIXIO'!E469)-1))*60+VALUE(MID('IMPORT PROFIXIO'!E469,FIND(":",'IMPORT PROFIXIO'!E469)+1,2)))/1440))</f>
        <v/>
      </c>
      <c r="D469" s="31" t="str">
        <f>IF(A469="","",'IMPORT PROFIXIO'!F469)</f>
        <v/>
      </c>
      <c r="E469" s="31" t="str">
        <f>IF(A469="","",'IMPORT PROFIXIO'!K469)</f>
        <v/>
      </c>
      <c r="F469" s="34" t="str">
        <f>IF(A469="","",IFERROR(VLOOKUP(E469,KLASSNING!$A$5:$F$74,2,FALSE()),"SAKNAS"))</f>
        <v/>
      </c>
      <c r="G469" s="34" t="str">
        <f>IF(A469="","",IFERROR(VLOOKUP(E469,KLASSNING!$A$5:$F$74,3,FALSE()),"SAKNAS"))</f>
        <v/>
      </c>
      <c r="H469" s="34" t="str">
        <f>IF(A469="","",'IMPORT PROFIXIO'!H469)</f>
        <v/>
      </c>
      <c r="I469" s="34" t="str">
        <f>IF(A469="","",'IMPORT PROFIXIO'!I469)</f>
        <v/>
      </c>
      <c r="J469" s="34" t="str">
        <f t="shared" si="28"/>
        <v/>
      </c>
      <c r="K469" s="34" t="str">
        <f t="shared" si="29"/>
        <v/>
      </c>
      <c r="L469" s="34" t="str">
        <f>IF(A469="","",IFERROR(VLOOKUP(E469,KLASSNING!$A$5:$F$74,5,FALSE()),0))</f>
        <v/>
      </c>
      <c r="M469" s="35" t="str">
        <f t="shared" si="30"/>
        <v/>
      </c>
      <c r="N469" s="34" t="str">
        <f>IF(A469="","",IF(K469&lt;&gt;"Ja","Ej aktuell",IF(L469&lt;=0,"KONTROLLERA MATCHTID",IF(AND(COUNTIFS(BEMANNINGSPLAN!$A$5:$A$546,B469,BEMANNINGSPLAN!$C$5:$C$546,D469,BEMANNINGSPLAN!$D$5:$D$546,"&lt;="&amp;C469,BEMANNINGSPLAN!$E$5:$E$546,"&gt;"&amp;C469)&gt;0,COUNTIFS(BEMANNINGSPLAN!$A$5:$A$546,B469,BEMANNINGSPLAN!$C$5:$C$546,D469,BEMANNINGSPLAN!$D$5:$D$546,"&lt;"&amp;M469,BEMANNINGSPLAN!$E$5:$E$546,"&gt;="&amp;M469)&gt;0),"Ja","SAKNAS TIDSRADER"))))</f>
        <v/>
      </c>
      <c r="O469" s="137" t="str">
        <f>IF(OR(B469="",K469&lt;&gt;"Ja"),"",COUNTIFS($B$5:B469,B469,$K$5:K469,"Ja"))</f>
        <v/>
      </c>
      <c r="P469" s="137" t="str">
        <f t="shared" si="31"/>
        <v/>
      </c>
    </row>
    <row r="470" spans="1:16" ht="13">
      <c r="A470" s="31" t="str">
        <f>IF('IMPORT PROFIXIO'!A470="","",'IMPORT PROFIXIO'!A470)</f>
        <v/>
      </c>
      <c r="B470" s="32" t="str">
        <f>IF(A470="","",IF(ISNUMBER('IMPORT PROFIXIO'!D470),'IMPORT PROFIXIO'!D470,DATEVALUE('IMPORT PROFIXIO'!D470)))</f>
        <v/>
      </c>
      <c r="C470" s="33" t="str">
        <f>IF(A470="","",IF(ISNUMBER('IMPORT PROFIXIO'!E470),'IMPORT PROFIXIO'!E470,(VALUE(LEFT('IMPORT PROFIXIO'!E470,FIND(":",'IMPORT PROFIXIO'!E470)-1))*60+VALUE(MID('IMPORT PROFIXIO'!E470,FIND(":",'IMPORT PROFIXIO'!E470)+1,2)))/1440))</f>
        <v/>
      </c>
      <c r="D470" s="31" t="str">
        <f>IF(A470="","",'IMPORT PROFIXIO'!F470)</f>
        <v/>
      </c>
      <c r="E470" s="31" t="str">
        <f>IF(A470="","",'IMPORT PROFIXIO'!K470)</f>
        <v/>
      </c>
      <c r="F470" s="34" t="str">
        <f>IF(A470="","",IFERROR(VLOOKUP(E470,KLASSNING!$A$5:$F$74,2,FALSE()),"SAKNAS"))</f>
        <v/>
      </c>
      <c r="G470" s="34" t="str">
        <f>IF(A470="","",IFERROR(VLOOKUP(E470,KLASSNING!$A$5:$F$74,3,FALSE()),"SAKNAS"))</f>
        <v/>
      </c>
      <c r="H470" s="34" t="str">
        <f>IF(A470="","",'IMPORT PROFIXIO'!H470)</f>
        <v/>
      </c>
      <c r="I470" s="34" t="str">
        <f>IF(A470="","",'IMPORT PROFIXIO'!I470)</f>
        <v/>
      </c>
      <c r="J470" s="34" t="str">
        <f t="shared" si="28"/>
        <v/>
      </c>
      <c r="K470" s="34" t="str">
        <f t="shared" si="29"/>
        <v/>
      </c>
      <c r="L470" s="34" t="str">
        <f>IF(A470="","",IFERROR(VLOOKUP(E470,KLASSNING!$A$5:$F$74,5,FALSE()),0))</f>
        <v/>
      </c>
      <c r="M470" s="35" t="str">
        <f t="shared" si="30"/>
        <v/>
      </c>
      <c r="N470" s="34" t="str">
        <f>IF(A470="","",IF(K470&lt;&gt;"Ja","Ej aktuell",IF(L470&lt;=0,"KONTROLLERA MATCHTID",IF(AND(COUNTIFS(BEMANNINGSPLAN!$A$5:$A$546,B470,BEMANNINGSPLAN!$C$5:$C$546,D470,BEMANNINGSPLAN!$D$5:$D$546,"&lt;="&amp;C470,BEMANNINGSPLAN!$E$5:$E$546,"&gt;"&amp;C470)&gt;0,COUNTIFS(BEMANNINGSPLAN!$A$5:$A$546,B470,BEMANNINGSPLAN!$C$5:$C$546,D470,BEMANNINGSPLAN!$D$5:$D$546,"&lt;"&amp;M470,BEMANNINGSPLAN!$E$5:$E$546,"&gt;="&amp;M470)&gt;0),"Ja","SAKNAS TIDSRADER"))))</f>
        <v/>
      </c>
      <c r="O470" s="137" t="str">
        <f>IF(OR(B470="",K470&lt;&gt;"Ja"),"",COUNTIFS($B$5:B470,B470,$K$5:K470,"Ja"))</f>
        <v/>
      </c>
      <c r="P470" s="137" t="str">
        <f t="shared" si="31"/>
        <v/>
      </c>
    </row>
    <row r="471" spans="1:16" ht="13">
      <c r="A471" s="31" t="str">
        <f>IF('IMPORT PROFIXIO'!A471="","",'IMPORT PROFIXIO'!A471)</f>
        <v/>
      </c>
      <c r="B471" s="32" t="str">
        <f>IF(A471="","",IF(ISNUMBER('IMPORT PROFIXIO'!D471),'IMPORT PROFIXIO'!D471,DATEVALUE('IMPORT PROFIXIO'!D471)))</f>
        <v/>
      </c>
      <c r="C471" s="33" t="str">
        <f>IF(A471="","",IF(ISNUMBER('IMPORT PROFIXIO'!E471),'IMPORT PROFIXIO'!E471,(VALUE(LEFT('IMPORT PROFIXIO'!E471,FIND(":",'IMPORT PROFIXIO'!E471)-1))*60+VALUE(MID('IMPORT PROFIXIO'!E471,FIND(":",'IMPORT PROFIXIO'!E471)+1,2)))/1440))</f>
        <v/>
      </c>
      <c r="D471" s="31" t="str">
        <f>IF(A471="","",'IMPORT PROFIXIO'!F471)</f>
        <v/>
      </c>
      <c r="E471" s="31" t="str">
        <f>IF(A471="","",'IMPORT PROFIXIO'!K471)</f>
        <v/>
      </c>
      <c r="F471" s="34" t="str">
        <f>IF(A471="","",IFERROR(VLOOKUP(E471,KLASSNING!$A$5:$F$74,2,FALSE()),"SAKNAS"))</f>
        <v/>
      </c>
      <c r="G471" s="34" t="str">
        <f>IF(A471="","",IFERROR(VLOOKUP(E471,KLASSNING!$A$5:$F$74,3,FALSE()),"SAKNAS"))</f>
        <v/>
      </c>
      <c r="H471" s="34" t="str">
        <f>IF(A471="","",'IMPORT PROFIXIO'!H471)</f>
        <v/>
      </c>
      <c r="I471" s="34" t="str">
        <f>IF(A471="","",'IMPORT PROFIXIO'!I471)</f>
        <v/>
      </c>
      <c r="J471" s="34" t="str">
        <f t="shared" si="28"/>
        <v/>
      </c>
      <c r="K471" s="34" t="str">
        <f t="shared" si="29"/>
        <v/>
      </c>
      <c r="L471" s="34" t="str">
        <f>IF(A471="","",IFERROR(VLOOKUP(E471,KLASSNING!$A$5:$F$74,5,FALSE()),0))</f>
        <v/>
      </c>
      <c r="M471" s="35" t="str">
        <f t="shared" si="30"/>
        <v/>
      </c>
      <c r="N471" s="34" t="str">
        <f>IF(A471="","",IF(K471&lt;&gt;"Ja","Ej aktuell",IF(L471&lt;=0,"KONTROLLERA MATCHTID",IF(AND(COUNTIFS(BEMANNINGSPLAN!$A$5:$A$546,B471,BEMANNINGSPLAN!$C$5:$C$546,D471,BEMANNINGSPLAN!$D$5:$D$546,"&lt;="&amp;C471,BEMANNINGSPLAN!$E$5:$E$546,"&gt;"&amp;C471)&gt;0,COUNTIFS(BEMANNINGSPLAN!$A$5:$A$546,B471,BEMANNINGSPLAN!$C$5:$C$546,D471,BEMANNINGSPLAN!$D$5:$D$546,"&lt;"&amp;M471,BEMANNINGSPLAN!$E$5:$E$546,"&gt;="&amp;M471)&gt;0),"Ja","SAKNAS TIDSRADER"))))</f>
        <v/>
      </c>
      <c r="O471" s="137" t="str">
        <f>IF(OR(B471="",K471&lt;&gt;"Ja"),"",COUNTIFS($B$5:B471,B471,$K$5:K471,"Ja"))</f>
        <v/>
      </c>
      <c r="P471" s="137" t="str">
        <f t="shared" si="31"/>
        <v/>
      </c>
    </row>
    <row r="472" spans="1:16" ht="13">
      <c r="A472" s="31" t="str">
        <f>IF('IMPORT PROFIXIO'!A472="","",'IMPORT PROFIXIO'!A472)</f>
        <v/>
      </c>
      <c r="B472" s="32" t="str">
        <f>IF(A472="","",IF(ISNUMBER('IMPORT PROFIXIO'!D472),'IMPORT PROFIXIO'!D472,DATEVALUE('IMPORT PROFIXIO'!D472)))</f>
        <v/>
      </c>
      <c r="C472" s="33" t="str">
        <f>IF(A472="","",IF(ISNUMBER('IMPORT PROFIXIO'!E472),'IMPORT PROFIXIO'!E472,(VALUE(LEFT('IMPORT PROFIXIO'!E472,FIND(":",'IMPORT PROFIXIO'!E472)-1))*60+VALUE(MID('IMPORT PROFIXIO'!E472,FIND(":",'IMPORT PROFIXIO'!E472)+1,2)))/1440))</f>
        <v/>
      </c>
      <c r="D472" s="31" t="str">
        <f>IF(A472="","",'IMPORT PROFIXIO'!F472)</f>
        <v/>
      </c>
      <c r="E472" s="31" t="str">
        <f>IF(A472="","",'IMPORT PROFIXIO'!K472)</f>
        <v/>
      </c>
      <c r="F472" s="34" t="str">
        <f>IF(A472="","",IFERROR(VLOOKUP(E472,KLASSNING!$A$5:$F$74,2,FALSE()),"SAKNAS"))</f>
        <v/>
      </c>
      <c r="G472" s="34" t="str">
        <f>IF(A472="","",IFERROR(VLOOKUP(E472,KLASSNING!$A$5:$F$74,3,FALSE()),"SAKNAS"))</f>
        <v/>
      </c>
      <c r="H472" s="34" t="str">
        <f>IF(A472="","",'IMPORT PROFIXIO'!H472)</f>
        <v/>
      </c>
      <c r="I472" s="34" t="str">
        <f>IF(A472="","",'IMPORT PROFIXIO'!I472)</f>
        <v/>
      </c>
      <c r="J472" s="34" t="str">
        <f t="shared" si="28"/>
        <v/>
      </c>
      <c r="K472" s="34" t="str">
        <f t="shared" si="29"/>
        <v/>
      </c>
      <c r="L472" s="34" t="str">
        <f>IF(A472="","",IFERROR(VLOOKUP(E472,KLASSNING!$A$5:$F$74,5,FALSE()),0))</f>
        <v/>
      </c>
      <c r="M472" s="35" t="str">
        <f t="shared" si="30"/>
        <v/>
      </c>
      <c r="N472" s="34" t="str">
        <f>IF(A472="","",IF(K472&lt;&gt;"Ja","Ej aktuell",IF(L472&lt;=0,"KONTROLLERA MATCHTID",IF(AND(COUNTIFS(BEMANNINGSPLAN!$A$5:$A$546,B472,BEMANNINGSPLAN!$C$5:$C$546,D472,BEMANNINGSPLAN!$D$5:$D$546,"&lt;="&amp;C472,BEMANNINGSPLAN!$E$5:$E$546,"&gt;"&amp;C472)&gt;0,COUNTIFS(BEMANNINGSPLAN!$A$5:$A$546,B472,BEMANNINGSPLAN!$C$5:$C$546,D472,BEMANNINGSPLAN!$D$5:$D$546,"&lt;"&amp;M472,BEMANNINGSPLAN!$E$5:$E$546,"&gt;="&amp;M472)&gt;0),"Ja","SAKNAS TIDSRADER"))))</f>
        <v/>
      </c>
      <c r="O472" s="137" t="str">
        <f>IF(OR(B472="",K472&lt;&gt;"Ja"),"",COUNTIFS($B$5:B472,B472,$K$5:K472,"Ja"))</f>
        <v/>
      </c>
      <c r="P472" s="137" t="str">
        <f t="shared" si="31"/>
        <v/>
      </c>
    </row>
    <row r="473" spans="1:16" ht="13">
      <c r="A473" s="31" t="str">
        <f>IF('IMPORT PROFIXIO'!A473="","",'IMPORT PROFIXIO'!A473)</f>
        <v/>
      </c>
      <c r="B473" s="32" t="str">
        <f>IF(A473="","",IF(ISNUMBER('IMPORT PROFIXIO'!D473),'IMPORT PROFIXIO'!D473,DATEVALUE('IMPORT PROFIXIO'!D473)))</f>
        <v/>
      </c>
      <c r="C473" s="33" t="str">
        <f>IF(A473="","",IF(ISNUMBER('IMPORT PROFIXIO'!E473),'IMPORT PROFIXIO'!E473,(VALUE(LEFT('IMPORT PROFIXIO'!E473,FIND(":",'IMPORT PROFIXIO'!E473)-1))*60+VALUE(MID('IMPORT PROFIXIO'!E473,FIND(":",'IMPORT PROFIXIO'!E473)+1,2)))/1440))</f>
        <v/>
      </c>
      <c r="D473" s="31" t="str">
        <f>IF(A473="","",'IMPORT PROFIXIO'!F473)</f>
        <v/>
      </c>
      <c r="E473" s="31" t="str">
        <f>IF(A473="","",'IMPORT PROFIXIO'!K473)</f>
        <v/>
      </c>
      <c r="F473" s="34" t="str">
        <f>IF(A473="","",IFERROR(VLOOKUP(E473,KLASSNING!$A$5:$F$74,2,FALSE()),"SAKNAS"))</f>
        <v/>
      </c>
      <c r="G473" s="34" t="str">
        <f>IF(A473="","",IFERROR(VLOOKUP(E473,KLASSNING!$A$5:$F$74,3,FALSE()),"SAKNAS"))</f>
        <v/>
      </c>
      <c r="H473" s="34" t="str">
        <f>IF(A473="","",'IMPORT PROFIXIO'!H473)</f>
        <v/>
      </c>
      <c r="I473" s="34" t="str">
        <f>IF(A473="","",'IMPORT PROFIXIO'!I473)</f>
        <v/>
      </c>
      <c r="J473" s="34" t="str">
        <f t="shared" si="28"/>
        <v/>
      </c>
      <c r="K473" s="34" t="str">
        <f t="shared" si="29"/>
        <v/>
      </c>
      <c r="L473" s="34" t="str">
        <f>IF(A473="","",IFERROR(VLOOKUP(E473,KLASSNING!$A$5:$F$74,5,FALSE()),0))</f>
        <v/>
      </c>
      <c r="M473" s="35" t="str">
        <f t="shared" si="30"/>
        <v/>
      </c>
      <c r="N473" s="34" t="str">
        <f>IF(A473="","",IF(K473&lt;&gt;"Ja","Ej aktuell",IF(L473&lt;=0,"KONTROLLERA MATCHTID",IF(AND(COUNTIFS(BEMANNINGSPLAN!$A$5:$A$546,B473,BEMANNINGSPLAN!$C$5:$C$546,D473,BEMANNINGSPLAN!$D$5:$D$546,"&lt;="&amp;C473,BEMANNINGSPLAN!$E$5:$E$546,"&gt;"&amp;C473)&gt;0,COUNTIFS(BEMANNINGSPLAN!$A$5:$A$546,B473,BEMANNINGSPLAN!$C$5:$C$546,D473,BEMANNINGSPLAN!$D$5:$D$546,"&lt;"&amp;M473,BEMANNINGSPLAN!$E$5:$E$546,"&gt;="&amp;M473)&gt;0),"Ja","SAKNAS TIDSRADER"))))</f>
        <v/>
      </c>
      <c r="O473" s="137" t="str">
        <f>IF(OR(B473="",K473&lt;&gt;"Ja"),"",COUNTIFS($B$5:B473,B473,$K$5:K473,"Ja"))</f>
        <v/>
      </c>
      <c r="P473" s="137" t="str">
        <f t="shared" si="31"/>
        <v/>
      </c>
    </row>
    <row r="474" spans="1:16" ht="13">
      <c r="A474" s="31" t="str">
        <f>IF('IMPORT PROFIXIO'!A474="","",'IMPORT PROFIXIO'!A474)</f>
        <v/>
      </c>
      <c r="B474" s="32" t="str">
        <f>IF(A474="","",IF(ISNUMBER('IMPORT PROFIXIO'!D474),'IMPORT PROFIXIO'!D474,DATEVALUE('IMPORT PROFIXIO'!D474)))</f>
        <v/>
      </c>
      <c r="C474" s="33" t="str">
        <f>IF(A474="","",IF(ISNUMBER('IMPORT PROFIXIO'!E474),'IMPORT PROFIXIO'!E474,(VALUE(LEFT('IMPORT PROFIXIO'!E474,FIND(":",'IMPORT PROFIXIO'!E474)-1))*60+VALUE(MID('IMPORT PROFIXIO'!E474,FIND(":",'IMPORT PROFIXIO'!E474)+1,2)))/1440))</f>
        <v/>
      </c>
      <c r="D474" s="31" t="str">
        <f>IF(A474="","",'IMPORT PROFIXIO'!F474)</f>
        <v/>
      </c>
      <c r="E474" s="31" t="str">
        <f>IF(A474="","",'IMPORT PROFIXIO'!K474)</f>
        <v/>
      </c>
      <c r="F474" s="34" t="str">
        <f>IF(A474="","",IFERROR(VLOOKUP(E474,KLASSNING!$A$5:$F$74,2,FALSE()),"SAKNAS"))</f>
        <v/>
      </c>
      <c r="G474" s="34" t="str">
        <f>IF(A474="","",IFERROR(VLOOKUP(E474,KLASSNING!$A$5:$F$74,3,FALSE()),"SAKNAS"))</f>
        <v/>
      </c>
      <c r="H474" s="34" t="str">
        <f>IF(A474="","",'IMPORT PROFIXIO'!H474)</f>
        <v/>
      </c>
      <c r="I474" s="34" t="str">
        <f>IF(A474="","",'IMPORT PROFIXIO'!I474)</f>
        <v/>
      </c>
      <c r="J474" s="34" t="str">
        <f t="shared" si="28"/>
        <v/>
      </c>
      <c r="K474" s="34" t="str">
        <f t="shared" si="29"/>
        <v/>
      </c>
      <c r="L474" s="34" t="str">
        <f>IF(A474="","",IFERROR(VLOOKUP(E474,KLASSNING!$A$5:$F$74,5,FALSE()),0))</f>
        <v/>
      </c>
      <c r="M474" s="35" t="str">
        <f t="shared" si="30"/>
        <v/>
      </c>
      <c r="N474" s="34" t="str">
        <f>IF(A474="","",IF(K474&lt;&gt;"Ja","Ej aktuell",IF(L474&lt;=0,"KONTROLLERA MATCHTID",IF(AND(COUNTIFS(BEMANNINGSPLAN!$A$5:$A$546,B474,BEMANNINGSPLAN!$C$5:$C$546,D474,BEMANNINGSPLAN!$D$5:$D$546,"&lt;="&amp;C474,BEMANNINGSPLAN!$E$5:$E$546,"&gt;"&amp;C474)&gt;0,COUNTIFS(BEMANNINGSPLAN!$A$5:$A$546,B474,BEMANNINGSPLAN!$C$5:$C$546,D474,BEMANNINGSPLAN!$D$5:$D$546,"&lt;"&amp;M474,BEMANNINGSPLAN!$E$5:$E$546,"&gt;="&amp;M474)&gt;0),"Ja","SAKNAS TIDSRADER"))))</f>
        <v/>
      </c>
      <c r="O474" s="137" t="str">
        <f>IF(OR(B474="",K474&lt;&gt;"Ja"),"",COUNTIFS($B$5:B474,B474,$K$5:K474,"Ja"))</f>
        <v/>
      </c>
      <c r="P474" s="137" t="str">
        <f t="shared" si="31"/>
        <v/>
      </c>
    </row>
    <row r="475" spans="1:16" ht="13">
      <c r="A475" s="31" t="str">
        <f>IF('IMPORT PROFIXIO'!A475="","",'IMPORT PROFIXIO'!A475)</f>
        <v/>
      </c>
      <c r="B475" s="32" t="str">
        <f>IF(A475="","",IF(ISNUMBER('IMPORT PROFIXIO'!D475),'IMPORT PROFIXIO'!D475,DATEVALUE('IMPORT PROFIXIO'!D475)))</f>
        <v/>
      </c>
      <c r="C475" s="33" t="str">
        <f>IF(A475="","",IF(ISNUMBER('IMPORT PROFIXIO'!E475),'IMPORT PROFIXIO'!E475,(VALUE(LEFT('IMPORT PROFIXIO'!E475,FIND(":",'IMPORT PROFIXIO'!E475)-1))*60+VALUE(MID('IMPORT PROFIXIO'!E475,FIND(":",'IMPORT PROFIXIO'!E475)+1,2)))/1440))</f>
        <v/>
      </c>
      <c r="D475" s="31" t="str">
        <f>IF(A475="","",'IMPORT PROFIXIO'!F475)</f>
        <v/>
      </c>
      <c r="E475" s="31" t="str">
        <f>IF(A475="","",'IMPORT PROFIXIO'!K475)</f>
        <v/>
      </c>
      <c r="F475" s="34" t="str">
        <f>IF(A475="","",IFERROR(VLOOKUP(E475,KLASSNING!$A$5:$F$74,2,FALSE()),"SAKNAS"))</f>
        <v/>
      </c>
      <c r="G475" s="34" t="str">
        <f>IF(A475="","",IFERROR(VLOOKUP(E475,KLASSNING!$A$5:$F$74,3,FALSE()),"SAKNAS"))</f>
        <v/>
      </c>
      <c r="H475" s="34" t="str">
        <f>IF(A475="","",'IMPORT PROFIXIO'!H475)</f>
        <v/>
      </c>
      <c r="I475" s="34" t="str">
        <f>IF(A475="","",'IMPORT PROFIXIO'!I475)</f>
        <v/>
      </c>
      <c r="J475" s="34" t="str">
        <f t="shared" si="28"/>
        <v/>
      </c>
      <c r="K475" s="34" t="str">
        <f t="shared" si="29"/>
        <v/>
      </c>
      <c r="L475" s="34" t="str">
        <f>IF(A475="","",IFERROR(VLOOKUP(E475,KLASSNING!$A$5:$F$74,5,FALSE()),0))</f>
        <v/>
      </c>
      <c r="M475" s="35" t="str">
        <f t="shared" si="30"/>
        <v/>
      </c>
      <c r="N475" s="34" t="str">
        <f>IF(A475="","",IF(K475&lt;&gt;"Ja","Ej aktuell",IF(L475&lt;=0,"KONTROLLERA MATCHTID",IF(AND(COUNTIFS(BEMANNINGSPLAN!$A$5:$A$546,B475,BEMANNINGSPLAN!$C$5:$C$546,D475,BEMANNINGSPLAN!$D$5:$D$546,"&lt;="&amp;C475,BEMANNINGSPLAN!$E$5:$E$546,"&gt;"&amp;C475)&gt;0,COUNTIFS(BEMANNINGSPLAN!$A$5:$A$546,B475,BEMANNINGSPLAN!$C$5:$C$546,D475,BEMANNINGSPLAN!$D$5:$D$546,"&lt;"&amp;M475,BEMANNINGSPLAN!$E$5:$E$546,"&gt;="&amp;M475)&gt;0),"Ja","SAKNAS TIDSRADER"))))</f>
        <v/>
      </c>
      <c r="O475" s="137" t="str">
        <f>IF(OR(B475="",K475&lt;&gt;"Ja"),"",COUNTIFS($B$5:B475,B475,$K$5:K475,"Ja"))</f>
        <v/>
      </c>
      <c r="P475" s="137" t="str">
        <f t="shared" si="31"/>
        <v/>
      </c>
    </row>
    <row r="476" spans="1:16" ht="13">
      <c r="A476" s="31" t="str">
        <f>IF('IMPORT PROFIXIO'!A476="","",'IMPORT PROFIXIO'!A476)</f>
        <v/>
      </c>
      <c r="B476" s="32" t="str">
        <f>IF(A476="","",IF(ISNUMBER('IMPORT PROFIXIO'!D476),'IMPORT PROFIXIO'!D476,DATEVALUE('IMPORT PROFIXIO'!D476)))</f>
        <v/>
      </c>
      <c r="C476" s="33" t="str">
        <f>IF(A476="","",IF(ISNUMBER('IMPORT PROFIXIO'!E476),'IMPORT PROFIXIO'!E476,(VALUE(LEFT('IMPORT PROFIXIO'!E476,FIND(":",'IMPORT PROFIXIO'!E476)-1))*60+VALUE(MID('IMPORT PROFIXIO'!E476,FIND(":",'IMPORT PROFIXIO'!E476)+1,2)))/1440))</f>
        <v/>
      </c>
      <c r="D476" s="31" t="str">
        <f>IF(A476="","",'IMPORT PROFIXIO'!F476)</f>
        <v/>
      </c>
      <c r="E476" s="31" t="str">
        <f>IF(A476="","",'IMPORT PROFIXIO'!K476)</f>
        <v/>
      </c>
      <c r="F476" s="34" t="str">
        <f>IF(A476="","",IFERROR(VLOOKUP(E476,KLASSNING!$A$5:$F$74,2,FALSE()),"SAKNAS"))</f>
        <v/>
      </c>
      <c r="G476" s="34" t="str">
        <f>IF(A476="","",IFERROR(VLOOKUP(E476,KLASSNING!$A$5:$F$74,3,FALSE()),"SAKNAS"))</f>
        <v/>
      </c>
      <c r="H476" s="34" t="str">
        <f>IF(A476="","",'IMPORT PROFIXIO'!H476)</f>
        <v/>
      </c>
      <c r="I476" s="34" t="str">
        <f>IF(A476="","",'IMPORT PROFIXIO'!I476)</f>
        <v/>
      </c>
      <c r="J476" s="34" t="str">
        <f t="shared" si="28"/>
        <v/>
      </c>
      <c r="K476" s="34" t="str">
        <f t="shared" si="29"/>
        <v/>
      </c>
      <c r="L476" s="34" t="str">
        <f>IF(A476="","",IFERROR(VLOOKUP(E476,KLASSNING!$A$5:$F$74,5,FALSE()),0))</f>
        <v/>
      </c>
      <c r="M476" s="35" t="str">
        <f t="shared" si="30"/>
        <v/>
      </c>
      <c r="N476" s="34" t="str">
        <f>IF(A476="","",IF(K476&lt;&gt;"Ja","Ej aktuell",IF(L476&lt;=0,"KONTROLLERA MATCHTID",IF(AND(COUNTIFS(BEMANNINGSPLAN!$A$5:$A$546,B476,BEMANNINGSPLAN!$C$5:$C$546,D476,BEMANNINGSPLAN!$D$5:$D$546,"&lt;="&amp;C476,BEMANNINGSPLAN!$E$5:$E$546,"&gt;"&amp;C476)&gt;0,COUNTIFS(BEMANNINGSPLAN!$A$5:$A$546,B476,BEMANNINGSPLAN!$C$5:$C$546,D476,BEMANNINGSPLAN!$D$5:$D$546,"&lt;"&amp;M476,BEMANNINGSPLAN!$E$5:$E$546,"&gt;="&amp;M476)&gt;0),"Ja","SAKNAS TIDSRADER"))))</f>
        <v/>
      </c>
      <c r="O476" s="137" t="str">
        <f>IF(OR(B476="",K476&lt;&gt;"Ja"),"",COUNTIFS($B$5:B476,B476,$K$5:K476,"Ja"))</f>
        <v/>
      </c>
      <c r="P476" s="137" t="str">
        <f t="shared" si="31"/>
        <v/>
      </c>
    </row>
    <row r="477" spans="1:16" ht="13">
      <c r="A477" s="31" t="str">
        <f>IF('IMPORT PROFIXIO'!A477="","",'IMPORT PROFIXIO'!A477)</f>
        <v/>
      </c>
      <c r="B477" s="32" t="str">
        <f>IF(A477="","",IF(ISNUMBER('IMPORT PROFIXIO'!D477),'IMPORT PROFIXIO'!D477,DATEVALUE('IMPORT PROFIXIO'!D477)))</f>
        <v/>
      </c>
      <c r="C477" s="33" t="str">
        <f>IF(A477="","",IF(ISNUMBER('IMPORT PROFIXIO'!E477),'IMPORT PROFIXIO'!E477,(VALUE(LEFT('IMPORT PROFIXIO'!E477,FIND(":",'IMPORT PROFIXIO'!E477)-1))*60+VALUE(MID('IMPORT PROFIXIO'!E477,FIND(":",'IMPORT PROFIXIO'!E477)+1,2)))/1440))</f>
        <v/>
      </c>
      <c r="D477" s="31" t="str">
        <f>IF(A477="","",'IMPORT PROFIXIO'!F477)</f>
        <v/>
      </c>
      <c r="E477" s="31" t="str">
        <f>IF(A477="","",'IMPORT PROFIXIO'!K477)</f>
        <v/>
      </c>
      <c r="F477" s="34" t="str">
        <f>IF(A477="","",IFERROR(VLOOKUP(E477,KLASSNING!$A$5:$F$74,2,FALSE()),"SAKNAS"))</f>
        <v/>
      </c>
      <c r="G477" s="34" t="str">
        <f>IF(A477="","",IFERROR(VLOOKUP(E477,KLASSNING!$A$5:$F$74,3,FALSE()),"SAKNAS"))</f>
        <v/>
      </c>
      <c r="H477" s="34" t="str">
        <f>IF(A477="","",'IMPORT PROFIXIO'!H477)</f>
        <v/>
      </c>
      <c r="I477" s="34" t="str">
        <f>IF(A477="","",'IMPORT PROFIXIO'!I477)</f>
        <v/>
      </c>
      <c r="J477" s="34" t="str">
        <f t="shared" si="28"/>
        <v/>
      </c>
      <c r="K477" s="34" t="str">
        <f t="shared" si="29"/>
        <v/>
      </c>
      <c r="L477" s="34" t="str">
        <f>IF(A477="","",IFERROR(VLOOKUP(E477,KLASSNING!$A$5:$F$74,5,FALSE()),0))</f>
        <v/>
      </c>
      <c r="M477" s="35" t="str">
        <f t="shared" si="30"/>
        <v/>
      </c>
      <c r="N477" s="34" t="str">
        <f>IF(A477="","",IF(K477&lt;&gt;"Ja","Ej aktuell",IF(L477&lt;=0,"KONTROLLERA MATCHTID",IF(AND(COUNTIFS(BEMANNINGSPLAN!$A$5:$A$546,B477,BEMANNINGSPLAN!$C$5:$C$546,D477,BEMANNINGSPLAN!$D$5:$D$546,"&lt;="&amp;C477,BEMANNINGSPLAN!$E$5:$E$546,"&gt;"&amp;C477)&gt;0,COUNTIFS(BEMANNINGSPLAN!$A$5:$A$546,B477,BEMANNINGSPLAN!$C$5:$C$546,D477,BEMANNINGSPLAN!$D$5:$D$546,"&lt;"&amp;M477,BEMANNINGSPLAN!$E$5:$E$546,"&gt;="&amp;M477)&gt;0),"Ja","SAKNAS TIDSRADER"))))</f>
        <v/>
      </c>
      <c r="O477" s="137" t="str">
        <f>IF(OR(B477="",K477&lt;&gt;"Ja"),"",COUNTIFS($B$5:B477,B477,$K$5:K477,"Ja"))</f>
        <v/>
      </c>
      <c r="P477" s="137" t="str">
        <f t="shared" si="31"/>
        <v/>
      </c>
    </row>
    <row r="478" spans="1:16" ht="13">
      <c r="A478" s="31" t="str">
        <f>IF('IMPORT PROFIXIO'!A478="","",'IMPORT PROFIXIO'!A478)</f>
        <v/>
      </c>
      <c r="B478" s="32" t="str">
        <f>IF(A478="","",IF(ISNUMBER('IMPORT PROFIXIO'!D478),'IMPORT PROFIXIO'!D478,DATEVALUE('IMPORT PROFIXIO'!D478)))</f>
        <v/>
      </c>
      <c r="C478" s="33" t="str">
        <f>IF(A478="","",IF(ISNUMBER('IMPORT PROFIXIO'!E478),'IMPORT PROFIXIO'!E478,(VALUE(LEFT('IMPORT PROFIXIO'!E478,FIND(":",'IMPORT PROFIXIO'!E478)-1))*60+VALUE(MID('IMPORT PROFIXIO'!E478,FIND(":",'IMPORT PROFIXIO'!E478)+1,2)))/1440))</f>
        <v/>
      </c>
      <c r="D478" s="31" t="str">
        <f>IF(A478="","",'IMPORT PROFIXIO'!F478)</f>
        <v/>
      </c>
      <c r="E478" s="31" t="str">
        <f>IF(A478="","",'IMPORT PROFIXIO'!K478)</f>
        <v/>
      </c>
      <c r="F478" s="34" t="str">
        <f>IF(A478="","",IFERROR(VLOOKUP(E478,KLASSNING!$A$5:$F$74,2,FALSE()),"SAKNAS"))</f>
        <v/>
      </c>
      <c r="G478" s="34" t="str">
        <f>IF(A478="","",IFERROR(VLOOKUP(E478,KLASSNING!$A$5:$F$74,3,FALSE()),"SAKNAS"))</f>
        <v/>
      </c>
      <c r="H478" s="34" t="str">
        <f>IF(A478="","",'IMPORT PROFIXIO'!H478)</f>
        <v/>
      </c>
      <c r="I478" s="34" t="str">
        <f>IF(A478="","",'IMPORT PROFIXIO'!I478)</f>
        <v/>
      </c>
      <c r="J478" s="34" t="str">
        <f t="shared" si="28"/>
        <v/>
      </c>
      <c r="K478" s="34" t="str">
        <f t="shared" si="29"/>
        <v/>
      </c>
      <c r="L478" s="34" t="str">
        <f>IF(A478="","",IFERROR(VLOOKUP(E478,KLASSNING!$A$5:$F$74,5,FALSE()),0))</f>
        <v/>
      </c>
      <c r="M478" s="35" t="str">
        <f t="shared" si="30"/>
        <v/>
      </c>
      <c r="N478" s="34" t="str">
        <f>IF(A478="","",IF(K478&lt;&gt;"Ja","Ej aktuell",IF(L478&lt;=0,"KONTROLLERA MATCHTID",IF(AND(COUNTIFS(BEMANNINGSPLAN!$A$5:$A$546,B478,BEMANNINGSPLAN!$C$5:$C$546,D478,BEMANNINGSPLAN!$D$5:$D$546,"&lt;="&amp;C478,BEMANNINGSPLAN!$E$5:$E$546,"&gt;"&amp;C478)&gt;0,COUNTIFS(BEMANNINGSPLAN!$A$5:$A$546,B478,BEMANNINGSPLAN!$C$5:$C$546,D478,BEMANNINGSPLAN!$D$5:$D$546,"&lt;"&amp;M478,BEMANNINGSPLAN!$E$5:$E$546,"&gt;="&amp;M478)&gt;0),"Ja","SAKNAS TIDSRADER"))))</f>
        <v/>
      </c>
      <c r="O478" s="137" t="str">
        <f>IF(OR(B478="",K478&lt;&gt;"Ja"),"",COUNTIFS($B$5:B478,B478,$K$5:K478,"Ja"))</f>
        <v/>
      </c>
      <c r="P478" s="137" t="str">
        <f t="shared" si="31"/>
        <v/>
      </c>
    </row>
    <row r="479" spans="1:16" ht="13">
      <c r="A479" s="31" t="str">
        <f>IF('IMPORT PROFIXIO'!A479="","",'IMPORT PROFIXIO'!A479)</f>
        <v/>
      </c>
      <c r="B479" s="32" t="str">
        <f>IF(A479="","",IF(ISNUMBER('IMPORT PROFIXIO'!D479),'IMPORT PROFIXIO'!D479,DATEVALUE('IMPORT PROFIXIO'!D479)))</f>
        <v/>
      </c>
      <c r="C479" s="33" t="str">
        <f>IF(A479="","",IF(ISNUMBER('IMPORT PROFIXIO'!E479),'IMPORT PROFIXIO'!E479,(VALUE(LEFT('IMPORT PROFIXIO'!E479,FIND(":",'IMPORT PROFIXIO'!E479)-1))*60+VALUE(MID('IMPORT PROFIXIO'!E479,FIND(":",'IMPORT PROFIXIO'!E479)+1,2)))/1440))</f>
        <v/>
      </c>
      <c r="D479" s="31" t="str">
        <f>IF(A479="","",'IMPORT PROFIXIO'!F479)</f>
        <v/>
      </c>
      <c r="E479" s="31" t="str">
        <f>IF(A479="","",'IMPORT PROFIXIO'!K479)</f>
        <v/>
      </c>
      <c r="F479" s="34" t="str">
        <f>IF(A479="","",IFERROR(VLOOKUP(E479,KLASSNING!$A$5:$F$74,2,FALSE()),"SAKNAS"))</f>
        <v/>
      </c>
      <c r="G479" s="34" t="str">
        <f>IF(A479="","",IFERROR(VLOOKUP(E479,KLASSNING!$A$5:$F$74,3,FALSE()),"SAKNAS"))</f>
        <v/>
      </c>
      <c r="H479" s="34" t="str">
        <f>IF(A479="","",'IMPORT PROFIXIO'!H479)</f>
        <v/>
      </c>
      <c r="I479" s="34" t="str">
        <f>IF(A479="","",'IMPORT PROFIXIO'!I479)</f>
        <v/>
      </c>
      <c r="J479" s="34" t="str">
        <f t="shared" si="28"/>
        <v/>
      </c>
      <c r="K479" s="34" t="str">
        <f t="shared" si="29"/>
        <v/>
      </c>
      <c r="L479" s="34" t="str">
        <f>IF(A479="","",IFERROR(VLOOKUP(E479,KLASSNING!$A$5:$F$74,5,FALSE()),0))</f>
        <v/>
      </c>
      <c r="M479" s="35" t="str">
        <f t="shared" si="30"/>
        <v/>
      </c>
      <c r="N479" s="34" t="str">
        <f>IF(A479="","",IF(K479&lt;&gt;"Ja","Ej aktuell",IF(L479&lt;=0,"KONTROLLERA MATCHTID",IF(AND(COUNTIFS(BEMANNINGSPLAN!$A$5:$A$546,B479,BEMANNINGSPLAN!$C$5:$C$546,D479,BEMANNINGSPLAN!$D$5:$D$546,"&lt;="&amp;C479,BEMANNINGSPLAN!$E$5:$E$546,"&gt;"&amp;C479)&gt;0,COUNTIFS(BEMANNINGSPLAN!$A$5:$A$546,B479,BEMANNINGSPLAN!$C$5:$C$546,D479,BEMANNINGSPLAN!$D$5:$D$546,"&lt;"&amp;M479,BEMANNINGSPLAN!$E$5:$E$546,"&gt;="&amp;M479)&gt;0),"Ja","SAKNAS TIDSRADER"))))</f>
        <v/>
      </c>
      <c r="O479" s="137" t="str">
        <f>IF(OR(B479="",K479&lt;&gt;"Ja"),"",COUNTIFS($B$5:B479,B479,$K$5:K479,"Ja"))</f>
        <v/>
      </c>
      <c r="P479" s="137" t="str">
        <f t="shared" si="31"/>
        <v/>
      </c>
    </row>
    <row r="480" spans="1:16" ht="13">
      <c r="A480" s="31" t="str">
        <f>IF('IMPORT PROFIXIO'!A480="","",'IMPORT PROFIXIO'!A480)</f>
        <v/>
      </c>
      <c r="B480" s="32" t="str">
        <f>IF(A480="","",IF(ISNUMBER('IMPORT PROFIXIO'!D480),'IMPORT PROFIXIO'!D480,DATEVALUE('IMPORT PROFIXIO'!D480)))</f>
        <v/>
      </c>
      <c r="C480" s="33" t="str">
        <f>IF(A480="","",IF(ISNUMBER('IMPORT PROFIXIO'!E480),'IMPORT PROFIXIO'!E480,(VALUE(LEFT('IMPORT PROFIXIO'!E480,FIND(":",'IMPORT PROFIXIO'!E480)-1))*60+VALUE(MID('IMPORT PROFIXIO'!E480,FIND(":",'IMPORT PROFIXIO'!E480)+1,2)))/1440))</f>
        <v/>
      </c>
      <c r="D480" s="31" t="str">
        <f>IF(A480="","",'IMPORT PROFIXIO'!F480)</f>
        <v/>
      </c>
      <c r="E480" s="31" t="str">
        <f>IF(A480="","",'IMPORT PROFIXIO'!K480)</f>
        <v/>
      </c>
      <c r="F480" s="34" t="str">
        <f>IF(A480="","",IFERROR(VLOOKUP(E480,KLASSNING!$A$5:$F$74,2,FALSE()),"SAKNAS"))</f>
        <v/>
      </c>
      <c r="G480" s="34" t="str">
        <f>IF(A480="","",IFERROR(VLOOKUP(E480,KLASSNING!$A$5:$F$74,3,FALSE()),"SAKNAS"))</f>
        <v/>
      </c>
      <c r="H480" s="34" t="str">
        <f>IF(A480="","",'IMPORT PROFIXIO'!H480)</f>
        <v/>
      </c>
      <c r="I480" s="34" t="str">
        <f>IF(A480="","",'IMPORT PROFIXIO'!I480)</f>
        <v/>
      </c>
      <c r="J480" s="34" t="str">
        <f t="shared" si="28"/>
        <v/>
      </c>
      <c r="K480" s="34" t="str">
        <f t="shared" si="29"/>
        <v/>
      </c>
      <c r="L480" s="34" t="str">
        <f>IF(A480="","",IFERROR(VLOOKUP(E480,KLASSNING!$A$5:$F$74,5,FALSE()),0))</f>
        <v/>
      </c>
      <c r="M480" s="35" t="str">
        <f t="shared" si="30"/>
        <v/>
      </c>
      <c r="N480" s="34" t="str">
        <f>IF(A480="","",IF(K480&lt;&gt;"Ja","Ej aktuell",IF(L480&lt;=0,"KONTROLLERA MATCHTID",IF(AND(COUNTIFS(BEMANNINGSPLAN!$A$5:$A$546,B480,BEMANNINGSPLAN!$C$5:$C$546,D480,BEMANNINGSPLAN!$D$5:$D$546,"&lt;="&amp;C480,BEMANNINGSPLAN!$E$5:$E$546,"&gt;"&amp;C480)&gt;0,COUNTIFS(BEMANNINGSPLAN!$A$5:$A$546,B480,BEMANNINGSPLAN!$C$5:$C$546,D480,BEMANNINGSPLAN!$D$5:$D$546,"&lt;"&amp;M480,BEMANNINGSPLAN!$E$5:$E$546,"&gt;="&amp;M480)&gt;0),"Ja","SAKNAS TIDSRADER"))))</f>
        <v/>
      </c>
      <c r="O480" s="137" t="str">
        <f>IF(OR(B480="",K480&lt;&gt;"Ja"),"",COUNTIFS($B$5:B480,B480,$K$5:K480,"Ja"))</f>
        <v/>
      </c>
      <c r="P480" s="137" t="str">
        <f t="shared" si="31"/>
        <v/>
      </c>
    </row>
    <row r="481" spans="1:16" ht="13">
      <c r="A481" s="31" t="str">
        <f>IF('IMPORT PROFIXIO'!A481="","",'IMPORT PROFIXIO'!A481)</f>
        <v/>
      </c>
      <c r="B481" s="32" t="str">
        <f>IF(A481="","",IF(ISNUMBER('IMPORT PROFIXIO'!D481),'IMPORT PROFIXIO'!D481,DATEVALUE('IMPORT PROFIXIO'!D481)))</f>
        <v/>
      </c>
      <c r="C481" s="33" t="str">
        <f>IF(A481="","",IF(ISNUMBER('IMPORT PROFIXIO'!E481),'IMPORT PROFIXIO'!E481,(VALUE(LEFT('IMPORT PROFIXIO'!E481,FIND(":",'IMPORT PROFIXIO'!E481)-1))*60+VALUE(MID('IMPORT PROFIXIO'!E481,FIND(":",'IMPORT PROFIXIO'!E481)+1,2)))/1440))</f>
        <v/>
      </c>
      <c r="D481" s="31" t="str">
        <f>IF(A481="","",'IMPORT PROFIXIO'!F481)</f>
        <v/>
      </c>
      <c r="E481" s="31" t="str">
        <f>IF(A481="","",'IMPORT PROFIXIO'!K481)</f>
        <v/>
      </c>
      <c r="F481" s="34" t="str">
        <f>IF(A481="","",IFERROR(VLOOKUP(E481,KLASSNING!$A$5:$F$74,2,FALSE()),"SAKNAS"))</f>
        <v/>
      </c>
      <c r="G481" s="34" t="str">
        <f>IF(A481="","",IFERROR(VLOOKUP(E481,KLASSNING!$A$5:$F$74,3,FALSE()),"SAKNAS"))</f>
        <v/>
      </c>
      <c r="H481" s="34" t="str">
        <f>IF(A481="","",'IMPORT PROFIXIO'!H481)</f>
        <v/>
      </c>
      <c r="I481" s="34" t="str">
        <f>IF(A481="","",'IMPORT PROFIXIO'!I481)</f>
        <v/>
      </c>
      <c r="J481" s="34" t="str">
        <f t="shared" si="28"/>
        <v/>
      </c>
      <c r="K481" s="34" t="str">
        <f t="shared" si="29"/>
        <v/>
      </c>
      <c r="L481" s="34" t="str">
        <f>IF(A481="","",IFERROR(VLOOKUP(E481,KLASSNING!$A$5:$F$74,5,FALSE()),0))</f>
        <v/>
      </c>
      <c r="M481" s="35" t="str">
        <f t="shared" si="30"/>
        <v/>
      </c>
      <c r="N481" s="34" t="str">
        <f>IF(A481="","",IF(K481&lt;&gt;"Ja","Ej aktuell",IF(L481&lt;=0,"KONTROLLERA MATCHTID",IF(AND(COUNTIFS(BEMANNINGSPLAN!$A$5:$A$546,B481,BEMANNINGSPLAN!$C$5:$C$546,D481,BEMANNINGSPLAN!$D$5:$D$546,"&lt;="&amp;C481,BEMANNINGSPLAN!$E$5:$E$546,"&gt;"&amp;C481)&gt;0,COUNTIFS(BEMANNINGSPLAN!$A$5:$A$546,B481,BEMANNINGSPLAN!$C$5:$C$546,D481,BEMANNINGSPLAN!$D$5:$D$546,"&lt;"&amp;M481,BEMANNINGSPLAN!$E$5:$E$546,"&gt;="&amp;M481)&gt;0),"Ja","SAKNAS TIDSRADER"))))</f>
        <v/>
      </c>
      <c r="O481" s="137" t="str">
        <f>IF(OR(B481="",K481&lt;&gt;"Ja"),"",COUNTIFS($B$5:B481,B481,$K$5:K481,"Ja"))</f>
        <v/>
      </c>
      <c r="P481" s="137" t="str">
        <f t="shared" si="31"/>
        <v/>
      </c>
    </row>
    <row r="482" spans="1:16" ht="13">
      <c r="A482" s="31" t="str">
        <f>IF('IMPORT PROFIXIO'!A482="","",'IMPORT PROFIXIO'!A482)</f>
        <v/>
      </c>
      <c r="B482" s="32" t="str">
        <f>IF(A482="","",IF(ISNUMBER('IMPORT PROFIXIO'!D482),'IMPORT PROFIXIO'!D482,DATEVALUE('IMPORT PROFIXIO'!D482)))</f>
        <v/>
      </c>
      <c r="C482" s="33" t="str">
        <f>IF(A482="","",IF(ISNUMBER('IMPORT PROFIXIO'!E482),'IMPORT PROFIXIO'!E482,(VALUE(LEFT('IMPORT PROFIXIO'!E482,FIND(":",'IMPORT PROFIXIO'!E482)-1))*60+VALUE(MID('IMPORT PROFIXIO'!E482,FIND(":",'IMPORT PROFIXIO'!E482)+1,2)))/1440))</f>
        <v/>
      </c>
      <c r="D482" s="31" t="str">
        <f>IF(A482="","",'IMPORT PROFIXIO'!F482)</f>
        <v/>
      </c>
      <c r="E482" s="31" t="str">
        <f>IF(A482="","",'IMPORT PROFIXIO'!K482)</f>
        <v/>
      </c>
      <c r="F482" s="34" t="str">
        <f>IF(A482="","",IFERROR(VLOOKUP(E482,KLASSNING!$A$5:$F$74,2,FALSE()),"SAKNAS"))</f>
        <v/>
      </c>
      <c r="G482" s="34" t="str">
        <f>IF(A482="","",IFERROR(VLOOKUP(E482,KLASSNING!$A$5:$F$74,3,FALSE()),"SAKNAS"))</f>
        <v/>
      </c>
      <c r="H482" s="34" t="str">
        <f>IF(A482="","",'IMPORT PROFIXIO'!H482)</f>
        <v/>
      </c>
      <c r="I482" s="34" t="str">
        <f>IF(A482="","",'IMPORT PROFIXIO'!I482)</f>
        <v/>
      </c>
      <c r="J482" s="34" t="str">
        <f t="shared" si="28"/>
        <v/>
      </c>
      <c r="K482" s="34" t="str">
        <f t="shared" si="29"/>
        <v/>
      </c>
      <c r="L482" s="34" t="str">
        <f>IF(A482="","",IFERROR(VLOOKUP(E482,KLASSNING!$A$5:$F$74,5,FALSE()),0))</f>
        <v/>
      </c>
      <c r="M482" s="35" t="str">
        <f t="shared" si="30"/>
        <v/>
      </c>
      <c r="N482" s="34" t="str">
        <f>IF(A482="","",IF(K482&lt;&gt;"Ja","Ej aktuell",IF(L482&lt;=0,"KONTROLLERA MATCHTID",IF(AND(COUNTIFS(BEMANNINGSPLAN!$A$5:$A$546,B482,BEMANNINGSPLAN!$C$5:$C$546,D482,BEMANNINGSPLAN!$D$5:$D$546,"&lt;="&amp;C482,BEMANNINGSPLAN!$E$5:$E$546,"&gt;"&amp;C482)&gt;0,COUNTIFS(BEMANNINGSPLAN!$A$5:$A$546,B482,BEMANNINGSPLAN!$C$5:$C$546,D482,BEMANNINGSPLAN!$D$5:$D$546,"&lt;"&amp;M482,BEMANNINGSPLAN!$E$5:$E$546,"&gt;="&amp;M482)&gt;0),"Ja","SAKNAS TIDSRADER"))))</f>
        <v/>
      </c>
      <c r="O482" s="137" t="str">
        <f>IF(OR(B482="",K482&lt;&gt;"Ja"),"",COUNTIFS($B$5:B482,B482,$K$5:K482,"Ja"))</f>
        <v/>
      </c>
      <c r="P482" s="137" t="str">
        <f t="shared" si="31"/>
        <v/>
      </c>
    </row>
    <row r="483" spans="1:16" ht="13">
      <c r="A483" s="31" t="str">
        <f>IF('IMPORT PROFIXIO'!A483="","",'IMPORT PROFIXIO'!A483)</f>
        <v/>
      </c>
      <c r="B483" s="32" t="str">
        <f>IF(A483="","",IF(ISNUMBER('IMPORT PROFIXIO'!D483),'IMPORT PROFIXIO'!D483,DATEVALUE('IMPORT PROFIXIO'!D483)))</f>
        <v/>
      </c>
      <c r="C483" s="33" t="str">
        <f>IF(A483="","",IF(ISNUMBER('IMPORT PROFIXIO'!E483),'IMPORT PROFIXIO'!E483,(VALUE(LEFT('IMPORT PROFIXIO'!E483,FIND(":",'IMPORT PROFIXIO'!E483)-1))*60+VALUE(MID('IMPORT PROFIXIO'!E483,FIND(":",'IMPORT PROFIXIO'!E483)+1,2)))/1440))</f>
        <v/>
      </c>
      <c r="D483" s="31" t="str">
        <f>IF(A483="","",'IMPORT PROFIXIO'!F483)</f>
        <v/>
      </c>
      <c r="E483" s="31" t="str">
        <f>IF(A483="","",'IMPORT PROFIXIO'!K483)</f>
        <v/>
      </c>
      <c r="F483" s="34" t="str">
        <f>IF(A483="","",IFERROR(VLOOKUP(E483,KLASSNING!$A$5:$F$74,2,FALSE()),"SAKNAS"))</f>
        <v/>
      </c>
      <c r="G483" s="34" t="str">
        <f>IF(A483="","",IFERROR(VLOOKUP(E483,KLASSNING!$A$5:$F$74,3,FALSE()),"SAKNAS"))</f>
        <v/>
      </c>
      <c r="H483" s="34" t="str">
        <f>IF(A483="","",'IMPORT PROFIXIO'!H483)</f>
        <v/>
      </c>
      <c r="I483" s="34" t="str">
        <f>IF(A483="","",'IMPORT PROFIXIO'!I483)</f>
        <v/>
      </c>
      <c r="J483" s="34" t="str">
        <f t="shared" si="28"/>
        <v/>
      </c>
      <c r="K483" s="34" t="str">
        <f t="shared" si="29"/>
        <v/>
      </c>
      <c r="L483" s="34" t="str">
        <f>IF(A483="","",IFERROR(VLOOKUP(E483,KLASSNING!$A$5:$F$74,5,FALSE()),0))</f>
        <v/>
      </c>
      <c r="M483" s="35" t="str">
        <f t="shared" si="30"/>
        <v/>
      </c>
      <c r="N483" s="34" t="str">
        <f>IF(A483="","",IF(K483&lt;&gt;"Ja","Ej aktuell",IF(L483&lt;=0,"KONTROLLERA MATCHTID",IF(AND(COUNTIFS(BEMANNINGSPLAN!$A$5:$A$546,B483,BEMANNINGSPLAN!$C$5:$C$546,D483,BEMANNINGSPLAN!$D$5:$D$546,"&lt;="&amp;C483,BEMANNINGSPLAN!$E$5:$E$546,"&gt;"&amp;C483)&gt;0,COUNTIFS(BEMANNINGSPLAN!$A$5:$A$546,B483,BEMANNINGSPLAN!$C$5:$C$546,D483,BEMANNINGSPLAN!$D$5:$D$546,"&lt;"&amp;M483,BEMANNINGSPLAN!$E$5:$E$546,"&gt;="&amp;M483)&gt;0),"Ja","SAKNAS TIDSRADER"))))</f>
        <v/>
      </c>
      <c r="O483" s="137" t="str">
        <f>IF(OR(B483="",K483&lt;&gt;"Ja"),"",COUNTIFS($B$5:B483,B483,$K$5:K483,"Ja"))</f>
        <v/>
      </c>
      <c r="P483" s="137" t="str">
        <f t="shared" si="31"/>
        <v/>
      </c>
    </row>
    <row r="484" spans="1:16" ht="13">
      <c r="A484" s="31" t="str">
        <f>IF('IMPORT PROFIXIO'!A484="","",'IMPORT PROFIXIO'!A484)</f>
        <v/>
      </c>
      <c r="B484" s="32" t="str">
        <f>IF(A484="","",IF(ISNUMBER('IMPORT PROFIXIO'!D484),'IMPORT PROFIXIO'!D484,DATEVALUE('IMPORT PROFIXIO'!D484)))</f>
        <v/>
      </c>
      <c r="C484" s="33" t="str">
        <f>IF(A484="","",IF(ISNUMBER('IMPORT PROFIXIO'!E484),'IMPORT PROFIXIO'!E484,(VALUE(LEFT('IMPORT PROFIXIO'!E484,FIND(":",'IMPORT PROFIXIO'!E484)-1))*60+VALUE(MID('IMPORT PROFIXIO'!E484,FIND(":",'IMPORT PROFIXIO'!E484)+1,2)))/1440))</f>
        <v/>
      </c>
      <c r="D484" s="31" t="str">
        <f>IF(A484="","",'IMPORT PROFIXIO'!F484)</f>
        <v/>
      </c>
      <c r="E484" s="31" t="str">
        <f>IF(A484="","",'IMPORT PROFIXIO'!K484)</f>
        <v/>
      </c>
      <c r="F484" s="34" t="str">
        <f>IF(A484="","",IFERROR(VLOOKUP(E484,KLASSNING!$A$5:$F$74,2,FALSE()),"SAKNAS"))</f>
        <v/>
      </c>
      <c r="G484" s="34" t="str">
        <f>IF(A484="","",IFERROR(VLOOKUP(E484,KLASSNING!$A$5:$F$74,3,FALSE()),"SAKNAS"))</f>
        <v/>
      </c>
      <c r="H484" s="34" t="str">
        <f>IF(A484="","",'IMPORT PROFIXIO'!H484)</f>
        <v/>
      </c>
      <c r="I484" s="34" t="str">
        <f>IF(A484="","",'IMPORT PROFIXIO'!I484)</f>
        <v/>
      </c>
      <c r="J484" s="34" t="str">
        <f t="shared" si="28"/>
        <v/>
      </c>
      <c r="K484" s="34" t="str">
        <f t="shared" si="29"/>
        <v/>
      </c>
      <c r="L484" s="34" t="str">
        <f>IF(A484="","",IFERROR(VLOOKUP(E484,KLASSNING!$A$5:$F$74,5,FALSE()),0))</f>
        <v/>
      </c>
      <c r="M484" s="35" t="str">
        <f t="shared" si="30"/>
        <v/>
      </c>
      <c r="N484" s="34" t="str">
        <f>IF(A484="","",IF(K484&lt;&gt;"Ja","Ej aktuell",IF(L484&lt;=0,"KONTROLLERA MATCHTID",IF(AND(COUNTIFS(BEMANNINGSPLAN!$A$5:$A$546,B484,BEMANNINGSPLAN!$C$5:$C$546,D484,BEMANNINGSPLAN!$D$5:$D$546,"&lt;="&amp;C484,BEMANNINGSPLAN!$E$5:$E$546,"&gt;"&amp;C484)&gt;0,COUNTIFS(BEMANNINGSPLAN!$A$5:$A$546,B484,BEMANNINGSPLAN!$C$5:$C$546,D484,BEMANNINGSPLAN!$D$5:$D$546,"&lt;"&amp;M484,BEMANNINGSPLAN!$E$5:$E$546,"&gt;="&amp;M484)&gt;0),"Ja","SAKNAS TIDSRADER"))))</f>
        <v/>
      </c>
      <c r="O484" s="137" t="str">
        <f>IF(OR(B484="",K484&lt;&gt;"Ja"),"",COUNTIFS($B$5:B484,B484,$K$5:K484,"Ja"))</f>
        <v/>
      </c>
      <c r="P484" s="137" t="str">
        <f t="shared" si="31"/>
        <v/>
      </c>
    </row>
    <row r="485" spans="1:16" ht="13">
      <c r="A485" s="31" t="str">
        <f>IF('IMPORT PROFIXIO'!A485="","",'IMPORT PROFIXIO'!A485)</f>
        <v/>
      </c>
      <c r="B485" s="32" t="str">
        <f>IF(A485="","",IF(ISNUMBER('IMPORT PROFIXIO'!D485),'IMPORT PROFIXIO'!D485,DATEVALUE('IMPORT PROFIXIO'!D485)))</f>
        <v/>
      </c>
      <c r="C485" s="33" t="str">
        <f>IF(A485="","",IF(ISNUMBER('IMPORT PROFIXIO'!E485),'IMPORT PROFIXIO'!E485,(VALUE(LEFT('IMPORT PROFIXIO'!E485,FIND(":",'IMPORT PROFIXIO'!E485)-1))*60+VALUE(MID('IMPORT PROFIXIO'!E485,FIND(":",'IMPORT PROFIXIO'!E485)+1,2)))/1440))</f>
        <v/>
      </c>
      <c r="D485" s="31" t="str">
        <f>IF(A485="","",'IMPORT PROFIXIO'!F485)</f>
        <v/>
      </c>
      <c r="E485" s="31" t="str">
        <f>IF(A485="","",'IMPORT PROFIXIO'!K485)</f>
        <v/>
      </c>
      <c r="F485" s="34" t="str">
        <f>IF(A485="","",IFERROR(VLOOKUP(E485,KLASSNING!$A$5:$F$74,2,FALSE()),"SAKNAS"))</f>
        <v/>
      </c>
      <c r="G485" s="34" t="str">
        <f>IF(A485="","",IFERROR(VLOOKUP(E485,KLASSNING!$A$5:$F$74,3,FALSE()),"SAKNAS"))</f>
        <v/>
      </c>
      <c r="H485" s="34" t="str">
        <f>IF(A485="","",'IMPORT PROFIXIO'!H485)</f>
        <v/>
      </c>
      <c r="I485" s="34" t="str">
        <f>IF(A485="","",'IMPORT PROFIXIO'!I485)</f>
        <v/>
      </c>
      <c r="J485" s="34" t="str">
        <f t="shared" si="28"/>
        <v/>
      </c>
      <c r="K485" s="34" t="str">
        <f t="shared" si="29"/>
        <v/>
      </c>
      <c r="L485" s="34" t="str">
        <f>IF(A485="","",IFERROR(VLOOKUP(E485,KLASSNING!$A$5:$F$74,5,FALSE()),0))</f>
        <v/>
      </c>
      <c r="M485" s="35" t="str">
        <f t="shared" si="30"/>
        <v/>
      </c>
      <c r="N485" s="34" t="str">
        <f>IF(A485="","",IF(K485&lt;&gt;"Ja","Ej aktuell",IF(L485&lt;=0,"KONTROLLERA MATCHTID",IF(AND(COUNTIFS(BEMANNINGSPLAN!$A$5:$A$546,B485,BEMANNINGSPLAN!$C$5:$C$546,D485,BEMANNINGSPLAN!$D$5:$D$546,"&lt;="&amp;C485,BEMANNINGSPLAN!$E$5:$E$546,"&gt;"&amp;C485)&gt;0,COUNTIFS(BEMANNINGSPLAN!$A$5:$A$546,B485,BEMANNINGSPLAN!$C$5:$C$546,D485,BEMANNINGSPLAN!$D$5:$D$546,"&lt;"&amp;M485,BEMANNINGSPLAN!$E$5:$E$546,"&gt;="&amp;M485)&gt;0),"Ja","SAKNAS TIDSRADER"))))</f>
        <v/>
      </c>
      <c r="O485" s="137" t="str">
        <f>IF(OR(B485="",K485&lt;&gt;"Ja"),"",COUNTIFS($B$5:B485,B485,$K$5:K485,"Ja"))</f>
        <v/>
      </c>
      <c r="P485" s="137" t="str">
        <f t="shared" si="31"/>
        <v/>
      </c>
    </row>
    <row r="486" spans="1:16" ht="13">
      <c r="A486" s="31" t="str">
        <f>IF('IMPORT PROFIXIO'!A486="","",'IMPORT PROFIXIO'!A486)</f>
        <v/>
      </c>
      <c r="B486" s="32" t="str">
        <f>IF(A486="","",IF(ISNUMBER('IMPORT PROFIXIO'!D486),'IMPORT PROFIXIO'!D486,DATEVALUE('IMPORT PROFIXIO'!D486)))</f>
        <v/>
      </c>
      <c r="C486" s="33" t="str">
        <f>IF(A486="","",IF(ISNUMBER('IMPORT PROFIXIO'!E486),'IMPORT PROFIXIO'!E486,(VALUE(LEFT('IMPORT PROFIXIO'!E486,FIND(":",'IMPORT PROFIXIO'!E486)-1))*60+VALUE(MID('IMPORT PROFIXIO'!E486,FIND(":",'IMPORT PROFIXIO'!E486)+1,2)))/1440))</f>
        <v/>
      </c>
      <c r="D486" s="31" t="str">
        <f>IF(A486="","",'IMPORT PROFIXIO'!F486)</f>
        <v/>
      </c>
      <c r="E486" s="31" t="str">
        <f>IF(A486="","",'IMPORT PROFIXIO'!K486)</f>
        <v/>
      </c>
      <c r="F486" s="34" t="str">
        <f>IF(A486="","",IFERROR(VLOOKUP(E486,KLASSNING!$A$5:$F$74,2,FALSE()),"SAKNAS"))</f>
        <v/>
      </c>
      <c r="G486" s="34" t="str">
        <f>IF(A486="","",IFERROR(VLOOKUP(E486,KLASSNING!$A$5:$F$74,3,FALSE()),"SAKNAS"))</f>
        <v/>
      </c>
      <c r="H486" s="34" t="str">
        <f>IF(A486="","",'IMPORT PROFIXIO'!H486)</f>
        <v/>
      </c>
      <c r="I486" s="34" t="str">
        <f>IF(A486="","",'IMPORT PROFIXIO'!I486)</f>
        <v/>
      </c>
      <c r="J486" s="34" t="str">
        <f t="shared" si="28"/>
        <v/>
      </c>
      <c r="K486" s="34" t="str">
        <f t="shared" si="29"/>
        <v/>
      </c>
      <c r="L486" s="34" t="str">
        <f>IF(A486="","",IFERROR(VLOOKUP(E486,KLASSNING!$A$5:$F$74,5,FALSE()),0))</f>
        <v/>
      </c>
      <c r="M486" s="35" t="str">
        <f t="shared" si="30"/>
        <v/>
      </c>
      <c r="N486" s="34" t="str">
        <f>IF(A486="","",IF(K486&lt;&gt;"Ja","Ej aktuell",IF(L486&lt;=0,"KONTROLLERA MATCHTID",IF(AND(COUNTIFS(BEMANNINGSPLAN!$A$5:$A$546,B486,BEMANNINGSPLAN!$C$5:$C$546,D486,BEMANNINGSPLAN!$D$5:$D$546,"&lt;="&amp;C486,BEMANNINGSPLAN!$E$5:$E$546,"&gt;"&amp;C486)&gt;0,COUNTIFS(BEMANNINGSPLAN!$A$5:$A$546,B486,BEMANNINGSPLAN!$C$5:$C$546,D486,BEMANNINGSPLAN!$D$5:$D$546,"&lt;"&amp;M486,BEMANNINGSPLAN!$E$5:$E$546,"&gt;="&amp;M486)&gt;0),"Ja","SAKNAS TIDSRADER"))))</f>
        <v/>
      </c>
      <c r="O486" s="137" t="str">
        <f>IF(OR(B486="",K486&lt;&gt;"Ja"),"",COUNTIFS($B$5:B486,B486,$K$5:K486,"Ja"))</f>
        <v/>
      </c>
      <c r="P486" s="137" t="str">
        <f t="shared" si="31"/>
        <v/>
      </c>
    </row>
    <row r="487" spans="1:16" ht="13">
      <c r="A487" s="31" t="str">
        <f>IF('IMPORT PROFIXIO'!A487="","",'IMPORT PROFIXIO'!A487)</f>
        <v/>
      </c>
      <c r="B487" s="32" t="str">
        <f>IF(A487="","",IF(ISNUMBER('IMPORT PROFIXIO'!D487),'IMPORT PROFIXIO'!D487,DATEVALUE('IMPORT PROFIXIO'!D487)))</f>
        <v/>
      </c>
      <c r="C487" s="33" t="str">
        <f>IF(A487="","",IF(ISNUMBER('IMPORT PROFIXIO'!E487),'IMPORT PROFIXIO'!E487,(VALUE(LEFT('IMPORT PROFIXIO'!E487,FIND(":",'IMPORT PROFIXIO'!E487)-1))*60+VALUE(MID('IMPORT PROFIXIO'!E487,FIND(":",'IMPORT PROFIXIO'!E487)+1,2)))/1440))</f>
        <v/>
      </c>
      <c r="D487" s="31" t="str">
        <f>IF(A487="","",'IMPORT PROFIXIO'!F487)</f>
        <v/>
      </c>
      <c r="E487" s="31" t="str">
        <f>IF(A487="","",'IMPORT PROFIXIO'!K487)</f>
        <v/>
      </c>
      <c r="F487" s="34" t="str">
        <f>IF(A487="","",IFERROR(VLOOKUP(E487,KLASSNING!$A$5:$F$74,2,FALSE()),"SAKNAS"))</f>
        <v/>
      </c>
      <c r="G487" s="34" t="str">
        <f>IF(A487="","",IFERROR(VLOOKUP(E487,KLASSNING!$A$5:$F$74,3,FALSE()),"SAKNAS"))</f>
        <v/>
      </c>
      <c r="H487" s="34" t="str">
        <f>IF(A487="","",'IMPORT PROFIXIO'!H487)</f>
        <v/>
      </c>
      <c r="I487" s="34" t="str">
        <f>IF(A487="","",'IMPORT PROFIXIO'!I487)</f>
        <v/>
      </c>
      <c r="J487" s="34" t="str">
        <f t="shared" si="28"/>
        <v/>
      </c>
      <c r="K487" s="34" t="str">
        <f t="shared" si="29"/>
        <v/>
      </c>
      <c r="L487" s="34" t="str">
        <f>IF(A487="","",IFERROR(VLOOKUP(E487,KLASSNING!$A$5:$F$74,5,FALSE()),0))</f>
        <v/>
      </c>
      <c r="M487" s="35" t="str">
        <f t="shared" si="30"/>
        <v/>
      </c>
      <c r="N487" s="34" t="str">
        <f>IF(A487="","",IF(K487&lt;&gt;"Ja","Ej aktuell",IF(L487&lt;=0,"KONTROLLERA MATCHTID",IF(AND(COUNTIFS(BEMANNINGSPLAN!$A$5:$A$546,B487,BEMANNINGSPLAN!$C$5:$C$546,D487,BEMANNINGSPLAN!$D$5:$D$546,"&lt;="&amp;C487,BEMANNINGSPLAN!$E$5:$E$546,"&gt;"&amp;C487)&gt;0,COUNTIFS(BEMANNINGSPLAN!$A$5:$A$546,B487,BEMANNINGSPLAN!$C$5:$C$546,D487,BEMANNINGSPLAN!$D$5:$D$546,"&lt;"&amp;M487,BEMANNINGSPLAN!$E$5:$E$546,"&gt;="&amp;M487)&gt;0),"Ja","SAKNAS TIDSRADER"))))</f>
        <v/>
      </c>
      <c r="O487" s="137" t="str">
        <f>IF(OR(B487="",K487&lt;&gt;"Ja"),"",COUNTIFS($B$5:B487,B487,$K$5:K487,"Ja"))</f>
        <v/>
      </c>
      <c r="P487" s="137" t="str">
        <f t="shared" si="31"/>
        <v/>
      </c>
    </row>
    <row r="488" spans="1:16" ht="13">
      <c r="A488" s="31" t="str">
        <f>IF('IMPORT PROFIXIO'!A488="","",'IMPORT PROFIXIO'!A488)</f>
        <v/>
      </c>
      <c r="B488" s="32" t="str">
        <f>IF(A488="","",IF(ISNUMBER('IMPORT PROFIXIO'!D488),'IMPORT PROFIXIO'!D488,DATEVALUE('IMPORT PROFIXIO'!D488)))</f>
        <v/>
      </c>
      <c r="C488" s="33" t="str">
        <f>IF(A488="","",IF(ISNUMBER('IMPORT PROFIXIO'!E488),'IMPORT PROFIXIO'!E488,(VALUE(LEFT('IMPORT PROFIXIO'!E488,FIND(":",'IMPORT PROFIXIO'!E488)-1))*60+VALUE(MID('IMPORT PROFIXIO'!E488,FIND(":",'IMPORT PROFIXIO'!E488)+1,2)))/1440))</f>
        <v/>
      </c>
      <c r="D488" s="31" t="str">
        <f>IF(A488="","",'IMPORT PROFIXIO'!F488)</f>
        <v/>
      </c>
      <c r="E488" s="31" t="str">
        <f>IF(A488="","",'IMPORT PROFIXIO'!K488)</f>
        <v/>
      </c>
      <c r="F488" s="34" t="str">
        <f>IF(A488="","",IFERROR(VLOOKUP(E488,KLASSNING!$A$5:$F$74,2,FALSE()),"SAKNAS"))</f>
        <v/>
      </c>
      <c r="G488" s="34" t="str">
        <f>IF(A488="","",IFERROR(VLOOKUP(E488,KLASSNING!$A$5:$F$74,3,FALSE()),"SAKNAS"))</f>
        <v/>
      </c>
      <c r="H488" s="34" t="str">
        <f>IF(A488="","",'IMPORT PROFIXIO'!H488)</f>
        <v/>
      </c>
      <c r="I488" s="34" t="str">
        <f>IF(A488="","",'IMPORT PROFIXIO'!I488)</f>
        <v/>
      </c>
      <c r="J488" s="34" t="str">
        <f t="shared" si="28"/>
        <v/>
      </c>
      <c r="K488" s="34" t="str">
        <f t="shared" si="29"/>
        <v/>
      </c>
      <c r="L488" s="34" t="str">
        <f>IF(A488="","",IFERROR(VLOOKUP(E488,KLASSNING!$A$5:$F$74,5,FALSE()),0))</f>
        <v/>
      </c>
      <c r="M488" s="35" t="str">
        <f t="shared" si="30"/>
        <v/>
      </c>
      <c r="N488" s="34" t="str">
        <f>IF(A488="","",IF(K488&lt;&gt;"Ja","Ej aktuell",IF(L488&lt;=0,"KONTROLLERA MATCHTID",IF(AND(COUNTIFS(BEMANNINGSPLAN!$A$5:$A$546,B488,BEMANNINGSPLAN!$C$5:$C$546,D488,BEMANNINGSPLAN!$D$5:$D$546,"&lt;="&amp;C488,BEMANNINGSPLAN!$E$5:$E$546,"&gt;"&amp;C488)&gt;0,COUNTIFS(BEMANNINGSPLAN!$A$5:$A$546,B488,BEMANNINGSPLAN!$C$5:$C$546,D488,BEMANNINGSPLAN!$D$5:$D$546,"&lt;"&amp;M488,BEMANNINGSPLAN!$E$5:$E$546,"&gt;="&amp;M488)&gt;0),"Ja","SAKNAS TIDSRADER"))))</f>
        <v/>
      </c>
      <c r="O488" s="137" t="str">
        <f>IF(OR(B488="",K488&lt;&gt;"Ja"),"",COUNTIFS($B$5:B488,B488,$K$5:K488,"Ja"))</f>
        <v/>
      </c>
      <c r="P488" s="137" t="str">
        <f t="shared" si="31"/>
        <v/>
      </c>
    </row>
    <row r="489" spans="1:16" ht="13">
      <c r="A489" s="31" t="str">
        <f>IF('IMPORT PROFIXIO'!A489="","",'IMPORT PROFIXIO'!A489)</f>
        <v/>
      </c>
      <c r="B489" s="32" t="str">
        <f>IF(A489="","",IF(ISNUMBER('IMPORT PROFIXIO'!D489),'IMPORT PROFIXIO'!D489,DATEVALUE('IMPORT PROFIXIO'!D489)))</f>
        <v/>
      </c>
      <c r="C489" s="33" t="str">
        <f>IF(A489="","",IF(ISNUMBER('IMPORT PROFIXIO'!E489),'IMPORT PROFIXIO'!E489,(VALUE(LEFT('IMPORT PROFIXIO'!E489,FIND(":",'IMPORT PROFIXIO'!E489)-1))*60+VALUE(MID('IMPORT PROFIXIO'!E489,FIND(":",'IMPORT PROFIXIO'!E489)+1,2)))/1440))</f>
        <v/>
      </c>
      <c r="D489" s="31" t="str">
        <f>IF(A489="","",'IMPORT PROFIXIO'!F489)</f>
        <v/>
      </c>
      <c r="E489" s="31" t="str">
        <f>IF(A489="","",'IMPORT PROFIXIO'!K489)</f>
        <v/>
      </c>
      <c r="F489" s="34" t="str">
        <f>IF(A489="","",IFERROR(VLOOKUP(E489,KLASSNING!$A$5:$F$74,2,FALSE()),"SAKNAS"))</f>
        <v/>
      </c>
      <c r="G489" s="34" t="str">
        <f>IF(A489="","",IFERROR(VLOOKUP(E489,KLASSNING!$A$5:$F$74,3,FALSE()),"SAKNAS"))</f>
        <v/>
      </c>
      <c r="H489" s="34" t="str">
        <f>IF(A489="","",'IMPORT PROFIXIO'!H489)</f>
        <v/>
      </c>
      <c r="I489" s="34" t="str">
        <f>IF(A489="","",'IMPORT PROFIXIO'!I489)</f>
        <v/>
      </c>
      <c r="J489" s="34" t="str">
        <f t="shared" si="28"/>
        <v/>
      </c>
      <c r="K489" s="34" t="str">
        <f t="shared" si="29"/>
        <v/>
      </c>
      <c r="L489" s="34" t="str">
        <f>IF(A489="","",IFERROR(VLOOKUP(E489,KLASSNING!$A$5:$F$74,5,FALSE()),0))</f>
        <v/>
      </c>
      <c r="M489" s="35" t="str">
        <f t="shared" si="30"/>
        <v/>
      </c>
      <c r="N489" s="34" t="str">
        <f>IF(A489="","",IF(K489&lt;&gt;"Ja","Ej aktuell",IF(L489&lt;=0,"KONTROLLERA MATCHTID",IF(AND(COUNTIFS(BEMANNINGSPLAN!$A$5:$A$546,B489,BEMANNINGSPLAN!$C$5:$C$546,D489,BEMANNINGSPLAN!$D$5:$D$546,"&lt;="&amp;C489,BEMANNINGSPLAN!$E$5:$E$546,"&gt;"&amp;C489)&gt;0,COUNTIFS(BEMANNINGSPLAN!$A$5:$A$546,B489,BEMANNINGSPLAN!$C$5:$C$546,D489,BEMANNINGSPLAN!$D$5:$D$546,"&lt;"&amp;M489,BEMANNINGSPLAN!$E$5:$E$546,"&gt;="&amp;M489)&gt;0),"Ja","SAKNAS TIDSRADER"))))</f>
        <v/>
      </c>
      <c r="O489" s="137" t="str">
        <f>IF(OR(B489="",K489&lt;&gt;"Ja"),"",COUNTIFS($B$5:B489,B489,$K$5:K489,"Ja"))</f>
        <v/>
      </c>
      <c r="P489" s="137" t="str">
        <f t="shared" si="31"/>
        <v/>
      </c>
    </row>
    <row r="490" spans="1:16" ht="13">
      <c r="A490" s="31" t="str">
        <f>IF('IMPORT PROFIXIO'!A490="","",'IMPORT PROFIXIO'!A490)</f>
        <v/>
      </c>
      <c r="B490" s="32" t="str">
        <f>IF(A490="","",IF(ISNUMBER('IMPORT PROFIXIO'!D490),'IMPORT PROFIXIO'!D490,DATEVALUE('IMPORT PROFIXIO'!D490)))</f>
        <v/>
      </c>
      <c r="C490" s="33" t="str">
        <f>IF(A490="","",IF(ISNUMBER('IMPORT PROFIXIO'!E490),'IMPORT PROFIXIO'!E490,(VALUE(LEFT('IMPORT PROFIXIO'!E490,FIND(":",'IMPORT PROFIXIO'!E490)-1))*60+VALUE(MID('IMPORT PROFIXIO'!E490,FIND(":",'IMPORT PROFIXIO'!E490)+1,2)))/1440))</f>
        <v/>
      </c>
      <c r="D490" s="31" t="str">
        <f>IF(A490="","",'IMPORT PROFIXIO'!F490)</f>
        <v/>
      </c>
      <c r="E490" s="31" t="str">
        <f>IF(A490="","",'IMPORT PROFIXIO'!K490)</f>
        <v/>
      </c>
      <c r="F490" s="34" t="str">
        <f>IF(A490="","",IFERROR(VLOOKUP(E490,KLASSNING!$A$5:$F$74,2,FALSE()),"SAKNAS"))</f>
        <v/>
      </c>
      <c r="G490" s="34" t="str">
        <f>IF(A490="","",IFERROR(VLOOKUP(E490,KLASSNING!$A$5:$F$74,3,FALSE()),"SAKNAS"))</f>
        <v/>
      </c>
      <c r="H490" s="34" t="str">
        <f>IF(A490="","",'IMPORT PROFIXIO'!H490)</f>
        <v/>
      </c>
      <c r="I490" s="34" t="str">
        <f>IF(A490="","",'IMPORT PROFIXIO'!I490)</f>
        <v/>
      </c>
      <c r="J490" s="34" t="str">
        <f t="shared" si="28"/>
        <v/>
      </c>
      <c r="K490" s="34" t="str">
        <f t="shared" si="29"/>
        <v/>
      </c>
      <c r="L490" s="34" t="str">
        <f>IF(A490="","",IFERROR(VLOOKUP(E490,KLASSNING!$A$5:$F$74,5,FALSE()),0))</f>
        <v/>
      </c>
      <c r="M490" s="35" t="str">
        <f t="shared" si="30"/>
        <v/>
      </c>
      <c r="N490" s="34" t="str">
        <f>IF(A490="","",IF(K490&lt;&gt;"Ja","Ej aktuell",IF(L490&lt;=0,"KONTROLLERA MATCHTID",IF(AND(COUNTIFS(BEMANNINGSPLAN!$A$5:$A$546,B490,BEMANNINGSPLAN!$C$5:$C$546,D490,BEMANNINGSPLAN!$D$5:$D$546,"&lt;="&amp;C490,BEMANNINGSPLAN!$E$5:$E$546,"&gt;"&amp;C490)&gt;0,COUNTIFS(BEMANNINGSPLAN!$A$5:$A$546,B490,BEMANNINGSPLAN!$C$5:$C$546,D490,BEMANNINGSPLAN!$D$5:$D$546,"&lt;"&amp;M490,BEMANNINGSPLAN!$E$5:$E$546,"&gt;="&amp;M490)&gt;0),"Ja","SAKNAS TIDSRADER"))))</f>
        <v/>
      </c>
      <c r="O490" s="137" t="str">
        <f>IF(OR(B490="",K490&lt;&gt;"Ja"),"",COUNTIFS($B$5:B490,B490,$K$5:K490,"Ja"))</f>
        <v/>
      </c>
      <c r="P490" s="137" t="str">
        <f t="shared" si="31"/>
        <v/>
      </c>
    </row>
    <row r="491" spans="1:16" ht="13">
      <c r="A491" s="31" t="str">
        <f>IF('IMPORT PROFIXIO'!A491="","",'IMPORT PROFIXIO'!A491)</f>
        <v/>
      </c>
      <c r="B491" s="32" t="str">
        <f>IF(A491="","",IF(ISNUMBER('IMPORT PROFIXIO'!D491),'IMPORT PROFIXIO'!D491,DATEVALUE('IMPORT PROFIXIO'!D491)))</f>
        <v/>
      </c>
      <c r="C491" s="33" t="str">
        <f>IF(A491="","",IF(ISNUMBER('IMPORT PROFIXIO'!E491),'IMPORT PROFIXIO'!E491,(VALUE(LEFT('IMPORT PROFIXIO'!E491,FIND(":",'IMPORT PROFIXIO'!E491)-1))*60+VALUE(MID('IMPORT PROFIXIO'!E491,FIND(":",'IMPORT PROFIXIO'!E491)+1,2)))/1440))</f>
        <v/>
      </c>
      <c r="D491" s="31" t="str">
        <f>IF(A491="","",'IMPORT PROFIXIO'!F491)</f>
        <v/>
      </c>
      <c r="E491" s="31" t="str">
        <f>IF(A491="","",'IMPORT PROFIXIO'!K491)</f>
        <v/>
      </c>
      <c r="F491" s="34" t="str">
        <f>IF(A491="","",IFERROR(VLOOKUP(E491,KLASSNING!$A$5:$F$74,2,FALSE()),"SAKNAS"))</f>
        <v/>
      </c>
      <c r="G491" s="34" t="str">
        <f>IF(A491="","",IFERROR(VLOOKUP(E491,KLASSNING!$A$5:$F$74,3,FALSE()),"SAKNAS"))</f>
        <v/>
      </c>
      <c r="H491" s="34" t="str">
        <f>IF(A491="","",'IMPORT PROFIXIO'!H491)</f>
        <v/>
      </c>
      <c r="I491" s="34" t="str">
        <f>IF(A491="","",'IMPORT PROFIXIO'!I491)</f>
        <v/>
      </c>
      <c r="J491" s="34" t="str">
        <f t="shared" si="28"/>
        <v/>
      </c>
      <c r="K491" s="34" t="str">
        <f t="shared" si="29"/>
        <v/>
      </c>
      <c r="L491" s="34" t="str">
        <f>IF(A491="","",IFERROR(VLOOKUP(E491,KLASSNING!$A$5:$F$74,5,FALSE()),0))</f>
        <v/>
      </c>
      <c r="M491" s="35" t="str">
        <f t="shared" si="30"/>
        <v/>
      </c>
      <c r="N491" s="34" t="str">
        <f>IF(A491="","",IF(K491&lt;&gt;"Ja","Ej aktuell",IF(L491&lt;=0,"KONTROLLERA MATCHTID",IF(AND(COUNTIFS(BEMANNINGSPLAN!$A$5:$A$546,B491,BEMANNINGSPLAN!$C$5:$C$546,D491,BEMANNINGSPLAN!$D$5:$D$546,"&lt;="&amp;C491,BEMANNINGSPLAN!$E$5:$E$546,"&gt;"&amp;C491)&gt;0,COUNTIFS(BEMANNINGSPLAN!$A$5:$A$546,B491,BEMANNINGSPLAN!$C$5:$C$546,D491,BEMANNINGSPLAN!$D$5:$D$546,"&lt;"&amp;M491,BEMANNINGSPLAN!$E$5:$E$546,"&gt;="&amp;M491)&gt;0),"Ja","SAKNAS TIDSRADER"))))</f>
        <v/>
      </c>
      <c r="O491" s="137" t="str">
        <f>IF(OR(B491="",K491&lt;&gt;"Ja"),"",COUNTIFS($B$5:B491,B491,$K$5:K491,"Ja"))</f>
        <v/>
      </c>
      <c r="P491" s="137" t="str">
        <f t="shared" si="31"/>
        <v/>
      </c>
    </row>
    <row r="492" spans="1:16" ht="13">
      <c r="A492" s="31" t="str">
        <f>IF('IMPORT PROFIXIO'!A492="","",'IMPORT PROFIXIO'!A492)</f>
        <v/>
      </c>
      <c r="B492" s="32" t="str">
        <f>IF(A492="","",IF(ISNUMBER('IMPORT PROFIXIO'!D492),'IMPORT PROFIXIO'!D492,DATEVALUE('IMPORT PROFIXIO'!D492)))</f>
        <v/>
      </c>
      <c r="C492" s="33" t="str">
        <f>IF(A492="","",IF(ISNUMBER('IMPORT PROFIXIO'!E492),'IMPORT PROFIXIO'!E492,(VALUE(LEFT('IMPORT PROFIXIO'!E492,FIND(":",'IMPORT PROFIXIO'!E492)-1))*60+VALUE(MID('IMPORT PROFIXIO'!E492,FIND(":",'IMPORT PROFIXIO'!E492)+1,2)))/1440))</f>
        <v/>
      </c>
      <c r="D492" s="31" t="str">
        <f>IF(A492="","",'IMPORT PROFIXIO'!F492)</f>
        <v/>
      </c>
      <c r="E492" s="31" t="str">
        <f>IF(A492="","",'IMPORT PROFIXIO'!K492)</f>
        <v/>
      </c>
      <c r="F492" s="34" t="str">
        <f>IF(A492="","",IFERROR(VLOOKUP(E492,KLASSNING!$A$5:$F$74,2,FALSE()),"SAKNAS"))</f>
        <v/>
      </c>
      <c r="G492" s="34" t="str">
        <f>IF(A492="","",IFERROR(VLOOKUP(E492,KLASSNING!$A$5:$F$74,3,FALSE()),"SAKNAS"))</f>
        <v/>
      </c>
      <c r="H492" s="34" t="str">
        <f>IF(A492="","",'IMPORT PROFIXIO'!H492)</f>
        <v/>
      </c>
      <c r="I492" s="34" t="str">
        <f>IF(A492="","",'IMPORT PROFIXIO'!I492)</f>
        <v/>
      </c>
      <c r="J492" s="34" t="str">
        <f t="shared" si="28"/>
        <v/>
      </c>
      <c r="K492" s="34" t="str">
        <f t="shared" si="29"/>
        <v/>
      </c>
      <c r="L492" s="34" t="str">
        <f>IF(A492="","",IFERROR(VLOOKUP(E492,KLASSNING!$A$5:$F$74,5,FALSE()),0))</f>
        <v/>
      </c>
      <c r="M492" s="35" t="str">
        <f t="shared" si="30"/>
        <v/>
      </c>
      <c r="N492" s="34" t="str">
        <f>IF(A492="","",IF(K492&lt;&gt;"Ja","Ej aktuell",IF(L492&lt;=0,"KONTROLLERA MATCHTID",IF(AND(COUNTIFS(BEMANNINGSPLAN!$A$5:$A$546,B492,BEMANNINGSPLAN!$C$5:$C$546,D492,BEMANNINGSPLAN!$D$5:$D$546,"&lt;="&amp;C492,BEMANNINGSPLAN!$E$5:$E$546,"&gt;"&amp;C492)&gt;0,COUNTIFS(BEMANNINGSPLAN!$A$5:$A$546,B492,BEMANNINGSPLAN!$C$5:$C$546,D492,BEMANNINGSPLAN!$D$5:$D$546,"&lt;"&amp;M492,BEMANNINGSPLAN!$E$5:$E$546,"&gt;="&amp;M492)&gt;0),"Ja","SAKNAS TIDSRADER"))))</f>
        <v/>
      </c>
      <c r="O492" s="137" t="str">
        <f>IF(OR(B492="",K492&lt;&gt;"Ja"),"",COUNTIFS($B$5:B492,B492,$K$5:K492,"Ja"))</f>
        <v/>
      </c>
      <c r="P492" s="137" t="str">
        <f t="shared" si="31"/>
        <v/>
      </c>
    </row>
    <row r="493" spans="1:16" ht="13">
      <c r="A493" s="31" t="str">
        <f>IF('IMPORT PROFIXIO'!A493="","",'IMPORT PROFIXIO'!A493)</f>
        <v/>
      </c>
      <c r="B493" s="32" t="str">
        <f>IF(A493="","",IF(ISNUMBER('IMPORT PROFIXIO'!D493),'IMPORT PROFIXIO'!D493,DATEVALUE('IMPORT PROFIXIO'!D493)))</f>
        <v/>
      </c>
      <c r="C493" s="33" t="str">
        <f>IF(A493="","",IF(ISNUMBER('IMPORT PROFIXIO'!E493),'IMPORT PROFIXIO'!E493,(VALUE(LEFT('IMPORT PROFIXIO'!E493,FIND(":",'IMPORT PROFIXIO'!E493)-1))*60+VALUE(MID('IMPORT PROFIXIO'!E493,FIND(":",'IMPORT PROFIXIO'!E493)+1,2)))/1440))</f>
        <v/>
      </c>
      <c r="D493" s="31" t="str">
        <f>IF(A493="","",'IMPORT PROFIXIO'!F493)</f>
        <v/>
      </c>
      <c r="E493" s="31" t="str">
        <f>IF(A493="","",'IMPORT PROFIXIO'!K493)</f>
        <v/>
      </c>
      <c r="F493" s="34" t="str">
        <f>IF(A493="","",IFERROR(VLOOKUP(E493,KLASSNING!$A$5:$F$74,2,FALSE()),"SAKNAS"))</f>
        <v/>
      </c>
      <c r="G493" s="34" t="str">
        <f>IF(A493="","",IFERROR(VLOOKUP(E493,KLASSNING!$A$5:$F$74,3,FALSE()),"SAKNAS"))</f>
        <v/>
      </c>
      <c r="H493" s="34" t="str">
        <f>IF(A493="","",'IMPORT PROFIXIO'!H493)</f>
        <v/>
      </c>
      <c r="I493" s="34" t="str">
        <f>IF(A493="","",'IMPORT PROFIXIO'!I493)</f>
        <v/>
      </c>
      <c r="J493" s="34" t="str">
        <f t="shared" si="28"/>
        <v/>
      </c>
      <c r="K493" s="34" t="str">
        <f t="shared" si="29"/>
        <v/>
      </c>
      <c r="L493" s="34" t="str">
        <f>IF(A493="","",IFERROR(VLOOKUP(E493,KLASSNING!$A$5:$F$74,5,FALSE()),0))</f>
        <v/>
      </c>
      <c r="M493" s="35" t="str">
        <f t="shared" si="30"/>
        <v/>
      </c>
      <c r="N493" s="34" t="str">
        <f>IF(A493="","",IF(K493&lt;&gt;"Ja","Ej aktuell",IF(L493&lt;=0,"KONTROLLERA MATCHTID",IF(AND(COUNTIFS(BEMANNINGSPLAN!$A$5:$A$546,B493,BEMANNINGSPLAN!$C$5:$C$546,D493,BEMANNINGSPLAN!$D$5:$D$546,"&lt;="&amp;C493,BEMANNINGSPLAN!$E$5:$E$546,"&gt;"&amp;C493)&gt;0,COUNTIFS(BEMANNINGSPLAN!$A$5:$A$546,B493,BEMANNINGSPLAN!$C$5:$C$546,D493,BEMANNINGSPLAN!$D$5:$D$546,"&lt;"&amp;M493,BEMANNINGSPLAN!$E$5:$E$546,"&gt;="&amp;M493)&gt;0),"Ja","SAKNAS TIDSRADER"))))</f>
        <v/>
      </c>
      <c r="O493" s="137" t="str">
        <f>IF(OR(B493="",K493&lt;&gt;"Ja"),"",COUNTIFS($B$5:B493,B493,$K$5:K493,"Ja"))</f>
        <v/>
      </c>
      <c r="P493" s="137" t="str">
        <f t="shared" si="31"/>
        <v/>
      </c>
    </row>
    <row r="494" spans="1:16" ht="13">
      <c r="A494" s="31" t="str">
        <f>IF('IMPORT PROFIXIO'!A494="","",'IMPORT PROFIXIO'!A494)</f>
        <v/>
      </c>
      <c r="B494" s="32" t="str">
        <f>IF(A494="","",IF(ISNUMBER('IMPORT PROFIXIO'!D494),'IMPORT PROFIXIO'!D494,DATEVALUE('IMPORT PROFIXIO'!D494)))</f>
        <v/>
      </c>
      <c r="C494" s="33" t="str">
        <f>IF(A494="","",IF(ISNUMBER('IMPORT PROFIXIO'!E494),'IMPORT PROFIXIO'!E494,(VALUE(LEFT('IMPORT PROFIXIO'!E494,FIND(":",'IMPORT PROFIXIO'!E494)-1))*60+VALUE(MID('IMPORT PROFIXIO'!E494,FIND(":",'IMPORT PROFIXIO'!E494)+1,2)))/1440))</f>
        <v/>
      </c>
      <c r="D494" s="31" t="str">
        <f>IF(A494="","",'IMPORT PROFIXIO'!F494)</f>
        <v/>
      </c>
      <c r="E494" s="31" t="str">
        <f>IF(A494="","",'IMPORT PROFIXIO'!K494)</f>
        <v/>
      </c>
      <c r="F494" s="34" t="str">
        <f>IF(A494="","",IFERROR(VLOOKUP(E494,KLASSNING!$A$5:$F$74,2,FALSE()),"SAKNAS"))</f>
        <v/>
      </c>
      <c r="G494" s="34" t="str">
        <f>IF(A494="","",IFERROR(VLOOKUP(E494,KLASSNING!$A$5:$F$74,3,FALSE()),"SAKNAS"))</f>
        <v/>
      </c>
      <c r="H494" s="34" t="str">
        <f>IF(A494="","",'IMPORT PROFIXIO'!H494)</f>
        <v/>
      </c>
      <c r="I494" s="34" t="str">
        <f>IF(A494="","",'IMPORT PROFIXIO'!I494)</f>
        <v/>
      </c>
      <c r="J494" s="34" t="str">
        <f t="shared" si="28"/>
        <v/>
      </c>
      <c r="K494" s="34" t="str">
        <f t="shared" si="29"/>
        <v/>
      </c>
      <c r="L494" s="34" t="str">
        <f>IF(A494="","",IFERROR(VLOOKUP(E494,KLASSNING!$A$5:$F$74,5,FALSE()),0))</f>
        <v/>
      </c>
      <c r="M494" s="35" t="str">
        <f t="shared" si="30"/>
        <v/>
      </c>
      <c r="N494" s="34" t="str">
        <f>IF(A494="","",IF(K494&lt;&gt;"Ja","Ej aktuell",IF(L494&lt;=0,"KONTROLLERA MATCHTID",IF(AND(COUNTIFS(BEMANNINGSPLAN!$A$5:$A$546,B494,BEMANNINGSPLAN!$C$5:$C$546,D494,BEMANNINGSPLAN!$D$5:$D$546,"&lt;="&amp;C494,BEMANNINGSPLAN!$E$5:$E$546,"&gt;"&amp;C494)&gt;0,COUNTIFS(BEMANNINGSPLAN!$A$5:$A$546,B494,BEMANNINGSPLAN!$C$5:$C$546,D494,BEMANNINGSPLAN!$D$5:$D$546,"&lt;"&amp;M494,BEMANNINGSPLAN!$E$5:$E$546,"&gt;="&amp;M494)&gt;0),"Ja","SAKNAS TIDSRADER"))))</f>
        <v/>
      </c>
      <c r="O494" s="137" t="str">
        <f>IF(OR(B494="",K494&lt;&gt;"Ja"),"",COUNTIFS($B$5:B494,B494,$K$5:K494,"Ja"))</f>
        <v/>
      </c>
      <c r="P494" s="137" t="str">
        <f t="shared" si="31"/>
        <v/>
      </c>
    </row>
    <row r="495" spans="1:16" ht="13">
      <c r="A495" s="31" t="str">
        <f>IF('IMPORT PROFIXIO'!A495="","",'IMPORT PROFIXIO'!A495)</f>
        <v/>
      </c>
      <c r="B495" s="32" t="str">
        <f>IF(A495="","",IF(ISNUMBER('IMPORT PROFIXIO'!D495),'IMPORT PROFIXIO'!D495,DATEVALUE('IMPORT PROFIXIO'!D495)))</f>
        <v/>
      </c>
      <c r="C495" s="33" t="str">
        <f>IF(A495="","",IF(ISNUMBER('IMPORT PROFIXIO'!E495),'IMPORT PROFIXIO'!E495,(VALUE(LEFT('IMPORT PROFIXIO'!E495,FIND(":",'IMPORT PROFIXIO'!E495)-1))*60+VALUE(MID('IMPORT PROFIXIO'!E495,FIND(":",'IMPORT PROFIXIO'!E495)+1,2)))/1440))</f>
        <v/>
      </c>
      <c r="D495" s="31" t="str">
        <f>IF(A495="","",'IMPORT PROFIXIO'!F495)</f>
        <v/>
      </c>
      <c r="E495" s="31" t="str">
        <f>IF(A495="","",'IMPORT PROFIXIO'!K495)</f>
        <v/>
      </c>
      <c r="F495" s="34" t="str">
        <f>IF(A495="","",IFERROR(VLOOKUP(E495,KLASSNING!$A$5:$F$74,2,FALSE()),"SAKNAS"))</f>
        <v/>
      </c>
      <c r="G495" s="34" t="str">
        <f>IF(A495="","",IFERROR(VLOOKUP(E495,KLASSNING!$A$5:$F$74,3,FALSE()),"SAKNAS"))</f>
        <v/>
      </c>
      <c r="H495" s="34" t="str">
        <f>IF(A495="","",'IMPORT PROFIXIO'!H495)</f>
        <v/>
      </c>
      <c r="I495" s="34" t="str">
        <f>IF(A495="","",'IMPORT PROFIXIO'!I495)</f>
        <v/>
      </c>
      <c r="J495" s="34" t="str">
        <f t="shared" si="28"/>
        <v/>
      </c>
      <c r="K495" s="34" t="str">
        <f t="shared" si="29"/>
        <v/>
      </c>
      <c r="L495" s="34" t="str">
        <f>IF(A495="","",IFERROR(VLOOKUP(E495,KLASSNING!$A$5:$F$74,5,FALSE()),0))</f>
        <v/>
      </c>
      <c r="M495" s="35" t="str">
        <f t="shared" si="30"/>
        <v/>
      </c>
      <c r="N495" s="34" t="str">
        <f>IF(A495="","",IF(K495&lt;&gt;"Ja","Ej aktuell",IF(L495&lt;=0,"KONTROLLERA MATCHTID",IF(AND(COUNTIFS(BEMANNINGSPLAN!$A$5:$A$546,B495,BEMANNINGSPLAN!$C$5:$C$546,D495,BEMANNINGSPLAN!$D$5:$D$546,"&lt;="&amp;C495,BEMANNINGSPLAN!$E$5:$E$546,"&gt;"&amp;C495)&gt;0,COUNTIFS(BEMANNINGSPLAN!$A$5:$A$546,B495,BEMANNINGSPLAN!$C$5:$C$546,D495,BEMANNINGSPLAN!$D$5:$D$546,"&lt;"&amp;M495,BEMANNINGSPLAN!$E$5:$E$546,"&gt;="&amp;M495)&gt;0),"Ja","SAKNAS TIDSRADER"))))</f>
        <v/>
      </c>
      <c r="O495" s="137" t="str">
        <f>IF(OR(B495="",K495&lt;&gt;"Ja"),"",COUNTIFS($B$5:B495,B495,$K$5:K495,"Ja"))</f>
        <v/>
      </c>
      <c r="P495" s="137" t="str">
        <f t="shared" si="31"/>
        <v/>
      </c>
    </row>
    <row r="496" spans="1:16" ht="13">
      <c r="A496" s="31" t="str">
        <f>IF('IMPORT PROFIXIO'!A496="","",'IMPORT PROFIXIO'!A496)</f>
        <v/>
      </c>
      <c r="B496" s="32" t="str">
        <f>IF(A496="","",IF(ISNUMBER('IMPORT PROFIXIO'!D496),'IMPORT PROFIXIO'!D496,DATEVALUE('IMPORT PROFIXIO'!D496)))</f>
        <v/>
      </c>
      <c r="C496" s="33" t="str">
        <f>IF(A496="","",IF(ISNUMBER('IMPORT PROFIXIO'!E496),'IMPORT PROFIXIO'!E496,(VALUE(LEFT('IMPORT PROFIXIO'!E496,FIND(":",'IMPORT PROFIXIO'!E496)-1))*60+VALUE(MID('IMPORT PROFIXIO'!E496,FIND(":",'IMPORT PROFIXIO'!E496)+1,2)))/1440))</f>
        <v/>
      </c>
      <c r="D496" s="31" t="str">
        <f>IF(A496="","",'IMPORT PROFIXIO'!F496)</f>
        <v/>
      </c>
      <c r="E496" s="31" t="str">
        <f>IF(A496="","",'IMPORT PROFIXIO'!K496)</f>
        <v/>
      </c>
      <c r="F496" s="34" t="str">
        <f>IF(A496="","",IFERROR(VLOOKUP(E496,KLASSNING!$A$5:$F$74,2,FALSE()),"SAKNAS"))</f>
        <v/>
      </c>
      <c r="G496" s="34" t="str">
        <f>IF(A496="","",IFERROR(VLOOKUP(E496,KLASSNING!$A$5:$F$74,3,FALSE()),"SAKNAS"))</f>
        <v/>
      </c>
      <c r="H496" s="34" t="str">
        <f>IF(A496="","",'IMPORT PROFIXIO'!H496)</f>
        <v/>
      </c>
      <c r="I496" s="34" t="str">
        <f>IF(A496="","",'IMPORT PROFIXIO'!I496)</f>
        <v/>
      </c>
      <c r="J496" s="34" t="str">
        <f t="shared" si="28"/>
        <v/>
      </c>
      <c r="K496" s="34" t="str">
        <f t="shared" si="29"/>
        <v/>
      </c>
      <c r="L496" s="34" t="str">
        <f>IF(A496="","",IFERROR(VLOOKUP(E496,KLASSNING!$A$5:$F$74,5,FALSE()),0))</f>
        <v/>
      </c>
      <c r="M496" s="35" t="str">
        <f t="shared" si="30"/>
        <v/>
      </c>
      <c r="N496" s="34" t="str">
        <f>IF(A496="","",IF(K496&lt;&gt;"Ja","Ej aktuell",IF(L496&lt;=0,"KONTROLLERA MATCHTID",IF(AND(COUNTIFS(BEMANNINGSPLAN!$A$5:$A$546,B496,BEMANNINGSPLAN!$C$5:$C$546,D496,BEMANNINGSPLAN!$D$5:$D$546,"&lt;="&amp;C496,BEMANNINGSPLAN!$E$5:$E$546,"&gt;"&amp;C496)&gt;0,COUNTIFS(BEMANNINGSPLAN!$A$5:$A$546,B496,BEMANNINGSPLAN!$C$5:$C$546,D496,BEMANNINGSPLAN!$D$5:$D$546,"&lt;"&amp;M496,BEMANNINGSPLAN!$E$5:$E$546,"&gt;="&amp;M496)&gt;0),"Ja","SAKNAS TIDSRADER"))))</f>
        <v/>
      </c>
      <c r="O496" s="137" t="str">
        <f>IF(OR(B496="",K496&lt;&gt;"Ja"),"",COUNTIFS($B$5:B496,B496,$K$5:K496,"Ja"))</f>
        <v/>
      </c>
      <c r="P496" s="137" t="str">
        <f t="shared" si="31"/>
        <v/>
      </c>
    </row>
    <row r="497" spans="1:16" ht="13">
      <c r="A497" s="31" t="str">
        <f>IF('IMPORT PROFIXIO'!A497="","",'IMPORT PROFIXIO'!A497)</f>
        <v/>
      </c>
      <c r="B497" s="32" t="str">
        <f>IF(A497="","",IF(ISNUMBER('IMPORT PROFIXIO'!D497),'IMPORT PROFIXIO'!D497,DATEVALUE('IMPORT PROFIXIO'!D497)))</f>
        <v/>
      </c>
      <c r="C497" s="33" t="str">
        <f>IF(A497="","",IF(ISNUMBER('IMPORT PROFIXIO'!E497),'IMPORT PROFIXIO'!E497,(VALUE(LEFT('IMPORT PROFIXIO'!E497,FIND(":",'IMPORT PROFIXIO'!E497)-1))*60+VALUE(MID('IMPORT PROFIXIO'!E497,FIND(":",'IMPORT PROFIXIO'!E497)+1,2)))/1440))</f>
        <v/>
      </c>
      <c r="D497" s="31" t="str">
        <f>IF(A497="","",'IMPORT PROFIXIO'!F497)</f>
        <v/>
      </c>
      <c r="E497" s="31" t="str">
        <f>IF(A497="","",'IMPORT PROFIXIO'!K497)</f>
        <v/>
      </c>
      <c r="F497" s="34" t="str">
        <f>IF(A497="","",IFERROR(VLOOKUP(E497,KLASSNING!$A$5:$F$74,2,FALSE()),"SAKNAS"))</f>
        <v/>
      </c>
      <c r="G497" s="34" t="str">
        <f>IF(A497="","",IFERROR(VLOOKUP(E497,KLASSNING!$A$5:$F$74,3,FALSE()),"SAKNAS"))</f>
        <v/>
      </c>
      <c r="H497" s="34" t="str">
        <f>IF(A497="","",'IMPORT PROFIXIO'!H497)</f>
        <v/>
      </c>
      <c r="I497" s="34" t="str">
        <f>IF(A497="","",'IMPORT PROFIXIO'!I497)</f>
        <v/>
      </c>
      <c r="J497" s="34" t="str">
        <f t="shared" si="28"/>
        <v/>
      </c>
      <c r="K497" s="34" t="str">
        <f t="shared" si="29"/>
        <v/>
      </c>
      <c r="L497" s="34" t="str">
        <f>IF(A497="","",IFERROR(VLOOKUP(E497,KLASSNING!$A$5:$F$74,5,FALSE()),0))</f>
        <v/>
      </c>
      <c r="M497" s="35" t="str">
        <f t="shared" si="30"/>
        <v/>
      </c>
      <c r="N497" s="34" t="str">
        <f>IF(A497="","",IF(K497&lt;&gt;"Ja","Ej aktuell",IF(L497&lt;=0,"KONTROLLERA MATCHTID",IF(AND(COUNTIFS(BEMANNINGSPLAN!$A$5:$A$546,B497,BEMANNINGSPLAN!$C$5:$C$546,D497,BEMANNINGSPLAN!$D$5:$D$546,"&lt;="&amp;C497,BEMANNINGSPLAN!$E$5:$E$546,"&gt;"&amp;C497)&gt;0,COUNTIFS(BEMANNINGSPLAN!$A$5:$A$546,B497,BEMANNINGSPLAN!$C$5:$C$546,D497,BEMANNINGSPLAN!$D$5:$D$546,"&lt;"&amp;M497,BEMANNINGSPLAN!$E$5:$E$546,"&gt;="&amp;M497)&gt;0),"Ja","SAKNAS TIDSRADER"))))</f>
        <v/>
      </c>
      <c r="O497" s="137" t="str">
        <f>IF(OR(B497="",K497&lt;&gt;"Ja"),"",COUNTIFS($B$5:B497,B497,$K$5:K497,"Ja"))</f>
        <v/>
      </c>
      <c r="P497" s="137" t="str">
        <f t="shared" si="31"/>
        <v/>
      </c>
    </row>
    <row r="498" spans="1:16" ht="13">
      <c r="A498" s="31" t="str">
        <f>IF('IMPORT PROFIXIO'!A498="","",'IMPORT PROFIXIO'!A498)</f>
        <v/>
      </c>
      <c r="B498" s="32" t="str">
        <f>IF(A498="","",IF(ISNUMBER('IMPORT PROFIXIO'!D498),'IMPORT PROFIXIO'!D498,DATEVALUE('IMPORT PROFIXIO'!D498)))</f>
        <v/>
      </c>
      <c r="C498" s="33" t="str">
        <f>IF(A498="","",IF(ISNUMBER('IMPORT PROFIXIO'!E498),'IMPORT PROFIXIO'!E498,(VALUE(LEFT('IMPORT PROFIXIO'!E498,FIND(":",'IMPORT PROFIXIO'!E498)-1))*60+VALUE(MID('IMPORT PROFIXIO'!E498,FIND(":",'IMPORT PROFIXIO'!E498)+1,2)))/1440))</f>
        <v/>
      </c>
      <c r="D498" s="31" t="str">
        <f>IF(A498="","",'IMPORT PROFIXIO'!F498)</f>
        <v/>
      </c>
      <c r="E498" s="31" t="str">
        <f>IF(A498="","",'IMPORT PROFIXIO'!K498)</f>
        <v/>
      </c>
      <c r="F498" s="34" t="str">
        <f>IF(A498="","",IFERROR(VLOOKUP(E498,KLASSNING!$A$5:$F$74,2,FALSE()),"SAKNAS"))</f>
        <v/>
      </c>
      <c r="G498" s="34" t="str">
        <f>IF(A498="","",IFERROR(VLOOKUP(E498,KLASSNING!$A$5:$F$74,3,FALSE()),"SAKNAS"))</f>
        <v/>
      </c>
      <c r="H498" s="34" t="str">
        <f>IF(A498="","",'IMPORT PROFIXIO'!H498)</f>
        <v/>
      </c>
      <c r="I498" s="34" t="str">
        <f>IF(A498="","",'IMPORT PROFIXIO'!I498)</f>
        <v/>
      </c>
      <c r="J498" s="34" t="str">
        <f t="shared" si="28"/>
        <v/>
      </c>
      <c r="K498" s="34" t="str">
        <f t="shared" si="29"/>
        <v/>
      </c>
      <c r="L498" s="34" t="str">
        <f>IF(A498="","",IFERROR(VLOOKUP(E498,KLASSNING!$A$5:$F$74,5,FALSE()),0))</f>
        <v/>
      </c>
      <c r="M498" s="35" t="str">
        <f t="shared" si="30"/>
        <v/>
      </c>
      <c r="N498" s="34" t="str">
        <f>IF(A498="","",IF(K498&lt;&gt;"Ja","Ej aktuell",IF(L498&lt;=0,"KONTROLLERA MATCHTID",IF(AND(COUNTIFS(BEMANNINGSPLAN!$A$5:$A$546,B498,BEMANNINGSPLAN!$C$5:$C$546,D498,BEMANNINGSPLAN!$D$5:$D$546,"&lt;="&amp;C498,BEMANNINGSPLAN!$E$5:$E$546,"&gt;"&amp;C498)&gt;0,COUNTIFS(BEMANNINGSPLAN!$A$5:$A$546,B498,BEMANNINGSPLAN!$C$5:$C$546,D498,BEMANNINGSPLAN!$D$5:$D$546,"&lt;"&amp;M498,BEMANNINGSPLAN!$E$5:$E$546,"&gt;="&amp;M498)&gt;0),"Ja","SAKNAS TIDSRADER"))))</f>
        <v/>
      </c>
      <c r="O498" s="137" t="str">
        <f>IF(OR(B498="",K498&lt;&gt;"Ja"),"",COUNTIFS($B$5:B498,B498,$K$5:K498,"Ja"))</f>
        <v/>
      </c>
      <c r="P498" s="137" t="str">
        <f t="shared" si="31"/>
        <v/>
      </c>
    </row>
    <row r="499" spans="1:16" ht="13">
      <c r="A499" s="31" t="str">
        <f>IF('IMPORT PROFIXIO'!A499="","",'IMPORT PROFIXIO'!A499)</f>
        <v/>
      </c>
      <c r="B499" s="32" t="str">
        <f>IF(A499="","",IF(ISNUMBER('IMPORT PROFIXIO'!D499),'IMPORT PROFIXIO'!D499,DATEVALUE('IMPORT PROFIXIO'!D499)))</f>
        <v/>
      </c>
      <c r="C499" s="33" t="str">
        <f>IF(A499="","",IF(ISNUMBER('IMPORT PROFIXIO'!E499),'IMPORT PROFIXIO'!E499,(VALUE(LEFT('IMPORT PROFIXIO'!E499,FIND(":",'IMPORT PROFIXIO'!E499)-1))*60+VALUE(MID('IMPORT PROFIXIO'!E499,FIND(":",'IMPORT PROFIXIO'!E499)+1,2)))/1440))</f>
        <v/>
      </c>
      <c r="D499" s="31" t="str">
        <f>IF(A499="","",'IMPORT PROFIXIO'!F499)</f>
        <v/>
      </c>
      <c r="E499" s="31" t="str">
        <f>IF(A499="","",'IMPORT PROFIXIO'!K499)</f>
        <v/>
      </c>
      <c r="F499" s="34" t="str">
        <f>IF(A499="","",IFERROR(VLOOKUP(E499,KLASSNING!$A$5:$F$74,2,FALSE()),"SAKNAS"))</f>
        <v/>
      </c>
      <c r="G499" s="34" t="str">
        <f>IF(A499="","",IFERROR(VLOOKUP(E499,KLASSNING!$A$5:$F$74,3,FALSE()),"SAKNAS"))</f>
        <v/>
      </c>
      <c r="H499" s="34" t="str">
        <f>IF(A499="","",'IMPORT PROFIXIO'!H499)</f>
        <v/>
      </c>
      <c r="I499" s="34" t="str">
        <f>IF(A499="","",'IMPORT PROFIXIO'!I499)</f>
        <v/>
      </c>
      <c r="J499" s="34" t="str">
        <f t="shared" si="28"/>
        <v/>
      </c>
      <c r="K499" s="34" t="str">
        <f t="shared" si="29"/>
        <v/>
      </c>
      <c r="L499" s="34" t="str">
        <f>IF(A499="","",IFERROR(VLOOKUP(E499,KLASSNING!$A$5:$F$74,5,FALSE()),0))</f>
        <v/>
      </c>
      <c r="M499" s="35" t="str">
        <f t="shared" si="30"/>
        <v/>
      </c>
      <c r="N499" s="34" t="str">
        <f>IF(A499="","",IF(K499&lt;&gt;"Ja","Ej aktuell",IF(L499&lt;=0,"KONTROLLERA MATCHTID",IF(AND(COUNTIFS(BEMANNINGSPLAN!$A$5:$A$546,B499,BEMANNINGSPLAN!$C$5:$C$546,D499,BEMANNINGSPLAN!$D$5:$D$546,"&lt;="&amp;C499,BEMANNINGSPLAN!$E$5:$E$546,"&gt;"&amp;C499)&gt;0,COUNTIFS(BEMANNINGSPLAN!$A$5:$A$546,B499,BEMANNINGSPLAN!$C$5:$C$546,D499,BEMANNINGSPLAN!$D$5:$D$546,"&lt;"&amp;M499,BEMANNINGSPLAN!$E$5:$E$546,"&gt;="&amp;M499)&gt;0),"Ja","SAKNAS TIDSRADER"))))</f>
        <v/>
      </c>
      <c r="O499" s="137" t="str">
        <f>IF(OR(B499="",K499&lt;&gt;"Ja"),"",COUNTIFS($B$5:B499,B499,$K$5:K499,"Ja"))</f>
        <v/>
      </c>
      <c r="P499" s="137" t="str">
        <f t="shared" si="31"/>
        <v/>
      </c>
    </row>
    <row r="500" spans="1:16" ht="13">
      <c r="A500" s="31" t="str">
        <f>IF('IMPORT PROFIXIO'!A500="","",'IMPORT PROFIXIO'!A500)</f>
        <v/>
      </c>
      <c r="B500" s="32" t="str">
        <f>IF(A500="","",IF(ISNUMBER('IMPORT PROFIXIO'!D500),'IMPORT PROFIXIO'!D500,DATEVALUE('IMPORT PROFIXIO'!D500)))</f>
        <v/>
      </c>
      <c r="C500" s="33" t="str">
        <f>IF(A500="","",IF(ISNUMBER('IMPORT PROFIXIO'!E500),'IMPORT PROFIXIO'!E500,(VALUE(LEFT('IMPORT PROFIXIO'!E500,FIND(":",'IMPORT PROFIXIO'!E500)-1))*60+VALUE(MID('IMPORT PROFIXIO'!E500,FIND(":",'IMPORT PROFIXIO'!E500)+1,2)))/1440))</f>
        <v/>
      </c>
      <c r="D500" s="31" t="str">
        <f>IF(A500="","",'IMPORT PROFIXIO'!F500)</f>
        <v/>
      </c>
      <c r="E500" s="31" t="str">
        <f>IF(A500="","",'IMPORT PROFIXIO'!K500)</f>
        <v/>
      </c>
      <c r="F500" s="34" t="str">
        <f>IF(A500="","",IFERROR(VLOOKUP(E500,KLASSNING!$A$5:$F$74,2,FALSE()),"SAKNAS"))</f>
        <v/>
      </c>
      <c r="G500" s="34" t="str">
        <f>IF(A500="","",IFERROR(VLOOKUP(E500,KLASSNING!$A$5:$F$74,3,FALSE()),"SAKNAS"))</f>
        <v/>
      </c>
      <c r="H500" s="34" t="str">
        <f>IF(A500="","",'IMPORT PROFIXIO'!H500)</f>
        <v/>
      </c>
      <c r="I500" s="34" t="str">
        <f>IF(A500="","",'IMPORT PROFIXIO'!I500)</f>
        <v/>
      </c>
      <c r="J500" s="34" t="str">
        <f t="shared" si="28"/>
        <v/>
      </c>
      <c r="K500" s="34" t="str">
        <f t="shared" si="29"/>
        <v/>
      </c>
      <c r="L500" s="34" t="str">
        <f>IF(A500="","",IFERROR(VLOOKUP(E500,KLASSNING!$A$5:$F$74,5,FALSE()),0))</f>
        <v/>
      </c>
      <c r="M500" s="35" t="str">
        <f t="shared" si="30"/>
        <v/>
      </c>
      <c r="N500" s="34" t="str">
        <f>IF(A500="","",IF(K500&lt;&gt;"Ja","Ej aktuell",IF(L500&lt;=0,"KONTROLLERA MATCHTID",IF(AND(COUNTIFS(BEMANNINGSPLAN!$A$5:$A$546,B500,BEMANNINGSPLAN!$C$5:$C$546,D500,BEMANNINGSPLAN!$D$5:$D$546,"&lt;="&amp;C500,BEMANNINGSPLAN!$E$5:$E$546,"&gt;"&amp;C500)&gt;0,COUNTIFS(BEMANNINGSPLAN!$A$5:$A$546,B500,BEMANNINGSPLAN!$C$5:$C$546,D500,BEMANNINGSPLAN!$D$5:$D$546,"&lt;"&amp;M500,BEMANNINGSPLAN!$E$5:$E$546,"&gt;="&amp;M500)&gt;0),"Ja","SAKNAS TIDSRADER"))))</f>
        <v/>
      </c>
      <c r="O500" s="137" t="str">
        <f>IF(OR(B500="",K500&lt;&gt;"Ja"),"",COUNTIFS($B$5:B500,B500,$K$5:K500,"Ja"))</f>
        <v/>
      </c>
      <c r="P500" s="137" t="str">
        <f t="shared" si="31"/>
        <v/>
      </c>
    </row>
    <row r="501" spans="1:16" ht="13">
      <c r="A501" s="31" t="str">
        <f>IF('IMPORT PROFIXIO'!A501="","",'IMPORT PROFIXIO'!A501)</f>
        <v/>
      </c>
      <c r="B501" s="32" t="str">
        <f>IF(A501="","",IF(ISNUMBER('IMPORT PROFIXIO'!D501),'IMPORT PROFIXIO'!D501,DATEVALUE('IMPORT PROFIXIO'!D501)))</f>
        <v/>
      </c>
      <c r="C501" s="33" t="str">
        <f>IF(A501="","",IF(ISNUMBER('IMPORT PROFIXIO'!E501),'IMPORT PROFIXIO'!E501,(VALUE(LEFT('IMPORT PROFIXIO'!E501,FIND(":",'IMPORT PROFIXIO'!E501)-1))*60+VALUE(MID('IMPORT PROFIXIO'!E501,FIND(":",'IMPORT PROFIXIO'!E501)+1,2)))/1440))</f>
        <v/>
      </c>
      <c r="D501" s="31" t="str">
        <f>IF(A501="","",'IMPORT PROFIXIO'!F501)</f>
        <v/>
      </c>
      <c r="E501" s="31" t="str">
        <f>IF(A501="","",'IMPORT PROFIXIO'!K501)</f>
        <v/>
      </c>
      <c r="F501" s="34" t="str">
        <f>IF(A501="","",IFERROR(VLOOKUP(E501,KLASSNING!$A$5:$F$74,2,FALSE()),"SAKNAS"))</f>
        <v/>
      </c>
      <c r="G501" s="34" t="str">
        <f>IF(A501="","",IFERROR(VLOOKUP(E501,KLASSNING!$A$5:$F$74,3,FALSE()),"SAKNAS"))</f>
        <v/>
      </c>
      <c r="H501" s="34" t="str">
        <f>IF(A501="","",'IMPORT PROFIXIO'!H501)</f>
        <v/>
      </c>
      <c r="I501" s="34" t="str">
        <f>IF(A501="","",'IMPORT PROFIXIO'!I501)</f>
        <v/>
      </c>
      <c r="J501" s="34" t="str">
        <f t="shared" si="28"/>
        <v/>
      </c>
      <c r="K501" s="34" t="str">
        <f t="shared" si="29"/>
        <v/>
      </c>
      <c r="L501" s="34" t="str">
        <f>IF(A501="","",IFERROR(VLOOKUP(E501,KLASSNING!$A$5:$F$74,5,FALSE()),0))</f>
        <v/>
      </c>
      <c r="M501" s="35" t="str">
        <f t="shared" si="30"/>
        <v/>
      </c>
      <c r="N501" s="34" t="str">
        <f>IF(A501="","",IF(K501&lt;&gt;"Ja","Ej aktuell",IF(L501&lt;=0,"KONTROLLERA MATCHTID",IF(AND(COUNTIFS(BEMANNINGSPLAN!$A$5:$A$546,B501,BEMANNINGSPLAN!$C$5:$C$546,D501,BEMANNINGSPLAN!$D$5:$D$546,"&lt;="&amp;C501,BEMANNINGSPLAN!$E$5:$E$546,"&gt;"&amp;C501)&gt;0,COUNTIFS(BEMANNINGSPLAN!$A$5:$A$546,B501,BEMANNINGSPLAN!$C$5:$C$546,D501,BEMANNINGSPLAN!$D$5:$D$546,"&lt;"&amp;M501,BEMANNINGSPLAN!$E$5:$E$546,"&gt;="&amp;M501)&gt;0),"Ja","SAKNAS TIDSRADER"))))</f>
        <v/>
      </c>
      <c r="O501" s="137" t="str">
        <f>IF(OR(B501="",K501&lt;&gt;"Ja"),"",COUNTIFS($B$5:B501,B501,$K$5:K501,"Ja"))</f>
        <v/>
      </c>
      <c r="P501" s="137" t="str">
        <f t="shared" si="31"/>
        <v/>
      </c>
    </row>
    <row r="502" spans="1:16" ht="13">
      <c r="A502" s="31" t="str">
        <f>IF('IMPORT PROFIXIO'!A502="","",'IMPORT PROFIXIO'!A502)</f>
        <v/>
      </c>
      <c r="B502" s="32" t="str">
        <f>IF(A502="","",IF(ISNUMBER('IMPORT PROFIXIO'!D502),'IMPORT PROFIXIO'!D502,DATEVALUE('IMPORT PROFIXIO'!D502)))</f>
        <v/>
      </c>
      <c r="C502" s="33" t="str">
        <f>IF(A502="","",IF(ISNUMBER('IMPORT PROFIXIO'!E502),'IMPORT PROFIXIO'!E502,(VALUE(LEFT('IMPORT PROFIXIO'!E502,FIND(":",'IMPORT PROFIXIO'!E502)-1))*60+VALUE(MID('IMPORT PROFIXIO'!E502,FIND(":",'IMPORT PROFIXIO'!E502)+1,2)))/1440))</f>
        <v/>
      </c>
      <c r="D502" s="31" t="str">
        <f>IF(A502="","",'IMPORT PROFIXIO'!F502)</f>
        <v/>
      </c>
      <c r="E502" s="31" t="str">
        <f>IF(A502="","",'IMPORT PROFIXIO'!K502)</f>
        <v/>
      </c>
      <c r="F502" s="34" t="str">
        <f>IF(A502="","",IFERROR(VLOOKUP(E502,KLASSNING!$A$5:$F$74,2,FALSE()),"SAKNAS"))</f>
        <v/>
      </c>
      <c r="G502" s="34" t="str">
        <f>IF(A502="","",IFERROR(VLOOKUP(E502,KLASSNING!$A$5:$F$74,3,FALSE()),"SAKNAS"))</f>
        <v/>
      </c>
      <c r="H502" s="34" t="str">
        <f>IF(A502="","",'IMPORT PROFIXIO'!H502)</f>
        <v/>
      </c>
      <c r="I502" s="34" t="str">
        <f>IF(A502="","",'IMPORT PROFIXIO'!I502)</f>
        <v/>
      </c>
      <c r="J502" s="34" t="str">
        <f t="shared" si="28"/>
        <v/>
      </c>
      <c r="K502" s="34" t="str">
        <f t="shared" si="29"/>
        <v/>
      </c>
      <c r="L502" s="34" t="str">
        <f>IF(A502="","",IFERROR(VLOOKUP(E502,KLASSNING!$A$5:$F$74,5,FALSE()),0))</f>
        <v/>
      </c>
      <c r="M502" s="35" t="str">
        <f t="shared" si="30"/>
        <v/>
      </c>
      <c r="N502" s="34" t="str">
        <f>IF(A502="","",IF(K502&lt;&gt;"Ja","Ej aktuell",IF(L502&lt;=0,"KONTROLLERA MATCHTID",IF(AND(COUNTIFS(BEMANNINGSPLAN!$A$5:$A$546,B502,BEMANNINGSPLAN!$C$5:$C$546,D502,BEMANNINGSPLAN!$D$5:$D$546,"&lt;="&amp;C502,BEMANNINGSPLAN!$E$5:$E$546,"&gt;"&amp;C502)&gt;0,COUNTIFS(BEMANNINGSPLAN!$A$5:$A$546,B502,BEMANNINGSPLAN!$C$5:$C$546,D502,BEMANNINGSPLAN!$D$5:$D$546,"&lt;"&amp;M502,BEMANNINGSPLAN!$E$5:$E$546,"&gt;="&amp;M502)&gt;0),"Ja","SAKNAS TIDSRADER"))))</f>
        <v/>
      </c>
      <c r="O502" s="137" t="str">
        <f>IF(OR(B502="",K502&lt;&gt;"Ja"),"",COUNTIFS($B$5:B502,B502,$K$5:K502,"Ja"))</f>
        <v/>
      </c>
      <c r="P502" s="137" t="str">
        <f t="shared" si="31"/>
        <v/>
      </c>
    </row>
    <row r="503" spans="1:16" ht="13">
      <c r="A503" s="31" t="str">
        <f>IF('IMPORT PROFIXIO'!A503="","",'IMPORT PROFIXIO'!A503)</f>
        <v/>
      </c>
      <c r="B503" s="32" t="str">
        <f>IF(A503="","",IF(ISNUMBER('IMPORT PROFIXIO'!D503),'IMPORT PROFIXIO'!D503,DATEVALUE('IMPORT PROFIXIO'!D503)))</f>
        <v/>
      </c>
      <c r="C503" s="33" t="str">
        <f>IF(A503="","",IF(ISNUMBER('IMPORT PROFIXIO'!E503),'IMPORT PROFIXIO'!E503,(VALUE(LEFT('IMPORT PROFIXIO'!E503,FIND(":",'IMPORT PROFIXIO'!E503)-1))*60+VALUE(MID('IMPORT PROFIXIO'!E503,FIND(":",'IMPORT PROFIXIO'!E503)+1,2)))/1440))</f>
        <v/>
      </c>
      <c r="D503" s="31" t="str">
        <f>IF(A503="","",'IMPORT PROFIXIO'!F503)</f>
        <v/>
      </c>
      <c r="E503" s="31" t="str">
        <f>IF(A503="","",'IMPORT PROFIXIO'!K503)</f>
        <v/>
      </c>
      <c r="F503" s="34" t="str">
        <f>IF(A503="","",IFERROR(VLOOKUP(E503,KLASSNING!$A$5:$F$74,2,FALSE()),"SAKNAS"))</f>
        <v/>
      </c>
      <c r="G503" s="34" t="str">
        <f>IF(A503="","",IFERROR(VLOOKUP(E503,KLASSNING!$A$5:$F$74,3,FALSE()),"SAKNAS"))</f>
        <v/>
      </c>
      <c r="H503" s="34" t="str">
        <f>IF(A503="","",'IMPORT PROFIXIO'!H503)</f>
        <v/>
      </c>
      <c r="I503" s="34" t="str">
        <f>IF(A503="","",'IMPORT PROFIXIO'!I503)</f>
        <v/>
      </c>
      <c r="J503" s="34" t="str">
        <f t="shared" si="28"/>
        <v/>
      </c>
      <c r="K503" s="34" t="str">
        <f t="shared" si="29"/>
        <v/>
      </c>
      <c r="L503" s="34" t="str">
        <f>IF(A503="","",IFERROR(VLOOKUP(E503,KLASSNING!$A$5:$F$74,5,FALSE()),0))</f>
        <v/>
      </c>
      <c r="M503" s="35" t="str">
        <f t="shared" si="30"/>
        <v/>
      </c>
      <c r="N503" s="34" t="str">
        <f>IF(A503="","",IF(K503&lt;&gt;"Ja","Ej aktuell",IF(L503&lt;=0,"KONTROLLERA MATCHTID",IF(AND(COUNTIFS(BEMANNINGSPLAN!$A$5:$A$546,B503,BEMANNINGSPLAN!$C$5:$C$546,D503,BEMANNINGSPLAN!$D$5:$D$546,"&lt;="&amp;C503,BEMANNINGSPLAN!$E$5:$E$546,"&gt;"&amp;C503)&gt;0,COUNTIFS(BEMANNINGSPLAN!$A$5:$A$546,B503,BEMANNINGSPLAN!$C$5:$C$546,D503,BEMANNINGSPLAN!$D$5:$D$546,"&lt;"&amp;M503,BEMANNINGSPLAN!$E$5:$E$546,"&gt;="&amp;M503)&gt;0),"Ja","SAKNAS TIDSRADER"))))</f>
        <v/>
      </c>
      <c r="O503" s="137" t="str">
        <f>IF(OR(B503="",K503&lt;&gt;"Ja"),"",COUNTIFS($B$5:B503,B503,$K$5:K503,"Ja"))</f>
        <v/>
      </c>
      <c r="P503" s="137" t="str">
        <f t="shared" si="31"/>
        <v/>
      </c>
    </row>
    <row r="504" spans="1:16" ht="13">
      <c r="A504" s="31" t="str">
        <f>IF('IMPORT PROFIXIO'!A504="","",'IMPORT PROFIXIO'!A504)</f>
        <v/>
      </c>
      <c r="B504" s="32" t="str">
        <f>IF(A504="","",IF(ISNUMBER('IMPORT PROFIXIO'!D504),'IMPORT PROFIXIO'!D504,DATEVALUE('IMPORT PROFIXIO'!D504)))</f>
        <v/>
      </c>
      <c r="C504" s="33" t="str">
        <f>IF(A504="","",IF(ISNUMBER('IMPORT PROFIXIO'!E504),'IMPORT PROFIXIO'!E504,(VALUE(LEFT('IMPORT PROFIXIO'!E504,FIND(":",'IMPORT PROFIXIO'!E504)-1))*60+VALUE(MID('IMPORT PROFIXIO'!E504,FIND(":",'IMPORT PROFIXIO'!E504)+1,2)))/1440))</f>
        <v/>
      </c>
      <c r="D504" s="31" t="str">
        <f>IF(A504="","",'IMPORT PROFIXIO'!F504)</f>
        <v/>
      </c>
      <c r="E504" s="31" t="str">
        <f>IF(A504="","",'IMPORT PROFIXIO'!K504)</f>
        <v/>
      </c>
      <c r="F504" s="34" t="str">
        <f>IF(A504="","",IFERROR(VLOOKUP(E504,KLASSNING!$A$5:$F$74,2,FALSE()),"SAKNAS"))</f>
        <v/>
      </c>
      <c r="G504" s="34" t="str">
        <f>IF(A504="","",IFERROR(VLOOKUP(E504,KLASSNING!$A$5:$F$74,3,FALSE()),"SAKNAS"))</f>
        <v/>
      </c>
      <c r="H504" s="34" t="str">
        <f>IF(A504="","",'IMPORT PROFIXIO'!H504)</f>
        <v/>
      </c>
      <c r="I504" s="34" t="str">
        <f>IF(A504="","",'IMPORT PROFIXIO'!I504)</f>
        <v/>
      </c>
      <c r="J504" s="34" t="str">
        <f t="shared" si="28"/>
        <v/>
      </c>
      <c r="K504" s="34" t="str">
        <f t="shared" si="29"/>
        <v/>
      </c>
      <c r="L504" s="34" t="str">
        <f>IF(A504="","",IFERROR(VLOOKUP(E504,KLASSNING!$A$5:$F$74,5,FALSE()),0))</f>
        <v/>
      </c>
      <c r="M504" s="35" t="str">
        <f t="shared" si="30"/>
        <v/>
      </c>
      <c r="N504" s="34" t="str">
        <f>IF(A504="","",IF(K504&lt;&gt;"Ja","Ej aktuell",IF(L504&lt;=0,"KONTROLLERA MATCHTID",IF(AND(COUNTIFS(BEMANNINGSPLAN!$A$5:$A$546,B504,BEMANNINGSPLAN!$C$5:$C$546,D504,BEMANNINGSPLAN!$D$5:$D$546,"&lt;="&amp;C504,BEMANNINGSPLAN!$E$5:$E$546,"&gt;"&amp;C504)&gt;0,COUNTIFS(BEMANNINGSPLAN!$A$5:$A$546,B504,BEMANNINGSPLAN!$C$5:$C$546,D504,BEMANNINGSPLAN!$D$5:$D$546,"&lt;"&amp;M504,BEMANNINGSPLAN!$E$5:$E$546,"&gt;="&amp;M504)&gt;0),"Ja","SAKNAS TIDSRADER"))))</f>
        <v/>
      </c>
      <c r="O504" s="137" t="str">
        <f>IF(OR(B504="",K504&lt;&gt;"Ja"),"",COUNTIFS($B$5:B504,B504,$K$5:K504,"Ja"))</f>
        <v/>
      </c>
      <c r="P504" s="137" t="str">
        <f t="shared" si="31"/>
        <v/>
      </c>
    </row>
  </sheetData>
  <sheetProtection sheet="1" objects="1" scenarios="1" autoFilter="0"/>
  <mergeCells count="2">
    <mergeCell ref="A1:N1"/>
    <mergeCell ref="A2:N2"/>
  </mergeCells>
  <conditionalFormatting sqref="A5:N504">
    <cfRule type="expression" dxfId="21" priority="2">
      <formula>$K5="Nej"</formula>
    </cfRule>
  </conditionalFormatting>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3D6"/>
  </sheetPr>
  <dimension ref="A1:AF546"/>
  <sheetViews>
    <sheetView showGridLines="0" zoomScaleNormal="100" workbookViewId="0">
      <pane ySplit="4" topLeftCell="A525" activePane="bottomLeft" state="frozen"/>
      <selection sqref="A1:N1"/>
      <selection pane="bottomLeft" sqref="A1:N1"/>
    </sheetView>
  </sheetViews>
  <sheetFormatPr defaultColWidth="8.54296875" defaultRowHeight="12.5"/>
  <cols>
    <col min="1" max="1" width="11.453125" bestFit="1" customWidth="1"/>
    <col min="2" max="2" width="8.81640625" bestFit="1" customWidth="1"/>
    <col min="3" max="3" width="13.81640625" bestFit="1" customWidth="1"/>
    <col min="4" max="4" width="9.453125" bestFit="1" customWidth="1"/>
    <col min="5" max="5" width="8.1796875" bestFit="1" customWidth="1"/>
    <col min="6" max="6" width="42.453125" customWidth="1"/>
    <col min="7" max="8" width="14.81640625" bestFit="1" customWidth="1"/>
    <col min="9" max="9" width="11.54296875" style="36" bestFit="1" customWidth="1"/>
    <col min="10" max="10" width="17.26953125" style="36" bestFit="1" customWidth="1"/>
    <col min="11" max="11" width="12.1796875" style="36" bestFit="1" customWidth="1"/>
    <col min="12" max="12" width="46.7265625" style="37" bestFit="1" customWidth="1"/>
    <col min="13" max="13" width="13.81640625" style="36" bestFit="1" customWidth="1"/>
    <col min="14" max="14" width="13.7265625" style="36" bestFit="1" customWidth="1"/>
    <col min="15" max="15" width="4.453125" bestFit="1" customWidth="1"/>
    <col min="16" max="16" width="2.1796875" bestFit="1" customWidth="1"/>
    <col min="17" max="17" width="2.26953125" bestFit="1" customWidth="1"/>
    <col min="18" max="20" width="2.1796875" bestFit="1" customWidth="1"/>
    <col min="21" max="21" width="1.81640625" bestFit="1" customWidth="1"/>
    <col min="22" max="22" width="1.54296875" bestFit="1" customWidth="1"/>
    <col min="23" max="23" width="4.81640625" bestFit="1" customWidth="1"/>
    <col min="24" max="25" width="2.1796875" bestFit="1" customWidth="1"/>
    <col min="26" max="26" width="2.453125" bestFit="1" customWidth="1"/>
    <col min="27" max="28" width="1.81640625" bestFit="1" customWidth="1"/>
    <col min="29" max="29" width="4.81640625" bestFit="1" customWidth="1"/>
    <col min="30" max="31" width="2.26953125" bestFit="1" customWidth="1"/>
    <col min="32" max="32" width="10.26953125" bestFit="1" customWidth="1"/>
    <col min="33" max="44" width="33.81640625" customWidth="1"/>
  </cols>
  <sheetData>
    <row r="1" spans="1:32" ht="22">
      <c r="A1" s="187" t="s">
        <v>57</v>
      </c>
      <c r="B1" s="187" t="s">
        <v>57</v>
      </c>
      <c r="C1" s="187" t="s">
        <v>57</v>
      </c>
      <c r="D1" s="187" t="s">
        <v>57</v>
      </c>
      <c r="E1" s="187" t="s">
        <v>57</v>
      </c>
      <c r="F1" s="187" t="s">
        <v>57</v>
      </c>
      <c r="G1" s="187" t="s">
        <v>57</v>
      </c>
      <c r="H1" s="187" t="s">
        <v>57</v>
      </c>
      <c r="I1" s="187" t="s">
        <v>57</v>
      </c>
      <c r="J1" s="187" t="s">
        <v>57</v>
      </c>
      <c r="K1" s="187" t="s">
        <v>57</v>
      </c>
      <c r="L1" s="187" t="s">
        <v>57</v>
      </c>
      <c r="M1" s="187" t="s">
        <v>57</v>
      </c>
      <c r="N1" s="187" t="s">
        <v>57</v>
      </c>
      <c r="O1" s="1"/>
      <c r="P1" s="1"/>
      <c r="Q1" s="1"/>
      <c r="R1" s="1"/>
      <c r="S1" s="1"/>
      <c r="T1" s="1"/>
      <c r="U1" s="1"/>
      <c r="V1" s="1"/>
      <c r="W1" s="1"/>
      <c r="X1" s="1"/>
      <c r="Y1" s="1"/>
      <c r="Z1" s="1"/>
      <c r="AA1" s="1"/>
      <c r="AB1" s="1"/>
      <c r="AC1" s="1"/>
      <c r="AD1" s="1"/>
      <c r="AE1" s="1"/>
    </row>
    <row r="2" spans="1:32" ht="13">
      <c r="A2" s="188" t="s">
        <v>58</v>
      </c>
      <c r="B2" s="188" t="s">
        <v>58</v>
      </c>
      <c r="C2" s="188" t="s">
        <v>58</v>
      </c>
      <c r="D2" s="188" t="s">
        <v>58</v>
      </c>
      <c r="E2" s="188" t="s">
        <v>58</v>
      </c>
      <c r="F2" s="188" t="s">
        <v>58</v>
      </c>
      <c r="G2" s="188" t="s">
        <v>58</v>
      </c>
      <c r="H2" s="188" t="s">
        <v>58</v>
      </c>
      <c r="I2" s="188" t="s">
        <v>58</v>
      </c>
      <c r="J2" s="188" t="s">
        <v>58</v>
      </c>
      <c r="K2" s="188" t="s">
        <v>58</v>
      </c>
      <c r="L2" s="188" t="s">
        <v>58</v>
      </c>
      <c r="M2" s="188" t="s">
        <v>58</v>
      </c>
      <c r="N2" s="188" t="s">
        <v>58</v>
      </c>
      <c r="O2" s="1"/>
      <c r="P2" s="1"/>
      <c r="Q2" s="1"/>
      <c r="R2" s="1"/>
      <c r="S2" s="1"/>
      <c r="T2" s="1"/>
      <c r="U2" s="1"/>
      <c r="V2" s="1"/>
      <c r="W2" s="1"/>
      <c r="X2" s="1"/>
      <c r="Y2" s="1"/>
      <c r="Z2" s="1"/>
      <c r="AA2" s="1"/>
      <c r="AB2" s="1"/>
      <c r="AC2" s="1"/>
      <c r="AD2" s="1"/>
      <c r="AE2" s="1"/>
    </row>
    <row r="3" spans="1:32" ht="13">
      <c r="A3" s="1"/>
      <c r="B3" s="1"/>
      <c r="C3" s="1"/>
      <c r="D3" s="1"/>
      <c r="E3" s="1"/>
      <c r="F3" s="1"/>
      <c r="G3" s="1"/>
      <c r="H3" s="1"/>
      <c r="I3" s="38"/>
      <c r="J3" s="38"/>
      <c r="K3" s="38"/>
      <c r="L3" s="39"/>
      <c r="M3" s="38"/>
      <c r="N3" s="38"/>
      <c r="O3" s="1"/>
      <c r="P3" s="1"/>
      <c r="Q3" s="1"/>
      <c r="R3" s="1"/>
      <c r="S3" s="1"/>
      <c r="T3" s="1"/>
      <c r="U3" s="1"/>
      <c r="V3" s="1"/>
      <c r="W3" s="1"/>
      <c r="X3" s="1"/>
      <c r="Y3" s="1"/>
      <c r="Z3" s="1"/>
      <c r="AA3" s="1"/>
      <c r="AB3" s="1"/>
      <c r="AC3" s="1"/>
      <c r="AD3" s="1"/>
      <c r="AE3" s="1"/>
    </row>
    <row r="4" spans="1:32" s="7" customFormat="1" ht="26">
      <c r="A4" s="40" t="s">
        <v>32</v>
      </c>
      <c r="B4" s="40" t="s">
        <v>33</v>
      </c>
      <c r="C4" s="40" t="s">
        <v>34</v>
      </c>
      <c r="D4" s="40" t="s">
        <v>35</v>
      </c>
      <c r="E4" s="40" t="s">
        <v>36</v>
      </c>
      <c r="F4" s="41" t="s">
        <v>59</v>
      </c>
      <c r="G4" s="41" t="s">
        <v>60</v>
      </c>
      <c r="H4" s="41" t="s">
        <v>61</v>
      </c>
      <c r="I4" s="40" t="s">
        <v>62</v>
      </c>
      <c r="J4" s="40" t="s">
        <v>63</v>
      </c>
      <c r="K4" s="40" t="s">
        <v>64</v>
      </c>
      <c r="L4" s="40" t="s">
        <v>42</v>
      </c>
      <c r="M4" s="40" t="s">
        <v>65</v>
      </c>
      <c r="N4" s="40" t="s">
        <v>66</v>
      </c>
      <c r="O4" s="6" t="s">
        <v>67</v>
      </c>
      <c r="P4" s="6" t="s">
        <v>68</v>
      </c>
      <c r="Q4" s="6" t="s">
        <v>69</v>
      </c>
      <c r="R4" s="6" t="s">
        <v>70</v>
      </c>
      <c r="S4" s="6" t="s">
        <v>71</v>
      </c>
      <c r="T4" s="6" t="s">
        <v>72</v>
      </c>
      <c r="U4" s="6" t="s">
        <v>73</v>
      </c>
      <c r="V4" s="6" t="s">
        <v>74</v>
      </c>
      <c r="W4" s="6" t="s">
        <v>75</v>
      </c>
      <c r="X4" s="6" t="s">
        <v>76</v>
      </c>
      <c r="Y4" s="6" t="s">
        <v>77</v>
      </c>
      <c r="Z4" s="6" t="s">
        <v>78</v>
      </c>
      <c r="AA4" s="6" t="s">
        <v>79</v>
      </c>
      <c r="AB4" s="6" t="s">
        <v>80</v>
      </c>
      <c r="AC4" s="6" t="s">
        <v>81</v>
      </c>
      <c r="AD4" s="6" t="s">
        <v>82</v>
      </c>
      <c r="AE4" s="6" t="s">
        <v>83</v>
      </c>
      <c r="AF4" s="7" t="s">
        <v>84</v>
      </c>
    </row>
    <row r="5" spans="1:32" ht="26">
      <c r="A5" s="42">
        <v>46284</v>
      </c>
      <c r="B5" s="43" t="s">
        <v>85</v>
      </c>
      <c r="C5" s="43" t="s">
        <v>86</v>
      </c>
      <c r="D5" s="44">
        <v>0.5</v>
      </c>
      <c r="E5" s="44">
        <v>0.52083333333333304</v>
      </c>
      <c r="F5" s="45" t="str">
        <f>IF(R5="","",HOUR(INDEX(MATCHER!$C$5:$C$504,R5))&amp;":"&amp;IF(MINUTE(INDEX(MATCHER!$C$5:$C$504,R5))&lt;10,"0","")&amp;MINUTE(INDEX(MATCHER!$C$5:$C$504,R5))&amp;" "&amp;INDEX(MATCHER!$H$5:$H$504,R5)&amp;" – "&amp;INDEX(MATCHER!$I$5:$I$504,R5))&amp;IF(S5="",""," | "&amp;HOUR(INDEX(MATCHER!$C$5:$C$504,S5))&amp;":"&amp;IF(MINUTE(INDEX(MATCHER!$C$5:$C$504,S5))&lt;10,"0","")&amp;MINUTE(INDEX(MATCHER!$C$5:$C$504,S5))&amp;" "&amp;INDEX(MATCHER!$H$5:$H$504,S5)&amp;" – "&amp;INDEX(MATCHER!$I$5:$I$504,S5))&amp;IF(T5="",""," | "&amp;HOUR(INDEX(MATCHER!$C$5:$C$504,T5))&amp;":"&amp;IF(MINUTE(INDEX(MATCHER!$C$5:$C$504,T5))&lt;10,"0","")&amp;MINUTE(INDEX(MATCHER!$C$5:$C$504,T5))&amp;" "&amp;INDEX(MATCHER!$H$5:$H$504,T5)&amp;" – "&amp;INDEX(MATCHER!$I$5:$I$504,T5))&amp;IF(AF5="",""," | "&amp;HOUR(INDEX(MATCHER!$C$5:$C$504,AF5))&amp;":"&amp;IF(MINUTE(INDEX(MATCHER!$C$5:$C$504,AF5))&lt;10,"0","")&amp;MINUTE(INDEX(MATCHER!$C$5:$C$504,AF5))&amp;" "&amp;INDEX(MATCHER!$H$5:$H$504,AF5)&amp;" – "&amp;INDEX(MATCHER!$I$5:$I$504,AF5))</f>
        <v/>
      </c>
      <c r="G5" s="45" t="str">
        <f>MID(IF(R5="","",IF(OR(INDEX(MATCHER!$J$5:$J$504,R5)=""),""," / "&amp;INDEX(MATCHER!$J$5:$J$504,R5)))&amp;IF(S5="","",IF(OR(INDEX(MATCHER!$J$5:$J$504,S5)="",INDEX(MATCHER!$J$5:$J$504,S5)=IFERROR(INDEX(MATCHER!$J$5:$J$504,R5),"")),""," / "&amp;INDEX(MATCHER!$J$5:$J$504,S5)))&amp;IF(T5="","",IF(OR(INDEX(MATCHER!$J$5:$J$504,T5)="",INDEX(MATCHER!$J$5:$J$504,T5)=IFERROR(INDEX(MATCHER!$J$5:$J$504,R5),""),INDEX(MATCHER!$J$5:$J$504,T5)=IFERROR(INDEX(MATCHER!$J$5:$J$504,S5),"")),""," / "&amp;INDEX(MATCHER!$J$5:$J$504,T5)))&amp;IF(AF5="","",IF(OR(INDEX(MATCHER!$J$5:$J$504,AF5)="",INDEX(MATCHER!$J$5:$J$504,AF5)=IFERROR(INDEX(MATCHER!$J$5:$J$504,R5),""),INDEX(MATCHER!$J$5:$J$504,AF5)=IFERROR(INDEX(MATCHER!$J$5:$J$504,S5),""),INDEX(MATCHER!$J$5:$J$504,AF5)=IFERROR(INDEX(MATCHER!$J$5:$J$504,T5),"")),""," / "&amp;INDEX(MATCHER!$J$5:$J$504,AF5))),4,1000)</f>
        <v/>
      </c>
      <c r="H5" s="45" t="str">
        <f>MID(IF(COUNTIFS(MATCHER!$B$5:$B$504,A5,MATCHER!$D$5:$D$504,C5,MATCHER!$J$5:$J$504,REGLER!$I$6,MATCHER!$K$5:$K$504,"Ja")+COUNTIFS(MATCHER!$B$5:$B$504,A5,MATCHER!$D$5:$D$504,C5,MATCHER!$J$5:$J$504,REGLER!$I$6&amp;" 2",MATCHER!$K$5:$K$504,"Ja")&gt;0,", "&amp;REGLER!$I$6,"")&amp;IF(COUNTIFS(MATCHER!$B$5:$B$504,A5,MATCHER!$D$5:$D$504,C5,MATCHER!$J$5:$J$504,REGLER!$I$7,MATCHER!$K$5:$K$504,"Ja")+COUNTIFS(MATCHER!$B$5:$B$504,A5,MATCHER!$D$5:$D$504,C5,MATCHER!$J$5:$J$504,REGLER!$I$7&amp;" 2",MATCHER!$K$5:$K$504,"Ja")&gt;0,", "&amp;REGLER!$I$7,"")&amp;IF(COUNTIFS(MATCHER!$B$5:$B$504,A5,MATCHER!$D$5:$D$504,C5,MATCHER!$J$5:$J$504,REGLER!$I$8,MATCHER!$K$5:$K$504,"Ja")+COUNTIFS(MATCHER!$B$5:$B$504,A5,MATCHER!$D$5:$D$504,C5,MATCHER!$J$5:$J$504,REGLER!$I$8&amp;" 2",MATCHER!$K$5:$K$504,"Ja")&gt;0,", "&amp;REGLER!$I$8,"")&amp;IF(COUNTIFS(MATCHER!$B$5:$B$504,A5,MATCHER!$D$5:$D$504,C5,MATCHER!$J$5:$J$504,REGLER!$I$9,MATCHER!$K$5:$K$504,"Ja")+COUNTIFS(MATCHER!$B$5:$B$504,A5,MATCHER!$D$5:$D$504,C5,MATCHER!$J$5:$J$504,REGLER!$I$9&amp;" 2",MATCHER!$K$5:$K$504,"Ja")&gt;0,", "&amp;REGLER!$I$9,"")&amp;IF(COUNTIFS(MATCHER!$B$5:$B$504,A5,MATCHER!$D$5:$D$504,C5,MATCHER!$J$5:$J$504,REGLER!$I$10,MATCHER!$K$5:$K$504,"Ja")+COUNTIFS(MATCHER!$B$5:$B$504,A5,MATCHER!$D$5:$D$504,C5,MATCHER!$J$5:$J$504,REGLER!$I$10&amp;" 2",MATCHER!$K$5:$K$504,"Ja")&gt;0,", "&amp;REGLER!$I$10,"")&amp;IF(COUNTIFS(MATCHER!$B$5:$B$504,A5,MATCHER!$D$5:$D$504,C5,MATCHER!$J$5:$J$504,REGLER!$I$11,MATCHER!$K$5:$K$504,"Ja")+COUNTIFS(MATCHER!$B$5:$B$504,A5,MATCHER!$D$5:$D$504,C5,MATCHER!$J$5:$J$504,REGLER!$I$11&amp;" 2",MATCHER!$K$5:$K$504,"Ja")&gt;0,", "&amp;REGLER!$I$11,"")&amp;IF(COUNTIFS(MATCHER!$B$5:$B$504,A5,MATCHER!$D$5:$D$504,C5,MATCHER!$J$5:$J$504,REGLER!$I$12,MATCHER!$K$5:$K$504,"Ja")+COUNTIFS(MATCHER!$B$5:$B$504,A5,MATCHER!$D$5:$D$504,C5,MATCHER!$J$5:$J$504,REGLER!$I$12&amp;" 2",MATCHER!$K$5:$K$504,"Ja")&gt;0,", "&amp;REGLER!$I$12,"")&amp;IF(COUNTIFS(MATCHER!$B$5:$B$504,A5,MATCHER!$D$5:$D$504,C5,MATCHER!$J$5:$J$504,REGLER!$I$13,MATCHER!$K$5:$K$504,"Ja")+COUNTIFS(MATCHER!$B$5:$B$504,A5,MATCHER!$D$5:$D$504,C5,MATCHER!$J$5:$J$504,REGLER!$I$13&amp;" 2",MATCHER!$K$5:$K$504,"Ja")&gt;0,", "&amp;REGLER!$I$13,"")&amp;IF(COUNTIFS(MATCHER!$B$5:$B$504,A5,MATCHER!$D$5:$D$504,C5,MATCHER!$J$5:$J$504,REGLER!$I$14,MATCHER!$K$5:$K$504,"Ja")+COUNTIFS(MATCHER!$B$5:$B$504,A5,MATCHER!$D$5:$D$504,C5,MATCHER!$J$5:$J$504,REGLER!$I$14&amp;" 2",MATCHER!$K$5:$K$504,"Ja")&gt;0,", "&amp;REGLER!$I$14,"")&amp;IF(COUNTIFS(MATCHER!$B$5:$B$504,A5,MATCHER!$D$5:$D$504,C5,MATCHER!$J$5:$J$504,REGLER!$I$15,MATCHER!$K$5:$K$504,"Ja")+COUNTIFS(MATCHER!$B$5:$B$504,A5,MATCHER!$D$5:$D$504,C5,MATCHER!$J$5:$J$504,REGLER!$I$15&amp;" 2",MATCHER!$K$5:$K$504,"Ja")&gt;0,", "&amp;REGLER!$I$15,"")&amp;IF(COUNTIFS(MATCHER!$B$5:$B$504,A5,MATCHER!$D$5:$D$504,C5,MATCHER!$J$5:$J$504,REGLER!$I$16,MATCHER!$K$5:$K$504,"Ja")+COUNTIFS(MATCHER!$B$5:$B$504,A5,MATCHER!$D$5:$D$504,C5,MATCHER!$J$5:$J$504,REGLER!$I$16&amp;" 2",MATCHER!$K$5:$K$504,"Ja")&gt;0,", "&amp;REGLER!$I$16,"")&amp;IF(COUNTIFS(MATCHER!$B$5:$B$504,A5,MATCHER!$D$5:$D$504,C5,MATCHER!$J$5:$J$504,REGLER!$I$17,MATCHER!$K$5:$K$504,"Ja")+COUNTIFS(MATCHER!$B$5:$B$504,A5,MATCHER!$D$5:$D$504,C5,MATCHER!$J$5:$J$504,REGLER!$I$17&amp;" 2",MATCHER!$K$5:$K$504,"Ja")&gt;0,", "&amp;REGLER!$I$17,"")&amp;IF(COUNTIFS(MATCHER!$B$5:$B$504,A5,MATCHER!$D$5:$D$504,C5,MATCHER!$J$5:$J$504,REGLER!$I$18,MATCHER!$K$5:$K$504,"Ja")+COUNTIFS(MATCHER!$B$5:$B$504,A5,MATCHER!$D$5:$D$504,C5,MATCHER!$J$5:$J$504,REGLER!$I$18&amp;" 2",MATCHER!$K$5:$K$504,"Ja")&gt;0,", "&amp;REGLER!$I$18,"")&amp;IF(COUNTIFS(MATCHER!$B$5:$B$504,A5,MATCHER!$D$5:$D$504,C5,MATCHER!$J$5:$J$504,REGLER!$I$19,MATCHER!$K$5:$K$504,"Ja")+COUNTIFS(MATCHER!$B$5:$B$504,A5,MATCHER!$D$5:$D$504,C5,MATCHER!$J$5:$J$504,REGLER!$I$19&amp;" 2",MATCHER!$K$5:$K$504,"Ja")&gt;0,", "&amp;REGLER!$I$19,"")&amp;IF(COUNTIFS(MATCHER!$B$5:$B$504,A5,MATCHER!$D$5:$D$504,C5,MATCHER!$J$5:$J$504,REGLER!$I$20,MATCHER!$K$5:$K$504,"Ja")+COUNTIFS(MATCHER!$B$5:$B$504,A5,MATCHER!$D$5:$D$504,C5,MATCHER!$J$5:$J$504,REGLER!$I$20&amp;" 2",MATCHER!$K$5:$K$504,"Ja")&gt;0,", "&amp;REGLER!$I$20,"")&amp;IF(COUNTIFS(MATCHER!$B$5:$B$504,A5,MATCHER!$D$5:$D$504,C5,MATCHER!$J$5:$J$504,REGLER!$I$21,MATCHER!$K$5:$K$504,"Ja")+COUNTIFS(MATCHER!$B$5:$B$504,A5,MATCHER!$D$5:$D$504,C5,MATCHER!$J$5:$J$504,REGLER!$I$21&amp;" 2",MATCHER!$K$5:$K$504,"Ja")&gt;0,", "&amp;REGLER!$I$21,"")&amp;IF(COUNTIFS(MATCHER!$B$5:$B$504,A5,MATCHER!$D$5:$D$504,C5,MATCHER!$J$5:$J$504,REGLER!$I$22,MATCHER!$K$5:$K$504,"Ja")+COUNTIFS(MATCHER!$B$5:$B$504,A5,MATCHER!$D$5:$D$504,C5,MATCHER!$J$5:$J$504,REGLER!$I$22&amp;" 2",MATCHER!$K$5:$K$504,"Ja")&gt;0,", "&amp;REGLER!$I$22,"")&amp;IF(COUNTIFS(MATCHER!$B$5:$B$504,A5,MATCHER!$D$5:$D$504,C5,MATCHER!$J$5:$J$504,REGLER!$I$23,MATCHER!$K$5:$K$504,"Ja")+COUNTIFS(MATCHER!$B$5:$B$504,A5,MATCHER!$D$5:$D$504,C5,MATCHER!$J$5:$J$504,REGLER!$I$23&amp;" 2",MATCHER!$K$5:$K$504,"Ja")&gt;0,", "&amp;REGLER!$I$23,"")&amp;IF(COUNTIFS(MATCHER!$B$5:$B$504,A5,MATCHER!$D$5:$D$504,C5,MATCHER!$J$5:$J$504,REGLER!$I$24,MATCHER!$K$5:$K$504,"Ja")+COUNTIFS(MATCHER!$B$5:$B$504,A5,MATCHER!$D$5:$D$504,C5,MATCHER!$J$5:$J$504,REGLER!$I$24&amp;" 2",MATCHER!$K$5:$K$504,"Ja")&gt;0,", "&amp;REGLER!$I$24,"")&amp;IF(COUNTIFS(MATCHER!$B$5:$B$504,A5,MATCHER!$D$5:$D$504,C5,MATCHER!$J$5:$J$504,REGLER!$I$25,MATCHER!$K$5:$K$504,"Ja")+COUNTIFS(MATCHER!$B$5:$B$504,A5,MATCHER!$D$5:$D$504,C5,MATCHER!$J$5:$J$504,REGLER!$I$25&amp;" 2",MATCHER!$K$5:$K$504,"Ja")&gt;0,", "&amp;REGLER!$I$25,"")&amp;IF(COUNTIFS(MATCHER!$B$5:$B$504,A5,MATCHER!$D$5:$D$504,C5,MATCHER!$J$5:$J$504,REGLER!$I$26,MATCHER!$K$5:$K$504,"Ja")+COUNTIFS(MATCHER!$B$5:$B$504,A5,MATCHER!$D$5:$D$504,C5,MATCHER!$J$5:$J$504,REGLER!$I$26&amp;" 2",MATCHER!$K$5:$K$504,"Ja")&gt;0,", "&amp;REGLER!$I$26,""),3,1000)</f>
        <v>F19</v>
      </c>
      <c r="I5" s="46" t="s">
        <v>87</v>
      </c>
      <c r="J5" s="47"/>
      <c r="K5" s="48" t="s">
        <v>88</v>
      </c>
      <c r="L5" s="49"/>
      <c r="M5" s="50">
        <f>IF(O5&lt;&gt;O4,MAX(1,MIN(AA5,ROUNDUP(SUMPRODUCT(($O$5:$O$546=O5)*($I$5:$I$546="Ja")*($E$5:$E$546-$D$5:$D$546))*24/REGLER!$B$8,0))),"")</f>
        <v>1</v>
      </c>
      <c r="N5" s="51" t="str">
        <f t="shared" ref="N5:N68" si="0">IF(I5="Nej",IF(J5="","Ej öppet","Ta bort lag"),IF(J5="","Ej tilldelad",IF(ISNUMBER(SEARCH(", "&amp;J5&amp;", ",", "&amp;H5&amp;", ")),"Klar","Kontrollera lag")))</f>
        <v>Ej öppet</v>
      </c>
      <c r="O5" s="15" t="s">
        <v>89</v>
      </c>
      <c r="P5" s="16">
        <v>0.5</v>
      </c>
      <c r="Q5" s="16">
        <v>0.84375</v>
      </c>
      <c r="R5" s="15" t="str">
        <f>IFERROR(MATCH(1,INDEX((MATCHER!$B$5:$B$504=A5)*(MATCHER!$D$5:$D$504=C5)*(MATCHER!$K$5:$K$504="Ja")*(MATCHER!$C$5:$C$504&lt;E5)*(MATCHER!$M$5:$M$504&gt;D5),0),0),"")</f>
        <v/>
      </c>
      <c r="S5" s="15" t="str">
        <f>IF(R5="","",IFERROR(MATCH(1,INDEX((MATCHER!$B$5:$B$504=A5)*(MATCHER!$D$5:$D$504=C5)*(MATCHER!$K$5:$K$504="Ja")*(MATCHER!$C$5:$C$504&lt;E5)*(MATCHER!$M$5:$M$504&gt;D5)*(ROW(MATCHER!$A$5:$A$504)-ROW(MATCHER!$A$5)+1&gt;R5),0),0),""))</f>
        <v/>
      </c>
      <c r="T5" s="15" t="str">
        <f>IF(S5="","",IFERROR(MATCH(1,INDEX((MATCHER!$B$5:$B$504=A5)*(MATCHER!$D$5:$D$504=C5)*(MATCHER!$K$5:$K$504="Ja")*(MATCHER!$C$5:$C$504&lt;E5)*(MATCHER!$M$5:$M$504&gt;D5)*(ROW(MATCHER!$A$5:$A$504)-ROW(MATCHER!$A$5)+1&gt;S5),0),0),""))</f>
        <v/>
      </c>
      <c r="U5" s="15" t="str">
        <f t="shared" ref="U5:U68" si="1">IF(OR(I5&lt;&gt;"Ja",J5=""),"",IF(OR(O5&lt;&gt;O4,I4&lt;&gt;"Ja",J5&lt;&gt;J4,D5&lt;&gt;E4),1,0))</f>
        <v/>
      </c>
      <c r="V5" s="15" t="str">
        <f>IF(OR(I5&lt;&gt;"Ja",J5=""),"",COUNTIFS($O$5:O5,O5,$U$5:U5,1))</f>
        <v/>
      </c>
      <c r="W5" s="15" t="str">
        <f t="shared" ref="W5:W68" si="2">IF(V5="","",O5&amp;"|"&amp;V5)</f>
        <v/>
      </c>
      <c r="X5" s="16" t="str">
        <f t="shared" ref="X5:X68" si="3">IF(OR(I5&lt;&gt;"Ja",J5=""),"",IF(OR(O5&lt;&gt;O6,I6&lt;&gt;"Ja",J5&lt;&gt;J6,E5&lt;&gt;D6),E5,""))</f>
        <v/>
      </c>
      <c r="Y5" s="15">
        <f>IF(OR(I5&lt;&gt;"Ja",J5=""),0,IF(COUNTIFS($O$5:O5,O5,$I$5:I5,"Ja",$J$5:J5,"&lt;&gt;")=1,1,0))</f>
        <v>0</v>
      </c>
      <c r="Z5" s="15">
        <f>IF(OR(I5&lt;&gt;"Ja",J5=""),0,IF(COUNTIFS(O5:$O$546,O5,I5:$I$546,"Ja",J5:$J$546,"&lt;&gt;")=1,1,0))</f>
        <v>0</v>
      </c>
      <c r="AA5" s="15">
        <f>IF(COUNTIFS(MATCHER!$B$5:$B$504,A5,MATCHER!$D$5:$D$504,C5,MATCHER!$J$5:$J$504,REGLER!$I$6,MATCHER!$K$5:$K$504,"Ja")+COUNTIFS(MATCHER!$B$5:$B$504,A5,MATCHER!$D$5:$D$504,C5,MATCHER!$J$5:$J$504,REGLER!$I$6&amp;" 2",MATCHER!$K$5:$K$504,"Ja")&gt;0,1,0)+IF(COUNTIFS(MATCHER!$B$5:$B$504,A5,MATCHER!$D$5:$D$504,C5,MATCHER!$J$5:$J$504,REGLER!$I$7,MATCHER!$K$5:$K$504,"Ja")+COUNTIFS(MATCHER!$B$5:$B$504,A5,MATCHER!$D$5:$D$504,C5,MATCHER!$J$5:$J$504,REGLER!$I$7&amp;" 2",MATCHER!$K$5:$K$504,"Ja")&gt;0,1,0)+IF(COUNTIFS(MATCHER!$B$5:$B$504,A5,MATCHER!$D$5:$D$504,C5,MATCHER!$J$5:$J$504,REGLER!$I$8,MATCHER!$K$5:$K$504,"Ja")+COUNTIFS(MATCHER!$B$5:$B$504,A5,MATCHER!$D$5:$D$504,C5,MATCHER!$J$5:$J$504,REGLER!$I$8&amp;" 2",MATCHER!$K$5:$K$504,"Ja")&gt;0,1,0)+IF(COUNTIFS(MATCHER!$B$5:$B$504,A5,MATCHER!$D$5:$D$504,C5,MATCHER!$J$5:$J$504,REGLER!$I$9,MATCHER!$K$5:$K$504,"Ja")+COUNTIFS(MATCHER!$B$5:$B$504,A5,MATCHER!$D$5:$D$504,C5,MATCHER!$J$5:$J$504,REGLER!$I$9&amp;" 2",MATCHER!$K$5:$K$504,"Ja")&gt;0,1,0)+IF(COUNTIFS(MATCHER!$B$5:$B$504,A5,MATCHER!$D$5:$D$504,C5,MATCHER!$J$5:$J$504,REGLER!$I$10,MATCHER!$K$5:$K$504,"Ja")+COUNTIFS(MATCHER!$B$5:$B$504,A5,MATCHER!$D$5:$D$504,C5,MATCHER!$J$5:$J$504,REGLER!$I$10&amp;" 2",MATCHER!$K$5:$K$504,"Ja")&gt;0,1,0)+IF(COUNTIFS(MATCHER!$B$5:$B$504,A5,MATCHER!$D$5:$D$504,C5,MATCHER!$J$5:$J$504,REGLER!$I$11,MATCHER!$K$5:$K$504,"Ja")+COUNTIFS(MATCHER!$B$5:$B$504,A5,MATCHER!$D$5:$D$504,C5,MATCHER!$J$5:$J$504,REGLER!$I$11&amp;" 2",MATCHER!$K$5:$K$504,"Ja")&gt;0,1,0)+IF(COUNTIFS(MATCHER!$B$5:$B$504,A5,MATCHER!$D$5:$D$504,C5,MATCHER!$J$5:$J$504,REGLER!$I$12,MATCHER!$K$5:$K$504,"Ja")+COUNTIFS(MATCHER!$B$5:$B$504,A5,MATCHER!$D$5:$D$504,C5,MATCHER!$J$5:$J$504,REGLER!$I$12&amp;" 2",MATCHER!$K$5:$K$504,"Ja")&gt;0,1,0)+IF(COUNTIFS(MATCHER!$B$5:$B$504,A5,MATCHER!$D$5:$D$504,C5,MATCHER!$J$5:$J$504,REGLER!$I$13,MATCHER!$K$5:$K$504,"Ja")+COUNTIFS(MATCHER!$B$5:$B$504,A5,MATCHER!$D$5:$D$504,C5,MATCHER!$J$5:$J$504,REGLER!$I$13&amp;" 2",MATCHER!$K$5:$K$504,"Ja")&gt;0,1,0)+IF(COUNTIFS(MATCHER!$B$5:$B$504,A5,MATCHER!$D$5:$D$504,C5,MATCHER!$J$5:$J$504,REGLER!$I$14,MATCHER!$K$5:$K$504,"Ja")+COUNTIFS(MATCHER!$B$5:$B$504,A5,MATCHER!$D$5:$D$504,C5,MATCHER!$J$5:$J$504,REGLER!$I$14&amp;" 2",MATCHER!$K$5:$K$504,"Ja")&gt;0,1,0)+IF(COUNTIFS(MATCHER!$B$5:$B$504,A5,MATCHER!$D$5:$D$504,C5,MATCHER!$J$5:$J$504,REGLER!$I$15,MATCHER!$K$5:$K$504,"Ja")+COUNTIFS(MATCHER!$B$5:$B$504,A5,MATCHER!$D$5:$D$504,C5,MATCHER!$J$5:$J$504,REGLER!$I$15&amp;" 2",MATCHER!$K$5:$K$504,"Ja")&gt;0,1,0)+IF(COUNTIFS(MATCHER!$B$5:$B$504,A5,MATCHER!$D$5:$D$504,C5,MATCHER!$J$5:$J$504,REGLER!$I$16,MATCHER!$K$5:$K$504,"Ja")+COUNTIFS(MATCHER!$B$5:$B$504,A5,MATCHER!$D$5:$D$504,C5,MATCHER!$J$5:$J$504,REGLER!$I$16&amp;" 2",MATCHER!$K$5:$K$504,"Ja")&gt;0,1,0)+IF(COUNTIFS(MATCHER!$B$5:$B$504,A5,MATCHER!$D$5:$D$504,C5,MATCHER!$J$5:$J$504,REGLER!$I$17,MATCHER!$K$5:$K$504,"Ja")+COUNTIFS(MATCHER!$B$5:$B$504,A5,MATCHER!$D$5:$D$504,C5,MATCHER!$J$5:$J$504,REGLER!$I$17&amp;" 2",MATCHER!$K$5:$K$504,"Ja")&gt;0,1,0)+IF(COUNTIFS(MATCHER!$B$5:$B$504,A5,MATCHER!$D$5:$D$504,C5,MATCHER!$J$5:$J$504,REGLER!$I$18,MATCHER!$K$5:$K$504,"Ja")+COUNTIFS(MATCHER!$B$5:$B$504,A5,MATCHER!$D$5:$D$504,C5,MATCHER!$J$5:$J$504,REGLER!$I$18&amp;" 2",MATCHER!$K$5:$K$504,"Ja")&gt;0,1,0)+IF(COUNTIFS(MATCHER!$B$5:$B$504,A5,MATCHER!$D$5:$D$504,C5,MATCHER!$J$5:$J$504,REGLER!$I$19,MATCHER!$K$5:$K$504,"Ja")+COUNTIFS(MATCHER!$B$5:$B$504,A5,MATCHER!$D$5:$D$504,C5,MATCHER!$J$5:$J$504,REGLER!$I$19&amp;" 2",MATCHER!$K$5:$K$504,"Ja")&gt;0,1,0)+IF(COUNTIFS(MATCHER!$B$5:$B$504,A5,MATCHER!$D$5:$D$504,C5,MATCHER!$J$5:$J$504,REGLER!$I$20,MATCHER!$K$5:$K$504,"Ja")+COUNTIFS(MATCHER!$B$5:$B$504,A5,MATCHER!$D$5:$D$504,C5,MATCHER!$J$5:$J$504,REGLER!$I$20&amp;" 2",MATCHER!$K$5:$K$504,"Ja")&gt;0,1,0)+IF(COUNTIFS(MATCHER!$B$5:$B$504,A5,MATCHER!$D$5:$D$504,C5,MATCHER!$J$5:$J$504,REGLER!$I$21,MATCHER!$K$5:$K$504,"Ja")+COUNTIFS(MATCHER!$B$5:$B$504,A5,MATCHER!$D$5:$D$504,C5,MATCHER!$J$5:$J$504,REGLER!$I$21&amp;" 2",MATCHER!$K$5:$K$504,"Ja")&gt;0,1,0)+IF(COUNTIFS(MATCHER!$B$5:$B$504,A5,MATCHER!$D$5:$D$504,C5,MATCHER!$J$5:$J$504,REGLER!$I$22,MATCHER!$K$5:$K$504,"Ja")+COUNTIFS(MATCHER!$B$5:$B$504,A5,MATCHER!$D$5:$D$504,C5,MATCHER!$J$5:$J$504,REGLER!$I$22&amp;" 2",MATCHER!$K$5:$K$504,"Ja")&gt;0,1,0)+IF(COUNTIFS(MATCHER!$B$5:$B$504,A5,MATCHER!$D$5:$D$504,C5,MATCHER!$J$5:$J$504,REGLER!$I$23,MATCHER!$K$5:$K$504,"Ja")+COUNTIFS(MATCHER!$B$5:$B$504,A5,MATCHER!$D$5:$D$504,C5,MATCHER!$J$5:$J$504,REGLER!$I$23&amp;" 2",MATCHER!$K$5:$K$504,"Ja")&gt;0,1,0)+IF(COUNTIFS(MATCHER!$B$5:$B$504,A5,MATCHER!$D$5:$D$504,C5,MATCHER!$J$5:$J$504,REGLER!$I$24,MATCHER!$K$5:$K$504,"Ja")+COUNTIFS(MATCHER!$B$5:$B$504,A5,MATCHER!$D$5:$D$504,C5,MATCHER!$J$5:$J$504,REGLER!$I$24&amp;" 2",MATCHER!$K$5:$K$504,"Ja")&gt;0,1,0)+IF(COUNTIFS(MATCHER!$B$5:$B$504,A5,MATCHER!$D$5:$D$504,C5,MATCHER!$J$5:$J$504,REGLER!$I$25,MATCHER!$K$5:$K$504,"Ja")+COUNTIFS(MATCHER!$B$5:$B$504,A5,MATCHER!$D$5:$D$504,C5,MATCHER!$J$5:$J$504,REGLER!$I$25&amp;" 2",MATCHER!$K$5:$K$504,"Ja")&gt;0,1,0)+IF(COUNTIFS(MATCHER!$B$5:$B$504,A5,MATCHER!$D$5:$D$504,C5,MATCHER!$J$5:$J$504,REGLER!$I$26,MATCHER!$K$5:$K$504,"Ja")+COUNTIFS(MATCHER!$B$5:$B$504,A5,MATCHER!$D$5:$D$504,C5,MATCHER!$J$5:$J$504,REGLER!$I$26&amp;" 2",MATCHER!$K$5:$K$504,"Ja")&gt;0,1,0)</f>
        <v>1</v>
      </c>
      <c r="AB5" s="15" t="str">
        <f>IF(U5&lt;&gt;1,"",COUNTIF($U$5:U5,1))</f>
        <v/>
      </c>
      <c r="AC5" s="15" t="str">
        <f t="shared" ref="AC5:AC68" si="4">IF(X5="","",W5)</f>
        <v/>
      </c>
      <c r="AD5" s="15" t="str">
        <f t="shared" ref="AD5:AD68" si="5">IF(O5="","",INDEX($K$5:$K$546,MATCH(O5,$O$5:$O$546,0)))</f>
        <v>Vanligt café</v>
      </c>
      <c r="AE5" s="15" t="str">
        <f t="shared" ref="AE5:AE68" si="6">IF(U5&lt;&gt;1,"",(SUMIF($W$5:$W$546,W5,$X$5:$X$546)-D5)*24)</f>
        <v/>
      </c>
      <c r="AF5" t="str">
        <f>IF(T5="","",IFERROR(MATCH(1,INDEX((MATCHER!$B$5:$B$504=A5)*(MATCHER!$D$5:$D$504=C5)*(MATCHER!$K$5:$K$504="Ja")*(MATCHER!$C$5:$C$504&lt;E5)*(MATCHER!$M$5:$M$504&gt;D5)*(ROW(MATCHER!$A$5:$A$504)-ROW(MATCHER!$A$5)+1&gt;T5),0),0),""))</f>
        <v/>
      </c>
    </row>
    <row r="6" spans="1:32" ht="26">
      <c r="A6" s="42">
        <v>46284</v>
      </c>
      <c r="B6" s="43" t="s">
        <v>85</v>
      </c>
      <c r="C6" s="43" t="s">
        <v>86</v>
      </c>
      <c r="D6" s="44">
        <v>0.52083333333333304</v>
      </c>
      <c r="E6" s="44">
        <v>0.54166666666666696</v>
      </c>
      <c r="F6" s="45" t="str">
        <f>IF(R6="","",HOUR(INDEX(MATCHER!$C$5:$C$504,R6))&amp;":"&amp;IF(MINUTE(INDEX(MATCHER!$C$5:$C$504,R6))&lt;10,"0","")&amp;MINUTE(INDEX(MATCHER!$C$5:$C$504,R6))&amp;" "&amp;INDEX(MATCHER!$H$5:$H$504,R6)&amp;" – "&amp;INDEX(MATCHER!$I$5:$I$504,R6))&amp;IF(S6="",""," | "&amp;HOUR(INDEX(MATCHER!$C$5:$C$504,S6))&amp;":"&amp;IF(MINUTE(INDEX(MATCHER!$C$5:$C$504,S6))&lt;10,"0","")&amp;MINUTE(INDEX(MATCHER!$C$5:$C$504,S6))&amp;" "&amp;INDEX(MATCHER!$H$5:$H$504,S6)&amp;" – "&amp;INDEX(MATCHER!$I$5:$I$504,S6))&amp;IF(T6="",""," | "&amp;HOUR(INDEX(MATCHER!$C$5:$C$504,T6))&amp;":"&amp;IF(MINUTE(INDEX(MATCHER!$C$5:$C$504,T6))&lt;10,"0","")&amp;MINUTE(INDEX(MATCHER!$C$5:$C$504,T6))&amp;" "&amp;INDEX(MATCHER!$H$5:$H$504,T6)&amp;" – "&amp;INDEX(MATCHER!$I$5:$I$504,T6))&amp;IF(AF6="",""," | "&amp;HOUR(INDEX(MATCHER!$C$5:$C$504,AF6))&amp;":"&amp;IF(MINUTE(INDEX(MATCHER!$C$5:$C$504,AF6))&lt;10,"0","")&amp;MINUTE(INDEX(MATCHER!$C$5:$C$504,AF6))&amp;" "&amp;INDEX(MATCHER!$H$5:$H$504,AF6)&amp;" – "&amp;INDEX(MATCHER!$I$5:$I$504,AF6))</f>
        <v/>
      </c>
      <c r="G6" s="45" t="str">
        <f>MID(IF(R6="","",IF(OR(INDEX(MATCHER!$J$5:$J$504,R6)=""),""," / "&amp;INDEX(MATCHER!$J$5:$J$504,R6)))&amp;IF(S6="","",IF(OR(INDEX(MATCHER!$J$5:$J$504,S6)="",INDEX(MATCHER!$J$5:$J$504,S6)=IFERROR(INDEX(MATCHER!$J$5:$J$504,R6),"")),""," / "&amp;INDEX(MATCHER!$J$5:$J$504,S6)))&amp;IF(T6="","",IF(OR(INDEX(MATCHER!$J$5:$J$504,T6)="",INDEX(MATCHER!$J$5:$J$504,T6)=IFERROR(INDEX(MATCHER!$J$5:$J$504,R6),""),INDEX(MATCHER!$J$5:$J$504,T6)=IFERROR(INDEX(MATCHER!$J$5:$J$504,S6),"")),""," / "&amp;INDEX(MATCHER!$J$5:$J$504,T6)))&amp;IF(AF6="","",IF(OR(INDEX(MATCHER!$J$5:$J$504,AF6)="",INDEX(MATCHER!$J$5:$J$504,AF6)=IFERROR(INDEX(MATCHER!$J$5:$J$504,R6),""),INDEX(MATCHER!$J$5:$J$504,AF6)=IFERROR(INDEX(MATCHER!$J$5:$J$504,S6),""),INDEX(MATCHER!$J$5:$J$504,AF6)=IFERROR(INDEX(MATCHER!$J$5:$J$504,T6),"")),""," / "&amp;INDEX(MATCHER!$J$5:$J$504,AF6))),4,1000)</f>
        <v/>
      </c>
      <c r="H6" s="45" t="str">
        <f t="shared" ref="H6:H21" si="7">H5</f>
        <v>F19</v>
      </c>
      <c r="I6" s="46" t="s">
        <v>87</v>
      </c>
      <c r="J6" s="47"/>
      <c r="K6" s="48"/>
      <c r="L6" s="49"/>
      <c r="M6" s="50" t="str">
        <f>IF(O6&lt;&gt;O5,MAX(1,MIN(AA6,ROUNDUP(SUMPRODUCT(($O$5:$O$546=O6)*($I$5:$I$546="Ja")*($E$5:$E$546-$D$5:$D$546))*24/REGLER!$B$8,0))),"")</f>
        <v/>
      </c>
      <c r="N6" s="50" t="str">
        <f t="shared" si="0"/>
        <v>Ej öppet</v>
      </c>
      <c r="O6" s="15" t="s">
        <v>89</v>
      </c>
      <c r="P6" s="16">
        <v>0.5</v>
      </c>
      <c r="Q6" s="16">
        <v>0.84375</v>
      </c>
      <c r="R6" s="15" t="str">
        <f>IFERROR(MATCH(1,INDEX((MATCHER!$B$5:$B$504=A6)*(MATCHER!$D$5:$D$504=C6)*(MATCHER!$K$5:$K$504="Ja")*(MATCHER!$C$5:$C$504&lt;E6)*(MATCHER!$M$5:$M$504&gt;D6),0),0),"")</f>
        <v/>
      </c>
      <c r="S6" s="15" t="str">
        <f>IF(R6="","",IFERROR(MATCH(1,INDEX((MATCHER!$B$5:$B$504=A6)*(MATCHER!$D$5:$D$504=C6)*(MATCHER!$K$5:$K$504="Ja")*(MATCHER!$C$5:$C$504&lt;E6)*(MATCHER!$M$5:$M$504&gt;D6)*(ROW(MATCHER!$A$5:$A$504)-ROW(MATCHER!$A$5)+1&gt;R6),0),0),""))</f>
        <v/>
      </c>
      <c r="T6" s="15" t="str">
        <f>IF(S6="","",IFERROR(MATCH(1,INDEX((MATCHER!$B$5:$B$504=A6)*(MATCHER!$D$5:$D$504=C6)*(MATCHER!$K$5:$K$504="Ja")*(MATCHER!$C$5:$C$504&lt;E6)*(MATCHER!$M$5:$M$504&gt;D6)*(ROW(MATCHER!$A$5:$A$504)-ROW(MATCHER!$A$5)+1&gt;S6),0),0),""))</f>
        <v/>
      </c>
      <c r="U6" s="15" t="str">
        <f t="shared" si="1"/>
        <v/>
      </c>
      <c r="V6" s="15" t="str">
        <f>IF(OR(I6&lt;&gt;"Ja",J6=""),"",COUNTIFS($O$5:O6,O6,$U$5:U6,1))</f>
        <v/>
      </c>
      <c r="W6" s="15" t="str">
        <f t="shared" si="2"/>
        <v/>
      </c>
      <c r="X6" s="16" t="str">
        <f t="shared" si="3"/>
        <v/>
      </c>
      <c r="Y6" s="15">
        <f>IF(OR(I6&lt;&gt;"Ja",J6=""),0,IF(COUNTIFS($O$5:O6,O6,$I$5:I6,"Ja",$J$5:J6,"&lt;&gt;")=1,1,0))</f>
        <v>0</v>
      </c>
      <c r="Z6" s="15">
        <f>IF(OR(I6&lt;&gt;"Ja",J6=""),0,IF(COUNTIFS(O6:$O$546,O6,I6:$I$546,"Ja",J6:$J$546,"&lt;&gt;")=1,1,0))</f>
        <v>0</v>
      </c>
      <c r="AA6" s="15">
        <f t="shared" ref="AA6:AA21" si="8">AA5</f>
        <v>1</v>
      </c>
      <c r="AB6" s="15" t="str">
        <f>IF(U6&lt;&gt;1,"",COUNTIF($U$5:U6,1))</f>
        <v/>
      </c>
      <c r="AC6" s="15" t="str">
        <f t="shared" si="4"/>
        <v/>
      </c>
      <c r="AD6" s="15" t="str">
        <f t="shared" si="5"/>
        <v>Vanligt café</v>
      </c>
      <c r="AE6" s="15" t="str">
        <f t="shared" si="6"/>
        <v/>
      </c>
      <c r="AF6" t="str">
        <f>IF(T6="","",IFERROR(MATCH(1,INDEX((MATCHER!$B$5:$B$504=A6)*(MATCHER!$D$5:$D$504=C6)*(MATCHER!$K$5:$K$504="Ja")*(MATCHER!$C$5:$C$504&lt;E6)*(MATCHER!$M$5:$M$504&gt;D6)*(ROW(MATCHER!$A$5:$A$504)-ROW(MATCHER!$A$5)+1&gt;T6),0),0),""))</f>
        <v/>
      </c>
    </row>
    <row r="7" spans="1:32" ht="26">
      <c r="A7" s="42">
        <v>46284</v>
      </c>
      <c r="B7" s="43" t="s">
        <v>85</v>
      </c>
      <c r="C7" s="43" t="s">
        <v>86</v>
      </c>
      <c r="D7" s="44">
        <v>0.54166666666666696</v>
      </c>
      <c r="E7" s="44">
        <v>0.5625</v>
      </c>
      <c r="F7" s="45" t="str">
        <f>IF(R7="","",HOUR(INDEX(MATCHER!$C$5:$C$504,R7))&amp;":"&amp;IF(MINUTE(INDEX(MATCHER!$C$5:$C$504,R7))&lt;10,"0","")&amp;MINUTE(INDEX(MATCHER!$C$5:$C$504,R7))&amp;" "&amp;INDEX(MATCHER!$H$5:$H$504,R7)&amp;" – "&amp;INDEX(MATCHER!$I$5:$I$504,R7))&amp;IF(S7="",""," | "&amp;HOUR(INDEX(MATCHER!$C$5:$C$504,S7))&amp;":"&amp;IF(MINUTE(INDEX(MATCHER!$C$5:$C$504,S7))&lt;10,"0","")&amp;MINUTE(INDEX(MATCHER!$C$5:$C$504,S7))&amp;" "&amp;INDEX(MATCHER!$H$5:$H$504,S7)&amp;" – "&amp;INDEX(MATCHER!$I$5:$I$504,S7))&amp;IF(T7="",""," | "&amp;HOUR(INDEX(MATCHER!$C$5:$C$504,T7))&amp;":"&amp;IF(MINUTE(INDEX(MATCHER!$C$5:$C$504,T7))&lt;10,"0","")&amp;MINUTE(INDEX(MATCHER!$C$5:$C$504,T7))&amp;" "&amp;INDEX(MATCHER!$H$5:$H$504,T7)&amp;" – "&amp;INDEX(MATCHER!$I$5:$I$504,T7))&amp;IF(AF7="",""," | "&amp;HOUR(INDEX(MATCHER!$C$5:$C$504,AF7))&amp;":"&amp;IF(MINUTE(INDEX(MATCHER!$C$5:$C$504,AF7))&lt;10,"0","")&amp;MINUTE(INDEX(MATCHER!$C$5:$C$504,AF7))&amp;" "&amp;INDEX(MATCHER!$H$5:$H$504,AF7)&amp;" – "&amp;INDEX(MATCHER!$I$5:$I$504,AF7))</f>
        <v/>
      </c>
      <c r="G7" s="45" t="str">
        <f>MID(IF(R7="","",IF(OR(INDEX(MATCHER!$J$5:$J$504,R7)=""),""," / "&amp;INDEX(MATCHER!$J$5:$J$504,R7)))&amp;IF(S7="","",IF(OR(INDEX(MATCHER!$J$5:$J$504,S7)="",INDEX(MATCHER!$J$5:$J$504,S7)=IFERROR(INDEX(MATCHER!$J$5:$J$504,R7),"")),""," / "&amp;INDEX(MATCHER!$J$5:$J$504,S7)))&amp;IF(T7="","",IF(OR(INDEX(MATCHER!$J$5:$J$504,T7)="",INDEX(MATCHER!$J$5:$J$504,T7)=IFERROR(INDEX(MATCHER!$J$5:$J$504,R7),""),INDEX(MATCHER!$J$5:$J$504,T7)=IFERROR(INDEX(MATCHER!$J$5:$J$504,S7),"")),""," / "&amp;INDEX(MATCHER!$J$5:$J$504,T7)))&amp;IF(AF7="","",IF(OR(INDEX(MATCHER!$J$5:$J$504,AF7)="",INDEX(MATCHER!$J$5:$J$504,AF7)=IFERROR(INDEX(MATCHER!$J$5:$J$504,R7),""),INDEX(MATCHER!$J$5:$J$504,AF7)=IFERROR(INDEX(MATCHER!$J$5:$J$504,S7),""),INDEX(MATCHER!$J$5:$J$504,AF7)=IFERROR(INDEX(MATCHER!$J$5:$J$504,T7),"")),""," / "&amp;INDEX(MATCHER!$J$5:$J$504,AF7))),4,1000)</f>
        <v/>
      </c>
      <c r="H7" s="45" t="str">
        <f t="shared" si="7"/>
        <v>F19</v>
      </c>
      <c r="I7" s="46" t="s">
        <v>87</v>
      </c>
      <c r="J7" s="47"/>
      <c r="K7" s="48"/>
      <c r="L7" s="49"/>
      <c r="M7" s="50" t="str">
        <f>IF(O7&lt;&gt;O6,MAX(1,MIN(AA7,ROUNDUP(SUMPRODUCT(($O$5:$O$546=O7)*($I$5:$I$546="Ja")*($E$5:$E$546-$D$5:$D$546))*24/REGLER!$B$8,0))),"")</f>
        <v/>
      </c>
      <c r="N7" s="50" t="str">
        <f t="shared" si="0"/>
        <v>Ej öppet</v>
      </c>
      <c r="O7" s="15" t="s">
        <v>89</v>
      </c>
      <c r="P7" s="16">
        <v>0.5</v>
      </c>
      <c r="Q7" s="16">
        <v>0.84375</v>
      </c>
      <c r="R7" s="15" t="str">
        <f>IFERROR(MATCH(1,INDEX((MATCHER!$B$5:$B$504=A7)*(MATCHER!$D$5:$D$504=C7)*(MATCHER!$K$5:$K$504="Ja")*(MATCHER!$C$5:$C$504&lt;E7)*(MATCHER!$M$5:$M$504&gt;D7),0),0),"")</f>
        <v/>
      </c>
      <c r="S7" s="15" t="str">
        <f>IF(R7="","",IFERROR(MATCH(1,INDEX((MATCHER!$B$5:$B$504=A7)*(MATCHER!$D$5:$D$504=C7)*(MATCHER!$K$5:$K$504="Ja")*(MATCHER!$C$5:$C$504&lt;E7)*(MATCHER!$M$5:$M$504&gt;D7)*(ROW(MATCHER!$A$5:$A$504)-ROW(MATCHER!$A$5)+1&gt;R7),0),0),""))</f>
        <v/>
      </c>
      <c r="T7" s="15" t="str">
        <f>IF(S7="","",IFERROR(MATCH(1,INDEX((MATCHER!$B$5:$B$504=A7)*(MATCHER!$D$5:$D$504=C7)*(MATCHER!$K$5:$K$504="Ja")*(MATCHER!$C$5:$C$504&lt;E7)*(MATCHER!$M$5:$M$504&gt;D7)*(ROW(MATCHER!$A$5:$A$504)-ROW(MATCHER!$A$5)+1&gt;S7),0),0),""))</f>
        <v/>
      </c>
      <c r="U7" s="15" t="str">
        <f t="shared" si="1"/>
        <v/>
      </c>
      <c r="V7" s="15" t="str">
        <f>IF(OR(I7&lt;&gt;"Ja",J7=""),"",COUNTIFS($O$5:O7,O7,$U$5:U7,1))</f>
        <v/>
      </c>
      <c r="W7" s="15" t="str">
        <f t="shared" si="2"/>
        <v/>
      </c>
      <c r="X7" s="16" t="str">
        <f t="shared" si="3"/>
        <v/>
      </c>
      <c r="Y7" s="15">
        <f>IF(OR(I7&lt;&gt;"Ja",J7=""),0,IF(COUNTIFS($O$5:O7,O7,$I$5:I7,"Ja",$J$5:J7,"&lt;&gt;")=1,1,0))</f>
        <v>0</v>
      </c>
      <c r="Z7" s="15">
        <f>IF(OR(I7&lt;&gt;"Ja",J7=""),0,IF(COUNTIFS(O7:$O$546,O7,I7:$I$546,"Ja",J7:$J$546,"&lt;&gt;")=1,1,0))</f>
        <v>0</v>
      </c>
      <c r="AA7" s="15">
        <f t="shared" si="8"/>
        <v>1</v>
      </c>
      <c r="AB7" s="15" t="str">
        <f>IF(U7&lt;&gt;1,"",COUNTIF($U$5:U7,1))</f>
        <v/>
      </c>
      <c r="AC7" s="15" t="str">
        <f t="shared" si="4"/>
        <v/>
      </c>
      <c r="AD7" s="15" t="str">
        <f t="shared" si="5"/>
        <v>Vanligt café</v>
      </c>
      <c r="AE7" s="15" t="str">
        <f t="shared" si="6"/>
        <v/>
      </c>
      <c r="AF7" t="str">
        <f>IF(T7="","",IFERROR(MATCH(1,INDEX((MATCHER!$B$5:$B$504=A7)*(MATCHER!$D$5:$D$504=C7)*(MATCHER!$K$5:$K$504="Ja")*(MATCHER!$C$5:$C$504&lt;E7)*(MATCHER!$M$5:$M$504&gt;D7)*(ROW(MATCHER!$A$5:$A$504)-ROW(MATCHER!$A$5)+1&gt;T7),0),0),""))</f>
        <v/>
      </c>
    </row>
    <row r="8" spans="1:32" ht="26">
      <c r="A8" s="42">
        <v>46284</v>
      </c>
      <c r="B8" s="43" t="s">
        <v>85</v>
      </c>
      <c r="C8" s="43" t="s">
        <v>86</v>
      </c>
      <c r="D8" s="44">
        <v>0.5625</v>
      </c>
      <c r="E8" s="44">
        <v>0.58333333333333304</v>
      </c>
      <c r="F8" s="45" t="str">
        <f>IF(R8="","",HOUR(INDEX(MATCHER!$C$5:$C$504,R8))&amp;":"&amp;IF(MINUTE(INDEX(MATCHER!$C$5:$C$504,R8))&lt;10,"0","")&amp;MINUTE(INDEX(MATCHER!$C$5:$C$504,R8))&amp;" "&amp;INDEX(MATCHER!$H$5:$H$504,R8)&amp;" – "&amp;INDEX(MATCHER!$I$5:$I$504,R8))&amp;IF(S8="",""," | "&amp;HOUR(INDEX(MATCHER!$C$5:$C$504,S8))&amp;":"&amp;IF(MINUTE(INDEX(MATCHER!$C$5:$C$504,S8))&lt;10,"0","")&amp;MINUTE(INDEX(MATCHER!$C$5:$C$504,S8))&amp;" "&amp;INDEX(MATCHER!$H$5:$H$504,S8)&amp;" – "&amp;INDEX(MATCHER!$I$5:$I$504,S8))&amp;IF(T8="",""," | "&amp;HOUR(INDEX(MATCHER!$C$5:$C$504,T8))&amp;":"&amp;IF(MINUTE(INDEX(MATCHER!$C$5:$C$504,T8))&lt;10,"0","")&amp;MINUTE(INDEX(MATCHER!$C$5:$C$504,T8))&amp;" "&amp;INDEX(MATCHER!$H$5:$H$504,T8)&amp;" – "&amp;INDEX(MATCHER!$I$5:$I$504,T8))&amp;IF(AF8="",""," | "&amp;HOUR(INDEX(MATCHER!$C$5:$C$504,AF8))&amp;":"&amp;IF(MINUTE(INDEX(MATCHER!$C$5:$C$504,AF8))&lt;10,"0","")&amp;MINUTE(INDEX(MATCHER!$C$5:$C$504,AF8))&amp;" "&amp;INDEX(MATCHER!$H$5:$H$504,AF8)&amp;" – "&amp;INDEX(MATCHER!$I$5:$I$504,AF8))</f>
        <v/>
      </c>
      <c r="G8" s="45" t="str">
        <f>MID(IF(R8="","",IF(OR(INDEX(MATCHER!$J$5:$J$504,R8)=""),""," / "&amp;INDEX(MATCHER!$J$5:$J$504,R8)))&amp;IF(S8="","",IF(OR(INDEX(MATCHER!$J$5:$J$504,S8)="",INDEX(MATCHER!$J$5:$J$504,S8)=IFERROR(INDEX(MATCHER!$J$5:$J$504,R8),"")),""," / "&amp;INDEX(MATCHER!$J$5:$J$504,S8)))&amp;IF(T8="","",IF(OR(INDEX(MATCHER!$J$5:$J$504,T8)="",INDEX(MATCHER!$J$5:$J$504,T8)=IFERROR(INDEX(MATCHER!$J$5:$J$504,R8),""),INDEX(MATCHER!$J$5:$J$504,T8)=IFERROR(INDEX(MATCHER!$J$5:$J$504,S8),"")),""," / "&amp;INDEX(MATCHER!$J$5:$J$504,T8)))&amp;IF(AF8="","",IF(OR(INDEX(MATCHER!$J$5:$J$504,AF8)="",INDEX(MATCHER!$J$5:$J$504,AF8)=IFERROR(INDEX(MATCHER!$J$5:$J$504,R8),""),INDEX(MATCHER!$J$5:$J$504,AF8)=IFERROR(INDEX(MATCHER!$J$5:$J$504,S8),""),INDEX(MATCHER!$J$5:$J$504,AF8)=IFERROR(INDEX(MATCHER!$J$5:$J$504,T8),"")),""," / "&amp;INDEX(MATCHER!$J$5:$J$504,AF8))),4,1000)</f>
        <v/>
      </c>
      <c r="H8" s="45" t="str">
        <f t="shared" si="7"/>
        <v>F19</v>
      </c>
      <c r="I8" s="46" t="s">
        <v>87</v>
      </c>
      <c r="J8" s="47"/>
      <c r="K8" s="48"/>
      <c r="L8" s="49"/>
      <c r="M8" s="50" t="str">
        <f>IF(O8&lt;&gt;O7,MAX(1,MIN(AA8,ROUNDUP(SUMPRODUCT(($O$5:$O$546=O8)*($I$5:$I$546="Ja")*($E$5:$E$546-$D$5:$D$546))*24/REGLER!$B$8,0))),"")</f>
        <v/>
      </c>
      <c r="N8" s="50" t="str">
        <f t="shared" si="0"/>
        <v>Ej öppet</v>
      </c>
      <c r="O8" s="15" t="s">
        <v>89</v>
      </c>
      <c r="P8" s="16">
        <v>0.5</v>
      </c>
      <c r="Q8" s="16">
        <v>0.84375</v>
      </c>
      <c r="R8" s="15" t="str">
        <f>IFERROR(MATCH(1,INDEX((MATCHER!$B$5:$B$504=A8)*(MATCHER!$D$5:$D$504=C8)*(MATCHER!$K$5:$K$504="Ja")*(MATCHER!$C$5:$C$504&lt;E8)*(MATCHER!$M$5:$M$504&gt;D8),0),0),"")</f>
        <v/>
      </c>
      <c r="S8" s="15" t="str">
        <f>IF(R8="","",IFERROR(MATCH(1,INDEX((MATCHER!$B$5:$B$504=A8)*(MATCHER!$D$5:$D$504=C8)*(MATCHER!$K$5:$K$504="Ja")*(MATCHER!$C$5:$C$504&lt;E8)*(MATCHER!$M$5:$M$504&gt;D8)*(ROW(MATCHER!$A$5:$A$504)-ROW(MATCHER!$A$5)+1&gt;R8),0),0),""))</f>
        <v/>
      </c>
      <c r="T8" s="15" t="str">
        <f>IF(S8="","",IFERROR(MATCH(1,INDEX((MATCHER!$B$5:$B$504=A8)*(MATCHER!$D$5:$D$504=C8)*(MATCHER!$K$5:$K$504="Ja")*(MATCHER!$C$5:$C$504&lt;E8)*(MATCHER!$M$5:$M$504&gt;D8)*(ROW(MATCHER!$A$5:$A$504)-ROW(MATCHER!$A$5)+1&gt;S8),0),0),""))</f>
        <v/>
      </c>
      <c r="U8" s="15" t="str">
        <f t="shared" si="1"/>
        <v/>
      </c>
      <c r="V8" s="15" t="str">
        <f>IF(OR(I8&lt;&gt;"Ja",J8=""),"",COUNTIFS($O$5:O8,O8,$U$5:U8,1))</f>
        <v/>
      </c>
      <c r="W8" s="15" t="str">
        <f t="shared" si="2"/>
        <v/>
      </c>
      <c r="X8" s="16" t="str">
        <f t="shared" si="3"/>
        <v/>
      </c>
      <c r="Y8" s="15">
        <f>IF(OR(I8&lt;&gt;"Ja",J8=""),0,IF(COUNTIFS($O$5:O8,O8,$I$5:I8,"Ja",$J$5:J8,"&lt;&gt;")=1,1,0))</f>
        <v>0</v>
      </c>
      <c r="Z8" s="15">
        <f>IF(OR(I8&lt;&gt;"Ja",J8=""),0,IF(COUNTIFS(O8:$O$546,O8,I8:$I$546,"Ja",J8:$J$546,"&lt;&gt;")=1,1,0))</f>
        <v>0</v>
      </c>
      <c r="AA8" s="15">
        <f t="shared" si="8"/>
        <v>1</v>
      </c>
      <c r="AB8" s="15" t="str">
        <f>IF(U8&lt;&gt;1,"",COUNTIF($U$5:U8,1))</f>
        <v/>
      </c>
      <c r="AC8" s="15" t="str">
        <f t="shared" si="4"/>
        <v/>
      </c>
      <c r="AD8" s="15" t="str">
        <f t="shared" si="5"/>
        <v>Vanligt café</v>
      </c>
      <c r="AE8" s="15" t="str">
        <f t="shared" si="6"/>
        <v/>
      </c>
      <c r="AF8" t="str">
        <f>IF(T8="","",IFERROR(MATCH(1,INDEX((MATCHER!$B$5:$B$504=A8)*(MATCHER!$D$5:$D$504=C8)*(MATCHER!$K$5:$K$504="Ja")*(MATCHER!$C$5:$C$504&lt;E8)*(MATCHER!$M$5:$M$504&gt;D8)*(ROW(MATCHER!$A$5:$A$504)-ROW(MATCHER!$A$5)+1&gt;T8),0),0),""))</f>
        <v/>
      </c>
    </row>
    <row r="9" spans="1:32" ht="26">
      <c r="A9" s="42">
        <v>46284</v>
      </c>
      <c r="B9" s="43" t="s">
        <v>85</v>
      </c>
      <c r="C9" s="43" t="s">
        <v>86</v>
      </c>
      <c r="D9" s="44">
        <v>0.58333333333333304</v>
      </c>
      <c r="E9" s="44">
        <v>0.60416666666666696</v>
      </c>
      <c r="F9" s="45" t="str">
        <f>IF(R9="","",HOUR(INDEX(MATCHER!$C$5:$C$504,R9))&amp;":"&amp;IF(MINUTE(INDEX(MATCHER!$C$5:$C$504,R9))&lt;10,"0","")&amp;MINUTE(INDEX(MATCHER!$C$5:$C$504,R9))&amp;" "&amp;INDEX(MATCHER!$H$5:$H$504,R9)&amp;" – "&amp;INDEX(MATCHER!$I$5:$I$504,R9))&amp;IF(S9="",""," | "&amp;HOUR(INDEX(MATCHER!$C$5:$C$504,S9))&amp;":"&amp;IF(MINUTE(INDEX(MATCHER!$C$5:$C$504,S9))&lt;10,"0","")&amp;MINUTE(INDEX(MATCHER!$C$5:$C$504,S9))&amp;" "&amp;INDEX(MATCHER!$H$5:$H$504,S9)&amp;" – "&amp;INDEX(MATCHER!$I$5:$I$504,S9))&amp;IF(T9="",""," | "&amp;HOUR(INDEX(MATCHER!$C$5:$C$504,T9))&amp;":"&amp;IF(MINUTE(INDEX(MATCHER!$C$5:$C$504,T9))&lt;10,"0","")&amp;MINUTE(INDEX(MATCHER!$C$5:$C$504,T9))&amp;" "&amp;INDEX(MATCHER!$H$5:$H$504,T9)&amp;" – "&amp;INDEX(MATCHER!$I$5:$I$504,T9))&amp;IF(AF9="",""," | "&amp;HOUR(INDEX(MATCHER!$C$5:$C$504,AF9))&amp;":"&amp;IF(MINUTE(INDEX(MATCHER!$C$5:$C$504,AF9))&lt;10,"0","")&amp;MINUTE(INDEX(MATCHER!$C$5:$C$504,AF9))&amp;" "&amp;INDEX(MATCHER!$H$5:$H$504,AF9)&amp;" – "&amp;INDEX(MATCHER!$I$5:$I$504,AF9))</f>
        <v/>
      </c>
      <c r="G9" s="45" t="str">
        <f>MID(IF(R9="","",IF(OR(INDEX(MATCHER!$J$5:$J$504,R9)=""),""," / "&amp;INDEX(MATCHER!$J$5:$J$504,R9)))&amp;IF(S9="","",IF(OR(INDEX(MATCHER!$J$5:$J$504,S9)="",INDEX(MATCHER!$J$5:$J$504,S9)=IFERROR(INDEX(MATCHER!$J$5:$J$504,R9),"")),""," / "&amp;INDEX(MATCHER!$J$5:$J$504,S9)))&amp;IF(T9="","",IF(OR(INDEX(MATCHER!$J$5:$J$504,T9)="",INDEX(MATCHER!$J$5:$J$504,T9)=IFERROR(INDEX(MATCHER!$J$5:$J$504,R9),""),INDEX(MATCHER!$J$5:$J$504,T9)=IFERROR(INDEX(MATCHER!$J$5:$J$504,S9),"")),""," / "&amp;INDEX(MATCHER!$J$5:$J$504,T9)))&amp;IF(AF9="","",IF(OR(INDEX(MATCHER!$J$5:$J$504,AF9)="",INDEX(MATCHER!$J$5:$J$504,AF9)=IFERROR(INDEX(MATCHER!$J$5:$J$504,R9),""),INDEX(MATCHER!$J$5:$J$504,AF9)=IFERROR(INDEX(MATCHER!$J$5:$J$504,S9),""),INDEX(MATCHER!$J$5:$J$504,AF9)=IFERROR(INDEX(MATCHER!$J$5:$J$504,T9),"")),""," / "&amp;INDEX(MATCHER!$J$5:$J$504,AF9))),4,1000)</f>
        <v/>
      </c>
      <c r="H9" s="45" t="str">
        <f t="shared" si="7"/>
        <v>F19</v>
      </c>
      <c r="I9" s="46" t="s">
        <v>90</v>
      </c>
      <c r="J9" s="47" t="s">
        <v>105</v>
      </c>
      <c r="K9" s="48"/>
      <c r="L9" s="49"/>
      <c r="M9" s="50" t="str">
        <f>IF(O9&lt;&gt;O8,MAX(1,MIN(AA9,ROUNDUP(SUMPRODUCT(($O$5:$O$546=O9)*($I$5:$I$546="Ja")*($E$5:$E$546-$D$5:$D$546))*24/REGLER!$B$8,0))),"")</f>
        <v/>
      </c>
      <c r="N9" s="50" t="str">
        <f t="shared" si="0"/>
        <v>Klar</v>
      </c>
      <c r="O9" s="15" t="s">
        <v>89</v>
      </c>
      <c r="P9" s="16">
        <v>0.5</v>
      </c>
      <c r="Q9" s="16">
        <v>0.84375</v>
      </c>
      <c r="R9" s="15" t="str">
        <f>IFERROR(MATCH(1,INDEX((MATCHER!$B$5:$B$504=A9)*(MATCHER!$D$5:$D$504=C9)*(MATCHER!$K$5:$K$504="Ja")*(MATCHER!$C$5:$C$504&lt;E9)*(MATCHER!$M$5:$M$504&gt;D9),0),0),"")</f>
        <v/>
      </c>
      <c r="S9" s="15" t="str">
        <f>IF(R9="","",IFERROR(MATCH(1,INDEX((MATCHER!$B$5:$B$504=A9)*(MATCHER!$D$5:$D$504=C9)*(MATCHER!$K$5:$K$504="Ja")*(MATCHER!$C$5:$C$504&lt;E9)*(MATCHER!$M$5:$M$504&gt;D9)*(ROW(MATCHER!$A$5:$A$504)-ROW(MATCHER!$A$5)+1&gt;R9),0),0),""))</f>
        <v/>
      </c>
      <c r="T9" s="15" t="str">
        <f>IF(S9="","",IFERROR(MATCH(1,INDEX((MATCHER!$B$5:$B$504=A9)*(MATCHER!$D$5:$D$504=C9)*(MATCHER!$K$5:$K$504="Ja")*(MATCHER!$C$5:$C$504&lt;E9)*(MATCHER!$M$5:$M$504&gt;D9)*(ROW(MATCHER!$A$5:$A$504)-ROW(MATCHER!$A$5)+1&gt;S9),0),0),""))</f>
        <v/>
      </c>
      <c r="U9" s="15">
        <f t="shared" si="1"/>
        <v>1</v>
      </c>
      <c r="V9" s="15">
        <f>IF(OR(I9&lt;&gt;"Ja",J9=""),"",COUNTIFS($O$5:O9,O9,$U$5:U9,1))</f>
        <v>1</v>
      </c>
      <c r="W9" s="15" t="str">
        <f t="shared" si="2"/>
        <v>2026-09-19 | Ulriksdalshallen|1</v>
      </c>
      <c r="X9" s="16" t="str">
        <f t="shared" si="3"/>
        <v/>
      </c>
      <c r="Y9" s="15">
        <f>IF(OR(I9&lt;&gt;"Ja",J9=""),0,IF(COUNTIFS($O$5:O9,O9,$I$5:I9,"Ja",$J$5:J9,"&lt;&gt;")=1,1,0))</f>
        <v>1</v>
      </c>
      <c r="Z9" s="15">
        <f>IF(OR(I9&lt;&gt;"Ja",J9=""),0,IF(COUNTIFS(O9:$O$546,O9,I9:$I$546,"Ja",J9:$J$546,"&lt;&gt;")=1,1,0))</f>
        <v>0</v>
      </c>
      <c r="AA9" s="15">
        <f t="shared" si="8"/>
        <v>1</v>
      </c>
      <c r="AB9" s="15">
        <f>IF(U9&lt;&gt;1,"",COUNTIF($U$5:U9,1))</f>
        <v>1</v>
      </c>
      <c r="AC9" s="15" t="str">
        <f t="shared" si="4"/>
        <v/>
      </c>
      <c r="AD9" s="15" t="str">
        <f t="shared" si="5"/>
        <v>Vanligt café</v>
      </c>
      <c r="AE9" s="15">
        <f t="shared" si="6"/>
        <v>3.75</v>
      </c>
      <c r="AF9" t="str">
        <f>IF(T9="","",IFERROR(MATCH(1,INDEX((MATCHER!$B$5:$B$504=A9)*(MATCHER!$D$5:$D$504=C9)*(MATCHER!$K$5:$K$504="Ja")*(MATCHER!$C$5:$C$504&lt;E9)*(MATCHER!$M$5:$M$504&gt;D9)*(ROW(MATCHER!$A$5:$A$504)-ROW(MATCHER!$A$5)+1&gt;T9),0),0),""))</f>
        <v/>
      </c>
    </row>
    <row r="10" spans="1:32" ht="26">
      <c r="A10" s="42">
        <v>46284</v>
      </c>
      <c r="B10" s="43" t="s">
        <v>85</v>
      </c>
      <c r="C10" s="43" t="s">
        <v>86</v>
      </c>
      <c r="D10" s="44">
        <v>0.60416666666666696</v>
      </c>
      <c r="E10" s="44">
        <v>0.625</v>
      </c>
      <c r="F10" s="45" t="str">
        <f>IF(R10="","",HOUR(INDEX(MATCHER!$C$5:$C$504,R10))&amp;":"&amp;IF(MINUTE(INDEX(MATCHER!$C$5:$C$504,R10))&lt;10,"0","")&amp;MINUTE(INDEX(MATCHER!$C$5:$C$504,R10))&amp;" "&amp;INDEX(MATCHER!$H$5:$H$504,R10)&amp;" – "&amp;INDEX(MATCHER!$I$5:$I$504,R10))&amp;IF(S10="",""," | "&amp;HOUR(INDEX(MATCHER!$C$5:$C$504,S10))&amp;":"&amp;IF(MINUTE(INDEX(MATCHER!$C$5:$C$504,S10))&lt;10,"0","")&amp;MINUTE(INDEX(MATCHER!$C$5:$C$504,S10))&amp;" "&amp;INDEX(MATCHER!$H$5:$H$504,S10)&amp;" – "&amp;INDEX(MATCHER!$I$5:$I$504,S10))&amp;IF(T10="",""," | "&amp;HOUR(INDEX(MATCHER!$C$5:$C$504,T10))&amp;":"&amp;IF(MINUTE(INDEX(MATCHER!$C$5:$C$504,T10))&lt;10,"0","")&amp;MINUTE(INDEX(MATCHER!$C$5:$C$504,T10))&amp;" "&amp;INDEX(MATCHER!$H$5:$H$504,T10)&amp;" – "&amp;INDEX(MATCHER!$I$5:$I$504,T10))&amp;IF(AF10="",""," | "&amp;HOUR(INDEX(MATCHER!$C$5:$C$504,AF10))&amp;":"&amp;IF(MINUTE(INDEX(MATCHER!$C$5:$C$504,AF10))&lt;10,"0","")&amp;MINUTE(INDEX(MATCHER!$C$5:$C$504,AF10))&amp;" "&amp;INDEX(MATCHER!$H$5:$H$504,AF10)&amp;" – "&amp;INDEX(MATCHER!$I$5:$I$504,AF10))</f>
        <v/>
      </c>
      <c r="G10" s="45" t="str">
        <f>MID(IF(R10="","",IF(OR(INDEX(MATCHER!$J$5:$J$504,R10)=""),""," / "&amp;INDEX(MATCHER!$J$5:$J$504,R10)))&amp;IF(S10="","",IF(OR(INDEX(MATCHER!$J$5:$J$504,S10)="",INDEX(MATCHER!$J$5:$J$504,S10)=IFERROR(INDEX(MATCHER!$J$5:$J$504,R10),"")),""," / "&amp;INDEX(MATCHER!$J$5:$J$504,S10)))&amp;IF(T10="","",IF(OR(INDEX(MATCHER!$J$5:$J$504,T10)="",INDEX(MATCHER!$J$5:$J$504,T10)=IFERROR(INDEX(MATCHER!$J$5:$J$504,R10),""),INDEX(MATCHER!$J$5:$J$504,T10)=IFERROR(INDEX(MATCHER!$J$5:$J$504,S10),"")),""," / "&amp;INDEX(MATCHER!$J$5:$J$504,T10)))&amp;IF(AF10="","",IF(OR(INDEX(MATCHER!$J$5:$J$504,AF10)="",INDEX(MATCHER!$J$5:$J$504,AF10)=IFERROR(INDEX(MATCHER!$J$5:$J$504,R10),""),INDEX(MATCHER!$J$5:$J$504,AF10)=IFERROR(INDEX(MATCHER!$J$5:$J$504,S10),""),INDEX(MATCHER!$J$5:$J$504,AF10)=IFERROR(INDEX(MATCHER!$J$5:$J$504,T10),"")),""," / "&amp;INDEX(MATCHER!$J$5:$J$504,AF10))),4,1000)</f>
        <v/>
      </c>
      <c r="H10" s="45" t="str">
        <f t="shared" si="7"/>
        <v>F19</v>
      </c>
      <c r="I10" s="46" t="s">
        <v>90</v>
      </c>
      <c r="J10" s="47" t="s">
        <v>105</v>
      </c>
      <c r="K10" s="48"/>
      <c r="L10" s="49"/>
      <c r="M10" s="50" t="str">
        <f>IF(O10&lt;&gt;O9,MAX(1,MIN(AA10,ROUNDUP(SUMPRODUCT(($O$5:$O$546=O10)*($I$5:$I$546="Ja")*($E$5:$E$546-$D$5:$D$546))*24/REGLER!$B$8,0))),"")</f>
        <v/>
      </c>
      <c r="N10" s="50" t="str">
        <f t="shared" si="0"/>
        <v>Klar</v>
      </c>
      <c r="O10" s="15" t="s">
        <v>89</v>
      </c>
      <c r="P10" s="16">
        <v>0.5</v>
      </c>
      <c r="Q10" s="16">
        <v>0.84375</v>
      </c>
      <c r="R10" s="15" t="str">
        <f>IFERROR(MATCH(1,INDEX((MATCHER!$B$5:$B$504=A10)*(MATCHER!$D$5:$D$504=C10)*(MATCHER!$K$5:$K$504="Ja")*(MATCHER!$C$5:$C$504&lt;E10)*(MATCHER!$M$5:$M$504&gt;D10),0),0),"")</f>
        <v/>
      </c>
      <c r="S10" s="15" t="str">
        <f>IF(R10="","",IFERROR(MATCH(1,INDEX((MATCHER!$B$5:$B$504=A10)*(MATCHER!$D$5:$D$504=C10)*(MATCHER!$K$5:$K$504="Ja")*(MATCHER!$C$5:$C$504&lt;E10)*(MATCHER!$M$5:$M$504&gt;D10)*(ROW(MATCHER!$A$5:$A$504)-ROW(MATCHER!$A$5)+1&gt;R10),0),0),""))</f>
        <v/>
      </c>
      <c r="T10" s="15" t="str">
        <f>IF(S10="","",IFERROR(MATCH(1,INDEX((MATCHER!$B$5:$B$504=A10)*(MATCHER!$D$5:$D$504=C10)*(MATCHER!$K$5:$K$504="Ja")*(MATCHER!$C$5:$C$504&lt;E10)*(MATCHER!$M$5:$M$504&gt;D10)*(ROW(MATCHER!$A$5:$A$504)-ROW(MATCHER!$A$5)+1&gt;S10),0),0),""))</f>
        <v/>
      </c>
      <c r="U10" s="15">
        <f t="shared" si="1"/>
        <v>0</v>
      </c>
      <c r="V10" s="15">
        <f>IF(OR(I10&lt;&gt;"Ja",J10=""),"",COUNTIFS($O$5:O10,O10,$U$5:U10,1))</f>
        <v>1</v>
      </c>
      <c r="W10" s="15" t="str">
        <f t="shared" si="2"/>
        <v>2026-09-19 | Ulriksdalshallen|1</v>
      </c>
      <c r="X10" s="16" t="str">
        <f t="shared" si="3"/>
        <v/>
      </c>
      <c r="Y10" s="15">
        <f>IF(OR(I10&lt;&gt;"Ja",J10=""),0,IF(COUNTIFS($O$5:O10,O10,$I$5:I10,"Ja",$J$5:J10,"&lt;&gt;")=1,1,0))</f>
        <v>0</v>
      </c>
      <c r="Z10" s="15">
        <f>IF(OR(I10&lt;&gt;"Ja",J10=""),0,IF(COUNTIFS(O10:$O$546,O10,I10:$I$546,"Ja",J10:$J$546,"&lt;&gt;")=1,1,0))</f>
        <v>0</v>
      </c>
      <c r="AA10" s="15">
        <f t="shared" si="8"/>
        <v>1</v>
      </c>
      <c r="AB10" s="15" t="str">
        <f>IF(U10&lt;&gt;1,"",COUNTIF($U$5:U10,1))</f>
        <v/>
      </c>
      <c r="AC10" s="15" t="str">
        <f t="shared" si="4"/>
        <v/>
      </c>
      <c r="AD10" s="15" t="str">
        <f t="shared" si="5"/>
        <v>Vanligt café</v>
      </c>
      <c r="AE10" s="15" t="str">
        <f t="shared" si="6"/>
        <v/>
      </c>
      <c r="AF10" t="str">
        <f>IF(T10="","",IFERROR(MATCH(1,INDEX((MATCHER!$B$5:$B$504=A10)*(MATCHER!$D$5:$D$504=C10)*(MATCHER!$K$5:$K$504="Ja")*(MATCHER!$C$5:$C$504&lt;E10)*(MATCHER!$M$5:$M$504&gt;D10)*(ROW(MATCHER!$A$5:$A$504)-ROW(MATCHER!$A$5)+1&gt;T10),0),0),""))</f>
        <v/>
      </c>
    </row>
    <row r="11" spans="1:32" ht="26">
      <c r="A11" s="42">
        <v>46284</v>
      </c>
      <c r="B11" s="43" t="s">
        <v>85</v>
      </c>
      <c r="C11" s="43" t="s">
        <v>86</v>
      </c>
      <c r="D11" s="44">
        <v>0.625</v>
      </c>
      <c r="E11" s="44">
        <v>0.64583333333333304</v>
      </c>
      <c r="F11" s="45" t="str">
        <f>IF(R11="","",HOUR(INDEX(MATCHER!$C$5:$C$504,R11))&amp;":"&amp;IF(MINUTE(INDEX(MATCHER!$C$5:$C$504,R11))&lt;10,"0","")&amp;MINUTE(INDEX(MATCHER!$C$5:$C$504,R11))&amp;" "&amp;INDEX(MATCHER!$H$5:$H$504,R11)&amp;" – "&amp;INDEX(MATCHER!$I$5:$I$504,R11))&amp;IF(S11="",""," | "&amp;HOUR(INDEX(MATCHER!$C$5:$C$504,S11))&amp;":"&amp;IF(MINUTE(INDEX(MATCHER!$C$5:$C$504,S11))&lt;10,"0","")&amp;MINUTE(INDEX(MATCHER!$C$5:$C$504,S11))&amp;" "&amp;INDEX(MATCHER!$H$5:$H$504,S11)&amp;" – "&amp;INDEX(MATCHER!$I$5:$I$504,S11))&amp;IF(T11="",""," | "&amp;HOUR(INDEX(MATCHER!$C$5:$C$504,T11))&amp;":"&amp;IF(MINUTE(INDEX(MATCHER!$C$5:$C$504,T11))&lt;10,"0","")&amp;MINUTE(INDEX(MATCHER!$C$5:$C$504,T11))&amp;" "&amp;INDEX(MATCHER!$H$5:$H$504,T11)&amp;" – "&amp;INDEX(MATCHER!$I$5:$I$504,T11))&amp;IF(AF11="",""," | "&amp;HOUR(INDEX(MATCHER!$C$5:$C$504,AF11))&amp;":"&amp;IF(MINUTE(INDEX(MATCHER!$C$5:$C$504,AF11))&lt;10,"0","")&amp;MINUTE(INDEX(MATCHER!$C$5:$C$504,AF11))&amp;" "&amp;INDEX(MATCHER!$H$5:$H$504,AF11)&amp;" – "&amp;INDEX(MATCHER!$I$5:$I$504,AF11))</f>
        <v>15:00 AIK – Eslövs HK</v>
      </c>
      <c r="G11" s="45" t="str">
        <f>MID(IF(R11="","",IF(OR(INDEX(MATCHER!$J$5:$J$504,R11)=""),""," / "&amp;INDEX(MATCHER!$J$5:$J$504,R11)))&amp;IF(S11="","",IF(OR(INDEX(MATCHER!$J$5:$J$504,S11)="",INDEX(MATCHER!$J$5:$J$504,S11)=IFERROR(INDEX(MATCHER!$J$5:$J$504,R11),"")),""," / "&amp;INDEX(MATCHER!$J$5:$J$504,S11)))&amp;IF(T11="","",IF(OR(INDEX(MATCHER!$J$5:$J$504,T11)="",INDEX(MATCHER!$J$5:$J$504,T11)=IFERROR(INDEX(MATCHER!$J$5:$J$504,R11),""),INDEX(MATCHER!$J$5:$J$504,T11)=IFERROR(INDEX(MATCHER!$J$5:$J$504,S11),"")),""," / "&amp;INDEX(MATCHER!$J$5:$J$504,T11)))&amp;IF(AF11="","",IF(OR(INDEX(MATCHER!$J$5:$J$504,AF11)="",INDEX(MATCHER!$J$5:$J$504,AF11)=IFERROR(INDEX(MATCHER!$J$5:$J$504,R11),""),INDEX(MATCHER!$J$5:$J$504,AF11)=IFERROR(INDEX(MATCHER!$J$5:$J$504,S11),""),INDEX(MATCHER!$J$5:$J$504,AF11)=IFERROR(INDEX(MATCHER!$J$5:$J$504,T11),"")),""," / "&amp;INDEX(MATCHER!$J$5:$J$504,AF11))),4,1000)</f>
        <v>F19</v>
      </c>
      <c r="H11" s="45" t="str">
        <f t="shared" si="7"/>
        <v>F19</v>
      </c>
      <c r="I11" s="46" t="s">
        <v>90</v>
      </c>
      <c r="J11" s="47" t="s">
        <v>105</v>
      </c>
      <c r="K11" s="48"/>
      <c r="L11" s="49"/>
      <c r="M11" s="50" t="str">
        <f>IF(O11&lt;&gt;O10,MAX(1,MIN(AA11,ROUNDUP(SUMPRODUCT(($O$5:$O$546=O11)*($I$5:$I$546="Ja")*($E$5:$E$546-$D$5:$D$546))*24/REGLER!$B$8,0))),"")</f>
        <v/>
      </c>
      <c r="N11" s="50" t="str">
        <f t="shared" si="0"/>
        <v>Klar</v>
      </c>
      <c r="O11" s="15" t="s">
        <v>89</v>
      </c>
      <c r="P11" s="16">
        <v>0.5</v>
      </c>
      <c r="Q11" s="16">
        <v>0.84375</v>
      </c>
      <c r="R11" s="15">
        <f>IFERROR(MATCH(1,INDEX((MATCHER!$B$5:$B$504=A11)*(MATCHER!$D$5:$D$504=C11)*(MATCHER!$K$5:$K$504="Ja")*(MATCHER!$C$5:$C$504&lt;E11)*(MATCHER!$M$5:$M$504&gt;D11),0),0),"")</f>
        <v>1</v>
      </c>
      <c r="S11" s="15" t="str">
        <f>IF(R11="","",IFERROR(MATCH(1,INDEX((MATCHER!$B$5:$B$504=A11)*(MATCHER!$D$5:$D$504=C11)*(MATCHER!$K$5:$K$504="Ja")*(MATCHER!$C$5:$C$504&lt;E11)*(MATCHER!$M$5:$M$504&gt;D11)*(ROW(MATCHER!$A$5:$A$504)-ROW(MATCHER!$A$5)+1&gt;R11),0),0),""))</f>
        <v/>
      </c>
      <c r="T11" s="15" t="str">
        <f>IF(S11="","",IFERROR(MATCH(1,INDEX((MATCHER!$B$5:$B$504=A11)*(MATCHER!$D$5:$D$504=C11)*(MATCHER!$K$5:$K$504="Ja")*(MATCHER!$C$5:$C$504&lt;E11)*(MATCHER!$M$5:$M$504&gt;D11)*(ROW(MATCHER!$A$5:$A$504)-ROW(MATCHER!$A$5)+1&gt;S11),0),0),""))</f>
        <v/>
      </c>
      <c r="U11" s="15">
        <f t="shared" si="1"/>
        <v>0</v>
      </c>
      <c r="V11" s="15">
        <f>IF(OR(I11&lt;&gt;"Ja",J11=""),"",COUNTIFS($O$5:O11,O11,$U$5:U11,1))</f>
        <v>1</v>
      </c>
      <c r="W11" s="15" t="str">
        <f t="shared" si="2"/>
        <v>2026-09-19 | Ulriksdalshallen|1</v>
      </c>
      <c r="X11" s="16" t="str">
        <f t="shared" si="3"/>
        <v/>
      </c>
      <c r="Y11" s="15">
        <f>IF(OR(I11&lt;&gt;"Ja",J11=""),0,IF(COUNTIFS($O$5:O11,O11,$I$5:I11,"Ja",$J$5:J11,"&lt;&gt;")=1,1,0))</f>
        <v>0</v>
      </c>
      <c r="Z11" s="15">
        <f>IF(OR(I11&lt;&gt;"Ja",J11=""),0,IF(COUNTIFS(O11:$O$546,O11,I11:$I$546,"Ja",J11:$J$546,"&lt;&gt;")=1,1,0))</f>
        <v>0</v>
      </c>
      <c r="AA11" s="15">
        <f t="shared" si="8"/>
        <v>1</v>
      </c>
      <c r="AB11" s="15" t="str">
        <f>IF(U11&lt;&gt;1,"",COUNTIF($U$5:U11,1))</f>
        <v/>
      </c>
      <c r="AC11" s="15" t="str">
        <f t="shared" si="4"/>
        <v/>
      </c>
      <c r="AD11" s="15" t="str">
        <f t="shared" si="5"/>
        <v>Vanligt café</v>
      </c>
      <c r="AE11" s="15" t="str">
        <f t="shared" si="6"/>
        <v/>
      </c>
      <c r="AF11" t="str">
        <f>IF(T11="","",IFERROR(MATCH(1,INDEX((MATCHER!$B$5:$B$504=A11)*(MATCHER!$D$5:$D$504=C11)*(MATCHER!$K$5:$K$504="Ja")*(MATCHER!$C$5:$C$504&lt;E11)*(MATCHER!$M$5:$M$504&gt;D11)*(ROW(MATCHER!$A$5:$A$504)-ROW(MATCHER!$A$5)+1&gt;T11),0),0),""))</f>
        <v/>
      </c>
    </row>
    <row r="12" spans="1:32" ht="26">
      <c r="A12" s="42">
        <v>46284</v>
      </c>
      <c r="B12" s="43" t="s">
        <v>85</v>
      </c>
      <c r="C12" s="43" t="s">
        <v>86</v>
      </c>
      <c r="D12" s="44">
        <v>0.64583333333333304</v>
      </c>
      <c r="E12" s="44">
        <v>0.66666666666666696</v>
      </c>
      <c r="F12" s="45" t="str">
        <f>IF(R12="","",HOUR(INDEX(MATCHER!$C$5:$C$504,R12))&amp;":"&amp;IF(MINUTE(INDEX(MATCHER!$C$5:$C$504,R12))&lt;10,"0","")&amp;MINUTE(INDEX(MATCHER!$C$5:$C$504,R12))&amp;" "&amp;INDEX(MATCHER!$H$5:$H$504,R12)&amp;" – "&amp;INDEX(MATCHER!$I$5:$I$504,R12))&amp;IF(S12="",""," | "&amp;HOUR(INDEX(MATCHER!$C$5:$C$504,S12))&amp;":"&amp;IF(MINUTE(INDEX(MATCHER!$C$5:$C$504,S12))&lt;10,"0","")&amp;MINUTE(INDEX(MATCHER!$C$5:$C$504,S12))&amp;" "&amp;INDEX(MATCHER!$H$5:$H$504,S12)&amp;" – "&amp;INDEX(MATCHER!$I$5:$I$504,S12))&amp;IF(T12="",""," | "&amp;HOUR(INDEX(MATCHER!$C$5:$C$504,T12))&amp;":"&amp;IF(MINUTE(INDEX(MATCHER!$C$5:$C$504,T12))&lt;10,"0","")&amp;MINUTE(INDEX(MATCHER!$C$5:$C$504,T12))&amp;" "&amp;INDEX(MATCHER!$H$5:$H$504,T12)&amp;" – "&amp;INDEX(MATCHER!$I$5:$I$504,T12))&amp;IF(AF12="",""," | "&amp;HOUR(INDEX(MATCHER!$C$5:$C$504,AF12))&amp;":"&amp;IF(MINUTE(INDEX(MATCHER!$C$5:$C$504,AF12))&lt;10,"0","")&amp;MINUTE(INDEX(MATCHER!$C$5:$C$504,AF12))&amp;" "&amp;INDEX(MATCHER!$H$5:$H$504,AF12)&amp;" – "&amp;INDEX(MATCHER!$I$5:$I$504,AF12))</f>
        <v>15:00 AIK – Eslövs HK</v>
      </c>
      <c r="G12" s="45" t="str">
        <f>MID(IF(R12="","",IF(OR(INDEX(MATCHER!$J$5:$J$504,R12)=""),""," / "&amp;INDEX(MATCHER!$J$5:$J$504,R12)))&amp;IF(S12="","",IF(OR(INDEX(MATCHER!$J$5:$J$504,S12)="",INDEX(MATCHER!$J$5:$J$504,S12)=IFERROR(INDEX(MATCHER!$J$5:$J$504,R12),"")),""," / "&amp;INDEX(MATCHER!$J$5:$J$504,S12)))&amp;IF(T12="","",IF(OR(INDEX(MATCHER!$J$5:$J$504,T12)="",INDEX(MATCHER!$J$5:$J$504,T12)=IFERROR(INDEX(MATCHER!$J$5:$J$504,R12),""),INDEX(MATCHER!$J$5:$J$504,T12)=IFERROR(INDEX(MATCHER!$J$5:$J$504,S12),"")),""," / "&amp;INDEX(MATCHER!$J$5:$J$504,T12)))&amp;IF(AF12="","",IF(OR(INDEX(MATCHER!$J$5:$J$504,AF12)="",INDEX(MATCHER!$J$5:$J$504,AF12)=IFERROR(INDEX(MATCHER!$J$5:$J$504,R12),""),INDEX(MATCHER!$J$5:$J$504,AF12)=IFERROR(INDEX(MATCHER!$J$5:$J$504,S12),""),INDEX(MATCHER!$J$5:$J$504,AF12)=IFERROR(INDEX(MATCHER!$J$5:$J$504,T12),"")),""," / "&amp;INDEX(MATCHER!$J$5:$J$504,AF12))),4,1000)</f>
        <v>F19</v>
      </c>
      <c r="H12" s="45" t="str">
        <f t="shared" si="7"/>
        <v>F19</v>
      </c>
      <c r="I12" s="46" t="s">
        <v>90</v>
      </c>
      <c r="J12" s="47" t="s">
        <v>105</v>
      </c>
      <c r="K12" s="48"/>
      <c r="L12" s="49"/>
      <c r="M12" s="50" t="str">
        <f>IF(O12&lt;&gt;O11,MAX(1,MIN(AA12,ROUNDUP(SUMPRODUCT(($O$5:$O$546=O12)*($I$5:$I$546="Ja")*($E$5:$E$546-$D$5:$D$546))*24/REGLER!$B$8,0))),"")</f>
        <v/>
      </c>
      <c r="N12" s="50" t="str">
        <f t="shared" si="0"/>
        <v>Klar</v>
      </c>
      <c r="O12" s="15" t="s">
        <v>89</v>
      </c>
      <c r="P12" s="16">
        <v>0.5</v>
      </c>
      <c r="Q12" s="16">
        <v>0.84375</v>
      </c>
      <c r="R12" s="15">
        <f>IFERROR(MATCH(1,INDEX((MATCHER!$B$5:$B$504=A12)*(MATCHER!$D$5:$D$504=C12)*(MATCHER!$K$5:$K$504="Ja")*(MATCHER!$C$5:$C$504&lt;E12)*(MATCHER!$M$5:$M$504&gt;D12),0),0),"")</f>
        <v>1</v>
      </c>
      <c r="S12" s="15" t="str">
        <f>IF(R12="","",IFERROR(MATCH(1,INDEX((MATCHER!$B$5:$B$504=A12)*(MATCHER!$D$5:$D$504=C12)*(MATCHER!$K$5:$K$504="Ja")*(MATCHER!$C$5:$C$504&lt;E12)*(MATCHER!$M$5:$M$504&gt;D12)*(ROW(MATCHER!$A$5:$A$504)-ROW(MATCHER!$A$5)+1&gt;R12),0),0),""))</f>
        <v/>
      </c>
      <c r="T12" s="15" t="str">
        <f>IF(S12="","",IFERROR(MATCH(1,INDEX((MATCHER!$B$5:$B$504=A12)*(MATCHER!$D$5:$D$504=C12)*(MATCHER!$K$5:$K$504="Ja")*(MATCHER!$C$5:$C$504&lt;E12)*(MATCHER!$M$5:$M$504&gt;D12)*(ROW(MATCHER!$A$5:$A$504)-ROW(MATCHER!$A$5)+1&gt;S12),0),0),""))</f>
        <v/>
      </c>
      <c r="U12" s="15">
        <f t="shared" si="1"/>
        <v>0</v>
      </c>
      <c r="V12" s="15">
        <f>IF(OR(I12&lt;&gt;"Ja",J12=""),"",COUNTIFS($O$5:O12,O12,$U$5:U12,1))</f>
        <v>1</v>
      </c>
      <c r="W12" s="15" t="str">
        <f t="shared" si="2"/>
        <v>2026-09-19 | Ulriksdalshallen|1</v>
      </c>
      <c r="X12" s="16" t="str">
        <f t="shared" si="3"/>
        <v/>
      </c>
      <c r="Y12" s="15">
        <f>IF(OR(I12&lt;&gt;"Ja",J12=""),0,IF(COUNTIFS($O$5:O12,O12,$I$5:I12,"Ja",$J$5:J12,"&lt;&gt;")=1,1,0))</f>
        <v>0</v>
      </c>
      <c r="Z12" s="15">
        <f>IF(OR(I12&lt;&gt;"Ja",J12=""),0,IF(COUNTIFS(O12:$O$546,O12,I12:$I$546,"Ja",J12:$J$546,"&lt;&gt;")=1,1,0))</f>
        <v>0</v>
      </c>
      <c r="AA12" s="15">
        <f t="shared" si="8"/>
        <v>1</v>
      </c>
      <c r="AB12" s="15" t="str">
        <f>IF(U12&lt;&gt;1,"",COUNTIF($U$5:U12,1))</f>
        <v/>
      </c>
      <c r="AC12" s="15" t="str">
        <f t="shared" si="4"/>
        <v/>
      </c>
      <c r="AD12" s="15" t="str">
        <f t="shared" si="5"/>
        <v>Vanligt café</v>
      </c>
      <c r="AE12" s="15" t="str">
        <f t="shared" si="6"/>
        <v/>
      </c>
      <c r="AF12" t="str">
        <f>IF(T12="","",IFERROR(MATCH(1,INDEX((MATCHER!$B$5:$B$504=A12)*(MATCHER!$D$5:$D$504=C12)*(MATCHER!$K$5:$K$504="Ja")*(MATCHER!$C$5:$C$504&lt;E12)*(MATCHER!$M$5:$M$504&gt;D12)*(ROW(MATCHER!$A$5:$A$504)-ROW(MATCHER!$A$5)+1&gt;T12),0),0),""))</f>
        <v/>
      </c>
    </row>
    <row r="13" spans="1:32" ht="26">
      <c r="A13" s="42">
        <v>46284</v>
      </c>
      <c r="B13" s="43" t="s">
        <v>85</v>
      </c>
      <c r="C13" s="43" t="s">
        <v>86</v>
      </c>
      <c r="D13" s="44">
        <v>0.66666666666666696</v>
      </c>
      <c r="E13" s="44">
        <v>0.6875</v>
      </c>
      <c r="F13" s="45" t="str">
        <f>IF(R13="","",HOUR(INDEX(MATCHER!$C$5:$C$504,R13))&amp;":"&amp;IF(MINUTE(INDEX(MATCHER!$C$5:$C$504,R13))&lt;10,"0","")&amp;MINUTE(INDEX(MATCHER!$C$5:$C$504,R13))&amp;" "&amp;INDEX(MATCHER!$H$5:$H$504,R13)&amp;" – "&amp;INDEX(MATCHER!$I$5:$I$504,R13))&amp;IF(S13="",""," | "&amp;HOUR(INDEX(MATCHER!$C$5:$C$504,S13))&amp;":"&amp;IF(MINUTE(INDEX(MATCHER!$C$5:$C$504,S13))&lt;10,"0","")&amp;MINUTE(INDEX(MATCHER!$C$5:$C$504,S13))&amp;" "&amp;INDEX(MATCHER!$H$5:$H$504,S13)&amp;" – "&amp;INDEX(MATCHER!$I$5:$I$504,S13))&amp;IF(T13="",""," | "&amp;HOUR(INDEX(MATCHER!$C$5:$C$504,T13))&amp;":"&amp;IF(MINUTE(INDEX(MATCHER!$C$5:$C$504,T13))&lt;10,"0","")&amp;MINUTE(INDEX(MATCHER!$C$5:$C$504,T13))&amp;" "&amp;INDEX(MATCHER!$H$5:$H$504,T13)&amp;" – "&amp;INDEX(MATCHER!$I$5:$I$504,T13))&amp;IF(AF13="",""," | "&amp;HOUR(INDEX(MATCHER!$C$5:$C$504,AF13))&amp;":"&amp;IF(MINUTE(INDEX(MATCHER!$C$5:$C$504,AF13))&lt;10,"0","")&amp;MINUTE(INDEX(MATCHER!$C$5:$C$504,AF13))&amp;" "&amp;INDEX(MATCHER!$H$5:$H$504,AF13)&amp;" – "&amp;INDEX(MATCHER!$I$5:$I$504,AF13))</f>
        <v/>
      </c>
      <c r="G13" s="45" t="str">
        <f>MID(IF(R13="","",IF(OR(INDEX(MATCHER!$J$5:$J$504,R13)=""),""," / "&amp;INDEX(MATCHER!$J$5:$J$504,R13)))&amp;IF(S13="","",IF(OR(INDEX(MATCHER!$J$5:$J$504,S13)="",INDEX(MATCHER!$J$5:$J$504,S13)=IFERROR(INDEX(MATCHER!$J$5:$J$504,R13),"")),""," / "&amp;INDEX(MATCHER!$J$5:$J$504,S13)))&amp;IF(T13="","",IF(OR(INDEX(MATCHER!$J$5:$J$504,T13)="",INDEX(MATCHER!$J$5:$J$504,T13)=IFERROR(INDEX(MATCHER!$J$5:$J$504,R13),""),INDEX(MATCHER!$J$5:$J$504,T13)=IFERROR(INDEX(MATCHER!$J$5:$J$504,S13),"")),""," / "&amp;INDEX(MATCHER!$J$5:$J$504,T13)))&amp;IF(AF13="","",IF(OR(INDEX(MATCHER!$J$5:$J$504,AF13)="",INDEX(MATCHER!$J$5:$J$504,AF13)=IFERROR(INDEX(MATCHER!$J$5:$J$504,R13),""),INDEX(MATCHER!$J$5:$J$504,AF13)=IFERROR(INDEX(MATCHER!$J$5:$J$504,S13),""),INDEX(MATCHER!$J$5:$J$504,AF13)=IFERROR(INDEX(MATCHER!$J$5:$J$504,T13),"")),""," / "&amp;INDEX(MATCHER!$J$5:$J$504,AF13))),4,1000)</f>
        <v/>
      </c>
      <c r="H13" s="45" t="str">
        <f t="shared" si="7"/>
        <v>F19</v>
      </c>
      <c r="I13" s="46" t="s">
        <v>90</v>
      </c>
      <c r="J13" s="47" t="s">
        <v>105</v>
      </c>
      <c r="K13" s="48"/>
      <c r="L13" s="49"/>
      <c r="M13" s="50" t="str">
        <f>IF(O13&lt;&gt;O12,MAX(1,MIN(AA13,ROUNDUP(SUMPRODUCT(($O$5:$O$546=O13)*($I$5:$I$546="Ja")*($E$5:$E$546-$D$5:$D$546))*24/REGLER!$B$8,0))),"")</f>
        <v/>
      </c>
      <c r="N13" s="50" t="str">
        <f t="shared" si="0"/>
        <v>Klar</v>
      </c>
      <c r="O13" s="15" t="s">
        <v>89</v>
      </c>
      <c r="P13" s="16">
        <v>0.5</v>
      </c>
      <c r="Q13" s="16">
        <v>0.84375</v>
      </c>
      <c r="R13" s="15" t="str">
        <f>IFERROR(MATCH(1,INDEX((MATCHER!$B$5:$B$504=A13)*(MATCHER!$D$5:$D$504=C13)*(MATCHER!$K$5:$K$504="Ja")*(MATCHER!$C$5:$C$504&lt;E13)*(MATCHER!$M$5:$M$504&gt;D13),0),0),"")</f>
        <v/>
      </c>
      <c r="S13" s="15" t="str">
        <f>IF(R13="","",IFERROR(MATCH(1,INDEX((MATCHER!$B$5:$B$504=A13)*(MATCHER!$D$5:$D$504=C13)*(MATCHER!$K$5:$K$504="Ja")*(MATCHER!$C$5:$C$504&lt;E13)*(MATCHER!$M$5:$M$504&gt;D13)*(ROW(MATCHER!$A$5:$A$504)-ROW(MATCHER!$A$5)+1&gt;R13),0),0),""))</f>
        <v/>
      </c>
      <c r="T13" s="15" t="str">
        <f>IF(S13="","",IFERROR(MATCH(1,INDEX((MATCHER!$B$5:$B$504=A13)*(MATCHER!$D$5:$D$504=C13)*(MATCHER!$K$5:$K$504="Ja")*(MATCHER!$C$5:$C$504&lt;E13)*(MATCHER!$M$5:$M$504&gt;D13)*(ROW(MATCHER!$A$5:$A$504)-ROW(MATCHER!$A$5)+1&gt;S13),0),0),""))</f>
        <v/>
      </c>
      <c r="U13" s="15">
        <f t="shared" si="1"/>
        <v>0</v>
      </c>
      <c r="V13" s="15">
        <f>IF(OR(I13&lt;&gt;"Ja",J13=""),"",COUNTIFS($O$5:O13,O13,$U$5:U13,1))</f>
        <v>1</v>
      </c>
      <c r="W13" s="15" t="str">
        <f t="shared" si="2"/>
        <v>2026-09-19 | Ulriksdalshallen|1</v>
      </c>
      <c r="X13" s="16" t="str">
        <f t="shared" si="3"/>
        <v/>
      </c>
      <c r="Y13" s="15">
        <f>IF(OR(I13&lt;&gt;"Ja",J13=""),0,IF(COUNTIFS($O$5:O13,O13,$I$5:I13,"Ja",$J$5:J13,"&lt;&gt;")=1,1,0))</f>
        <v>0</v>
      </c>
      <c r="Z13" s="15">
        <f>IF(OR(I13&lt;&gt;"Ja",J13=""),0,IF(COUNTIFS(O13:$O$546,O13,I13:$I$546,"Ja",J13:$J$546,"&lt;&gt;")=1,1,0))</f>
        <v>0</v>
      </c>
      <c r="AA13" s="15">
        <f t="shared" si="8"/>
        <v>1</v>
      </c>
      <c r="AB13" s="15" t="str">
        <f>IF(U13&lt;&gt;1,"",COUNTIF($U$5:U13,1))</f>
        <v/>
      </c>
      <c r="AC13" s="15" t="str">
        <f t="shared" si="4"/>
        <v/>
      </c>
      <c r="AD13" s="15" t="str">
        <f t="shared" si="5"/>
        <v>Vanligt café</v>
      </c>
      <c r="AE13" s="15" t="str">
        <f t="shared" si="6"/>
        <v/>
      </c>
      <c r="AF13" t="str">
        <f>IF(T13="","",IFERROR(MATCH(1,INDEX((MATCHER!$B$5:$B$504=A13)*(MATCHER!$D$5:$D$504=C13)*(MATCHER!$K$5:$K$504="Ja")*(MATCHER!$C$5:$C$504&lt;E13)*(MATCHER!$M$5:$M$504&gt;D13)*(ROW(MATCHER!$A$5:$A$504)-ROW(MATCHER!$A$5)+1&gt;T13),0),0),""))</f>
        <v/>
      </c>
    </row>
    <row r="14" spans="1:32" ht="26">
      <c r="A14" s="42">
        <v>46284</v>
      </c>
      <c r="B14" s="43" t="s">
        <v>85</v>
      </c>
      <c r="C14" s="43" t="s">
        <v>86</v>
      </c>
      <c r="D14" s="44">
        <v>0.6875</v>
      </c>
      <c r="E14" s="44">
        <v>0.70833333333333304</v>
      </c>
      <c r="F14" s="45" t="str">
        <f>IF(R14="","",HOUR(INDEX(MATCHER!$C$5:$C$504,R14))&amp;":"&amp;IF(MINUTE(INDEX(MATCHER!$C$5:$C$504,R14))&lt;10,"0","")&amp;MINUTE(INDEX(MATCHER!$C$5:$C$504,R14))&amp;" "&amp;INDEX(MATCHER!$H$5:$H$504,R14)&amp;" – "&amp;INDEX(MATCHER!$I$5:$I$504,R14))&amp;IF(S14="",""," | "&amp;HOUR(INDEX(MATCHER!$C$5:$C$504,S14))&amp;":"&amp;IF(MINUTE(INDEX(MATCHER!$C$5:$C$504,S14))&lt;10,"0","")&amp;MINUTE(INDEX(MATCHER!$C$5:$C$504,S14))&amp;" "&amp;INDEX(MATCHER!$H$5:$H$504,S14)&amp;" – "&amp;INDEX(MATCHER!$I$5:$I$504,S14))&amp;IF(T14="",""," | "&amp;HOUR(INDEX(MATCHER!$C$5:$C$504,T14))&amp;":"&amp;IF(MINUTE(INDEX(MATCHER!$C$5:$C$504,T14))&lt;10,"0","")&amp;MINUTE(INDEX(MATCHER!$C$5:$C$504,T14))&amp;" "&amp;INDEX(MATCHER!$H$5:$H$504,T14)&amp;" – "&amp;INDEX(MATCHER!$I$5:$I$504,T14))&amp;IF(AF14="",""," | "&amp;HOUR(INDEX(MATCHER!$C$5:$C$504,AF14))&amp;":"&amp;IF(MINUTE(INDEX(MATCHER!$C$5:$C$504,AF14))&lt;10,"0","")&amp;MINUTE(INDEX(MATCHER!$C$5:$C$504,AF14))&amp;" "&amp;INDEX(MATCHER!$H$5:$H$504,AF14)&amp;" – "&amp;INDEX(MATCHER!$I$5:$I$504,AF14))</f>
        <v>16:30 HK Aranäs – Kiruna HK</v>
      </c>
      <c r="G14" s="45" t="str">
        <f>MID(IF(R14="","",IF(OR(INDEX(MATCHER!$J$5:$J$504,R14)=""),""," / "&amp;INDEX(MATCHER!$J$5:$J$504,R14)))&amp;IF(S14="","",IF(OR(INDEX(MATCHER!$J$5:$J$504,S14)="",INDEX(MATCHER!$J$5:$J$504,S14)=IFERROR(INDEX(MATCHER!$J$5:$J$504,R14),"")),""," / "&amp;INDEX(MATCHER!$J$5:$J$504,S14)))&amp;IF(T14="","",IF(OR(INDEX(MATCHER!$J$5:$J$504,T14)="",INDEX(MATCHER!$J$5:$J$504,T14)=IFERROR(INDEX(MATCHER!$J$5:$J$504,R14),""),INDEX(MATCHER!$J$5:$J$504,T14)=IFERROR(INDEX(MATCHER!$J$5:$J$504,S14),"")),""," / "&amp;INDEX(MATCHER!$J$5:$J$504,T14)))&amp;IF(AF14="","",IF(OR(INDEX(MATCHER!$J$5:$J$504,AF14)="",INDEX(MATCHER!$J$5:$J$504,AF14)=IFERROR(INDEX(MATCHER!$J$5:$J$504,R14),""),INDEX(MATCHER!$J$5:$J$504,AF14)=IFERROR(INDEX(MATCHER!$J$5:$J$504,S14),""),INDEX(MATCHER!$J$5:$J$504,AF14)=IFERROR(INDEX(MATCHER!$J$5:$J$504,T14),"")),""," / "&amp;INDEX(MATCHER!$J$5:$J$504,AF14))),4,1000)</f>
        <v/>
      </c>
      <c r="H14" s="45" t="str">
        <f t="shared" si="7"/>
        <v>F19</v>
      </c>
      <c r="I14" s="46" t="s">
        <v>90</v>
      </c>
      <c r="J14" s="47" t="s">
        <v>105</v>
      </c>
      <c r="K14" s="48"/>
      <c r="L14" s="49"/>
      <c r="M14" s="50" t="str">
        <f>IF(O14&lt;&gt;O13,MAX(1,MIN(AA14,ROUNDUP(SUMPRODUCT(($O$5:$O$546=O14)*($I$5:$I$546="Ja")*($E$5:$E$546-$D$5:$D$546))*24/REGLER!$B$8,0))),"")</f>
        <v/>
      </c>
      <c r="N14" s="50" t="str">
        <f t="shared" si="0"/>
        <v>Klar</v>
      </c>
      <c r="O14" s="15" t="s">
        <v>89</v>
      </c>
      <c r="P14" s="16">
        <v>0.5</v>
      </c>
      <c r="Q14" s="16">
        <v>0.84375</v>
      </c>
      <c r="R14" s="15">
        <f>IFERROR(MATCH(1,INDEX((MATCHER!$B$5:$B$504=A14)*(MATCHER!$D$5:$D$504=C14)*(MATCHER!$K$5:$K$504="Ja")*(MATCHER!$C$5:$C$504&lt;E14)*(MATCHER!$M$5:$M$504&gt;D14),0),0),"")</f>
        <v>2</v>
      </c>
      <c r="S14" s="15" t="str">
        <f>IF(R14="","",IFERROR(MATCH(1,INDEX((MATCHER!$B$5:$B$504=A14)*(MATCHER!$D$5:$D$504=C14)*(MATCHER!$K$5:$K$504="Ja")*(MATCHER!$C$5:$C$504&lt;E14)*(MATCHER!$M$5:$M$504&gt;D14)*(ROW(MATCHER!$A$5:$A$504)-ROW(MATCHER!$A$5)+1&gt;R14),0),0),""))</f>
        <v/>
      </c>
      <c r="T14" s="15" t="str">
        <f>IF(S14="","",IFERROR(MATCH(1,INDEX((MATCHER!$B$5:$B$504=A14)*(MATCHER!$D$5:$D$504=C14)*(MATCHER!$K$5:$K$504="Ja")*(MATCHER!$C$5:$C$504&lt;E14)*(MATCHER!$M$5:$M$504&gt;D14)*(ROW(MATCHER!$A$5:$A$504)-ROW(MATCHER!$A$5)+1&gt;S14),0),0),""))</f>
        <v/>
      </c>
      <c r="U14" s="15">
        <f t="shared" si="1"/>
        <v>0</v>
      </c>
      <c r="V14" s="15">
        <f>IF(OR(I14&lt;&gt;"Ja",J14=""),"",COUNTIFS($O$5:O14,O14,$U$5:U14,1))</f>
        <v>1</v>
      </c>
      <c r="W14" s="15" t="str">
        <f t="shared" si="2"/>
        <v>2026-09-19 | Ulriksdalshallen|1</v>
      </c>
      <c r="X14" s="16" t="str">
        <f t="shared" si="3"/>
        <v/>
      </c>
      <c r="Y14" s="15">
        <f>IF(OR(I14&lt;&gt;"Ja",J14=""),0,IF(COUNTIFS($O$5:O14,O14,$I$5:I14,"Ja",$J$5:J14,"&lt;&gt;")=1,1,0))</f>
        <v>0</v>
      </c>
      <c r="Z14" s="15">
        <f>IF(OR(I14&lt;&gt;"Ja",J14=""),0,IF(COUNTIFS(O14:$O$546,O14,I14:$I$546,"Ja",J14:$J$546,"&lt;&gt;")=1,1,0))</f>
        <v>0</v>
      </c>
      <c r="AA14" s="15">
        <f t="shared" si="8"/>
        <v>1</v>
      </c>
      <c r="AB14" s="15" t="str">
        <f>IF(U14&lt;&gt;1,"",COUNTIF($U$5:U14,1))</f>
        <v/>
      </c>
      <c r="AC14" s="15" t="str">
        <f t="shared" si="4"/>
        <v/>
      </c>
      <c r="AD14" s="15" t="str">
        <f t="shared" si="5"/>
        <v>Vanligt café</v>
      </c>
      <c r="AE14" s="15" t="str">
        <f t="shared" si="6"/>
        <v/>
      </c>
      <c r="AF14" t="str">
        <f>IF(T14="","",IFERROR(MATCH(1,INDEX((MATCHER!$B$5:$B$504=A14)*(MATCHER!$D$5:$D$504=C14)*(MATCHER!$K$5:$K$504="Ja")*(MATCHER!$C$5:$C$504&lt;E14)*(MATCHER!$M$5:$M$504&gt;D14)*(ROW(MATCHER!$A$5:$A$504)-ROW(MATCHER!$A$5)+1&gt;T14),0),0),""))</f>
        <v/>
      </c>
    </row>
    <row r="15" spans="1:32" ht="26">
      <c r="A15" s="42">
        <v>46284</v>
      </c>
      <c r="B15" s="43" t="s">
        <v>85</v>
      </c>
      <c r="C15" s="43" t="s">
        <v>86</v>
      </c>
      <c r="D15" s="44">
        <v>0.70833333333333304</v>
      </c>
      <c r="E15" s="44">
        <v>0.72916666666666696</v>
      </c>
      <c r="F15" s="45" t="str">
        <f>IF(R15="","",HOUR(INDEX(MATCHER!$C$5:$C$504,R15))&amp;":"&amp;IF(MINUTE(INDEX(MATCHER!$C$5:$C$504,R15))&lt;10,"0","")&amp;MINUTE(INDEX(MATCHER!$C$5:$C$504,R15))&amp;" "&amp;INDEX(MATCHER!$H$5:$H$504,R15)&amp;" – "&amp;INDEX(MATCHER!$I$5:$I$504,R15))&amp;IF(S15="",""," | "&amp;HOUR(INDEX(MATCHER!$C$5:$C$504,S15))&amp;":"&amp;IF(MINUTE(INDEX(MATCHER!$C$5:$C$504,S15))&lt;10,"0","")&amp;MINUTE(INDEX(MATCHER!$C$5:$C$504,S15))&amp;" "&amp;INDEX(MATCHER!$H$5:$H$504,S15)&amp;" – "&amp;INDEX(MATCHER!$I$5:$I$504,S15))&amp;IF(T15="",""," | "&amp;HOUR(INDEX(MATCHER!$C$5:$C$504,T15))&amp;":"&amp;IF(MINUTE(INDEX(MATCHER!$C$5:$C$504,T15))&lt;10,"0","")&amp;MINUTE(INDEX(MATCHER!$C$5:$C$504,T15))&amp;" "&amp;INDEX(MATCHER!$H$5:$H$504,T15)&amp;" – "&amp;INDEX(MATCHER!$I$5:$I$504,T15))&amp;IF(AF15="",""," | "&amp;HOUR(INDEX(MATCHER!$C$5:$C$504,AF15))&amp;":"&amp;IF(MINUTE(INDEX(MATCHER!$C$5:$C$504,AF15))&lt;10,"0","")&amp;MINUTE(INDEX(MATCHER!$C$5:$C$504,AF15))&amp;" "&amp;INDEX(MATCHER!$H$5:$H$504,AF15)&amp;" – "&amp;INDEX(MATCHER!$I$5:$I$504,AF15))</f>
        <v>16:30 HK Aranäs – Kiruna HK</v>
      </c>
      <c r="G15" s="45" t="str">
        <f>MID(IF(R15="","",IF(OR(INDEX(MATCHER!$J$5:$J$504,R15)=""),""," / "&amp;INDEX(MATCHER!$J$5:$J$504,R15)))&amp;IF(S15="","",IF(OR(INDEX(MATCHER!$J$5:$J$504,S15)="",INDEX(MATCHER!$J$5:$J$504,S15)=IFERROR(INDEX(MATCHER!$J$5:$J$504,R15),"")),""," / "&amp;INDEX(MATCHER!$J$5:$J$504,S15)))&amp;IF(T15="","",IF(OR(INDEX(MATCHER!$J$5:$J$504,T15)="",INDEX(MATCHER!$J$5:$J$504,T15)=IFERROR(INDEX(MATCHER!$J$5:$J$504,R15),""),INDEX(MATCHER!$J$5:$J$504,T15)=IFERROR(INDEX(MATCHER!$J$5:$J$504,S15),"")),""," / "&amp;INDEX(MATCHER!$J$5:$J$504,T15)))&amp;IF(AF15="","",IF(OR(INDEX(MATCHER!$J$5:$J$504,AF15)="",INDEX(MATCHER!$J$5:$J$504,AF15)=IFERROR(INDEX(MATCHER!$J$5:$J$504,R15),""),INDEX(MATCHER!$J$5:$J$504,AF15)=IFERROR(INDEX(MATCHER!$J$5:$J$504,S15),""),INDEX(MATCHER!$J$5:$J$504,AF15)=IFERROR(INDEX(MATCHER!$J$5:$J$504,T15),"")),""," / "&amp;INDEX(MATCHER!$J$5:$J$504,AF15))),4,1000)</f>
        <v/>
      </c>
      <c r="H15" s="45" t="str">
        <f t="shared" si="7"/>
        <v>F19</v>
      </c>
      <c r="I15" s="46" t="s">
        <v>90</v>
      </c>
      <c r="J15" s="47" t="s">
        <v>105</v>
      </c>
      <c r="K15" s="48"/>
      <c r="L15" s="49"/>
      <c r="M15" s="50" t="str">
        <f>IF(O15&lt;&gt;O14,MAX(1,MIN(AA15,ROUNDUP(SUMPRODUCT(($O$5:$O$546=O15)*($I$5:$I$546="Ja")*($E$5:$E$546-$D$5:$D$546))*24/REGLER!$B$8,0))),"")</f>
        <v/>
      </c>
      <c r="N15" s="50" t="str">
        <f t="shared" si="0"/>
        <v>Klar</v>
      </c>
      <c r="O15" s="15" t="s">
        <v>89</v>
      </c>
      <c r="P15" s="16">
        <v>0.5</v>
      </c>
      <c r="Q15" s="16">
        <v>0.84375</v>
      </c>
      <c r="R15" s="15">
        <f>IFERROR(MATCH(1,INDEX((MATCHER!$B$5:$B$504=A15)*(MATCHER!$D$5:$D$504=C15)*(MATCHER!$K$5:$K$504="Ja")*(MATCHER!$C$5:$C$504&lt;E15)*(MATCHER!$M$5:$M$504&gt;D15),0),0),"")</f>
        <v>2</v>
      </c>
      <c r="S15" s="15" t="str">
        <f>IF(R15="","",IFERROR(MATCH(1,INDEX((MATCHER!$B$5:$B$504=A15)*(MATCHER!$D$5:$D$504=C15)*(MATCHER!$K$5:$K$504="Ja")*(MATCHER!$C$5:$C$504&lt;E15)*(MATCHER!$M$5:$M$504&gt;D15)*(ROW(MATCHER!$A$5:$A$504)-ROW(MATCHER!$A$5)+1&gt;R15),0),0),""))</f>
        <v/>
      </c>
      <c r="T15" s="15" t="str">
        <f>IF(S15="","",IFERROR(MATCH(1,INDEX((MATCHER!$B$5:$B$504=A15)*(MATCHER!$D$5:$D$504=C15)*(MATCHER!$K$5:$K$504="Ja")*(MATCHER!$C$5:$C$504&lt;E15)*(MATCHER!$M$5:$M$504&gt;D15)*(ROW(MATCHER!$A$5:$A$504)-ROW(MATCHER!$A$5)+1&gt;S15),0),0),""))</f>
        <v/>
      </c>
      <c r="U15" s="15">
        <f t="shared" si="1"/>
        <v>0</v>
      </c>
      <c r="V15" s="15">
        <f>IF(OR(I15&lt;&gt;"Ja",J15=""),"",COUNTIFS($O$5:O15,O15,$U$5:U15,1))</f>
        <v>1</v>
      </c>
      <c r="W15" s="15" t="str">
        <f t="shared" si="2"/>
        <v>2026-09-19 | Ulriksdalshallen|1</v>
      </c>
      <c r="X15" s="16" t="str">
        <f t="shared" si="3"/>
        <v/>
      </c>
      <c r="Y15" s="15">
        <f>IF(OR(I15&lt;&gt;"Ja",J15=""),0,IF(COUNTIFS($O$5:O15,O15,$I$5:I15,"Ja",$J$5:J15,"&lt;&gt;")=1,1,0))</f>
        <v>0</v>
      </c>
      <c r="Z15" s="15">
        <f>IF(OR(I15&lt;&gt;"Ja",J15=""),0,IF(COUNTIFS(O15:$O$546,O15,I15:$I$546,"Ja",J15:$J$546,"&lt;&gt;")=1,1,0))</f>
        <v>0</v>
      </c>
      <c r="AA15" s="15">
        <f t="shared" si="8"/>
        <v>1</v>
      </c>
      <c r="AB15" s="15" t="str">
        <f>IF(U15&lt;&gt;1,"",COUNTIF($U$5:U15,1))</f>
        <v/>
      </c>
      <c r="AC15" s="15" t="str">
        <f t="shared" si="4"/>
        <v/>
      </c>
      <c r="AD15" s="15" t="str">
        <f t="shared" si="5"/>
        <v>Vanligt café</v>
      </c>
      <c r="AE15" s="15" t="str">
        <f t="shared" si="6"/>
        <v/>
      </c>
      <c r="AF15" t="str">
        <f>IF(T15="","",IFERROR(MATCH(1,INDEX((MATCHER!$B$5:$B$504=A15)*(MATCHER!$D$5:$D$504=C15)*(MATCHER!$K$5:$K$504="Ja")*(MATCHER!$C$5:$C$504&lt;E15)*(MATCHER!$M$5:$M$504&gt;D15)*(ROW(MATCHER!$A$5:$A$504)-ROW(MATCHER!$A$5)+1&gt;T15),0),0),""))</f>
        <v/>
      </c>
    </row>
    <row r="16" spans="1:32" ht="26">
      <c r="A16" s="42">
        <v>46284</v>
      </c>
      <c r="B16" s="43" t="s">
        <v>85</v>
      </c>
      <c r="C16" s="43" t="s">
        <v>86</v>
      </c>
      <c r="D16" s="44">
        <v>0.72916666666666696</v>
      </c>
      <c r="E16" s="44">
        <v>0.73958333333333304</v>
      </c>
      <c r="F16" s="45" t="str">
        <f>IF(R16="","",HOUR(INDEX(MATCHER!$C$5:$C$504,R16))&amp;":"&amp;IF(MINUTE(INDEX(MATCHER!$C$5:$C$504,R16))&lt;10,"0","")&amp;MINUTE(INDEX(MATCHER!$C$5:$C$504,R16))&amp;" "&amp;INDEX(MATCHER!$H$5:$H$504,R16)&amp;" – "&amp;INDEX(MATCHER!$I$5:$I$504,R16))&amp;IF(S16="",""," | "&amp;HOUR(INDEX(MATCHER!$C$5:$C$504,S16))&amp;":"&amp;IF(MINUTE(INDEX(MATCHER!$C$5:$C$504,S16))&lt;10,"0","")&amp;MINUTE(INDEX(MATCHER!$C$5:$C$504,S16))&amp;" "&amp;INDEX(MATCHER!$H$5:$H$504,S16)&amp;" – "&amp;INDEX(MATCHER!$I$5:$I$504,S16))&amp;IF(T16="",""," | "&amp;HOUR(INDEX(MATCHER!$C$5:$C$504,T16))&amp;":"&amp;IF(MINUTE(INDEX(MATCHER!$C$5:$C$504,T16))&lt;10,"0","")&amp;MINUTE(INDEX(MATCHER!$C$5:$C$504,T16))&amp;" "&amp;INDEX(MATCHER!$H$5:$H$504,T16)&amp;" – "&amp;INDEX(MATCHER!$I$5:$I$504,T16))&amp;IF(AF16="",""," | "&amp;HOUR(INDEX(MATCHER!$C$5:$C$504,AF16))&amp;":"&amp;IF(MINUTE(INDEX(MATCHER!$C$5:$C$504,AF16))&lt;10,"0","")&amp;MINUTE(INDEX(MATCHER!$C$5:$C$504,AF16))&amp;" "&amp;INDEX(MATCHER!$H$5:$H$504,AF16)&amp;" – "&amp;INDEX(MATCHER!$I$5:$I$504,AF16))</f>
        <v/>
      </c>
      <c r="G16" s="45" t="str">
        <f>MID(IF(R16="","",IF(OR(INDEX(MATCHER!$J$5:$J$504,R16)=""),""," / "&amp;INDEX(MATCHER!$J$5:$J$504,R16)))&amp;IF(S16="","",IF(OR(INDEX(MATCHER!$J$5:$J$504,S16)="",INDEX(MATCHER!$J$5:$J$504,S16)=IFERROR(INDEX(MATCHER!$J$5:$J$504,R16),"")),""," / "&amp;INDEX(MATCHER!$J$5:$J$504,S16)))&amp;IF(T16="","",IF(OR(INDEX(MATCHER!$J$5:$J$504,T16)="",INDEX(MATCHER!$J$5:$J$504,T16)=IFERROR(INDEX(MATCHER!$J$5:$J$504,R16),""),INDEX(MATCHER!$J$5:$J$504,T16)=IFERROR(INDEX(MATCHER!$J$5:$J$504,S16),"")),""," / "&amp;INDEX(MATCHER!$J$5:$J$504,T16)))&amp;IF(AF16="","",IF(OR(INDEX(MATCHER!$J$5:$J$504,AF16)="",INDEX(MATCHER!$J$5:$J$504,AF16)=IFERROR(INDEX(MATCHER!$J$5:$J$504,R16),""),INDEX(MATCHER!$J$5:$J$504,AF16)=IFERROR(INDEX(MATCHER!$J$5:$J$504,S16),""),INDEX(MATCHER!$J$5:$J$504,AF16)=IFERROR(INDEX(MATCHER!$J$5:$J$504,T16),"")),""," / "&amp;INDEX(MATCHER!$J$5:$J$504,AF16))),4,1000)</f>
        <v/>
      </c>
      <c r="H16" s="45" t="str">
        <f t="shared" si="7"/>
        <v>F19</v>
      </c>
      <c r="I16" s="46" t="s">
        <v>90</v>
      </c>
      <c r="J16" s="47" t="s">
        <v>105</v>
      </c>
      <c r="K16" s="48"/>
      <c r="L16" s="49"/>
      <c r="M16" s="50" t="str">
        <f>IF(O16&lt;&gt;O15,MAX(1,MIN(AA16,ROUNDUP(SUMPRODUCT(($O$5:$O$546=O16)*($I$5:$I$546="Ja")*($E$5:$E$546-$D$5:$D$546))*24/REGLER!$B$8,0))),"")</f>
        <v/>
      </c>
      <c r="N16" s="50" t="str">
        <f t="shared" si="0"/>
        <v>Klar</v>
      </c>
      <c r="O16" s="15" t="s">
        <v>89</v>
      </c>
      <c r="P16" s="16">
        <v>0.5</v>
      </c>
      <c r="Q16" s="16">
        <v>0.84375</v>
      </c>
      <c r="R16" s="15" t="str">
        <f>IFERROR(MATCH(1,INDEX((MATCHER!$B$5:$B$504=A16)*(MATCHER!$D$5:$D$504=C16)*(MATCHER!$K$5:$K$504="Ja")*(MATCHER!$C$5:$C$504&lt;E16)*(MATCHER!$M$5:$M$504&gt;D16),0),0),"")</f>
        <v/>
      </c>
      <c r="S16" s="15" t="str">
        <f>IF(R16="","",IFERROR(MATCH(1,INDEX((MATCHER!$B$5:$B$504=A16)*(MATCHER!$D$5:$D$504=C16)*(MATCHER!$K$5:$K$504="Ja")*(MATCHER!$C$5:$C$504&lt;E16)*(MATCHER!$M$5:$M$504&gt;D16)*(ROW(MATCHER!$A$5:$A$504)-ROW(MATCHER!$A$5)+1&gt;R16),0),0),""))</f>
        <v/>
      </c>
      <c r="T16" s="15" t="str">
        <f>IF(S16="","",IFERROR(MATCH(1,INDEX((MATCHER!$B$5:$B$504=A16)*(MATCHER!$D$5:$D$504=C16)*(MATCHER!$K$5:$K$504="Ja")*(MATCHER!$C$5:$C$504&lt;E16)*(MATCHER!$M$5:$M$504&gt;D16)*(ROW(MATCHER!$A$5:$A$504)-ROW(MATCHER!$A$5)+1&gt;S16),0),0),""))</f>
        <v/>
      </c>
      <c r="U16" s="15">
        <f t="shared" si="1"/>
        <v>0</v>
      </c>
      <c r="V16" s="15">
        <f>IF(OR(I16&lt;&gt;"Ja",J16=""),"",COUNTIFS($O$5:O16,O16,$U$5:U16,1))</f>
        <v>1</v>
      </c>
      <c r="W16" s="15" t="str">
        <f t="shared" si="2"/>
        <v>2026-09-19 | Ulriksdalshallen|1</v>
      </c>
      <c r="X16" s="16">
        <f t="shared" si="3"/>
        <v>0.73958333333333304</v>
      </c>
      <c r="Y16" s="15">
        <f>IF(OR(I16&lt;&gt;"Ja",J16=""),0,IF(COUNTIFS($O$5:O16,O16,$I$5:I16,"Ja",$J$5:J16,"&lt;&gt;")=1,1,0))</f>
        <v>0</v>
      </c>
      <c r="Z16" s="15">
        <f>IF(OR(I16&lt;&gt;"Ja",J16=""),0,IF(COUNTIFS(O16:$O$546,O16,I16:$I$546,"Ja",J16:$J$546,"&lt;&gt;")=1,1,0))</f>
        <v>1</v>
      </c>
      <c r="AA16" s="15">
        <f t="shared" si="8"/>
        <v>1</v>
      </c>
      <c r="AB16" s="15" t="str">
        <f>IF(U16&lt;&gt;1,"",COUNTIF($U$5:U16,1))</f>
        <v/>
      </c>
      <c r="AC16" s="15" t="str">
        <f t="shared" si="4"/>
        <v>2026-09-19 | Ulriksdalshallen|1</v>
      </c>
      <c r="AD16" s="15" t="str">
        <f t="shared" si="5"/>
        <v>Vanligt café</v>
      </c>
      <c r="AE16" s="15" t="str">
        <f t="shared" si="6"/>
        <v/>
      </c>
      <c r="AF16" t="str">
        <f>IF(T16="","",IFERROR(MATCH(1,INDEX((MATCHER!$B$5:$B$504=A16)*(MATCHER!$D$5:$D$504=C16)*(MATCHER!$K$5:$K$504="Ja")*(MATCHER!$C$5:$C$504&lt;E16)*(MATCHER!$M$5:$M$504&gt;D16)*(ROW(MATCHER!$A$5:$A$504)-ROW(MATCHER!$A$5)+1&gt;T16),0),0),""))</f>
        <v/>
      </c>
    </row>
    <row r="17" spans="1:32" ht="26">
      <c r="A17" s="42">
        <v>46284</v>
      </c>
      <c r="B17" s="43" t="s">
        <v>85</v>
      </c>
      <c r="C17" s="43" t="s">
        <v>86</v>
      </c>
      <c r="D17" s="44">
        <v>0.75</v>
      </c>
      <c r="E17" s="44">
        <v>0.77083333333333304</v>
      </c>
      <c r="F17" s="45" t="str">
        <f>IF(R17="","",HOUR(INDEX(MATCHER!$C$5:$C$504,R17))&amp;":"&amp;IF(MINUTE(INDEX(MATCHER!$C$5:$C$504,R17))&lt;10,"0","")&amp;MINUTE(INDEX(MATCHER!$C$5:$C$504,R17))&amp;" "&amp;INDEX(MATCHER!$H$5:$H$504,R17)&amp;" – "&amp;INDEX(MATCHER!$I$5:$I$504,R17))&amp;IF(S17="",""," | "&amp;HOUR(INDEX(MATCHER!$C$5:$C$504,S17))&amp;":"&amp;IF(MINUTE(INDEX(MATCHER!$C$5:$C$504,S17))&lt;10,"0","")&amp;MINUTE(INDEX(MATCHER!$C$5:$C$504,S17))&amp;" "&amp;INDEX(MATCHER!$H$5:$H$504,S17)&amp;" – "&amp;INDEX(MATCHER!$I$5:$I$504,S17))&amp;IF(T17="",""," | "&amp;HOUR(INDEX(MATCHER!$C$5:$C$504,T17))&amp;":"&amp;IF(MINUTE(INDEX(MATCHER!$C$5:$C$504,T17))&lt;10,"0","")&amp;MINUTE(INDEX(MATCHER!$C$5:$C$504,T17))&amp;" "&amp;INDEX(MATCHER!$H$5:$H$504,T17)&amp;" – "&amp;INDEX(MATCHER!$I$5:$I$504,T17))&amp;IF(AF17="",""," | "&amp;HOUR(INDEX(MATCHER!$C$5:$C$504,AF17))&amp;":"&amp;IF(MINUTE(INDEX(MATCHER!$C$5:$C$504,AF17))&lt;10,"0","")&amp;MINUTE(INDEX(MATCHER!$C$5:$C$504,AF17))&amp;" "&amp;INDEX(MATCHER!$H$5:$H$504,AF17)&amp;" – "&amp;INDEX(MATCHER!$I$5:$I$504,AF17))</f>
        <v/>
      </c>
      <c r="G17" s="45" t="str">
        <f>MID(IF(R17="","",IF(OR(INDEX(MATCHER!$J$5:$J$504,R17)=""),""," / "&amp;INDEX(MATCHER!$J$5:$J$504,R17)))&amp;IF(S17="","",IF(OR(INDEX(MATCHER!$J$5:$J$504,S17)="",INDEX(MATCHER!$J$5:$J$504,S17)=IFERROR(INDEX(MATCHER!$J$5:$J$504,R17),"")),""," / "&amp;INDEX(MATCHER!$J$5:$J$504,S17)))&amp;IF(T17="","",IF(OR(INDEX(MATCHER!$J$5:$J$504,T17)="",INDEX(MATCHER!$J$5:$J$504,T17)=IFERROR(INDEX(MATCHER!$J$5:$J$504,R17),""),INDEX(MATCHER!$J$5:$J$504,T17)=IFERROR(INDEX(MATCHER!$J$5:$J$504,S17),"")),""," / "&amp;INDEX(MATCHER!$J$5:$J$504,T17)))&amp;IF(AF17="","",IF(OR(INDEX(MATCHER!$J$5:$J$504,AF17)="",INDEX(MATCHER!$J$5:$J$504,AF17)=IFERROR(INDEX(MATCHER!$J$5:$J$504,R17),""),INDEX(MATCHER!$J$5:$J$504,AF17)=IFERROR(INDEX(MATCHER!$J$5:$J$504,S17),""),INDEX(MATCHER!$J$5:$J$504,AF17)=IFERROR(INDEX(MATCHER!$J$5:$J$504,T17),"")),""," / "&amp;INDEX(MATCHER!$J$5:$J$504,AF17))),4,1000)</f>
        <v/>
      </c>
      <c r="H17" s="45" t="str">
        <f t="shared" si="7"/>
        <v>F19</v>
      </c>
      <c r="I17" s="46" t="s">
        <v>87</v>
      </c>
      <c r="J17" s="47"/>
      <c r="K17" s="48"/>
      <c r="L17" s="49"/>
      <c r="M17" s="50" t="str">
        <f>IF(O17&lt;&gt;O16,MAX(1,MIN(AA17,ROUNDUP(SUMPRODUCT(($O$5:$O$546=O17)*($I$5:$I$546="Ja")*($E$5:$E$546-$D$5:$D$546))*24/REGLER!$B$8,0))),"")</f>
        <v/>
      </c>
      <c r="N17" s="50" t="str">
        <f t="shared" si="0"/>
        <v>Ej öppet</v>
      </c>
      <c r="O17" s="15" t="s">
        <v>89</v>
      </c>
      <c r="P17" s="16">
        <v>0.5</v>
      </c>
      <c r="Q17" s="16">
        <v>0.84375</v>
      </c>
      <c r="R17" s="15" t="str">
        <f>IFERROR(MATCH(1,INDEX((MATCHER!$B$5:$B$504=A17)*(MATCHER!$D$5:$D$504=C17)*(MATCHER!$K$5:$K$504="Ja")*(MATCHER!$C$5:$C$504&lt;E17)*(MATCHER!$M$5:$M$504&gt;D17),0),0),"")</f>
        <v/>
      </c>
      <c r="S17" s="15" t="str">
        <f>IF(R17="","",IFERROR(MATCH(1,INDEX((MATCHER!$B$5:$B$504=A17)*(MATCHER!$D$5:$D$504=C17)*(MATCHER!$K$5:$K$504="Ja")*(MATCHER!$C$5:$C$504&lt;E17)*(MATCHER!$M$5:$M$504&gt;D17)*(ROW(MATCHER!$A$5:$A$504)-ROW(MATCHER!$A$5)+1&gt;R17),0),0),""))</f>
        <v/>
      </c>
      <c r="T17" s="15" t="str">
        <f>IF(S17="","",IFERROR(MATCH(1,INDEX((MATCHER!$B$5:$B$504=A17)*(MATCHER!$D$5:$D$504=C17)*(MATCHER!$K$5:$K$504="Ja")*(MATCHER!$C$5:$C$504&lt;E17)*(MATCHER!$M$5:$M$504&gt;D17)*(ROW(MATCHER!$A$5:$A$504)-ROW(MATCHER!$A$5)+1&gt;S17),0),0),""))</f>
        <v/>
      </c>
      <c r="U17" s="15" t="str">
        <f t="shared" si="1"/>
        <v/>
      </c>
      <c r="V17" s="15" t="str">
        <f>IF(OR(I17&lt;&gt;"Ja",J17=""),"",COUNTIFS($O$5:O17,O17,$U$5:U17,1))</f>
        <v/>
      </c>
      <c r="W17" s="15" t="str">
        <f t="shared" si="2"/>
        <v/>
      </c>
      <c r="X17" s="16" t="str">
        <f t="shared" si="3"/>
        <v/>
      </c>
      <c r="Y17" s="15">
        <f>IF(OR(I17&lt;&gt;"Ja",J17=""),0,IF(COUNTIFS($O$5:O17,O17,$I$5:I17,"Ja",$J$5:J17,"&lt;&gt;")=1,1,0))</f>
        <v>0</v>
      </c>
      <c r="Z17" s="15">
        <f>IF(OR(I17&lt;&gt;"Ja",J17=""),0,IF(COUNTIFS(O17:$O$546,O17,I17:$I$546,"Ja",J17:$J$546,"&lt;&gt;")=1,1,0))</f>
        <v>0</v>
      </c>
      <c r="AA17" s="15">
        <f t="shared" si="8"/>
        <v>1</v>
      </c>
      <c r="AB17" s="15" t="str">
        <f>IF(U17&lt;&gt;1,"",COUNTIF($U$5:U17,1))</f>
        <v/>
      </c>
      <c r="AC17" s="15" t="str">
        <f t="shared" si="4"/>
        <v/>
      </c>
      <c r="AD17" s="15" t="str">
        <f t="shared" si="5"/>
        <v>Vanligt café</v>
      </c>
      <c r="AE17" s="15" t="str">
        <f t="shared" si="6"/>
        <v/>
      </c>
      <c r="AF17" t="str">
        <f>IF(T17="","",IFERROR(MATCH(1,INDEX((MATCHER!$B$5:$B$504=A17)*(MATCHER!$D$5:$D$504=C17)*(MATCHER!$K$5:$K$504="Ja")*(MATCHER!$C$5:$C$504&lt;E17)*(MATCHER!$M$5:$M$504&gt;D17)*(ROW(MATCHER!$A$5:$A$504)-ROW(MATCHER!$A$5)+1&gt;T17),0),0),""))</f>
        <v/>
      </c>
    </row>
    <row r="18" spans="1:32" ht="26">
      <c r="A18" s="42">
        <v>46284</v>
      </c>
      <c r="B18" s="43" t="s">
        <v>85</v>
      </c>
      <c r="C18" s="43" t="s">
        <v>86</v>
      </c>
      <c r="D18" s="44">
        <v>0.77083333333333304</v>
      </c>
      <c r="E18" s="44">
        <v>0.79166666666666696</v>
      </c>
      <c r="F18" s="45" t="str">
        <f>IF(R18="","",HOUR(INDEX(MATCHER!$C$5:$C$504,R18))&amp;":"&amp;IF(MINUTE(INDEX(MATCHER!$C$5:$C$504,R18))&lt;10,"0","")&amp;MINUTE(INDEX(MATCHER!$C$5:$C$504,R18))&amp;" "&amp;INDEX(MATCHER!$H$5:$H$504,R18)&amp;" – "&amp;INDEX(MATCHER!$I$5:$I$504,R18))&amp;IF(S18="",""," | "&amp;HOUR(INDEX(MATCHER!$C$5:$C$504,S18))&amp;":"&amp;IF(MINUTE(INDEX(MATCHER!$C$5:$C$504,S18))&lt;10,"0","")&amp;MINUTE(INDEX(MATCHER!$C$5:$C$504,S18))&amp;" "&amp;INDEX(MATCHER!$H$5:$H$504,S18)&amp;" – "&amp;INDEX(MATCHER!$I$5:$I$504,S18))&amp;IF(T18="",""," | "&amp;HOUR(INDEX(MATCHER!$C$5:$C$504,T18))&amp;":"&amp;IF(MINUTE(INDEX(MATCHER!$C$5:$C$504,T18))&lt;10,"0","")&amp;MINUTE(INDEX(MATCHER!$C$5:$C$504,T18))&amp;" "&amp;INDEX(MATCHER!$H$5:$H$504,T18)&amp;" – "&amp;INDEX(MATCHER!$I$5:$I$504,T18))&amp;IF(AF18="",""," | "&amp;HOUR(INDEX(MATCHER!$C$5:$C$504,AF18))&amp;":"&amp;IF(MINUTE(INDEX(MATCHER!$C$5:$C$504,AF18))&lt;10,"0","")&amp;MINUTE(INDEX(MATCHER!$C$5:$C$504,AF18))&amp;" "&amp;INDEX(MATCHER!$H$5:$H$504,AF18)&amp;" – "&amp;INDEX(MATCHER!$I$5:$I$504,AF18))</f>
        <v/>
      </c>
      <c r="G18" s="45" t="str">
        <f>MID(IF(R18="","",IF(OR(INDEX(MATCHER!$J$5:$J$504,R18)=""),""," / "&amp;INDEX(MATCHER!$J$5:$J$504,R18)))&amp;IF(S18="","",IF(OR(INDEX(MATCHER!$J$5:$J$504,S18)="",INDEX(MATCHER!$J$5:$J$504,S18)=IFERROR(INDEX(MATCHER!$J$5:$J$504,R18),"")),""," / "&amp;INDEX(MATCHER!$J$5:$J$504,S18)))&amp;IF(T18="","",IF(OR(INDEX(MATCHER!$J$5:$J$504,T18)="",INDEX(MATCHER!$J$5:$J$504,T18)=IFERROR(INDEX(MATCHER!$J$5:$J$504,R18),""),INDEX(MATCHER!$J$5:$J$504,T18)=IFERROR(INDEX(MATCHER!$J$5:$J$504,S18),"")),""," / "&amp;INDEX(MATCHER!$J$5:$J$504,T18)))&amp;IF(AF18="","",IF(OR(INDEX(MATCHER!$J$5:$J$504,AF18)="",INDEX(MATCHER!$J$5:$J$504,AF18)=IFERROR(INDEX(MATCHER!$J$5:$J$504,R18),""),INDEX(MATCHER!$J$5:$J$504,AF18)=IFERROR(INDEX(MATCHER!$J$5:$J$504,S18),""),INDEX(MATCHER!$J$5:$J$504,AF18)=IFERROR(INDEX(MATCHER!$J$5:$J$504,T18),"")),""," / "&amp;INDEX(MATCHER!$J$5:$J$504,AF18))),4,1000)</f>
        <v/>
      </c>
      <c r="H18" s="45" t="str">
        <f t="shared" si="7"/>
        <v>F19</v>
      </c>
      <c r="I18" s="46" t="s">
        <v>87</v>
      </c>
      <c r="J18" s="47"/>
      <c r="K18" s="48"/>
      <c r="L18" s="49"/>
      <c r="M18" s="50" t="str">
        <f>IF(O18&lt;&gt;O17,MAX(1,MIN(AA18,ROUNDUP(SUMPRODUCT(($O$5:$O$546=O18)*($I$5:$I$546="Ja")*($E$5:$E$546-$D$5:$D$546))*24/REGLER!$B$8,0))),"")</f>
        <v/>
      </c>
      <c r="N18" s="50" t="str">
        <f t="shared" si="0"/>
        <v>Ej öppet</v>
      </c>
      <c r="O18" s="15" t="s">
        <v>89</v>
      </c>
      <c r="P18" s="16">
        <v>0.5</v>
      </c>
      <c r="Q18" s="16">
        <v>0.84375</v>
      </c>
      <c r="R18" s="15" t="str">
        <f>IFERROR(MATCH(1,INDEX((MATCHER!$B$5:$B$504=A18)*(MATCHER!$D$5:$D$504=C18)*(MATCHER!$K$5:$K$504="Ja")*(MATCHER!$C$5:$C$504&lt;E18)*(MATCHER!$M$5:$M$504&gt;D18),0),0),"")</f>
        <v/>
      </c>
      <c r="S18" s="15" t="str">
        <f>IF(R18="","",IFERROR(MATCH(1,INDEX((MATCHER!$B$5:$B$504=A18)*(MATCHER!$D$5:$D$504=C18)*(MATCHER!$K$5:$K$504="Ja")*(MATCHER!$C$5:$C$504&lt;E18)*(MATCHER!$M$5:$M$504&gt;D18)*(ROW(MATCHER!$A$5:$A$504)-ROW(MATCHER!$A$5)+1&gt;R18),0),0),""))</f>
        <v/>
      </c>
      <c r="T18" s="15" t="str">
        <f>IF(S18="","",IFERROR(MATCH(1,INDEX((MATCHER!$B$5:$B$504=A18)*(MATCHER!$D$5:$D$504=C18)*(MATCHER!$K$5:$K$504="Ja")*(MATCHER!$C$5:$C$504&lt;E18)*(MATCHER!$M$5:$M$504&gt;D18)*(ROW(MATCHER!$A$5:$A$504)-ROW(MATCHER!$A$5)+1&gt;S18),0),0),""))</f>
        <v/>
      </c>
      <c r="U18" s="15" t="str">
        <f t="shared" si="1"/>
        <v/>
      </c>
      <c r="V18" s="15" t="str">
        <f>IF(OR(I18&lt;&gt;"Ja",J18=""),"",COUNTIFS($O$5:O18,O18,$U$5:U18,1))</f>
        <v/>
      </c>
      <c r="W18" s="15" t="str">
        <f t="shared" si="2"/>
        <v/>
      </c>
      <c r="X18" s="16" t="str">
        <f t="shared" si="3"/>
        <v/>
      </c>
      <c r="Y18" s="15">
        <f>IF(OR(I18&lt;&gt;"Ja",J18=""),0,IF(COUNTIFS($O$5:O18,O18,$I$5:I18,"Ja",$J$5:J18,"&lt;&gt;")=1,1,0))</f>
        <v>0</v>
      </c>
      <c r="Z18" s="15">
        <f>IF(OR(I18&lt;&gt;"Ja",J18=""),0,IF(COUNTIFS(O18:$O$546,O18,I18:$I$546,"Ja",J18:$J$546,"&lt;&gt;")=1,1,0))</f>
        <v>0</v>
      </c>
      <c r="AA18" s="15">
        <f t="shared" si="8"/>
        <v>1</v>
      </c>
      <c r="AB18" s="15" t="str">
        <f>IF(U18&lt;&gt;1,"",COUNTIF($U$5:U18,1))</f>
        <v/>
      </c>
      <c r="AC18" s="15" t="str">
        <f t="shared" si="4"/>
        <v/>
      </c>
      <c r="AD18" s="15" t="str">
        <f t="shared" si="5"/>
        <v>Vanligt café</v>
      </c>
      <c r="AE18" s="15" t="str">
        <f t="shared" si="6"/>
        <v/>
      </c>
      <c r="AF18" t="str">
        <f>IF(T18="","",IFERROR(MATCH(1,INDEX((MATCHER!$B$5:$B$504=A18)*(MATCHER!$D$5:$D$504=C18)*(MATCHER!$K$5:$K$504="Ja")*(MATCHER!$C$5:$C$504&lt;E18)*(MATCHER!$M$5:$M$504&gt;D18)*(ROW(MATCHER!$A$5:$A$504)-ROW(MATCHER!$A$5)+1&gt;T18),0),0),""))</f>
        <v/>
      </c>
    </row>
    <row r="19" spans="1:32" ht="26">
      <c r="A19" s="42">
        <v>46284</v>
      </c>
      <c r="B19" s="43" t="s">
        <v>85</v>
      </c>
      <c r="C19" s="43" t="s">
        <v>86</v>
      </c>
      <c r="D19" s="44">
        <v>0.79166666666666696</v>
      </c>
      <c r="E19" s="44">
        <v>0.8125</v>
      </c>
      <c r="F19" s="45" t="str">
        <f>IF(R19="","",HOUR(INDEX(MATCHER!$C$5:$C$504,R19))&amp;":"&amp;IF(MINUTE(INDEX(MATCHER!$C$5:$C$504,R19))&lt;10,"0","")&amp;MINUTE(INDEX(MATCHER!$C$5:$C$504,R19))&amp;" "&amp;INDEX(MATCHER!$H$5:$H$504,R19)&amp;" – "&amp;INDEX(MATCHER!$I$5:$I$504,R19))&amp;IF(S19="",""," | "&amp;HOUR(INDEX(MATCHER!$C$5:$C$504,S19))&amp;":"&amp;IF(MINUTE(INDEX(MATCHER!$C$5:$C$504,S19))&lt;10,"0","")&amp;MINUTE(INDEX(MATCHER!$C$5:$C$504,S19))&amp;" "&amp;INDEX(MATCHER!$H$5:$H$504,S19)&amp;" – "&amp;INDEX(MATCHER!$I$5:$I$504,S19))&amp;IF(T19="",""," | "&amp;HOUR(INDEX(MATCHER!$C$5:$C$504,T19))&amp;":"&amp;IF(MINUTE(INDEX(MATCHER!$C$5:$C$504,T19))&lt;10,"0","")&amp;MINUTE(INDEX(MATCHER!$C$5:$C$504,T19))&amp;" "&amp;INDEX(MATCHER!$H$5:$H$504,T19)&amp;" – "&amp;INDEX(MATCHER!$I$5:$I$504,T19))&amp;IF(AF19="",""," | "&amp;HOUR(INDEX(MATCHER!$C$5:$C$504,AF19))&amp;":"&amp;IF(MINUTE(INDEX(MATCHER!$C$5:$C$504,AF19))&lt;10,"0","")&amp;MINUTE(INDEX(MATCHER!$C$5:$C$504,AF19))&amp;" "&amp;INDEX(MATCHER!$H$5:$H$504,AF19)&amp;" – "&amp;INDEX(MATCHER!$I$5:$I$504,AF19))</f>
        <v/>
      </c>
      <c r="G19" s="45" t="str">
        <f>MID(IF(R19="","",IF(OR(INDEX(MATCHER!$J$5:$J$504,R19)=""),""," / "&amp;INDEX(MATCHER!$J$5:$J$504,R19)))&amp;IF(S19="","",IF(OR(INDEX(MATCHER!$J$5:$J$504,S19)="",INDEX(MATCHER!$J$5:$J$504,S19)=IFERROR(INDEX(MATCHER!$J$5:$J$504,R19),"")),""," / "&amp;INDEX(MATCHER!$J$5:$J$504,S19)))&amp;IF(T19="","",IF(OR(INDEX(MATCHER!$J$5:$J$504,T19)="",INDEX(MATCHER!$J$5:$J$504,T19)=IFERROR(INDEX(MATCHER!$J$5:$J$504,R19),""),INDEX(MATCHER!$J$5:$J$504,T19)=IFERROR(INDEX(MATCHER!$J$5:$J$504,S19),"")),""," / "&amp;INDEX(MATCHER!$J$5:$J$504,T19)))&amp;IF(AF19="","",IF(OR(INDEX(MATCHER!$J$5:$J$504,AF19)="",INDEX(MATCHER!$J$5:$J$504,AF19)=IFERROR(INDEX(MATCHER!$J$5:$J$504,R19),""),INDEX(MATCHER!$J$5:$J$504,AF19)=IFERROR(INDEX(MATCHER!$J$5:$J$504,S19),""),INDEX(MATCHER!$J$5:$J$504,AF19)=IFERROR(INDEX(MATCHER!$J$5:$J$504,T19),"")),""," / "&amp;INDEX(MATCHER!$J$5:$J$504,AF19))),4,1000)</f>
        <v/>
      </c>
      <c r="H19" s="45" t="str">
        <f t="shared" si="7"/>
        <v>F19</v>
      </c>
      <c r="I19" s="46" t="s">
        <v>87</v>
      </c>
      <c r="J19" s="47"/>
      <c r="K19" s="48"/>
      <c r="L19" s="49"/>
      <c r="M19" s="50" t="str">
        <f>IF(O19&lt;&gt;O18,MAX(1,MIN(AA19,ROUNDUP(SUMPRODUCT(($O$5:$O$546=O19)*($I$5:$I$546="Ja")*($E$5:$E$546-$D$5:$D$546))*24/REGLER!$B$8,0))),"")</f>
        <v/>
      </c>
      <c r="N19" s="50" t="str">
        <f t="shared" si="0"/>
        <v>Ej öppet</v>
      </c>
      <c r="O19" s="15" t="s">
        <v>89</v>
      </c>
      <c r="P19" s="16">
        <v>0.5</v>
      </c>
      <c r="Q19" s="16">
        <v>0.84375</v>
      </c>
      <c r="R19" s="15" t="str">
        <f>IFERROR(MATCH(1,INDEX((MATCHER!$B$5:$B$504=A19)*(MATCHER!$D$5:$D$504=C19)*(MATCHER!$K$5:$K$504="Ja")*(MATCHER!$C$5:$C$504&lt;E19)*(MATCHER!$M$5:$M$504&gt;D19),0),0),"")</f>
        <v/>
      </c>
      <c r="S19" s="15" t="str">
        <f>IF(R19="","",IFERROR(MATCH(1,INDEX((MATCHER!$B$5:$B$504=A19)*(MATCHER!$D$5:$D$504=C19)*(MATCHER!$K$5:$K$504="Ja")*(MATCHER!$C$5:$C$504&lt;E19)*(MATCHER!$M$5:$M$504&gt;D19)*(ROW(MATCHER!$A$5:$A$504)-ROW(MATCHER!$A$5)+1&gt;R19),0),0),""))</f>
        <v/>
      </c>
      <c r="T19" s="15" t="str">
        <f>IF(S19="","",IFERROR(MATCH(1,INDEX((MATCHER!$B$5:$B$504=A19)*(MATCHER!$D$5:$D$504=C19)*(MATCHER!$K$5:$K$504="Ja")*(MATCHER!$C$5:$C$504&lt;E19)*(MATCHER!$M$5:$M$504&gt;D19)*(ROW(MATCHER!$A$5:$A$504)-ROW(MATCHER!$A$5)+1&gt;S19),0),0),""))</f>
        <v/>
      </c>
      <c r="U19" s="15" t="str">
        <f t="shared" si="1"/>
        <v/>
      </c>
      <c r="V19" s="15" t="str">
        <f>IF(OR(I19&lt;&gt;"Ja",J19=""),"",COUNTIFS($O$5:O19,O19,$U$5:U19,1))</f>
        <v/>
      </c>
      <c r="W19" s="15" t="str">
        <f t="shared" si="2"/>
        <v/>
      </c>
      <c r="X19" s="16" t="str">
        <f t="shared" si="3"/>
        <v/>
      </c>
      <c r="Y19" s="15">
        <f>IF(OR(I19&lt;&gt;"Ja",J19=""),0,IF(COUNTIFS($O$5:O19,O19,$I$5:I19,"Ja",$J$5:J19,"&lt;&gt;")=1,1,0))</f>
        <v>0</v>
      </c>
      <c r="Z19" s="15">
        <f>IF(OR(I19&lt;&gt;"Ja",J19=""),0,IF(COUNTIFS(O19:$O$546,O19,I19:$I$546,"Ja",J19:$J$546,"&lt;&gt;")=1,1,0))</f>
        <v>0</v>
      </c>
      <c r="AA19" s="15">
        <f t="shared" si="8"/>
        <v>1</v>
      </c>
      <c r="AB19" s="15" t="str">
        <f>IF(U19&lt;&gt;1,"",COUNTIF($U$5:U19,1))</f>
        <v/>
      </c>
      <c r="AC19" s="15" t="str">
        <f t="shared" si="4"/>
        <v/>
      </c>
      <c r="AD19" s="15" t="str">
        <f t="shared" si="5"/>
        <v>Vanligt café</v>
      </c>
      <c r="AE19" s="15" t="str">
        <f t="shared" si="6"/>
        <v/>
      </c>
      <c r="AF19" t="str">
        <f>IF(T19="","",IFERROR(MATCH(1,INDEX((MATCHER!$B$5:$B$504=A19)*(MATCHER!$D$5:$D$504=C19)*(MATCHER!$K$5:$K$504="Ja")*(MATCHER!$C$5:$C$504&lt;E19)*(MATCHER!$M$5:$M$504&gt;D19)*(ROW(MATCHER!$A$5:$A$504)-ROW(MATCHER!$A$5)+1&gt;T19),0),0),""))</f>
        <v/>
      </c>
    </row>
    <row r="20" spans="1:32" ht="26">
      <c r="A20" s="42">
        <v>46284</v>
      </c>
      <c r="B20" s="43" t="s">
        <v>85</v>
      </c>
      <c r="C20" s="43" t="s">
        <v>86</v>
      </c>
      <c r="D20" s="44">
        <v>0.8125</v>
      </c>
      <c r="E20" s="44">
        <v>0.83333333333333304</v>
      </c>
      <c r="F20" s="45" t="str">
        <f>IF(R20="","",HOUR(INDEX(MATCHER!$C$5:$C$504,R20))&amp;":"&amp;IF(MINUTE(INDEX(MATCHER!$C$5:$C$504,R20))&lt;10,"0","")&amp;MINUTE(INDEX(MATCHER!$C$5:$C$504,R20))&amp;" "&amp;INDEX(MATCHER!$H$5:$H$504,R20)&amp;" – "&amp;INDEX(MATCHER!$I$5:$I$504,R20))&amp;IF(S20="",""," | "&amp;HOUR(INDEX(MATCHER!$C$5:$C$504,S20))&amp;":"&amp;IF(MINUTE(INDEX(MATCHER!$C$5:$C$504,S20))&lt;10,"0","")&amp;MINUTE(INDEX(MATCHER!$C$5:$C$504,S20))&amp;" "&amp;INDEX(MATCHER!$H$5:$H$504,S20)&amp;" – "&amp;INDEX(MATCHER!$I$5:$I$504,S20))&amp;IF(T20="",""," | "&amp;HOUR(INDEX(MATCHER!$C$5:$C$504,T20))&amp;":"&amp;IF(MINUTE(INDEX(MATCHER!$C$5:$C$504,T20))&lt;10,"0","")&amp;MINUTE(INDEX(MATCHER!$C$5:$C$504,T20))&amp;" "&amp;INDEX(MATCHER!$H$5:$H$504,T20)&amp;" – "&amp;INDEX(MATCHER!$I$5:$I$504,T20))&amp;IF(AF20="",""," | "&amp;HOUR(INDEX(MATCHER!$C$5:$C$504,AF20))&amp;":"&amp;IF(MINUTE(INDEX(MATCHER!$C$5:$C$504,AF20))&lt;10,"0","")&amp;MINUTE(INDEX(MATCHER!$C$5:$C$504,AF20))&amp;" "&amp;INDEX(MATCHER!$H$5:$H$504,AF20)&amp;" – "&amp;INDEX(MATCHER!$I$5:$I$504,AF20))</f>
        <v/>
      </c>
      <c r="G20" s="45" t="str">
        <f>MID(IF(R20="","",IF(OR(INDEX(MATCHER!$J$5:$J$504,R20)=""),""," / "&amp;INDEX(MATCHER!$J$5:$J$504,R20)))&amp;IF(S20="","",IF(OR(INDEX(MATCHER!$J$5:$J$504,S20)="",INDEX(MATCHER!$J$5:$J$504,S20)=IFERROR(INDEX(MATCHER!$J$5:$J$504,R20),"")),""," / "&amp;INDEX(MATCHER!$J$5:$J$504,S20)))&amp;IF(T20="","",IF(OR(INDEX(MATCHER!$J$5:$J$504,T20)="",INDEX(MATCHER!$J$5:$J$504,T20)=IFERROR(INDEX(MATCHER!$J$5:$J$504,R20),""),INDEX(MATCHER!$J$5:$J$504,T20)=IFERROR(INDEX(MATCHER!$J$5:$J$504,S20),"")),""," / "&amp;INDEX(MATCHER!$J$5:$J$504,T20)))&amp;IF(AF20="","",IF(OR(INDEX(MATCHER!$J$5:$J$504,AF20)="",INDEX(MATCHER!$J$5:$J$504,AF20)=IFERROR(INDEX(MATCHER!$J$5:$J$504,R20),""),INDEX(MATCHER!$J$5:$J$504,AF20)=IFERROR(INDEX(MATCHER!$J$5:$J$504,S20),""),INDEX(MATCHER!$J$5:$J$504,AF20)=IFERROR(INDEX(MATCHER!$J$5:$J$504,T20),"")),""," / "&amp;INDEX(MATCHER!$J$5:$J$504,AF20))),4,1000)</f>
        <v/>
      </c>
      <c r="H20" s="45" t="str">
        <f t="shared" si="7"/>
        <v>F19</v>
      </c>
      <c r="I20" s="46" t="s">
        <v>87</v>
      </c>
      <c r="J20" s="47"/>
      <c r="K20" s="48"/>
      <c r="L20" s="49"/>
      <c r="M20" s="50" t="str">
        <f>IF(O20&lt;&gt;O19,MAX(1,MIN(AA20,ROUNDUP(SUMPRODUCT(($O$5:$O$546=O20)*($I$5:$I$546="Ja")*($E$5:$E$546-$D$5:$D$546))*24/REGLER!$B$8,0))),"")</f>
        <v/>
      </c>
      <c r="N20" s="50" t="str">
        <f t="shared" si="0"/>
        <v>Ej öppet</v>
      </c>
      <c r="O20" s="15" t="s">
        <v>89</v>
      </c>
      <c r="P20" s="16">
        <v>0.5</v>
      </c>
      <c r="Q20" s="16">
        <v>0.84375</v>
      </c>
      <c r="R20" s="15" t="str">
        <f>IFERROR(MATCH(1,INDEX((MATCHER!$B$5:$B$504=A20)*(MATCHER!$D$5:$D$504=C20)*(MATCHER!$K$5:$K$504="Ja")*(MATCHER!$C$5:$C$504&lt;E20)*(MATCHER!$M$5:$M$504&gt;D20),0),0),"")</f>
        <v/>
      </c>
      <c r="S20" s="15" t="str">
        <f>IF(R20="","",IFERROR(MATCH(1,INDEX((MATCHER!$B$5:$B$504=A20)*(MATCHER!$D$5:$D$504=C20)*(MATCHER!$K$5:$K$504="Ja")*(MATCHER!$C$5:$C$504&lt;E20)*(MATCHER!$M$5:$M$504&gt;D20)*(ROW(MATCHER!$A$5:$A$504)-ROW(MATCHER!$A$5)+1&gt;R20),0),0),""))</f>
        <v/>
      </c>
      <c r="T20" s="15" t="str">
        <f>IF(S20="","",IFERROR(MATCH(1,INDEX((MATCHER!$B$5:$B$504=A20)*(MATCHER!$D$5:$D$504=C20)*(MATCHER!$K$5:$K$504="Ja")*(MATCHER!$C$5:$C$504&lt;E20)*(MATCHER!$M$5:$M$504&gt;D20)*(ROW(MATCHER!$A$5:$A$504)-ROW(MATCHER!$A$5)+1&gt;S20),0),0),""))</f>
        <v/>
      </c>
      <c r="U20" s="15" t="str">
        <f t="shared" si="1"/>
        <v/>
      </c>
      <c r="V20" s="15" t="str">
        <f>IF(OR(I20&lt;&gt;"Ja",J20=""),"",COUNTIFS($O$5:O20,O20,$U$5:U20,1))</f>
        <v/>
      </c>
      <c r="W20" s="15" t="str">
        <f t="shared" si="2"/>
        <v/>
      </c>
      <c r="X20" s="16" t="str">
        <f t="shared" si="3"/>
        <v/>
      </c>
      <c r="Y20" s="15">
        <f>IF(OR(I20&lt;&gt;"Ja",J20=""),0,IF(COUNTIFS($O$5:O20,O20,$I$5:I20,"Ja",$J$5:J20,"&lt;&gt;")=1,1,0))</f>
        <v>0</v>
      </c>
      <c r="Z20" s="15">
        <f>IF(OR(I20&lt;&gt;"Ja",J20=""),0,IF(COUNTIFS(O20:$O$546,O20,I20:$I$546,"Ja",J20:$J$546,"&lt;&gt;")=1,1,0))</f>
        <v>0</v>
      </c>
      <c r="AA20" s="15">
        <f t="shared" si="8"/>
        <v>1</v>
      </c>
      <c r="AB20" s="15" t="str">
        <f>IF(U20&lt;&gt;1,"",COUNTIF($U$5:U20,1))</f>
        <v/>
      </c>
      <c r="AC20" s="15" t="str">
        <f t="shared" si="4"/>
        <v/>
      </c>
      <c r="AD20" s="15" t="str">
        <f t="shared" si="5"/>
        <v>Vanligt café</v>
      </c>
      <c r="AE20" s="15" t="str">
        <f t="shared" si="6"/>
        <v/>
      </c>
      <c r="AF20" t="str">
        <f>IF(T20="","",IFERROR(MATCH(1,INDEX((MATCHER!$B$5:$B$504=A20)*(MATCHER!$D$5:$D$504=C20)*(MATCHER!$K$5:$K$504="Ja")*(MATCHER!$C$5:$C$504&lt;E20)*(MATCHER!$M$5:$M$504&gt;D20)*(ROW(MATCHER!$A$5:$A$504)-ROW(MATCHER!$A$5)+1&gt;T20),0),0),""))</f>
        <v/>
      </c>
    </row>
    <row r="21" spans="1:32" ht="26.5" thickBot="1">
      <c r="A21" s="52">
        <v>46284</v>
      </c>
      <c r="B21" s="53" t="s">
        <v>85</v>
      </c>
      <c r="C21" s="53" t="s">
        <v>86</v>
      </c>
      <c r="D21" s="54">
        <v>0.83333333333333304</v>
      </c>
      <c r="E21" s="54">
        <v>0.84375</v>
      </c>
      <c r="F21" s="55" t="str">
        <f>IF(R21="","",HOUR(INDEX(MATCHER!$C$5:$C$504,R21))&amp;":"&amp;IF(MINUTE(INDEX(MATCHER!$C$5:$C$504,R21))&lt;10,"0","")&amp;MINUTE(INDEX(MATCHER!$C$5:$C$504,R21))&amp;" "&amp;INDEX(MATCHER!$H$5:$H$504,R21)&amp;" – "&amp;INDEX(MATCHER!$I$5:$I$504,R21))&amp;IF(S21="",""," | "&amp;HOUR(INDEX(MATCHER!$C$5:$C$504,S21))&amp;":"&amp;IF(MINUTE(INDEX(MATCHER!$C$5:$C$504,S21))&lt;10,"0","")&amp;MINUTE(INDEX(MATCHER!$C$5:$C$504,S21))&amp;" "&amp;INDEX(MATCHER!$H$5:$H$504,S21)&amp;" – "&amp;INDEX(MATCHER!$I$5:$I$504,S21))&amp;IF(T21="",""," | "&amp;HOUR(INDEX(MATCHER!$C$5:$C$504,T21))&amp;":"&amp;IF(MINUTE(INDEX(MATCHER!$C$5:$C$504,T21))&lt;10,"0","")&amp;MINUTE(INDEX(MATCHER!$C$5:$C$504,T21))&amp;" "&amp;INDEX(MATCHER!$H$5:$H$504,T21)&amp;" – "&amp;INDEX(MATCHER!$I$5:$I$504,T21))&amp;IF(AF21="",""," | "&amp;HOUR(INDEX(MATCHER!$C$5:$C$504,AF21))&amp;":"&amp;IF(MINUTE(INDEX(MATCHER!$C$5:$C$504,AF21))&lt;10,"0","")&amp;MINUTE(INDEX(MATCHER!$C$5:$C$504,AF21))&amp;" "&amp;INDEX(MATCHER!$H$5:$H$504,AF21)&amp;" – "&amp;INDEX(MATCHER!$I$5:$I$504,AF21))</f>
        <v/>
      </c>
      <c r="G21" s="55" t="str">
        <f>MID(IF(R21="","",IF(OR(INDEX(MATCHER!$J$5:$J$504,R21)=""),""," / "&amp;INDEX(MATCHER!$J$5:$J$504,R21)))&amp;IF(S21="","",IF(OR(INDEX(MATCHER!$J$5:$J$504,S21)="",INDEX(MATCHER!$J$5:$J$504,S21)=IFERROR(INDEX(MATCHER!$J$5:$J$504,R21),"")),""," / "&amp;INDEX(MATCHER!$J$5:$J$504,S21)))&amp;IF(T21="","",IF(OR(INDEX(MATCHER!$J$5:$J$504,T21)="",INDEX(MATCHER!$J$5:$J$504,T21)=IFERROR(INDEX(MATCHER!$J$5:$J$504,R21),""),INDEX(MATCHER!$J$5:$J$504,T21)=IFERROR(INDEX(MATCHER!$J$5:$J$504,S21),"")),""," / "&amp;INDEX(MATCHER!$J$5:$J$504,T21)))&amp;IF(AF21="","",IF(OR(INDEX(MATCHER!$J$5:$J$504,AF21)="",INDEX(MATCHER!$J$5:$J$504,AF21)=IFERROR(INDEX(MATCHER!$J$5:$J$504,R21),""),INDEX(MATCHER!$J$5:$J$504,AF21)=IFERROR(INDEX(MATCHER!$J$5:$J$504,S21),""),INDEX(MATCHER!$J$5:$J$504,AF21)=IFERROR(INDEX(MATCHER!$J$5:$J$504,T21),"")),""," / "&amp;INDEX(MATCHER!$J$5:$J$504,AF21))),4,1000)</f>
        <v/>
      </c>
      <c r="H21" s="55" t="str">
        <f t="shared" si="7"/>
        <v>F19</v>
      </c>
      <c r="I21" s="56" t="s">
        <v>87</v>
      </c>
      <c r="J21" s="57"/>
      <c r="K21" s="58"/>
      <c r="L21" s="59"/>
      <c r="M21" s="60" t="str">
        <f>IF(O21&lt;&gt;O20,MAX(1,MIN(AA21,ROUNDUP(SUMPRODUCT(($O$5:$O$546=O21)*($I$5:$I$546="Ja")*($E$5:$E$546-$D$5:$D$546))*24/REGLER!$B$8,0))),"")</f>
        <v/>
      </c>
      <c r="N21" s="60" t="str">
        <f t="shared" si="0"/>
        <v>Ej öppet</v>
      </c>
      <c r="O21" s="15" t="s">
        <v>89</v>
      </c>
      <c r="P21" s="16">
        <v>0.5</v>
      </c>
      <c r="Q21" s="16">
        <v>0.84375</v>
      </c>
      <c r="R21" s="15" t="str">
        <f>IFERROR(MATCH(1,INDEX((MATCHER!$B$5:$B$504=A21)*(MATCHER!$D$5:$D$504=C21)*(MATCHER!$K$5:$K$504="Ja")*(MATCHER!$C$5:$C$504&lt;E21)*(MATCHER!$M$5:$M$504&gt;D21),0),0),"")</f>
        <v/>
      </c>
      <c r="S21" s="15" t="str">
        <f>IF(R21="","",IFERROR(MATCH(1,INDEX((MATCHER!$B$5:$B$504=A21)*(MATCHER!$D$5:$D$504=C21)*(MATCHER!$K$5:$K$504="Ja")*(MATCHER!$C$5:$C$504&lt;E21)*(MATCHER!$M$5:$M$504&gt;D21)*(ROW(MATCHER!$A$5:$A$504)-ROW(MATCHER!$A$5)+1&gt;R21),0),0),""))</f>
        <v/>
      </c>
      <c r="T21" s="15" t="str">
        <f>IF(S21="","",IFERROR(MATCH(1,INDEX((MATCHER!$B$5:$B$504=A21)*(MATCHER!$D$5:$D$504=C21)*(MATCHER!$K$5:$K$504="Ja")*(MATCHER!$C$5:$C$504&lt;E21)*(MATCHER!$M$5:$M$504&gt;D21)*(ROW(MATCHER!$A$5:$A$504)-ROW(MATCHER!$A$5)+1&gt;S21),0),0),""))</f>
        <v/>
      </c>
      <c r="U21" s="15" t="str">
        <f t="shared" si="1"/>
        <v/>
      </c>
      <c r="V21" s="15" t="str">
        <f>IF(OR(I21&lt;&gt;"Ja",J21=""),"",COUNTIFS($O$5:O21,O21,$U$5:U21,1))</f>
        <v/>
      </c>
      <c r="W21" s="15" t="str">
        <f t="shared" si="2"/>
        <v/>
      </c>
      <c r="X21" s="16" t="str">
        <f t="shared" si="3"/>
        <v/>
      </c>
      <c r="Y21" s="15">
        <f>IF(OR(I21&lt;&gt;"Ja",J21=""),0,IF(COUNTIFS($O$5:O21,O21,$I$5:I21,"Ja",$J$5:J21,"&lt;&gt;")=1,1,0))</f>
        <v>0</v>
      </c>
      <c r="Z21" s="15">
        <f>IF(OR(I21&lt;&gt;"Ja",J21=""),0,IF(COUNTIFS(O21:$O$546,O21,I21:$I$546,"Ja",J21:$J$546,"&lt;&gt;")=1,1,0))</f>
        <v>0</v>
      </c>
      <c r="AA21" s="15">
        <f t="shared" si="8"/>
        <v>1</v>
      </c>
      <c r="AB21" s="15" t="str">
        <f>IF(U21&lt;&gt;1,"",COUNTIF($U$5:U21,1))</f>
        <v/>
      </c>
      <c r="AC21" s="15" t="str">
        <f t="shared" si="4"/>
        <v/>
      </c>
      <c r="AD21" s="15" t="str">
        <f t="shared" si="5"/>
        <v>Vanligt café</v>
      </c>
      <c r="AE21" s="15" t="str">
        <f t="shared" si="6"/>
        <v/>
      </c>
      <c r="AF21" t="str">
        <f>IF(T21="","",IFERROR(MATCH(1,INDEX((MATCHER!$B$5:$B$504=A21)*(MATCHER!$D$5:$D$504=C21)*(MATCHER!$K$5:$K$504="Ja")*(MATCHER!$C$5:$C$504&lt;E21)*(MATCHER!$M$5:$M$504&gt;D21)*(ROW(MATCHER!$A$5:$A$504)-ROW(MATCHER!$A$5)+1&gt;T21),0),0),""))</f>
        <v/>
      </c>
    </row>
    <row r="22" spans="1:32" ht="26">
      <c r="A22" s="61">
        <v>46285</v>
      </c>
      <c r="B22" s="62" t="s">
        <v>92</v>
      </c>
      <c r="C22" s="62" t="s">
        <v>86</v>
      </c>
      <c r="D22" s="63">
        <v>0.33333333333333298</v>
      </c>
      <c r="E22" s="63">
        <v>0.35416666666666702</v>
      </c>
      <c r="F22" s="64" t="str">
        <f>IF(R22="","",HOUR(INDEX(MATCHER!$C$5:$C$504,R22))&amp;":"&amp;IF(MINUTE(INDEX(MATCHER!$C$5:$C$504,R22))&lt;10,"0","")&amp;MINUTE(INDEX(MATCHER!$C$5:$C$504,R22))&amp;" "&amp;INDEX(MATCHER!$H$5:$H$504,R22)&amp;" – "&amp;INDEX(MATCHER!$I$5:$I$504,R22))&amp;IF(S22="",""," | "&amp;HOUR(INDEX(MATCHER!$C$5:$C$504,S22))&amp;":"&amp;IF(MINUTE(INDEX(MATCHER!$C$5:$C$504,S22))&lt;10,"0","")&amp;MINUTE(INDEX(MATCHER!$C$5:$C$504,S22))&amp;" "&amp;INDEX(MATCHER!$H$5:$H$504,S22)&amp;" – "&amp;INDEX(MATCHER!$I$5:$I$504,S22))&amp;IF(T22="",""," | "&amp;HOUR(INDEX(MATCHER!$C$5:$C$504,T22))&amp;":"&amp;IF(MINUTE(INDEX(MATCHER!$C$5:$C$504,T22))&lt;10,"0","")&amp;MINUTE(INDEX(MATCHER!$C$5:$C$504,T22))&amp;" "&amp;INDEX(MATCHER!$H$5:$H$504,T22)&amp;" – "&amp;INDEX(MATCHER!$I$5:$I$504,T22))&amp;IF(AF22="",""," | "&amp;HOUR(INDEX(MATCHER!$C$5:$C$504,AF22))&amp;":"&amp;IF(MINUTE(INDEX(MATCHER!$C$5:$C$504,AF22))&lt;10,"0","")&amp;MINUTE(INDEX(MATCHER!$C$5:$C$504,AF22))&amp;" "&amp;INDEX(MATCHER!$H$5:$H$504,AF22)&amp;" – "&amp;INDEX(MATCHER!$I$5:$I$504,AF22))</f>
        <v/>
      </c>
      <c r="G22" s="64" t="str">
        <f>MID(IF(R22="","",IF(OR(INDEX(MATCHER!$J$5:$J$504,R22)=""),""," / "&amp;INDEX(MATCHER!$J$5:$J$504,R22)))&amp;IF(S22="","",IF(OR(INDEX(MATCHER!$J$5:$J$504,S22)="",INDEX(MATCHER!$J$5:$J$504,S22)=IFERROR(INDEX(MATCHER!$J$5:$J$504,R22),"")),""," / "&amp;INDEX(MATCHER!$J$5:$J$504,S22)))&amp;IF(T22="","",IF(OR(INDEX(MATCHER!$J$5:$J$504,T22)="",INDEX(MATCHER!$J$5:$J$504,T22)=IFERROR(INDEX(MATCHER!$J$5:$J$504,R22),""),INDEX(MATCHER!$J$5:$J$504,T22)=IFERROR(INDEX(MATCHER!$J$5:$J$504,S22),"")),""," / "&amp;INDEX(MATCHER!$J$5:$J$504,T22)))&amp;IF(AF22="","",IF(OR(INDEX(MATCHER!$J$5:$J$504,AF22)="",INDEX(MATCHER!$J$5:$J$504,AF22)=IFERROR(INDEX(MATCHER!$J$5:$J$504,R22),""),INDEX(MATCHER!$J$5:$J$504,AF22)=IFERROR(INDEX(MATCHER!$J$5:$J$504,S22),""),INDEX(MATCHER!$J$5:$J$504,AF22)=IFERROR(INDEX(MATCHER!$J$5:$J$504,T22),"")),""," / "&amp;INDEX(MATCHER!$J$5:$J$504,AF22))),4,1000)</f>
        <v/>
      </c>
      <c r="H22" s="64" t="str">
        <f>MID(IF(COUNTIFS(MATCHER!$B$5:$B$504,A22,MATCHER!$D$5:$D$504,C22,MATCHER!$J$5:$J$504,REGLER!$I$6,MATCHER!$K$5:$K$504,"Ja")+COUNTIFS(MATCHER!$B$5:$B$504,A22,MATCHER!$D$5:$D$504,C22,MATCHER!$J$5:$J$504,REGLER!$I$6&amp;" 2",MATCHER!$K$5:$K$504,"Ja")&gt;0,", "&amp;REGLER!$I$6,"")&amp;IF(COUNTIFS(MATCHER!$B$5:$B$504,A22,MATCHER!$D$5:$D$504,C22,MATCHER!$J$5:$J$504,REGLER!$I$7,MATCHER!$K$5:$K$504,"Ja")+COUNTIFS(MATCHER!$B$5:$B$504,A22,MATCHER!$D$5:$D$504,C22,MATCHER!$J$5:$J$504,REGLER!$I$7&amp;" 2",MATCHER!$K$5:$K$504,"Ja")&gt;0,", "&amp;REGLER!$I$7,"")&amp;IF(COUNTIFS(MATCHER!$B$5:$B$504,A22,MATCHER!$D$5:$D$504,C22,MATCHER!$J$5:$J$504,REGLER!$I$8,MATCHER!$K$5:$K$504,"Ja")+COUNTIFS(MATCHER!$B$5:$B$504,A22,MATCHER!$D$5:$D$504,C22,MATCHER!$J$5:$J$504,REGLER!$I$8&amp;" 2",MATCHER!$K$5:$K$504,"Ja")&gt;0,", "&amp;REGLER!$I$8,"")&amp;IF(COUNTIFS(MATCHER!$B$5:$B$504,A22,MATCHER!$D$5:$D$504,C22,MATCHER!$J$5:$J$504,REGLER!$I$9,MATCHER!$K$5:$K$504,"Ja")+COUNTIFS(MATCHER!$B$5:$B$504,A22,MATCHER!$D$5:$D$504,C22,MATCHER!$J$5:$J$504,REGLER!$I$9&amp;" 2",MATCHER!$K$5:$K$504,"Ja")&gt;0,", "&amp;REGLER!$I$9,"")&amp;IF(COUNTIFS(MATCHER!$B$5:$B$504,A22,MATCHER!$D$5:$D$504,C22,MATCHER!$J$5:$J$504,REGLER!$I$10,MATCHER!$K$5:$K$504,"Ja")+COUNTIFS(MATCHER!$B$5:$B$504,A22,MATCHER!$D$5:$D$504,C22,MATCHER!$J$5:$J$504,REGLER!$I$10&amp;" 2",MATCHER!$K$5:$K$504,"Ja")&gt;0,", "&amp;REGLER!$I$10,"")&amp;IF(COUNTIFS(MATCHER!$B$5:$B$504,A22,MATCHER!$D$5:$D$504,C22,MATCHER!$J$5:$J$504,REGLER!$I$11,MATCHER!$K$5:$K$504,"Ja")+COUNTIFS(MATCHER!$B$5:$B$504,A22,MATCHER!$D$5:$D$504,C22,MATCHER!$J$5:$J$504,REGLER!$I$11&amp;" 2",MATCHER!$K$5:$K$504,"Ja")&gt;0,", "&amp;REGLER!$I$11,"")&amp;IF(COUNTIFS(MATCHER!$B$5:$B$504,A22,MATCHER!$D$5:$D$504,C22,MATCHER!$J$5:$J$504,REGLER!$I$12,MATCHER!$K$5:$K$504,"Ja")+COUNTIFS(MATCHER!$B$5:$B$504,A22,MATCHER!$D$5:$D$504,C22,MATCHER!$J$5:$J$504,REGLER!$I$12&amp;" 2",MATCHER!$K$5:$K$504,"Ja")&gt;0,", "&amp;REGLER!$I$12,"")&amp;IF(COUNTIFS(MATCHER!$B$5:$B$504,A22,MATCHER!$D$5:$D$504,C22,MATCHER!$J$5:$J$504,REGLER!$I$13,MATCHER!$K$5:$K$504,"Ja")+COUNTIFS(MATCHER!$B$5:$B$504,A22,MATCHER!$D$5:$D$504,C22,MATCHER!$J$5:$J$504,REGLER!$I$13&amp;" 2",MATCHER!$K$5:$K$504,"Ja")&gt;0,", "&amp;REGLER!$I$13,"")&amp;IF(COUNTIFS(MATCHER!$B$5:$B$504,A22,MATCHER!$D$5:$D$504,C22,MATCHER!$J$5:$J$504,REGLER!$I$14,MATCHER!$K$5:$K$504,"Ja")+COUNTIFS(MATCHER!$B$5:$B$504,A22,MATCHER!$D$5:$D$504,C22,MATCHER!$J$5:$J$504,REGLER!$I$14&amp;" 2",MATCHER!$K$5:$K$504,"Ja")&gt;0,", "&amp;REGLER!$I$14,"")&amp;IF(COUNTIFS(MATCHER!$B$5:$B$504,A22,MATCHER!$D$5:$D$504,C22,MATCHER!$J$5:$J$504,REGLER!$I$15,MATCHER!$K$5:$K$504,"Ja")+COUNTIFS(MATCHER!$B$5:$B$504,A22,MATCHER!$D$5:$D$504,C22,MATCHER!$J$5:$J$504,REGLER!$I$15&amp;" 2",MATCHER!$K$5:$K$504,"Ja")&gt;0,", "&amp;REGLER!$I$15,"")&amp;IF(COUNTIFS(MATCHER!$B$5:$B$504,A22,MATCHER!$D$5:$D$504,C22,MATCHER!$J$5:$J$504,REGLER!$I$16,MATCHER!$K$5:$K$504,"Ja")+COUNTIFS(MATCHER!$B$5:$B$504,A22,MATCHER!$D$5:$D$504,C22,MATCHER!$J$5:$J$504,REGLER!$I$16&amp;" 2",MATCHER!$K$5:$K$504,"Ja")&gt;0,", "&amp;REGLER!$I$16,"")&amp;IF(COUNTIFS(MATCHER!$B$5:$B$504,A22,MATCHER!$D$5:$D$504,C22,MATCHER!$J$5:$J$504,REGLER!$I$17,MATCHER!$K$5:$K$504,"Ja")+COUNTIFS(MATCHER!$B$5:$B$504,A22,MATCHER!$D$5:$D$504,C22,MATCHER!$J$5:$J$504,REGLER!$I$17&amp;" 2",MATCHER!$K$5:$K$504,"Ja")&gt;0,", "&amp;REGLER!$I$17,"")&amp;IF(COUNTIFS(MATCHER!$B$5:$B$504,A22,MATCHER!$D$5:$D$504,C22,MATCHER!$J$5:$J$504,REGLER!$I$18,MATCHER!$K$5:$K$504,"Ja")+COUNTIFS(MATCHER!$B$5:$B$504,A22,MATCHER!$D$5:$D$504,C22,MATCHER!$J$5:$J$504,REGLER!$I$18&amp;" 2",MATCHER!$K$5:$K$504,"Ja")&gt;0,", "&amp;REGLER!$I$18,"")&amp;IF(COUNTIFS(MATCHER!$B$5:$B$504,A22,MATCHER!$D$5:$D$504,C22,MATCHER!$J$5:$J$504,REGLER!$I$19,MATCHER!$K$5:$K$504,"Ja")+COUNTIFS(MATCHER!$B$5:$B$504,A22,MATCHER!$D$5:$D$504,C22,MATCHER!$J$5:$J$504,REGLER!$I$19&amp;" 2",MATCHER!$K$5:$K$504,"Ja")&gt;0,", "&amp;REGLER!$I$19,"")&amp;IF(COUNTIFS(MATCHER!$B$5:$B$504,A22,MATCHER!$D$5:$D$504,C22,MATCHER!$J$5:$J$504,REGLER!$I$20,MATCHER!$K$5:$K$504,"Ja")+COUNTIFS(MATCHER!$B$5:$B$504,A22,MATCHER!$D$5:$D$504,C22,MATCHER!$J$5:$J$504,REGLER!$I$20&amp;" 2",MATCHER!$K$5:$K$504,"Ja")&gt;0,", "&amp;REGLER!$I$20,"")&amp;IF(COUNTIFS(MATCHER!$B$5:$B$504,A22,MATCHER!$D$5:$D$504,C22,MATCHER!$J$5:$J$504,REGLER!$I$21,MATCHER!$K$5:$K$504,"Ja")+COUNTIFS(MATCHER!$B$5:$B$504,A22,MATCHER!$D$5:$D$504,C22,MATCHER!$J$5:$J$504,REGLER!$I$21&amp;" 2",MATCHER!$K$5:$K$504,"Ja")&gt;0,", "&amp;REGLER!$I$21,"")&amp;IF(COUNTIFS(MATCHER!$B$5:$B$504,A22,MATCHER!$D$5:$D$504,C22,MATCHER!$J$5:$J$504,REGLER!$I$22,MATCHER!$K$5:$K$504,"Ja")+COUNTIFS(MATCHER!$B$5:$B$504,A22,MATCHER!$D$5:$D$504,C22,MATCHER!$J$5:$J$504,REGLER!$I$22&amp;" 2",MATCHER!$K$5:$K$504,"Ja")&gt;0,", "&amp;REGLER!$I$22,"")&amp;IF(COUNTIFS(MATCHER!$B$5:$B$504,A22,MATCHER!$D$5:$D$504,C22,MATCHER!$J$5:$J$504,REGLER!$I$23,MATCHER!$K$5:$K$504,"Ja")+COUNTIFS(MATCHER!$B$5:$B$504,A22,MATCHER!$D$5:$D$504,C22,MATCHER!$J$5:$J$504,REGLER!$I$23&amp;" 2",MATCHER!$K$5:$K$504,"Ja")&gt;0,", "&amp;REGLER!$I$23,"")&amp;IF(COUNTIFS(MATCHER!$B$5:$B$504,A22,MATCHER!$D$5:$D$504,C22,MATCHER!$J$5:$J$504,REGLER!$I$24,MATCHER!$K$5:$K$504,"Ja")+COUNTIFS(MATCHER!$B$5:$B$504,A22,MATCHER!$D$5:$D$504,C22,MATCHER!$J$5:$J$504,REGLER!$I$24&amp;" 2",MATCHER!$K$5:$K$504,"Ja")&gt;0,", "&amp;REGLER!$I$24,"")&amp;IF(COUNTIFS(MATCHER!$B$5:$B$504,A22,MATCHER!$D$5:$D$504,C22,MATCHER!$J$5:$J$504,REGLER!$I$25,MATCHER!$K$5:$K$504,"Ja")+COUNTIFS(MATCHER!$B$5:$B$504,A22,MATCHER!$D$5:$D$504,C22,MATCHER!$J$5:$J$504,REGLER!$I$25&amp;" 2",MATCHER!$K$5:$K$504,"Ja")&gt;0,", "&amp;REGLER!$I$25,"")&amp;IF(COUNTIFS(MATCHER!$B$5:$B$504,A22,MATCHER!$D$5:$D$504,C22,MATCHER!$J$5:$J$504,REGLER!$I$26,MATCHER!$K$5:$K$504,"Ja")+COUNTIFS(MATCHER!$B$5:$B$504,A22,MATCHER!$D$5:$D$504,C22,MATCHER!$J$5:$J$504,REGLER!$I$26&amp;" 2",MATCHER!$K$5:$K$504,"Ja")&gt;0,", "&amp;REGLER!$I$26,""),3,1000)</f>
        <v>F19</v>
      </c>
      <c r="I22" s="65" t="s">
        <v>87</v>
      </c>
      <c r="J22" s="66"/>
      <c r="K22" s="67" t="s">
        <v>88</v>
      </c>
      <c r="L22" s="68"/>
      <c r="M22" s="69">
        <f>IF(O22&lt;&gt;O21,MAX(1,MIN(AA22,ROUNDUP(SUMPRODUCT(($O$5:$O$546=O22)*($I$5:$I$546="Ja")*($E$5:$E$546-$D$5:$D$546))*24/REGLER!$B$8,0))),"")</f>
        <v>1</v>
      </c>
      <c r="N22" s="70" t="str">
        <f t="shared" si="0"/>
        <v>Ej öppet</v>
      </c>
      <c r="O22" s="15" t="s">
        <v>93</v>
      </c>
      <c r="P22" s="16">
        <v>0.33333333333333298</v>
      </c>
      <c r="Q22" s="16">
        <v>0.67708333333333304</v>
      </c>
      <c r="R22" s="15" t="str">
        <f>IFERROR(MATCH(1,INDEX((MATCHER!$B$5:$B$504=A22)*(MATCHER!$D$5:$D$504=C22)*(MATCHER!$K$5:$K$504="Ja")*(MATCHER!$C$5:$C$504&lt;E22)*(MATCHER!$M$5:$M$504&gt;D22),0),0),"")</f>
        <v/>
      </c>
      <c r="S22" s="15" t="str">
        <f>IF(R22="","",IFERROR(MATCH(1,INDEX((MATCHER!$B$5:$B$504=A22)*(MATCHER!$D$5:$D$504=C22)*(MATCHER!$K$5:$K$504="Ja")*(MATCHER!$C$5:$C$504&lt;E22)*(MATCHER!$M$5:$M$504&gt;D22)*(ROW(MATCHER!$A$5:$A$504)-ROW(MATCHER!$A$5)+1&gt;R22),0),0),""))</f>
        <v/>
      </c>
      <c r="T22" s="15" t="str">
        <f>IF(S22="","",IFERROR(MATCH(1,INDEX((MATCHER!$B$5:$B$504=A22)*(MATCHER!$D$5:$D$504=C22)*(MATCHER!$K$5:$K$504="Ja")*(MATCHER!$C$5:$C$504&lt;E22)*(MATCHER!$M$5:$M$504&gt;D22)*(ROW(MATCHER!$A$5:$A$504)-ROW(MATCHER!$A$5)+1&gt;S22),0),0),""))</f>
        <v/>
      </c>
      <c r="U22" s="15" t="str">
        <f t="shared" si="1"/>
        <v/>
      </c>
      <c r="V22" s="15" t="str">
        <f>IF(OR(I22&lt;&gt;"Ja",J22=""),"",COUNTIFS($O$5:O22,O22,$U$5:U22,1))</f>
        <v/>
      </c>
      <c r="W22" s="15" t="str">
        <f t="shared" si="2"/>
        <v/>
      </c>
      <c r="X22" s="16" t="str">
        <f t="shared" si="3"/>
        <v/>
      </c>
      <c r="Y22" s="15">
        <f>IF(OR(I22&lt;&gt;"Ja",J22=""),0,IF(COUNTIFS($O$5:O22,O22,$I$5:I22,"Ja",$J$5:J22,"&lt;&gt;")=1,1,0))</f>
        <v>0</v>
      </c>
      <c r="Z22" s="15">
        <f>IF(OR(I22&lt;&gt;"Ja",J22=""),0,IF(COUNTIFS(O22:$O$546,O22,I22:$I$546,"Ja",J22:$J$546,"&lt;&gt;")=1,1,0))</f>
        <v>0</v>
      </c>
      <c r="AA22" s="15">
        <f>IF(COUNTIFS(MATCHER!$B$5:$B$504,A22,MATCHER!$D$5:$D$504,C22,MATCHER!$J$5:$J$504,REGLER!$I$6,MATCHER!$K$5:$K$504,"Ja")+COUNTIFS(MATCHER!$B$5:$B$504,A22,MATCHER!$D$5:$D$504,C22,MATCHER!$J$5:$J$504,REGLER!$I$6&amp;" 2",MATCHER!$K$5:$K$504,"Ja")&gt;0,1,0)+IF(COUNTIFS(MATCHER!$B$5:$B$504,A22,MATCHER!$D$5:$D$504,C22,MATCHER!$J$5:$J$504,REGLER!$I$7,MATCHER!$K$5:$K$504,"Ja")+COUNTIFS(MATCHER!$B$5:$B$504,A22,MATCHER!$D$5:$D$504,C22,MATCHER!$J$5:$J$504,REGLER!$I$7&amp;" 2",MATCHER!$K$5:$K$504,"Ja")&gt;0,1,0)+IF(COUNTIFS(MATCHER!$B$5:$B$504,A22,MATCHER!$D$5:$D$504,C22,MATCHER!$J$5:$J$504,REGLER!$I$8,MATCHER!$K$5:$K$504,"Ja")+COUNTIFS(MATCHER!$B$5:$B$504,A22,MATCHER!$D$5:$D$504,C22,MATCHER!$J$5:$J$504,REGLER!$I$8&amp;" 2",MATCHER!$K$5:$K$504,"Ja")&gt;0,1,0)+IF(COUNTIFS(MATCHER!$B$5:$B$504,A22,MATCHER!$D$5:$D$504,C22,MATCHER!$J$5:$J$504,REGLER!$I$9,MATCHER!$K$5:$K$504,"Ja")+COUNTIFS(MATCHER!$B$5:$B$504,A22,MATCHER!$D$5:$D$504,C22,MATCHER!$J$5:$J$504,REGLER!$I$9&amp;" 2",MATCHER!$K$5:$K$504,"Ja")&gt;0,1,0)+IF(COUNTIFS(MATCHER!$B$5:$B$504,A22,MATCHER!$D$5:$D$504,C22,MATCHER!$J$5:$J$504,REGLER!$I$10,MATCHER!$K$5:$K$504,"Ja")+COUNTIFS(MATCHER!$B$5:$B$504,A22,MATCHER!$D$5:$D$504,C22,MATCHER!$J$5:$J$504,REGLER!$I$10&amp;" 2",MATCHER!$K$5:$K$504,"Ja")&gt;0,1,0)+IF(COUNTIFS(MATCHER!$B$5:$B$504,A22,MATCHER!$D$5:$D$504,C22,MATCHER!$J$5:$J$504,REGLER!$I$11,MATCHER!$K$5:$K$504,"Ja")+COUNTIFS(MATCHER!$B$5:$B$504,A22,MATCHER!$D$5:$D$504,C22,MATCHER!$J$5:$J$504,REGLER!$I$11&amp;" 2",MATCHER!$K$5:$K$504,"Ja")&gt;0,1,0)+IF(COUNTIFS(MATCHER!$B$5:$B$504,A22,MATCHER!$D$5:$D$504,C22,MATCHER!$J$5:$J$504,REGLER!$I$12,MATCHER!$K$5:$K$504,"Ja")+COUNTIFS(MATCHER!$B$5:$B$504,A22,MATCHER!$D$5:$D$504,C22,MATCHER!$J$5:$J$504,REGLER!$I$12&amp;" 2",MATCHER!$K$5:$K$504,"Ja")&gt;0,1,0)+IF(COUNTIFS(MATCHER!$B$5:$B$504,A22,MATCHER!$D$5:$D$504,C22,MATCHER!$J$5:$J$504,REGLER!$I$13,MATCHER!$K$5:$K$504,"Ja")+COUNTIFS(MATCHER!$B$5:$B$504,A22,MATCHER!$D$5:$D$504,C22,MATCHER!$J$5:$J$504,REGLER!$I$13&amp;" 2",MATCHER!$K$5:$K$504,"Ja")&gt;0,1,0)+IF(COUNTIFS(MATCHER!$B$5:$B$504,A22,MATCHER!$D$5:$D$504,C22,MATCHER!$J$5:$J$504,REGLER!$I$14,MATCHER!$K$5:$K$504,"Ja")+COUNTIFS(MATCHER!$B$5:$B$504,A22,MATCHER!$D$5:$D$504,C22,MATCHER!$J$5:$J$504,REGLER!$I$14&amp;" 2",MATCHER!$K$5:$K$504,"Ja")&gt;0,1,0)+IF(COUNTIFS(MATCHER!$B$5:$B$504,A22,MATCHER!$D$5:$D$504,C22,MATCHER!$J$5:$J$504,REGLER!$I$15,MATCHER!$K$5:$K$504,"Ja")+COUNTIFS(MATCHER!$B$5:$B$504,A22,MATCHER!$D$5:$D$504,C22,MATCHER!$J$5:$J$504,REGLER!$I$15&amp;" 2",MATCHER!$K$5:$K$504,"Ja")&gt;0,1,0)+IF(COUNTIFS(MATCHER!$B$5:$B$504,A22,MATCHER!$D$5:$D$504,C22,MATCHER!$J$5:$J$504,REGLER!$I$16,MATCHER!$K$5:$K$504,"Ja")+COUNTIFS(MATCHER!$B$5:$B$504,A22,MATCHER!$D$5:$D$504,C22,MATCHER!$J$5:$J$504,REGLER!$I$16&amp;" 2",MATCHER!$K$5:$K$504,"Ja")&gt;0,1,0)+IF(COUNTIFS(MATCHER!$B$5:$B$504,A22,MATCHER!$D$5:$D$504,C22,MATCHER!$J$5:$J$504,REGLER!$I$17,MATCHER!$K$5:$K$504,"Ja")+COUNTIFS(MATCHER!$B$5:$B$504,A22,MATCHER!$D$5:$D$504,C22,MATCHER!$J$5:$J$504,REGLER!$I$17&amp;" 2",MATCHER!$K$5:$K$504,"Ja")&gt;0,1,0)+IF(COUNTIFS(MATCHER!$B$5:$B$504,A22,MATCHER!$D$5:$D$504,C22,MATCHER!$J$5:$J$504,REGLER!$I$18,MATCHER!$K$5:$K$504,"Ja")+COUNTIFS(MATCHER!$B$5:$B$504,A22,MATCHER!$D$5:$D$504,C22,MATCHER!$J$5:$J$504,REGLER!$I$18&amp;" 2",MATCHER!$K$5:$K$504,"Ja")&gt;0,1,0)+IF(COUNTIFS(MATCHER!$B$5:$B$504,A22,MATCHER!$D$5:$D$504,C22,MATCHER!$J$5:$J$504,REGLER!$I$19,MATCHER!$K$5:$K$504,"Ja")+COUNTIFS(MATCHER!$B$5:$B$504,A22,MATCHER!$D$5:$D$504,C22,MATCHER!$J$5:$J$504,REGLER!$I$19&amp;" 2",MATCHER!$K$5:$K$504,"Ja")&gt;0,1,0)+IF(COUNTIFS(MATCHER!$B$5:$B$504,A22,MATCHER!$D$5:$D$504,C22,MATCHER!$J$5:$J$504,REGLER!$I$20,MATCHER!$K$5:$K$504,"Ja")+COUNTIFS(MATCHER!$B$5:$B$504,A22,MATCHER!$D$5:$D$504,C22,MATCHER!$J$5:$J$504,REGLER!$I$20&amp;" 2",MATCHER!$K$5:$K$504,"Ja")&gt;0,1,0)+IF(COUNTIFS(MATCHER!$B$5:$B$504,A22,MATCHER!$D$5:$D$504,C22,MATCHER!$J$5:$J$504,REGLER!$I$21,MATCHER!$K$5:$K$504,"Ja")+COUNTIFS(MATCHER!$B$5:$B$504,A22,MATCHER!$D$5:$D$504,C22,MATCHER!$J$5:$J$504,REGLER!$I$21&amp;" 2",MATCHER!$K$5:$K$504,"Ja")&gt;0,1,0)+IF(COUNTIFS(MATCHER!$B$5:$B$504,A22,MATCHER!$D$5:$D$504,C22,MATCHER!$J$5:$J$504,REGLER!$I$22,MATCHER!$K$5:$K$504,"Ja")+COUNTIFS(MATCHER!$B$5:$B$504,A22,MATCHER!$D$5:$D$504,C22,MATCHER!$J$5:$J$504,REGLER!$I$22&amp;" 2",MATCHER!$K$5:$K$504,"Ja")&gt;0,1,0)+IF(COUNTIFS(MATCHER!$B$5:$B$504,A22,MATCHER!$D$5:$D$504,C22,MATCHER!$J$5:$J$504,REGLER!$I$23,MATCHER!$K$5:$K$504,"Ja")+COUNTIFS(MATCHER!$B$5:$B$504,A22,MATCHER!$D$5:$D$504,C22,MATCHER!$J$5:$J$504,REGLER!$I$23&amp;" 2",MATCHER!$K$5:$K$504,"Ja")&gt;0,1,0)+IF(COUNTIFS(MATCHER!$B$5:$B$504,A22,MATCHER!$D$5:$D$504,C22,MATCHER!$J$5:$J$504,REGLER!$I$24,MATCHER!$K$5:$K$504,"Ja")+COUNTIFS(MATCHER!$B$5:$B$504,A22,MATCHER!$D$5:$D$504,C22,MATCHER!$J$5:$J$504,REGLER!$I$24&amp;" 2",MATCHER!$K$5:$K$504,"Ja")&gt;0,1,0)+IF(COUNTIFS(MATCHER!$B$5:$B$504,A22,MATCHER!$D$5:$D$504,C22,MATCHER!$J$5:$J$504,REGLER!$I$25,MATCHER!$K$5:$K$504,"Ja")+COUNTIFS(MATCHER!$B$5:$B$504,A22,MATCHER!$D$5:$D$504,C22,MATCHER!$J$5:$J$504,REGLER!$I$25&amp;" 2",MATCHER!$K$5:$K$504,"Ja")&gt;0,1,0)+IF(COUNTIFS(MATCHER!$B$5:$B$504,A22,MATCHER!$D$5:$D$504,C22,MATCHER!$J$5:$J$504,REGLER!$I$26,MATCHER!$K$5:$K$504,"Ja")+COUNTIFS(MATCHER!$B$5:$B$504,A22,MATCHER!$D$5:$D$504,C22,MATCHER!$J$5:$J$504,REGLER!$I$26&amp;" 2",MATCHER!$K$5:$K$504,"Ja")&gt;0,1,0)</f>
        <v>1</v>
      </c>
      <c r="AB22" s="15" t="str">
        <f>IF(U22&lt;&gt;1,"",COUNTIF($U$5:U22,1))</f>
        <v/>
      </c>
      <c r="AC22" s="15" t="str">
        <f t="shared" si="4"/>
        <v/>
      </c>
      <c r="AD22" s="15" t="str">
        <f t="shared" si="5"/>
        <v>Vanligt café</v>
      </c>
      <c r="AE22" s="15" t="str">
        <f t="shared" si="6"/>
        <v/>
      </c>
      <c r="AF22" t="str">
        <f>IF(T22="","",IFERROR(MATCH(1,INDEX((MATCHER!$B$5:$B$504=A22)*(MATCHER!$D$5:$D$504=C22)*(MATCHER!$K$5:$K$504="Ja")*(MATCHER!$C$5:$C$504&lt;E22)*(MATCHER!$M$5:$M$504&gt;D22)*(ROW(MATCHER!$A$5:$A$504)-ROW(MATCHER!$A$5)+1&gt;T22),0),0),""))</f>
        <v/>
      </c>
    </row>
    <row r="23" spans="1:32" ht="26">
      <c r="A23" s="42">
        <v>46285</v>
      </c>
      <c r="B23" s="43" t="s">
        <v>92</v>
      </c>
      <c r="C23" s="43" t="s">
        <v>86</v>
      </c>
      <c r="D23" s="44">
        <v>0.35416666666666702</v>
      </c>
      <c r="E23" s="44">
        <v>0.375</v>
      </c>
      <c r="F23" s="45" t="str">
        <f>IF(R23="","",HOUR(INDEX(MATCHER!$C$5:$C$504,R23))&amp;":"&amp;IF(MINUTE(INDEX(MATCHER!$C$5:$C$504,R23))&lt;10,"0","")&amp;MINUTE(INDEX(MATCHER!$C$5:$C$504,R23))&amp;" "&amp;INDEX(MATCHER!$H$5:$H$504,R23)&amp;" – "&amp;INDEX(MATCHER!$I$5:$I$504,R23))&amp;IF(S23="",""," | "&amp;HOUR(INDEX(MATCHER!$C$5:$C$504,S23))&amp;":"&amp;IF(MINUTE(INDEX(MATCHER!$C$5:$C$504,S23))&lt;10,"0","")&amp;MINUTE(INDEX(MATCHER!$C$5:$C$504,S23))&amp;" "&amp;INDEX(MATCHER!$H$5:$H$504,S23)&amp;" – "&amp;INDEX(MATCHER!$I$5:$I$504,S23))&amp;IF(T23="",""," | "&amp;HOUR(INDEX(MATCHER!$C$5:$C$504,T23))&amp;":"&amp;IF(MINUTE(INDEX(MATCHER!$C$5:$C$504,T23))&lt;10,"0","")&amp;MINUTE(INDEX(MATCHER!$C$5:$C$504,T23))&amp;" "&amp;INDEX(MATCHER!$H$5:$H$504,T23)&amp;" – "&amp;INDEX(MATCHER!$I$5:$I$504,T23))&amp;IF(AF23="",""," | "&amp;HOUR(INDEX(MATCHER!$C$5:$C$504,AF23))&amp;":"&amp;IF(MINUTE(INDEX(MATCHER!$C$5:$C$504,AF23))&lt;10,"0","")&amp;MINUTE(INDEX(MATCHER!$C$5:$C$504,AF23))&amp;" "&amp;INDEX(MATCHER!$H$5:$H$504,AF23)&amp;" – "&amp;INDEX(MATCHER!$I$5:$I$504,AF23))</f>
        <v/>
      </c>
      <c r="G23" s="45" t="str">
        <f>MID(IF(R23="","",IF(OR(INDEX(MATCHER!$J$5:$J$504,R23)=""),""," / "&amp;INDEX(MATCHER!$J$5:$J$504,R23)))&amp;IF(S23="","",IF(OR(INDEX(MATCHER!$J$5:$J$504,S23)="",INDEX(MATCHER!$J$5:$J$504,S23)=IFERROR(INDEX(MATCHER!$J$5:$J$504,R23),"")),""," / "&amp;INDEX(MATCHER!$J$5:$J$504,S23)))&amp;IF(T23="","",IF(OR(INDEX(MATCHER!$J$5:$J$504,T23)="",INDEX(MATCHER!$J$5:$J$504,T23)=IFERROR(INDEX(MATCHER!$J$5:$J$504,R23),""),INDEX(MATCHER!$J$5:$J$504,T23)=IFERROR(INDEX(MATCHER!$J$5:$J$504,S23),"")),""," / "&amp;INDEX(MATCHER!$J$5:$J$504,T23)))&amp;IF(AF23="","",IF(OR(INDEX(MATCHER!$J$5:$J$504,AF23)="",INDEX(MATCHER!$J$5:$J$504,AF23)=IFERROR(INDEX(MATCHER!$J$5:$J$504,R23),""),INDEX(MATCHER!$J$5:$J$504,AF23)=IFERROR(INDEX(MATCHER!$J$5:$J$504,S23),""),INDEX(MATCHER!$J$5:$J$504,AF23)=IFERROR(INDEX(MATCHER!$J$5:$J$504,T23),"")),""," / "&amp;INDEX(MATCHER!$J$5:$J$504,AF23))),4,1000)</f>
        <v/>
      </c>
      <c r="H23" s="45" t="str">
        <f t="shared" ref="H23:H38" si="9">H22</f>
        <v>F19</v>
      </c>
      <c r="I23" s="46" t="s">
        <v>90</v>
      </c>
      <c r="J23" s="47" t="s">
        <v>105</v>
      </c>
      <c r="K23" s="48"/>
      <c r="L23" s="49"/>
      <c r="M23" s="50" t="str">
        <f>IF(O23&lt;&gt;O22,MAX(1,MIN(AA23,ROUNDUP(SUMPRODUCT(($O$5:$O$546=O23)*($I$5:$I$546="Ja")*($E$5:$E$546-$D$5:$D$546))*24/REGLER!$B$8,0))),"")</f>
        <v/>
      </c>
      <c r="N23" s="50" t="str">
        <f t="shared" si="0"/>
        <v>Klar</v>
      </c>
      <c r="O23" s="15" t="s">
        <v>93</v>
      </c>
      <c r="P23" s="16">
        <v>0.33333333333333298</v>
      </c>
      <c r="Q23" s="16">
        <v>0.67708333333333304</v>
      </c>
      <c r="R23" s="15" t="str">
        <f>IFERROR(MATCH(1,INDEX((MATCHER!$B$5:$B$504=A23)*(MATCHER!$D$5:$D$504=C23)*(MATCHER!$K$5:$K$504="Ja")*(MATCHER!$C$5:$C$504&lt;E23)*(MATCHER!$M$5:$M$504&gt;D23),0),0),"")</f>
        <v/>
      </c>
      <c r="S23" s="15" t="str">
        <f>IF(R23="","",IFERROR(MATCH(1,INDEX((MATCHER!$B$5:$B$504=A23)*(MATCHER!$D$5:$D$504=C23)*(MATCHER!$K$5:$K$504="Ja")*(MATCHER!$C$5:$C$504&lt;E23)*(MATCHER!$M$5:$M$504&gt;D23)*(ROW(MATCHER!$A$5:$A$504)-ROW(MATCHER!$A$5)+1&gt;R23),0),0),""))</f>
        <v/>
      </c>
      <c r="T23" s="15" t="str">
        <f>IF(S23="","",IFERROR(MATCH(1,INDEX((MATCHER!$B$5:$B$504=A23)*(MATCHER!$D$5:$D$504=C23)*(MATCHER!$K$5:$K$504="Ja")*(MATCHER!$C$5:$C$504&lt;E23)*(MATCHER!$M$5:$M$504&gt;D23)*(ROW(MATCHER!$A$5:$A$504)-ROW(MATCHER!$A$5)+1&gt;S23),0),0),""))</f>
        <v/>
      </c>
      <c r="U23" s="15">
        <f t="shared" si="1"/>
        <v>1</v>
      </c>
      <c r="V23" s="15">
        <f>IF(OR(I23&lt;&gt;"Ja",J23=""),"",COUNTIFS($O$5:O23,O23,$U$5:U23,1))</f>
        <v>1</v>
      </c>
      <c r="W23" s="15" t="str">
        <f t="shared" si="2"/>
        <v>2026-09-20 | Ulriksdalshallen|1</v>
      </c>
      <c r="X23" s="16" t="str">
        <f t="shared" si="3"/>
        <v/>
      </c>
      <c r="Y23" s="15">
        <f>IF(OR(I23&lt;&gt;"Ja",J23=""),0,IF(COUNTIFS($O$5:O23,O23,$I$5:I23,"Ja",$J$5:J23,"&lt;&gt;")=1,1,0))</f>
        <v>1</v>
      </c>
      <c r="Z23" s="15">
        <f>IF(OR(I23&lt;&gt;"Ja",J23=""),0,IF(COUNTIFS(O23:$O$546,O23,I23:$I$546,"Ja",J23:$J$546,"&lt;&gt;")=1,1,0))</f>
        <v>0</v>
      </c>
      <c r="AA23" s="15">
        <f t="shared" ref="AA23:AA38" si="10">AA22</f>
        <v>1</v>
      </c>
      <c r="AB23" s="15">
        <f>IF(U23&lt;&gt;1,"",COUNTIF($U$5:U23,1))</f>
        <v>2</v>
      </c>
      <c r="AC23" s="15" t="str">
        <f t="shared" si="4"/>
        <v/>
      </c>
      <c r="AD23" s="15" t="str">
        <f t="shared" si="5"/>
        <v>Vanligt café</v>
      </c>
      <c r="AE23" s="15">
        <f t="shared" si="6"/>
        <v>7.749999999999984</v>
      </c>
      <c r="AF23" t="str">
        <f>IF(T23="","",IFERROR(MATCH(1,INDEX((MATCHER!$B$5:$B$504=A23)*(MATCHER!$D$5:$D$504=C23)*(MATCHER!$K$5:$K$504="Ja")*(MATCHER!$C$5:$C$504&lt;E23)*(MATCHER!$M$5:$M$504&gt;D23)*(ROW(MATCHER!$A$5:$A$504)-ROW(MATCHER!$A$5)+1&gt;T23),0),0),""))</f>
        <v/>
      </c>
    </row>
    <row r="24" spans="1:32" ht="26">
      <c r="A24" s="42">
        <v>46285</v>
      </c>
      <c r="B24" s="43" t="s">
        <v>92</v>
      </c>
      <c r="C24" s="43" t="s">
        <v>86</v>
      </c>
      <c r="D24" s="44">
        <v>0.375</v>
      </c>
      <c r="E24" s="44">
        <v>0.39583333333333298</v>
      </c>
      <c r="F24" s="45" t="str">
        <f>IF(R24="","",HOUR(INDEX(MATCHER!$C$5:$C$504,R24))&amp;":"&amp;IF(MINUTE(INDEX(MATCHER!$C$5:$C$504,R24))&lt;10,"0","")&amp;MINUTE(INDEX(MATCHER!$C$5:$C$504,R24))&amp;" "&amp;INDEX(MATCHER!$H$5:$H$504,R24)&amp;" – "&amp;INDEX(MATCHER!$I$5:$I$504,R24))&amp;IF(S24="",""," | "&amp;HOUR(INDEX(MATCHER!$C$5:$C$504,S24))&amp;":"&amp;IF(MINUTE(INDEX(MATCHER!$C$5:$C$504,S24))&lt;10,"0","")&amp;MINUTE(INDEX(MATCHER!$C$5:$C$504,S24))&amp;" "&amp;INDEX(MATCHER!$H$5:$H$504,S24)&amp;" – "&amp;INDEX(MATCHER!$I$5:$I$504,S24))&amp;IF(T24="",""," | "&amp;HOUR(INDEX(MATCHER!$C$5:$C$504,T24))&amp;":"&amp;IF(MINUTE(INDEX(MATCHER!$C$5:$C$504,T24))&lt;10,"0","")&amp;MINUTE(INDEX(MATCHER!$C$5:$C$504,T24))&amp;" "&amp;INDEX(MATCHER!$H$5:$H$504,T24)&amp;" – "&amp;INDEX(MATCHER!$I$5:$I$504,T24))&amp;IF(AF24="",""," | "&amp;HOUR(INDEX(MATCHER!$C$5:$C$504,AF24))&amp;":"&amp;IF(MINUTE(INDEX(MATCHER!$C$5:$C$504,AF24))&lt;10,"0","")&amp;MINUTE(INDEX(MATCHER!$C$5:$C$504,AF24))&amp;" "&amp;INDEX(MATCHER!$H$5:$H$504,AF24)&amp;" – "&amp;INDEX(MATCHER!$I$5:$I$504,AF24))</f>
        <v/>
      </c>
      <c r="G24" s="45" t="str">
        <f>MID(IF(R24="","",IF(OR(INDEX(MATCHER!$J$5:$J$504,R24)=""),""," / "&amp;INDEX(MATCHER!$J$5:$J$504,R24)))&amp;IF(S24="","",IF(OR(INDEX(MATCHER!$J$5:$J$504,S24)="",INDEX(MATCHER!$J$5:$J$504,S24)=IFERROR(INDEX(MATCHER!$J$5:$J$504,R24),"")),""," / "&amp;INDEX(MATCHER!$J$5:$J$504,S24)))&amp;IF(T24="","",IF(OR(INDEX(MATCHER!$J$5:$J$504,T24)="",INDEX(MATCHER!$J$5:$J$504,T24)=IFERROR(INDEX(MATCHER!$J$5:$J$504,R24),""),INDEX(MATCHER!$J$5:$J$504,T24)=IFERROR(INDEX(MATCHER!$J$5:$J$504,S24),"")),""," / "&amp;INDEX(MATCHER!$J$5:$J$504,T24)))&amp;IF(AF24="","",IF(OR(INDEX(MATCHER!$J$5:$J$504,AF24)="",INDEX(MATCHER!$J$5:$J$504,AF24)=IFERROR(INDEX(MATCHER!$J$5:$J$504,R24),""),INDEX(MATCHER!$J$5:$J$504,AF24)=IFERROR(INDEX(MATCHER!$J$5:$J$504,S24),""),INDEX(MATCHER!$J$5:$J$504,AF24)=IFERROR(INDEX(MATCHER!$J$5:$J$504,T24),"")),""," / "&amp;INDEX(MATCHER!$J$5:$J$504,AF24))),4,1000)</f>
        <v/>
      </c>
      <c r="H24" s="45" t="str">
        <f t="shared" si="9"/>
        <v>F19</v>
      </c>
      <c r="I24" s="46" t="s">
        <v>90</v>
      </c>
      <c r="J24" s="47" t="s">
        <v>105</v>
      </c>
      <c r="K24" s="48"/>
      <c r="L24" s="49"/>
      <c r="M24" s="50" t="str">
        <f>IF(O24&lt;&gt;O23,MAX(1,MIN(AA24,ROUNDUP(SUMPRODUCT(($O$5:$O$546=O24)*($I$5:$I$546="Ja")*($E$5:$E$546-$D$5:$D$546))*24/REGLER!$B$8,0))),"")</f>
        <v/>
      </c>
      <c r="N24" s="50" t="str">
        <f t="shared" si="0"/>
        <v>Klar</v>
      </c>
      <c r="O24" s="15" t="s">
        <v>93</v>
      </c>
      <c r="P24" s="16">
        <v>0.33333333333333298</v>
      </c>
      <c r="Q24" s="16">
        <v>0.67708333333333304</v>
      </c>
      <c r="R24" s="15" t="str">
        <f>IFERROR(MATCH(1,INDEX((MATCHER!$B$5:$B$504=A24)*(MATCHER!$D$5:$D$504=C24)*(MATCHER!$K$5:$K$504="Ja")*(MATCHER!$C$5:$C$504&lt;E24)*(MATCHER!$M$5:$M$504&gt;D24),0),0),"")</f>
        <v/>
      </c>
      <c r="S24" s="15" t="str">
        <f>IF(R24="","",IFERROR(MATCH(1,INDEX((MATCHER!$B$5:$B$504=A24)*(MATCHER!$D$5:$D$504=C24)*(MATCHER!$K$5:$K$504="Ja")*(MATCHER!$C$5:$C$504&lt;E24)*(MATCHER!$M$5:$M$504&gt;D24)*(ROW(MATCHER!$A$5:$A$504)-ROW(MATCHER!$A$5)+1&gt;R24),0),0),""))</f>
        <v/>
      </c>
      <c r="T24" s="15" t="str">
        <f>IF(S24="","",IFERROR(MATCH(1,INDEX((MATCHER!$B$5:$B$504=A24)*(MATCHER!$D$5:$D$504=C24)*(MATCHER!$K$5:$K$504="Ja")*(MATCHER!$C$5:$C$504&lt;E24)*(MATCHER!$M$5:$M$504&gt;D24)*(ROW(MATCHER!$A$5:$A$504)-ROW(MATCHER!$A$5)+1&gt;S24),0),0),""))</f>
        <v/>
      </c>
      <c r="U24" s="15">
        <f t="shared" si="1"/>
        <v>0</v>
      </c>
      <c r="V24" s="15">
        <f>IF(OR(I24&lt;&gt;"Ja",J24=""),"",COUNTIFS($O$5:O24,O24,$U$5:U24,1))</f>
        <v>1</v>
      </c>
      <c r="W24" s="15" t="str">
        <f t="shared" si="2"/>
        <v>2026-09-20 | Ulriksdalshallen|1</v>
      </c>
      <c r="X24" s="16" t="str">
        <f t="shared" si="3"/>
        <v/>
      </c>
      <c r="Y24" s="15">
        <f>IF(OR(I24&lt;&gt;"Ja",J24=""),0,IF(COUNTIFS($O$5:O24,O24,$I$5:I24,"Ja",$J$5:J24,"&lt;&gt;")=1,1,0))</f>
        <v>0</v>
      </c>
      <c r="Z24" s="15">
        <f>IF(OR(I24&lt;&gt;"Ja",J24=""),0,IF(COUNTIFS(O24:$O$546,O24,I24:$I$546,"Ja",J24:$J$546,"&lt;&gt;")=1,1,0))</f>
        <v>0</v>
      </c>
      <c r="AA24" s="15">
        <f t="shared" si="10"/>
        <v>1</v>
      </c>
      <c r="AB24" s="15" t="str">
        <f>IF(U24&lt;&gt;1,"",COUNTIF($U$5:U24,1))</f>
        <v/>
      </c>
      <c r="AC24" s="15" t="str">
        <f t="shared" si="4"/>
        <v/>
      </c>
      <c r="AD24" s="15" t="str">
        <f t="shared" si="5"/>
        <v>Vanligt café</v>
      </c>
      <c r="AE24" s="15" t="str">
        <f t="shared" si="6"/>
        <v/>
      </c>
      <c r="AF24" t="str">
        <f>IF(T24="","",IFERROR(MATCH(1,INDEX((MATCHER!$B$5:$B$504=A24)*(MATCHER!$D$5:$D$504=C24)*(MATCHER!$K$5:$K$504="Ja")*(MATCHER!$C$5:$C$504&lt;E24)*(MATCHER!$M$5:$M$504&gt;D24)*(ROW(MATCHER!$A$5:$A$504)-ROW(MATCHER!$A$5)+1&gt;T24),0),0),""))</f>
        <v/>
      </c>
    </row>
    <row r="25" spans="1:32" ht="26">
      <c r="A25" s="42">
        <v>46285</v>
      </c>
      <c r="B25" s="43" t="s">
        <v>92</v>
      </c>
      <c r="C25" s="43" t="s">
        <v>86</v>
      </c>
      <c r="D25" s="44">
        <v>0.39583333333333298</v>
      </c>
      <c r="E25" s="44">
        <v>0.41666666666666702</v>
      </c>
      <c r="F25" s="45" t="str">
        <f>IF(R25="","",HOUR(INDEX(MATCHER!$C$5:$C$504,R25))&amp;":"&amp;IF(MINUTE(INDEX(MATCHER!$C$5:$C$504,R25))&lt;10,"0","")&amp;MINUTE(INDEX(MATCHER!$C$5:$C$504,R25))&amp;" "&amp;INDEX(MATCHER!$H$5:$H$504,R25)&amp;" – "&amp;INDEX(MATCHER!$I$5:$I$504,R25))&amp;IF(S25="",""," | "&amp;HOUR(INDEX(MATCHER!$C$5:$C$504,S25))&amp;":"&amp;IF(MINUTE(INDEX(MATCHER!$C$5:$C$504,S25))&lt;10,"0","")&amp;MINUTE(INDEX(MATCHER!$C$5:$C$504,S25))&amp;" "&amp;INDEX(MATCHER!$H$5:$H$504,S25)&amp;" – "&amp;INDEX(MATCHER!$I$5:$I$504,S25))&amp;IF(T25="",""," | "&amp;HOUR(INDEX(MATCHER!$C$5:$C$504,T25))&amp;":"&amp;IF(MINUTE(INDEX(MATCHER!$C$5:$C$504,T25))&lt;10,"0","")&amp;MINUTE(INDEX(MATCHER!$C$5:$C$504,T25))&amp;" "&amp;INDEX(MATCHER!$H$5:$H$504,T25)&amp;" – "&amp;INDEX(MATCHER!$I$5:$I$504,T25))&amp;IF(AF25="",""," | "&amp;HOUR(INDEX(MATCHER!$C$5:$C$504,AF25))&amp;":"&amp;IF(MINUTE(INDEX(MATCHER!$C$5:$C$504,AF25))&lt;10,"0","")&amp;MINUTE(INDEX(MATCHER!$C$5:$C$504,AF25))&amp;" "&amp;INDEX(MATCHER!$H$5:$H$504,AF25)&amp;" – "&amp;INDEX(MATCHER!$I$5:$I$504,AF25))</f>
        <v>9:30 AIK – HK Aranäs</v>
      </c>
      <c r="G25" s="45" t="str">
        <f>MID(IF(R25="","",IF(OR(INDEX(MATCHER!$J$5:$J$504,R25)=""),""," / "&amp;INDEX(MATCHER!$J$5:$J$504,R25)))&amp;IF(S25="","",IF(OR(INDEX(MATCHER!$J$5:$J$504,S25)="",INDEX(MATCHER!$J$5:$J$504,S25)=IFERROR(INDEX(MATCHER!$J$5:$J$504,R25),"")),""," / "&amp;INDEX(MATCHER!$J$5:$J$504,S25)))&amp;IF(T25="","",IF(OR(INDEX(MATCHER!$J$5:$J$504,T25)="",INDEX(MATCHER!$J$5:$J$504,T25)=IFERROR(INDEX(MATCHER!$J$5:$J$504,R25),""),INDEX(MATCHER!$J$5:$J$504,T25)=IFERROR(INDEX(MATCHER!$J$5:$J$504,S25),"")),""," / "&amp;INDEX(MATCHER!$J$5:$J$504,T25)))&amp;IF(AF25="","",IF(OR(INDEX(MATCHER!$J$5:$J$504,AF25)="",INDEX(MATCHER!$J$5:$J$504,AF25)=IFERROR(INDEX(MATCHER!$J$5:$J$504,R25),""),INDEX(MATCHER!$J$5:$J$504,AF25)=IFERROR(INDEX(MATCHER!$J$5:$J$504,S25),""),INDEX(MATCHER!$J$5:$J$504,AF25)=IFERROR(INDEX(MATCHER!$J$5:$J$504,T25),"")),""," / "&amp;INDEX(MATCHER!$J$5:$J$504,AF25))),4,1000)</f>
        <v>F19</v>
      </c>
      <c r="H25" s="45" t="str">
        <f t="shared" si="9"/>
        <v>F19</v>
      </c>
      <c r="I25" s="46" t="s">
        <v>90</v>
      </c>
      <c r="J25" s="47" t="s">
        <v>105</v>
      </c>
      <c r="K25" s="48"/>
      <c r="L25" s="49"/>
      <c r="M25" s="50" t="str">
        <f>IF(O25&lt;&gt;O24,MAX(1,MIN(AA25,ROUNDUP(SUMPRODUCT(($O$5:$O$546=O25)*($I$5:$I$546="Ja")*($E$5:$E$546-$D$5:$D$546))*24/REGLER!$B$8,0))),"")</f>
        <v/>
      </c>
      <c r="N25" s="50" t="str">
        <f t="shared" si="0"/>
        <v>Klar</v>
      </c>
      <c r="O25" s="15" t="s">
        <v>93</v>
      </c>
      <c r="P25" s="16">
        <v>0.33333333333333298</v>
      </c>
      <c r="Q25" s="16">
        <v>0.67708333333333304</v>
      </c>
      <c r="R25" s="15">
        <f>IFERROR(MATCH(1,INDEX((MATCHER!$B$5:$B$504=A25)*(MATCHER!$D$5:$D$504=C25)*(MATCHER!$K$5:$K$504="Ja")*(MATCHER!$C$5:$C$504&lt;E25)*(MATCHER!$M$5:$M$504&gt;D25),0),0),"")</f>
        <v>3</v>
      </c>
      <c r="S25" s="15" t="str">
        <f>IF(R25="","",IFERROR(MATCH(1,INDEX((MATCHER!$B$5:$B$504=A25)*(MATCHER!$D$5:$D$504=C25)*(MATCHER!$K$5:$K$504="Ja")*(MATCHER!$C$5:$C$504&lt;E25)*(MATCHER!$M$5:$M$504&gt;D25)*(ROW(MATCHER!$A$5:$A$504)-ROW(MATCHER!$A$5)+1&gt;R25),0),0),""))</f>
        <v/>
      </c>
      <c r="T25" s="15" t="str">
        <f>IF(S25="","",IFERROR(MATCH(1,INDEX((MATCHER!$B$5:$B$504=A25)*(MATCHER!$D$5:$D$504=C25)*(MATCHER!$K$5:$K$504="Ja")*(MATCHER!$C$5:$C$504&lt;E25)*(MATCHER!$M$5:$M$504&gt;D25)*(ROW(MATCHER!$A$5:$A$504)-ROW(MATCHER!$A$5)+1&gt;S25),0),0),""))</f>
        <v/>
      </c>
      <c r="U25" s="15">
        <f t="shared" si="1"/>
        <v>0</v>
      </c>
      <c r="V25" s="15">
        <f>IF(OR(I25&lt;&gt;"Ja",J25=""),"",COUNTIFS($O$5:O25,O25,$U$5:U25,1))</f>
        <v>1</v>
      </c>
      <c r="W25" s="15" t="str">
        <f t="shared" si="2"/>
        <v>2026-09-20 | Ulriksdalshallen|1</v>
      </c>
      <c r="X25" s="16" t="str">
        <f t="shared" si="3"/>
        <v/>
      </c>
      <c r="Y25" s="15">
        <f>IF(OR(I25&lt;&gt;"Ja",J25=""),0,IF(COUNTIFS($O$5:O25,O25,$I$5:I25,"Ja",$J$5:J25,"&lt;&gt;")=1,1,0))</f>
        <v>0</v>
      </c>
      <c r="Z25" s="15">
        <f>IF(OR(I25&lt;&gt;"Ja",J25=""),0,IF(COUNTIFS(O25:$O$546,O25,I25:$I$546,"Ja",J25:$J$546,"&lt;&gt;")=1,1,0))</f>
        <v>0</v>
      </c>
      <c r="AA25" s="15">
        <f t="shared" si="10"/>
        <v>1</v>
      </c>
      <c r="AB25" s="15" t="str">
        <f>IF(U25&lt;&gt;1,"",COUNTIF($U$5:U25,1))</f>
        <v/>
      </c>
      <c r="AC25" s="15" t="str">
        <f t="shared" si="4"/>
        <v/>
      </c>
      <c r="AD25" s="15" t="str">
        <f t="shared" si="5"/>
        <v>Vanligt café</v>
      </c>
      <c r="AE25" s="15" t="str">
        <f t="shared" si="6"/>
        <v/>
      </c>
      <c r="AF25" t="str">
        <f>IF(T25="","",IFERROR(MATCH(1,INDEX((MATCHER!$B$5:$B$504=A25)*(MATCHER!$D$5:$D$504=C25)*(MATCHER!$K$5:$K$504="Ja")*(MATCHER!$C$5:$C$504&lt;E25)*(MATCHER!$M$5:$M$504&gt;D25)*(ROW(MATCHER!$A$5:$A$504)-ROW(MATCHER!$A$5)+1&gt;T25),0),0),""))</f>
        <v/>
      </c>
    </row>
    <row r="26" spans="1:32" ht="26">
      <c r="A26" s="42">
        <v>46285</v>
      </c>
      <c r="B26" s="43" t="s">
        <v>92</v>
      </c>
      <c r="C26" s="43" t="s">
        <v>86</v>
      </c>
      <c r="D26" s="44">
        <v>0.41666666666666702</v>
      </c>
      <c r="E26" s="44">
        <v>0.4375</v>
      </c>
      <c r="F26" s="45" t="str">
        <f>IF(R26="","",HOUR(INDEX(MATCHER!$C$5:$C$504,R26))&amp;":"&amp;IF(MINUTE(INDEX(MATCHER!$C$5:$C$504,R26))&lt;10,"0","")&amp;MINUTE(INDEX(MATCHER!$C$5:$C$504,R26))&amp;" "&amp;INDEX(MATCHER!$H$5:$H$504,R26)&amp;" – "&amp;INDEX(MATCHER!$I$5:$I$504,R26))&amp;IF(S26="",""," | "&amp;HOUR(INDEX(MATCHER!$C$5:$C$504,S26))&amp;":"&amp;IF(MINUTE(INDEX(MATCHER!$C$5:$C$504,S26))&lt;10,"0","")&amp;MINUTE(INDEX(MATCHER!$C$5:$C$504,S26))&amp;" "&amp;INDEX(MATCHER!$H$5:$H$504,S26)&amp;" – "&amp;INDEX(MATCHER!$I$5:$I$504,S26))&amp;IF(T26="",""," | "&amp;HOUR(INDEX(MATCHER!$C$5:$C$504,T26))&amp;":"&amp;IF(MINUTE(INDEX(MATCHER!$C$5:$C$504,T26))&lt;10,"0","")&amp;MINUTE(INDEX(MATCHER!$C$5:$C$504,T26))&amp;" "&amp;INDEX(MATCHER!$H$5:$H$504,T26)&amp;" – "&amp;INDEX(MATCHER!$I$5:$I$504,T26))&amp;IF(AF26="",""," | "&amp;HOUR(INDEX(MATCHER!$C$5:$C$504,AF26))&amp;":"&amp;IF(MINUTE(INDEX(MATCHER!$C$5:$C$504,AF26))&lt;10,"0","")&amp;MINUTE(INDEX(MATCHER!$C$5:$C$504,AF26))&amp;" "&amp;INDEX(MATCHER!$H$5:$H$504,AF26)&amp;" – "&amp;INDEX(MATCHER!$I$5:$I$504,AF26))</f>
        <v>9:30 AIK – HK Aranäs</v>
      </c>
      <c r="G26" s="45" t="str">
        <f>MID(IF(R26="","",IF(OR(INDEX(MATCHER!$J$5:$J$504,R26)=""),""," / "&amp;INDEX(MATCHER!$J$5:$J$504,R26)))&amp;IF(S26="","",IF(OR(INDEX(MATCHER!$J$5:$J$504,S26)="",INDEX(MATCHER!$J$5:$J$504,S26)=IFERROR(INDEX(MATCHER!$J$5:$J$504,R26),"")),""," / "&amp;INDEX(MATCHER!$J$5:$J$504,S26)))&amp;IF(T26="","",IF(OR(INDEX(MATCHER!$J$5:$J$504,T26)="",INDEX(MATCHER!$J$5:$J$504,T26)=IFERROR(INDEX(MATCHER!$J$5:$J$504,R26),""),INDEX(MATCHER!$J$5:$J$504,T26)=IFERROR(INDEX(MATCHER!$J$5:$J$504,S26),"")),""," / "&amp;INDEX(MATCHER!$J$5:$J$504,T26)))&amp;IF(AF26="","",IF(OR(INDEX(MATCHER!$J$5:$J$504,AF26)="",INDEX(MATCHER!$J$5:$J$504,AF26)=IFERROR(INDEX(MATCHER!$J$5:$J$504,R26),""),INDEX(MATCHER!$J$5:$J$504,AF26)=IFERROR(INDEX(MATCHER!$J$5:$J$504,S26),""),INDEX(MATCHER!$J$5:$J$504,AF26)=IFERROR(INDEX(MATCHER!$J$5:$J$504,T26),"")),""," / "&amp;INDEX(MATCHER!$J$5:$J$504,AF26))),4,1000)</f>
        <v>F19</v>
      </c>
      <c r="H26" s="45" t="str">
        <f t="shared" si="9"/>
        <v>F19</v>
      </c>
      <c r="I26" s="46" t="s">
        <v>90</v>
      </c>
      <c r="J26" s="47" t="s">
        <v>105</v>
      </c>
      <c r="K26" s="48"/>
      <c r="L26" s="49"/>
      <c r="M26" s="50" t="str">
        <f>IF(O26&lt;&gt;O25,MAX(1,MIN(AA26,ROUNDUP(SUMPRODUCT(($O$5:$O$546=O26)*($I$5:$I$546="Ja")*($E$5:$E$546-$D$5:$D$546))*24/REGLER!$B$8,0))),"")</f>
        <v/>
      </c>
      <c r="N26" s="50" t="str">
        <f t="shared" si="0"/>
        <v>Klar</v>
      </c>
      <c r="O26" s="15" t="s">
        <v>93</v>
      </c>
      <c r="P26" s="16">
        <v>0.33333333333333298</v>
      </c>
      <c r="Q26" s="16">
        <v>0.67708333333333304</v>
      </c>
      <c r="R26" s="15">
        <f>IFERROR(MATCH(1,INDEX((MATCHER!$B$5:$B$504=A26)*(MATCHER!$D$5:$D$504=C26)*(MATCHER!$K$5:$K$504="Ja")*(MATCHER!$C$5:$C$504&lt;E26)*(MATCHER!$M$5:$M$504&gt;D26),0),0),"")</f>
        <v>3</v>
      </c>
      <c r="S26" s="15" t="str">
        <f>IF(R26="","",IFERROR(MATCH(1,INDEX((MATCHER!$B$5:$B$504=A26)*(MATCHER!$D$5:$D$504=C26)*(MATCHER!$K$5:$K$504="Ja")*(MATCHER!$C$5:$C$504&lt;E26)*(MATCHER!$M$5:$M$504&gt;D26)*(ROW(MATCHER!$A$5:$A$504)-ROW(MATCHER!$A$5)+1&gt;R26),0),0),""))</f>
        <v/>
      </c>
      <c r="T26" s="15" t="str">
        <f>IF(S26="","",IFERROR(MATCH(1,INDEX((MATCHER!$B$5:$B$504=A26)*(MATCHER!$D$5:$D$504=C26)*(MATCHER!$K$5:$K$504="Ja")*(MATCHER!$C$5:$C$504&lt;E26)*(MATCHER!$M$5:$M$504&gt;D26)*(ROW(MATCHER!$A$5:$A$504)-ROW(MATCHER!$A$5)+1&gt;S26),0),0),""))</f>
        <v/>
      </c>
      <c r="U26" s="15">
        <f t="shared" si="1"/>
        <v>0</v>
      </c>
      <c r="V26" s="15">
        <f>IF(OR(I26&lt;&gt;"Ja",J26=""),"",COUNTIFS($O$5:O26,O26,$U$5:U26,1))</f>
        <v>1</v>
      </c>
      <c r="W26" s="15" t="str">
        <f t="shared" si="2"/>
        <v>2026-09-20 | Ulriksdalshallen|1</v>
      </c>
      <c r="X26" s="16" t="str">
        <f t="shared" si="3"/>
        <v/>
      </c>
      <c r="Y26" s="15">
        <f>IF(OR(I26&lt;&gt;"Ja",J26=""),0,IF(COUNTIFS($O$5:O26,O26,$I$5:I26,"Ja",$J$5:J26,"&lt;&gt;")=1,1,0))</f>
        <v>0</v>
      </c>
      <c r="Z26" s="15">
        <f>IF(OR(I26&lt;&gt;"Ja",J26=""),0,IF(COUNTIFS(O26:$O$546,O26,I26:$I$546,"Ja",J26:$J$546,"&lt;&gt;")=1,1,0))</f>
        <v>0</v>
      </c>
      <c r="AA26" s="15">
        <f t="shared" si="10"/>
        <v>1</v>
      </c>
      <c r="AB26" s="15" t="str">
        <f>IF(U26&lt;&gt;1,"",COUNTIF($U$5:U26,1))</f>
        <v/>
      </c>
      <c r="AC26" s="15" t="str">
        <f t="shared" si="4"/>
        <v/>
      </c>
      <c r="AD26" s="15" t="str">
        <f t="shared" si="5"/>
        <v>Vanligt café</v>
      </c>
      <c r="AE26" s="15" t="str">
        <f t="shared" si="6"/>
        <v/>
      </c>
      <c r="AF26" t="str">
        <f>IF(T26="","",IFERROR(MATCH(1,INDEX((MATCHER!$B$5:$B$504=A26)*(MATCHER!$D$5:$D$504=C26)*(MATCHER!$K$5:$K$504="Ja")*(MATCHER!$C$5:$C$504&lt;E26)*(MATCHER!$M$5:$M$504&gt;D26)*(ROW(MATCHER!$A$5:$A$504)-ROW(MATCHER!$A$5)+1&gt;T26),0),0),""))</f>
        <v/>
      </c>
    </row>
    <row r="27" spans="1:32" ht="26">
      <c r="A27" s="42">
        <v>46285</v>
      </c>
      <c r="B27" s="43" t="s">
        <v>92</v>
      </c>
      <c r="C27" s="43" t="s">
        <v>86</v>
      </c>
      <c r="D27" s="44">
        <v>0.4375</v>
      </c>
      <c r="E27" s="44">
        <v>0.45833333333333298</v>
      </c>
      <c r="F27" s="45" t="str">
        <f>IF(R27="","",HOUR(INDEX(MATCHER!$C$5:$C$504,R27))&amp;":"&amp;IF(MINUTE(INDEX(MATCHER!$C$5:$C$504,R27))&lt;10,"0","")&amp;MINUTE(INDEX(MATCHER!$C$5:$C$504,R27))&amp;" "&amp;INDEX(MATCHER!$H$5:$H$504,R27)&amp;" – "&amp;INDEX(MATCHER!$I$5:$I$504,R27))&amp;IF(S27="",""," | "&amp;HOUR(INDEX(MATCHER!$C$5:$C$504,S27))&amp;":"&amp;IF(MINUTE(INDEX(MATCHER!$C$5:$C$504,S27))&lt;10,"0","")&amp;MINUTE(INDEX(MATCHER!$C$5:$C$504,S27))&amp;" "&amp;INDEX(MATCHER!$H$5:$H$504,S27)&amp;" – "&amp;INDEX(MATCHER!$I$5:$I$504,S27))&amp;IF(T27="",""," | "&amp;HOUR(INDEX(MATCHER!$C$5:$C$504,T27))&amp;":"&amp;IF(MINUTE(INDEX(MATCHER!$C$5:$C$504,T27))&lt;10,"0","")&amp;MINUTE(INDEX(MATCHER!$C$5:$C$504,T27))&amp;" "&amp;INDEX(MATCHER!$H$5:$H$504,T27)&amp;" – "&amp;INDEX(MATCHER!$I$5:$I$504,T27))&amp;IF(AF27="",""," | "&amp;HOUR(INDEX(MATCHER!$C$5:$C$504,AF27))&amp;":"&amp;IF(MINUTE(INDEX(MATCHER!$C$5:$C$504,AF27))&lt;10,"0","")&amp;MINUTE(INDEX(MATCHER!$C$5:$C$504,AF27))&amp;" "&amp;INDEX(MATCHER!$H$5:$H$504,AF27)&amp;" – "&amp;INDEX(MATCHER!$I$5:$I$504,AF27))</f>
        <v/>
      </c>
      <c r="G27" s="45" t="str">
        <f>MID(IF(R27="","",IF(OR(INDEX(MATCHER!$J$5:$J$504,R27)=""),""," / "&amp;INDEX(MATCHER!$J$5:$J$504,R27)))&amp;IF(S27="","",IF(OR(INDEX(MATCHER!$J$5:$J$504,S27)="",INDEX(MATCHER!$J$5:$J$504,S27)=IFERROR(INDEX(MATCHER!$J$5:$J$504,R27),"")),""," / "&amp;INDEX(MATCHER!$J$5:$J$504,S27)))&amp;IF(T27="","",IF(OR(INDEX(MATCHER!$J$5:$J$504,T27)="",INDEX(MATCHER!$J$5:$J$504,T27)=IFERROR(INDEX(MATCHER!$J$5:$J$504,R27),""),INDEX(MATCHER!$J$5:$J$504,T27)=IFERROR(INDEX(MATCHER!$J$5:$J$504,S27),"")),""," / "&amp;INDEX(MATCHER!$J$5:$J$504,T27)))&amp;IF(AF27="","",IF(OR(INDEX(MATCHER!$J$5:$J$504,AF27)="",INDEX(MATCHER!$J$5:$J$504,AF27)=IFERROR(INDEX(MATCHER!$J$5:$J$504,R27),""),INDEX(MATCHER!$J$5:$J$504,AF27)=IFERROR(INDEX(MATCHER!$J$5:$J$504,S27),""),INDEX(MATCHER!$J$5:$J$504,AF27)=IFERROR(INDEX(MATCHER!$J$5:$J$504,T27),"")),""," / "&amp;INDEX(MATCHER!$J$5:$J$504,AF27))),4,1000)</f>
        <v/>
      </c>
      <c r="H27" s="45" t="str">
        <f t="shared" si="9"/>
        <v>F19</v>
      </c>
      <c r="I27" s="46" t="s">
        <v>90</v>
      </c>
      <c r="J27" s="47" t="s">
        <v>105</v>
      </c>
      <c r="K27" s="48"/>
      <c r="L27" s="49"/>
      <c r="M27" s="50" t="str">
        <f>IF(O27&lt;&gt;O26,MAX(1,MIN(AA27,ROUNDUP(SUMPRODUCT(($O$5:$O$546=O27)*($I$5:$I$546="Ja")*($E$5:$E$546-$D$5:$D$546))*24/REGLER!$B$8,0))),"")</f>
        <v/>
      </c>
      <c r="N27" s="50" t="str">
        <f t="shared" si="0"/>
        <v>Klar</v>
      </c>
      <c r="O27" s="15" t="s">
        <v>93</v>
      </c>
      <c r="P27" s="16">
        <v>0.33333333333333298</v>
      </c>
      <c r="Q27" s="16">
        <v>0.67708333333333304</v>
      </c>
      <c r="R27" s="15" t="str">
        <f>IFERROR(MATCH(1,INDEX((MATCHER!$B$5:$B$504=A27)*(MATCHER!$D$5:$D$504=C27)*(MATCHER!$K$5:$K$504="Ja")*(MATCHER!$C$5:$C$504&lt;E27)*(MATCHER!$M$5:$M$504&gt;D27),0),0),"")</f>
        <v/>
      </c>
      <c r="S27" s="15" t="str">
        <f>IF(R27="","",IFERROR(MATCH(1,INDEX((MATCHER!$B$5:$B$504=A27)*(MATCHER!$D$5:$D$504=C27)*(MATCHER!$K$5:$K$504="Ja")*(MATCHER!$C$5:$C$504&lt;E27)*(MATCHER!$M$5:$M$504&gt;D27)*(ROW(MATCHER!$A$5:$A$504)-ROW(MATCHER!$A$5)+1&gt;R27),0),0),""))</f>
        <v/>
      </c>
      <c r="T27" s="15" t="str">
        <f>IF(S27="","",IFERROR(MATCH(1,INDEX((MATCHER!$B$5:$B$504=A27)*(MATCHER!$D$5:$D$504=C27)*(MATCHER!$K$5:$K$504="Ja")*(MATCHER!$C$5:$C$504&lt;E27)*(MATCHER!$M$5:$M$504&gt;D27)*(ROW(MATCHER!$A$5:$A$504)-ROW(MATCHER!$A$5)+1&gt;S27),0),0),""))</f>
        <v/>
      </c>
      <c r="U27" s="15">
        <f t="shared" si="1"/>
        <v>0</v>
      </c>
      <c r="V27" s="15">
        <f>IF(OR(I27&lt;&gt;"Ja",J27=""),"",COUNTIFS($O$5:O27,O27,$U$5:U27,1))</f>
        <v>1</v>
      </c>
      <c r="W27" s="15" t="str">
        <f t="shared" si="2"/>
        <v>2026-09-20 | Ulriksdalshallen|1</v>
      </c>
      <c r="X27" s="16" t="str">
        <f t="shared" si="3"/>
        <v/>
      </c>
      <c r="Y27" s="15">
        <f>IF(OR(I27&lt;&gt;"Ja",J27=""),0,IF(COUNTIFS($O$5:O27,O27,$I$5:I27,"Ja",$J$5:J27,"&lt;&gt;")=1,1,0))</f>
        <v>0</v>
      </c>
      <c r="Z27" s="15">
        <f>IF(OR(I27&lt;&gt;"Ja",J27=""),0,IF(COUNTIFS(O27:$O$546,O27,I27:$I$546,"Ja",J27:$J$546,"&lt;&gt;")=1,1,0))</f>
        <v>0</v>
      </c>
      <c r="AA27" s="15">
        <f t="shared" si="10"/>
        <v>1</v>
      </c>
      <c r="AB27" s="15" t="str">
        <f>IF(U27&lt;&gt;1,"",COUNTIF($U$5:U27,1))</f>
        <v/>
      </c>
      <c r="AC27" s="15" t="str">
        <f t="shared" si="4"/>
        <v/>
      </c>
      <c r="AD27" s="15" t="str">
        <f t="shared" si="5"/>
        <v>Vanligt café</v>
      </c>
      <c r="AE27" s="15" t="str">
        <f t="shared" si="6"/>
        <v/>
      </c>
      <c r="AF27" t="str">
        <f>IF(T27="","",IFERROR(MATCH(1,INDEX((MATCHER!$B$5:$B$504=A27)*(MATCHER!$D$5:$D$504=C27)*(MATCHER!$K$5:$K$504="Ja")*(MATCHER!$C$5:$C$504&lt;E27)*(MATCHER!$M$5:$M$504&gt;D27)*(ROW(MATCHER!$A$5:$A$504)-ROW(MATCHER!$A$5)+1&gt;T27),0),0),""))</f>
        <v/>
      </c>
    </row>
    <row r="28" spans="1:32" ht="26">
      <c r="A28" s="42">
        <v>46285</v>
      </c>
      <c r="B28" s="43" t="s">
        <v>92</v>
      </c>
      <c r="C28" s="43" t="s">
        <v>86</v>
      </c>
      <c r="D28" s="44">
        <v>0.45833333333333298</v>
      </c>
      <c r="E28" s="44">
        <v>0.47916666666666702</v>
      </c>
      <c r="F28" s="45" t="str">
        <f>IF(R28="","",HOUR(INDEX(MATCHER!$C$5:$C$504,R28))&amp;":"&amp;IF(MINUTE(INDEX(MATCHER!$C$5:$C$504,R28))&lt;10,"0","")&amp;MINUTE(INDEX(MATCHER!$C$5:$C$504,R28))&amp;" "&amp;INDEX(MATCHER!$H$5:$H$504,R28)&amp;" – "&amp;INDEX(MATCHER!$I$5:$I$504,R28))&amp;IF(S28="",""," | "&amp;HOUR(INDEX(MATCHER!$C$5:$C$504,S28))&amp;":"&amp;IF(MINUTE(INDEX(MATCHER!$C$5:$C$504,S28))&lt;10,"0","")&amp;MINUTE(INDEX(MATCHER!$C$5:$C$504,S28))&amp;" "&amp;INDEX(MATCHER!$H$5:$H$504,S28)&amp;" – "&amp;INDEX(MATCHER!$I$5:$I$504,S28))&amp;IF(T28="",""," | "&amp;HOUR(INDEX(MATCHER!$C$5:$C$504,T28))&amp;":"&amp;IF(MINUTE(INDEX(MATCHER!$C$5:$C$504,T28))&lt;10,"0","")&amp;MINUTE(INDEX(MATCHER!$C$5:$C$504,T28))&amp;" "&amp;INDEX(MATCHER!$H$5:$H$504,T28)&amp;" – "&amp;INDEX(MATCHER!$I$5:$I$504,T28))&amp;IF(AF28="",""," | "&amp;HOUR(INDEX(MATCHER!$C$5:$C$504,AF28))&amp;":"&amp;IF(MINUTE(INDEX(MATCHER!$C$5:$C$504,AF28))&lt;10,"0","")&amp;MINUTE(INDEX(MATCHER!$C$5:$C$504,AF28))&amp;" "&amp;INDEX(MATCHER!$H$5:$H$504,AF28)&amp;" – "&amp;INDEX(MATCHER!$I$5:$I$504,AF28))</f>
        <v>11:00 Kiruna HK – Eslövs HK</v>
      </c>
      <c r="G28" s="45" t="str">
        <f>MID(IF(R28="","",IF(OR(INDEX(MATCHER!$J$5:$J$504,R28)=""),""," / "&amp;INDEX(MATCHER!$J$5:$J$504,R28)))&amp;IF(S28="","",IF(OR(INDEX(MATCHER!$J$5:$J$504,S28)="",INDEX(MATCHER!$J$5:$J$504,S28)=IFERROR(INDEX(MATCHER!$J$5:$J$504,R28),"")),""," / "&amp;INDEX(MATCHER!$J$5:$J$504,S28)))&amp;IF(T28="","",IF(OR(INDEX(MATCHER!$J$5:$J$504,T28)="",INDEX(MATCHER!$J$5:$J$504,T28)=IFERROR(INDEX(MATCHER!$J$5:$J$504,R28),""),INDEX(MATCHER!$J$5:$J$504,T28)=IFERROR(INDEX(MATCHER!$J$5:$J$504,S28),"")),""," / "&amp;INDEX(MATCHER!$J$5:$J$504,T28)))&amp;IF(AF28="","",IF(OR(INDEX(MATCHER!$J$5:$J$504,AF28)="",INDEX(MATCHER!$J$5:$J$504,AF28)=IFERROR(INDEX(MATCHER!$J$5:$J$504,R28),""),INDEX(MATCHER!$J$5:$J$504,AF28)=IFERROR(INDEX(MATCHER!$J$5:$J$504,S28),""),INDEX(MATCHER!$J$5:$J$504,AF28)=IFERROR(INDEX(MATCHER!$J$5:$J$504,T28),"")),""," / "&amp;INDEX(MATCHER!$J$5:$J$504,AF28))),4,1000)</f>
        <v/>
      </c>
      <c r="H28" s="45" t="str">
        <f t="shared" si="9"/>
        <v>F19</v>
      </c>
      <c r="I28" s="46" t="s">
        <v>90</v>
      </c>
      <c r="J28" s="47" t="s">
        <v>105</v>
      </c>
      <c r="K28" s="48"/>
      <c r="L28" s="49"/>
      <c r="M28" s="50" t="str">
        <f>IF(O28&lt;&gt;O27,MAX(1,MIN(AA28,ROUNDUP(SUMPRODUCT(($O$5:$O$546=O28)*($I$5:$I$546="Ja")*($E$5:$E$546-$D$5:$D$546))*24/REGLER!$B$8,0))),"")</f>
        <v/>
      </c>
      <c r="N28" s="50" t="str">
        <f t="shared" si="0"/>
        <v>Klar</v>
      </c>
      <c r="O28" s="15" t="s">
        <v>93</v>
      </c>
      <c r="P28" s="16">
        <v>0.33333333333333298</v>
      </c>
      <c r="Q28" s="16">
        <v>0.67708333333333304</v>
      </c>
      <c r="R28" s="15">
        <f>IFERROR(MATCH(1,INDEX((MATCHER!$B$5:$B$504=A28)*(MATCHER!$D$5:$D$504=C28)*(MATCHER!$K$5:$K$504="Ja")*(MATCHER!$C$5:$C$504&lt;E28)*(MATCHER!$M$5:$M$504&gt;D28),0),0),"")</f>
        <v>4</v>
      </c>
      <c r="S28" s="15" t="str">
        <f>IF(R28="","",IFERROR(MATCH(1,INDEX((MATCHER!$B$5:$B$504=A28)*(MATCHER!$D$5:$D$504=C28)*(MATCHER!$K$5:$K$504="Ja")*(MATCHER!$C$5:$C$504&lt;E28)*(MATCHER!$M$5:$M$504&gt;D28)*(ROW(MATCHER!$A$5:$A$504)-ROW(MATCHER!$A$5)+1&gt;R28),0),0),""))</f>
        <v/>
      </c>
      <c r="T28" s="15" t="str">
        <f>IF(S28="","",IFERROR(MATCH(1,INDEX((MATCHER!$B$5:$B$504=A28)*(MATCHER!$D$5:$D$504=C28)*(MATCHER!$K$5:$K$504="Ja")*(MATCHER!$C$5:$C$504&lt;E28)*(MATCHER!$M$5:$M$504&gt;D28)*(ROW(MATCHER!$A$5:$A$504)-ROW(MATCHER!$A$5)+1&gt;S28),0),0),""))</f>
        <v/>
      </c>
      <c r="U28" s="15">
        <f t="shared" si="1"/>
        <v>0</v>
      </c>
      <c r="V28" s="15">
        <f>IF(OR(I28&lt;&gt;"Ja",J28=""),"",COUNTIFS($O$5:O28,O28,$U$5:U28,1))</f>
        <v>1</v>
      </c>
      <c r="W28" s="15" t="str">
        <f t="shared" si="2"/>
        <v>2026-09-20 | Ulriksdalshallen|1</v>
      </c>
      <c r="X28" s="16" t="str">
        <f t="shared" si="3"/>
        <v/>
      </c>
      <c r="Y28" s="15">
        <f>IF(OR(I28&lt;&gt;"Ja",J28=""),0,IF(COUNTIFS($O$5:O28,O28,$I$5:I28,"Ja",$J$5:J28,"&lt;&gt;")=1,1,0))</f>
        <v>0</v>
      </c>
      <c r="Z28" s="15">
        <f>IF(OR(I28&lt;&gt;"Ja",J28=""),0,IF(COUNTIFS(O28:$O$546,O28,I28:$I$546,"Ja",J28:$J$546,"&lt;&gt;")=1,1,0))</f>
        <v>0</v>
      </c>
      <c r="AA28" s="15">
        <f t="shared" si="10"/>
        <v>1</v>
      </c>
      <c r="AB28" s="15" t="str">
        <f>IF(U28&lt;&gt;1,"",COUNTIF($U$5:U28,1))</f>
        <v/>
      </c>
      <c r="AC28" s="15" t="str">
        <f t="shared" si="4"/>
        <v/>
      </c>
      <c r="AD28" s="15" t="str">
        <f t="shared" si="5"/>
        <v>Vanligt café</v>
      </c>
      <c r="AE28" s="15" t="str">
        <f t="shared" si="6"/>
        <v/>
      </c>
      <c r="AF28" t="str">
        <f>IF(T28="","",IFERROR(MATCH(1,INDEX((MATCHER!$B$5:$B$504=A28)*(MATCHER!$D$5:$D$504=C28)*(MATCHER!$K$5:$K$504="Ja")*(MATCHER!$C$5:$C$504&lt;E28)*(MATCHER!$M$5:$M$504&gt;D28)*(ROW(MATCHER!$A$5:$A$504)-ROW(MATCHER!$A$5)+1&gt;T28),0),0),""))</f>
        <v/>
      </c>
    </row>
    <row r="29" spans="1:32" ht="26">
      <c r="A29" s="42">
        <v>46285</v>
      </c>
      <c r="B29" s="43" t="s">
        <v>92</v>
      </c>
      <c r="C29" s="43" t="s">
        <v>86</v>
      </c>
      <c r="D29" s="44">
        <v>0.47916666666666702</v>
      </c>
      <c r="E29" s="44">
        <v>0.5</v>
      </c>
      <c r="F29" s="45" t="str">
        <f>IF(R29="","",HOUR(INDEX(MATCHER!$C$5:$C$504,R29))&amp;":"&amp;IF(MINUTE(INDEX(MATCHER!$C$5:$C$504,R29))&lt;10,"0","")&amp;MINUTE(INDEX(MATCHER!$C$5:$C$504,R29))&amp;" "&amp;INDEX(MATCHER!$H$5:$H$504,R29)&amp;" – "&amp;INDEX(MATCHER!$I$5:$I$504,R29))&amp;IF(S29="",""," | "&amp;HOUR(INDEX(MATCHER!$C$5:$C$504,S29))&amp;":"&amp;IF(MINUTE(INDEX(MATCHER!$C$5:$C$504,S29))&lt;10,"0","")&amp;MINUTE(INDEX(MATCHER!$C$5:$C$504,S29))&amp;" "&amp;INDEX(MATCHER!$H$5:$H$504,S29)&amp;" – "&amp;INDEX(MATCHER!$I$5:$I$504,S29))&amp;IF(T29="",""," | "&amp;HOUR(INDEX(MATCHER!$C$5:$C$504,T29))&amp;":"&amp;IF(MINUTE(INDEX(MATCHER!$C$5:$C$504,T29))&lt;10,"0","")&amp;MINUTE(INDEX(MATCHER!$C$5:$C$504,T29))&amp;" "&amp;INDEX(MATCHER!$H$5:$H$504,T29)&amp;" – "&amp;INDEX(MATCHER!$I$5:$I$504,T29))&amp;IF(AF29="",""," | "&amp;HOUR(INDEX(MATCHER!$C$5:$C$504,AF29))&amp;":"&amp;IF(MINUTE(INDEX(MATCHER!$C$5:$C$504,AF29))&lt;10,"0","")&amp;MINUTE(INDEX(MATCHER!$C$5:$C$504,AF29))&amp;" "&amp;INDEX(MATCHER!$H$5:$H$504,AF29)&amp;" – "&amp;INDEX(MATCHER!$I$5:$I$504,AF29))</f>
        <v>11:00 Kiruna HK – Eslövs HK</v>
      </c>
      <c r="G29" s="45" t="str">
        <f>MID(IF(R29="","",IF(OR(INDEX(MATCHER!$J$5:$J$504,R29)=""),""," / "&amp;INDEX(MATCHER!$J$5:$J$504,R29)))&amp;IF(S29="","",IF(OR(INDEX(MATCHER!$J$5:$J$504,S29)="",INDEX(MATCHER!$J$5:$J$504,S29)=IFERROR(INDEX(MATCHER!$J$5:$J$504,R29),"")),""," / "&amp;INDEX(MATCHER!$J$5:$J$504,S29)))&amp;IF(T29="","",IF(OR(INDEX(MATCHER!$J$5:$J$504,T29)="",INDEX(MATCHER!$J$5:$J$504,T29)=IFERROR(INDEX(MATCHER!$J$5:$J$504,R29),""),INDEX(MATCHER!$J$5:$J$504,T29)=IFERROR(INDEX(MATCHER!$J$5:$J$504,S29),"")),""," / "&amp;INDEX(MATCHER!$J$5:$J$504,T29)))&amp;IF(AF29="","",IF(OR(INDEX(MATCHER!$J$5:$J$504,AF29)="",INDEX(MATCHER!$J$5:$J$504,AF29)=IFERROR(INDEX(MATCHER!$J$5:$J$504,R29),""),INDEX(MATCHER!$J$5:$J$504,AF29)=IFERROR(INDEX(MATCHER!$J$5:$J$504,S29),""),INDEX(MATCHER!$J$5:$J$504,AF29)=IFERROR(INDEX(MATCHER!$J$5:$J$504,T29),"")),""," / "&amp;INDEX(MATCHER!$J$5:$J$504,AF29))),4,1000)</f>
        <v/>
      </c>
      <c r="H29" s="45" t="str">
        <f t="shared" si="9"/>
        <v>F19</v>
      </c>
      <c r="I29" s="46" t="s">
        <v>90</v>
      </c>
      <c r="J29" s="47" t="s">
        <v>105</v>
      </c>
      <c r="K29" s="48"/>
      <c r="L29" s="49"/>
      <c r="M29" s="50" t="str">
        <f>IF(O29&lt;&gt;O28,MAX(1,MIN(AA29,ROUNDUP(SUMPRODUCT(($O$5:$O$546=O29)*($I$5:$I$546="Ja")*($E$5:$E$546-$D$5:$D$546))*24/REGLER!$B$8,0))),"")</f>
        <v/>
      </c>
      <c r="N29" s="50" t="str">
        <f t="shared" si="0"/>
        <v>Klar</v>
      </c>
      <c r="O29" s="15" t="s">
        <v>93</v>
      </c>
      <c r="P29" s="16">
        <v>0.33333333333333298</v>
      </c>
      <c r="Q29" s="16">
        <v>0.67708333333333304</v>
      </c>
      <c r="R29" s="15">
        <f>IFERROR(MATCH(1,INDEX((MATCHER!$B$5:$B$504=A29)*(MATCHER!$D$5:$D$504=C29)*(MATCHER!$K$5:$K$504="Ja")*(MATCHER!$C$5:$C$504&lt;E29)*(MATCHER!$M$5:$M$504&gt;D29),0),0),"")</f>
        <v>4</v>
      </c>
      <c r="S29" s="15" t="str">
        <f>IF(R29="","",IFERROR(MATCH(1,INDEX((MATCHER!$B$5:$B$504=A29)*(MATCHER!$D$5:$D$504=C29)*(MATCHER!$K$5:$K$504="Ja")*(MATCHER!$C$5:$C$504&lt;E29)*(MATCHER!$M$5:$M$504&gt;D29)*(ROW(MATCHER!$A$5:$A$504)-ROW(MATCHER!$A$5)+1&gt;R29),0),0),""))</f>
        <v/>
      </c>
      <c r="T29" s="15" t="str">
        <f>IF(S29="","",IFERROR(MATCH(1,INDEX((MATCHER!$B$5:$B$504=A29)*(MATCHER!$D$5:$D$504=C29)*(MATCHER!$K$5:$K$504="Ja")*(MATCHER!$C$5:$C$504&lt;E29)*(MATCHER!$M$5:$M$504&gt;D29)*(ROW(MATCHER!$A$5:$A$504)-ROW(MATCHER!$A$5)+1&gt;S29),0),0),""))</f>
        <v/>
      </c>
      <c r="U29" s="15">
        <f t="shared" si="1"/>
        <v>0</v>
      </c>
      <c r="V29" s="15">
        <f>IF(OR(I29&lt;&gt;"Ja",J29=""),"",COUNTIFS($O$5:O29,O29,$U$5:U29,1))</f>
        <v>1</v>
      </c>
      <c r="W29" s="15" t="str">
        <f t="shared" si="2"/>
        <v>2026-09-20 | Ulriksdalshallen|1</v>
      </c>
      <c r="X29" s="16" t="str">
        <f t="shared" si="3"/>
        <v/>
      </c>
      <c r="Y29" s="15">
        <f>IF(OR(I29&lt;&gt;"Ja",J29=""),0,IF(COUNTIFS($O$5:O29,O29,$I$5:I29,"Ja",$J$5:J29,"&lt;&gt;")=1,1,0))</f>
        <v>0</v>
      </c>
      <c r="Z29" s="15">
        <f>IF(OR(I29&lt;&gt;"Ja",J29=""),0,IF(COUNTIFS(O29:$O$546,O29,I29:$I$546,"Ja",J29:$J$546,"&lt;&gt;")=1,1,0))</f>
        <v>0</v>
      </c>
      <c r="AA29" s="15">
        <f t="shared" si="10"/>
        <v>1</v>
      </c>
      <c r="AB29" s="15" t="str">
        <f>IF(U29&lt;&gt;1,"",COUNTIF($U$5:U29,1))</f>
        <v/>
      </c>
      <c r="AC29" s="15" t="str">
        <f t="shared" si="4"/>
        <v/>
      </c>
      <c r="AD29" s="15" t="str">
        <f t="shared" si="5"/>
        <v>Vanligt café</v>
      </c>
      <c r="AE29" s="15" t="str">
        <f t="shared" si="6"/>
        <v/>
      </c>
      <c r="AF29" t="str">
        <f>IF(T29="","",IFERROR(MATCH(1,INDEX((MATCHER!$B$5:$B$504=A29)*(MATCHER!$D$5:$D$504=C29)*(MATCHER!$K$5:$K$504="Ja")*(MATCHER!$C$5:$C$504&lt;E29)*(MATCHER!$M$5:$M$504&gt;D29)*(ROW(MATCHER!$A$5:$A$504)-ROW(MATCHER!$A$5)+1&gt;T29),0),0),""))</f>
        <v/>
      </c>
    </row>
    <row r="30" spans="1:32" ht="26">
      <c r="A30" s="42">
        <v>46285</v>
      </c>
      <c r="B30" s="43" t="s">
        <v>92</v>
      </c>
      <c r="C30" s="43" t="s">
        <v>86</v>
      </c>
      <c r="D30" s="44">
        <v>0.5</v>
      </c>
      <c r="E30" s="44">
        <v>0.52083333333333304</v>
      </c>
      <c r="F30" s="45" t="str">
        <f>IF(R30="","",HOUR(INDEX(MATCHER!$C$5:$C$504,R30))&amp;":"&amp;IF(MINUTE(INDEX(MATCHER!$C$5:$C$504,R30))&lt;10,"0","")&amp;MINUTE(INDEX(MATCHER!$C$5:$C$504,R30))&amp;" "&amp;INDEX(MATCHER!$H$5:$H$504,R30)&amp;" – "&amp;INDEX(MATCHER!$I$5:$I$504,R30))&amp;IF(S30="",""," | "&amp;HOUR(INDEX(MATCHER!$C$5:$C$504,S30))&amp;":"&amp;IF(MINUTE(INDEX(MATCHER!$C$5:$C$504,S30))&lt;10,"0","")&amp;MINUTE(INDEX(MATCHER!$C$5:$C$504,S30))&amp;" "&amp;INDEX(MATCHER!$H$5:$H$504,S30)&amp;" – "&amp;INDEX(MATCHER!$I$5:$I$504,S30))&amp;IF(T30="",""," | "&amp;HOUR(INDEX(MATCHER!$C$5:$C$504,T30))&amp;":"&amp;IF(MINUTE(INDEX(MATCHER!$C$5:$C$504,T30))&lt;10,"0","")&amp;MINUTE(INDEX(MATCHER!$C$5:$C$504,T30))&amp;" "&amp;INDEX(MATCHER!$H$5:$H$504,T30)&amp;" – "&amp;INDEX(MATCHER!$I$5:$I$504,T30))&amp;IF(AF30="",""," | "&amp;HOUR(INDEX(MATCHER!$C$5:$C$504,AF30))&amp;":"&amp;IF(MINUTE(INDEX(MATCHER!$C$5:$C$504,AF30))&lt;10,"0","")&amp;MINUTE(INDEX(MATCHER!$C$5:$C$504,AF30))&amp;" "&amp;INDEX(MATCHER!$H$5:$H$504,AF30)&amp;" – "&amp;INDEX(MATCHER!$I$5:$I$504,AF30))</f>
        <v/>
      </c>
      <c r="G30" s="45" t="str">
        <f>MID(IF(R30="","",IF(OR(INDEX(MATCHER!$J$5:$J$504,R30)=""),""," / "&amp;INDEX(MATCHER!$J$5:$J$504,R30)))&amp;IF(S30="","",IF(OR(INDEX(MATCHER!$J$5:$J$504,S30)="",INDEX(MATCHER!$J$5:$J$504,S30)=IFERROR(INDEX(MATCHER!$J$5:$J$504,R30),"")),""," / "&amp;INDEX(MATCHER!$J$5:$J$504,S30)))&amp;IF(T30="","",IF(OR(INDEX(MATCHER!$J$5:$J$504,T30)="",INDEX(MATCHER!$J$5:$J$504,T30)=IFERROR(INDEX(MATCHER!$J$5:$J$504,R30),""),INDEX(MATCHER!$J$5:$J$504,T30)=IFERROR(INDEX(MATCHER!$J$5:$J$504,S30),"")),""," / "&amp;INDEX(MATCHER!$J$5:$J$504,T30)))&amp;IF(AF30="","",IF(OR(INDEX(MATCHER!$J$5:$J$504,AF30)="",INDEX(MATCHER!$J$5:$J$504,AF30)=IFERROR(INDEX(MATCHER!$J$5:$J$504,R30),""),INDEX(MATCHER!$J$5:$J$504,AF30)=IFERROR(INDEX(MATCHER!$J$5:$J$504,S30),""),INDEX(MATCHER!$J$5:$J$504,AF30)=IFERROR(INDEX(MATCHER!$J$5:$J$504,T30),"")),""," / "&amp;INDEX(MATCHER!$J$5:$J$504,AF30))),4,1000)</f>
        <v/>
      </c>
      <c r="H30" s="45" t="str">
        <f t="shared" si="9"/>
        <v>F19</v>
      </c>
      <c r="I30" s="46" t="s">
        <v>90</v>
      </c>
      <c r="J30" s="47" t="s">
        <v>105</v>
      </c>
      <c r="K30" s="48"/>
      <c r="L30" s="49"/>
      <c r="M30" s="50" t="str">
        <f>IF(O30&lt;&gt;O29,MAX(1,MIN(AA30,ROUNDUP(SUMPRODUCT(($O$5:$O$546=O30)*($I$5:$I$546="Ja")*($E$5:$E$546-$D$5:$D$546))*24/REGLER!$B$8,0))),"")</f>
        <v/>
      </c>
      <c r="N30" s="50" t="str">
        <f t="shared" si="0"/>
        <v>Klar</v>
      </c>
      <c r="O30" s="15" t="s">
        <v>93</v>
      </c>
      <c r="P30" s="16">
        <v>0.33333333333333298</v>
      </c>
      <c r="Q30" s="16">
        <v>0.67708333333333304</v>
      </c>
      <c r="R30" s="15" t="str">
        <f>IFERROR(MATCH(1,INDEX((MATCHER!$B$5:$B$504=A30)*(MATCHER!$D$5:$D$504=C30)*(MATCHER!$K$5:$K$504="Ja")*(MATCHER!$C$5:$C$504&lt;E30)*(MATCHER!$M$5:$M$504&gt;D30),0),0),"")</f>
        <v/>
      </c>
      <c r="S30" s="15" t="str">
        <f>IF(R30="","",IFERROR(MATCH(1,INDEX((MATCHER!$B$5:$B$504=A30)*(MATCHER!$D$5:$D$504=C30)*(MATCHER!$K$5:$K$504="Ja")*(MATCHER!$C$5:$C$504&lt;E30)*(MATCHER!$M$5:$M$504&gt;D30)*(ROW(MATCHER!$A$5:$A$504)-ROW(MATCHER!$A$5)+1&gt;R30),0),0),""))</f>
        <v/>
      </c>
      <c r="T30" s="15" t="str">
        <f>IF(S30="","",IFERROR(MATCH(1,INDEX((MATCHER!$B$5:$B$504=A30)*(MATCHER!$D$5:$D$504=C30)*(MATCHER!$K$5:$K$504="Ja")*(MATCHER!$C$5:$C$504&lt;E30)*(MATCHER!$M$5:$M$504&gt;D30)*(ROW(MATCHER!$A$5:$A$504)-ROW(MATCHER!$A$5)+1&gt;S30),0),0),""))</f>
        <v/>
      </c>
      <c r="U30" s="15">
        <f t="shared" si="1"/>
        <v>0</v>
      </c>
      <c r="V30" s="15">
        <f>IF(OR(I30&lt;&gt;"Ja",J30=""),"",COUNTIFS($O$5:O30,O30,$U$5:U30,1))</f>
        <v>1</v>
      </c>
      <c r="W30" s="15" t="str">
        <f t="shared" si="2"/>
        <v>2026-09-20 | Ulriksdalshallen|1</v>
      </c>
      <c r="X30" s="16" t="str">
        <f t="shared" si="3"/>
        <v/>
      </c>
      <c r="Y30" s="15">
        <f>IF(OR(I30&lt;&gt;"Ja",J30=""),0,IF(COUNTIFS($O$5:O30,O30,$I$5:I30,"Ja",$J$5:J30,"&lt;&gt;")=1,1,0))</f>
        <v>0</v>
      </c>
      <c r="Z30" s="15">
        <f>IF(OR(I30&lt;&gt;"Ja",J30=""),0,IF(COUNTIFS(O30:$O$546,O30,I30:$I$546,"Ja",J30:$J$546,"&lt;&gt;")=1,1,0))</f>
        <v>0</v>
      </c>
      <c r="AA30" s="15">
        <f t="shared" si="10"/>
        <v>1</v>
      </c>
      <c r="AB30" s="15" t="str">
        <f>IF(U30&lt;&gt;1,"",COUNTIF($U$5:U30,1))</f>
        <v/>
      </c>
      <c r="AC30" s="15" t="str">
        <f t="shared" si="4"/>
        <v/>
      </c>
      <c r="AD30" s="15" t="str">
        <f t="shared" si="5"/>
        <v>Vanligt café</v>
      </c>
      <c r="AE30" s="15" t="str">
        <f t="shared" si="6"/>
        <v/>
      </c>
      <c r="AF30" t="str">
        <f>IF(T30="","",IFERROR(MATCH(1,INDEX((MATCHER!$B$5:$B$504=A30)*(MATCHER!$D$5:$D$504=C30)*(MATCHER!$K$5:$K$504="Ja")*(MATCHER!$C$5:$C$504&lt;E30)*(MATCHER!$M$5:$M$504&gt;D30)*(ROW(MATCHER!$A$5:$A$504)-ROW(MATCHER!$A$5)+1&gt;T30),0),0),""))</f>
        <v/>
      </c>
    </row>
    <row r="31" spans="1:32" ht="26">
      <c r="A31" s="42">
        <v>46285</v>
      </c>
      <c r="B31" s="43" t="s">
        <v>92</v>
      </c>
      <c r="C31" s="43" t="s">
        <v>86</v>
      </c>
      <c r="D31" s="44">
        <v>0.52083333333333304</v>
      </c>
      <c r="E31" s="44">
        <v>0.54166666666666696</v>
      </c>
      <c r="F31" s="45" t="str">
        <f>IF(R31="","",HOUR(INDEX(MATCHER!$C$5:$C$504,R31))&amp;":"&amp;IF(MINUTE(INDEX(MATCHER!$C$5:$C$504,R31))&lt;10,"0","")&amp;MINUTE(INDEX(MATCHER!$C$5:$C$504,R31))&amp;" "&amp;INDEX(MATCHER!$H$5:$H$504,R31)&amp;" – "&amp;INDEX(MATCHER!$I$5:$I$504,R31))&amp;IF(S31="",""," | "&amp;HOUR(INDEX(MATCHER!$C$5:$C$504,S31))&amp;":"&amp;IF(MINUTE(INDEX(MATCHER!$C$5:$C$504,S31))&lt;10,"0","")&amp;MINUTE(INDEX(MATCHER!$C$5:$C$504,S31))&amp;" "&amp;INDEX(MATCHER!$H$5:$H$504,S31)&amp;" – "&amp;INDEX(MATCHER!$I$5:$I$504,S31))&amp;IF(T31="",""," | "&amp;HOUR(INDEX(MATCHER!$C$5:$C$504,T31))&amp;":"&amp;IF(MINUTE(INDEX(MATCHER!$C$5:$C$504,T31))&lt;10,"0","")&amp;MINUTE(INDEX(MATCHER!$C$5:$C$504,T31))&amp;" "&amp;INDEX(MATCHER!$H$5:$H$504,T31)&amp;" – "&amp;INDEX(MATCHER!$I$5:$I$504,T31))&amp;IF(AF31="",""," | "&amp;HOUR(INDEX(MATCHER!$C$5:$C$504,AF31))&amp;":"&amp;IF(MINUTE(INDEX(MATCHER!$C$5:$C$504,AF31))&lt;10,"0","")&amp;MINUTE(INDEX(MATCHER!$C$5:$C$504,AF31))&amp;" "&amp;INDEX(MATCHER!$H$5:$H$504,AF31)&amp;" – "&amp;INDEX(MATCHER!$I$5:$I$504,AF31))</f>
        <v/>
      </c>
      <c r="G31" s="45" t="str">
        <f>MID(IF(R31="","",IF(OR(INDEX(MATCHER!$J$5:$J$504,R31)=""),""," / "&amp;INDEX(MATCHER!$J$5:$J$504,R31)))&amp;IF(S31="","",IF(OR(INDEX(MATCHER!$J$5:$J$504,S31)="",INDEX(MATCHER!$J$5:$J$504,S31)=IFERROR(INDEX(MATCHER!$J$5:$J$504,R31),"")),""," / "&amp;INDEX(MATCHER!$J$5:$J$504,S31)))&amp;IF(T31="","",IF(OR(INDEX(MATCHER!$J$5:$J$504,T31)="",INDEX(MATCHER!$J$5:$J$504,T31)=IFERROR(INDEX(MATCHER!$J$5:$J$504,R31),""),INDEX(MATCHER!$J$5:$J$504,T31)=IFERROR(INDEX(MATCHER!$J$5:$J$504,S31),"")),""," / "&amp;INDEX(MATCHER!$J$5:$J$504,T31)))&amp;IF(AF31="","",IF(OR(INDEX(MATCHER!$J$5:$J$504,AF31)="",INDEX(MATCHER!$J$5:$J$504,AF31)=IFERROR(INDEX(MATCHER!$J$5:$J$504,R31),""),INDEX(MATCHER!$J$5:$J$504,AF31)=IFERROR(INDEX(MATCHER!$J$5:$J$504,S31),""),INDEX(MATCHER!$J$5:$J$504,AF31)=IFERROR(INDEX(MATCHER!$J$5:$J$504,T31),"")),""," / "&amp;INDEX(MATCHER!$J$5:$J$504,AF31))),4,1000)</f>
        <v/>
      </c>
      <c r="H31" s="45" t="str">
        <f t="shared" si="9"/>
        <v>F19</v>
      </c>
      <c r="I31" s="46" t="s">
        <v>90</v>
      </c>
      <c r="J31" s="47" t="s">
        <v>105</v>
      </c>
      <c r="K31" s="48"/>
      <c r="L31" s="49"/>
      <c r="M31" s="50" t="str">
        <f>IF(O31&lt;&gt;O30,MAX(1,MIN(AA31,ROUNDUP(SUMPRODUCT(($O$5:$O$546=O31)*($I$5:$I$546="Ja")*($E$5:$E$546-$D$5:$D$546))*24/REGLER!$B$8,0))),"")</f>
        <v/>
      </c>
      <c r="N31" s="50" t="str">
        <f t="shared" si="0"/>
        <v>Klar</v>
      </c>
      <c r="O31" s="15" t="s">
        <v>93</v>
      </c>
      <c r="P31" s="16">
        <v>0.33333333333333298</v>
      </c>
      <c r="Q31" s="16">
        <v>0.67708333333333304</v>
      </c>
      <c r="R31" s="15" t="str">
        <f>IFERROR(MATCH(1,INDEX((MATCHER!$B$5:$B$504=A31)*(MATCHER!$D$5:$D$504=C31)*(MATCHER!$K$5:$K$504="Ja")*(MATCHER!$C$5:$C$504&lt;E31)*(MATCHER!$M$5:$M$504&gt;D31),0),0),"")</f>
        <v/>
      </c>
      <c r="S31" s="15" t="str">
        <f>IF(R31="","",IFERROR(MATCH(1,INDEX((MATCHER!$B$5:$B$504=A31)*(MATCHER!$D$5:$D$504=C31)*(MATCHER!$K$5:$K$504="Ja")*(MATCHER!$C$5:$C$504&lt;E31)*(MATCHER!$M$5:$M$504&gt;D31)*(ROW(MATCHER!$A$5:$A$504)-ROW(MATCHER!$A$5)+1&gt;R31),0),0),""))</f>
        <v/>
      </c>
      <c r="T31" s="15" t="str">
        <f>IF(S31="","",IFERROR(MATCH(1,INDEX((MATCHER!$B$5:$B$504=A31)*(MATCHER!$D$5:$D$504=C31)*(MATCHER!$K$5:$K$504="Ja")*(MATCHER!$C$5:$C$504&lt;E31)*(MATCHER!$M$5:$M$504&gt;D31)*(ROW(MATCHER!$A$5:$A$504)-ROW(MATCHER!$A$5)+1&gt;S31),0),0),""))</f>
        <v/>
      </c>
      <c r="U31" s="15">
        <f t="shared" si="1"/>
        <v>0</v>
      </c>
      <c r="V31" s="15">
        <f>IF(OR(I31&lt;&gt;"Ja",J31=""),"",COUNTIFS($O$5:O31,O31,$U$5:U31,1))</f>
        <v>1</v>
      </c>
      <c r="W31" s="15" t="str">
        <f t="shared" si="2"/>
        <v>2026-09-20 | Ulriksdalshallen|1</v>
      </c>
      <c r="X31" s="16" t="str">
        <f t="shared" si="3"/>
        <v/>
      </c>
      <c r="Y31" s="15">
        <f>IF(OR(I31&lt;&gt;"Ja",J31=""),0,IF(COUNTIFS($O$5:O31,O31,$I$5:I31,"Ja",$J$5:J31,"&lt;&gt;")=1,1,0))</f>
        <v>0</v>
      </c>
      <c r="Z31" s="15">
        <f>IF(OR(I31&lt;&gt;"Ja",J31=""),0,IF(COUNTIFS(O31:$O$546,O31,I31:$I$546,"Ja",J31:$J$546,"&lt;&gt;")=1,1,0))</f>
        <v>0</v>
      </c>
      <c r="AA31" s="15">
        <f t="shared" si="10"/>
        <v>1</v>
      </c>
      <c r="AB31" s="15" t="str">
        <f>IF(U31&lt;&gt;1,"",COUNTIF($U$5:U31,1))</f>
        <v/>
      </c>
      <c r="AC31" s="15" t="str">
        <f t="shared" si="4"/>
        <v/>
      </c>
      <c r="AD31" s="15" t="str">
        <f t="shared" si="5"/>
        <v>Vanligt café</v>
      </c>
      <c r="AE31" s="15" t="str">
        <f t="shared" si="6"/>
        <v/>
      </c>
      <c r="AF31" t="str">
        <f>IF(T31="","",IFERROR(MATCH(1,INDEX((MATCHER!$B$5:$B$504=A31)*(MATCHER!$D$5:$D$504=C31)*(MATCHER!$K$5:$K$504="Ja")*(MATCHER!$C$5:$C$504&lt;E31)*(MATCHER!$M$5:$M$504&gt;D31)*(ROW(MATCHER!$A$5:$A$504)-ROW(MATCHER!$A$5)+1&gt;T31),0),0),""))</f>
        <v/>
      </c>
    </row>
    <row r="32" spans="1:32" ht="26">
      <c r="A32" s="42">
        <v>46285</v>
      </c>
      <c r="B32" s="43" t="s">
        <v>92</v>
      </c>
      <c r="C32" s="43" t="s">
        <v>86</v>
      </c>
      <c r="D32" s="44">
        <v>0.54166666666666696</v>
      </c>
      <c r="E32" s="44">
        <v>0.5625</v>
      </c>
      <c r="F32" s="45" t="str">
        <f>IF(R32="","",HOUR(INDEX(MATCHER!$C$5:$C$504,R32))&amp;":"&amp;IF(MINUTE(INDEX(MATCHER!$C$5:$C$504,R32))&lt;10,"0","")&amp;MINUTE(INDEX(MATCHER!$C$5:$C$504,R32))&amp;" "&amp;INDEX(MATCHER!$H$5:$H$504,R32)&amp;" – "&amp;INDEX(MATCHER!$I$5:$I$504,R32))&amp;IF(S32="",""," | "&amp;HOUR(INDEX(MATCHER!$C$5:$C$504,S32))&amp;":"&amp;IF(MINUTE(INDEX(MATCHER!$C$5:$C$504,S32))&lt;10,"0","")&amp;MINUTE(INDEX(MATCHER!$C$5:$C$504,S32))&amp;" "&amp;INDEX(MATCHER!$H$5:$H$504,S32)&amp;" – "&amp;INDEX(MATCHER!$I$5:$I$504,S32))&amp;IF(T32="",""," | "&amp;HOUR(INDEX(MATCHER!$C$5:$C$504,T32))&amp;":"&amp;IF(MINUTE(INDEX(MATCHER!$C$5:$C$504,T32))&lt;10,"0","")&amp;MINUTE(INDEX(MATCHER!$C$5:$C$504,T32))&amp;" "&amp;INDEX(MATCHER!$H$5:$H$504,T32)&amp;" – "&amp;INDEX(MATCHER!$I$5:$I$504,T32))&amp;IF(AF32="",""," | "&amp;HOUR(INDEX(MATCHER!$C$5:$C$504,AF32))&amp;":"&amp;IF(MINUTE(INDEX(MATCHER!$C$5:$C$504,AF32))&lt;10,"0","")&amp;MINUTE(INDEX(MATCHER!$C$5:$C$504,AF32))&amp;" "&amp;INDEX(MATCHER!$H$5:$H$504,AF32)&amp;" – "&amp;INDEX(MATCHER!$I$5:$I$504,AF32))</f>
        <v/>
      </c>
      <c r="G32" s="45" t="str">
        <f>MID(IF(R32="","",IF(OR(INDEX(MATCHER!$J$5:$J$504,R32)=""),""," / "&amp;INDEX(MATCHER!$J$5:$J$504,R32)))&amp;IF(S32="","",IF(OR(INDEX(MATCHER!$J$5:$J$504,S32)="",INDEX(MATCHER!$J$5:$J$504,S32)=IFERROR(INDEX(MATCHER!$J$5:$J$504,R32),"")),""," / "&amp;INDEX(MATCHER!$J$5:$J$504,S32)))&amp;IF(T32="","",IF(OR(INDEX(MATCHER!$J$5:$J$504,T32)="",INDEX(MATCHER!$J$5:$J$504,T32)=IFERROR(INDEX(MATCHER!$J$5:$J$504,R32),""),INDEX(MATCHER!$J$5:$J$504,T32)=IFERROR(INDEX(MATCHER!$J$5:$J$504,S32),"")),""," / "&amp;INDEX(MATCHER!$J$5:$J$504,T32)))&amp;IF(AF32="","",IF(OR(INDEX(MATCHER!$J$5:$J$504,AF32)="",INDEX(MATCHER!$J$5:$J$504,AF32)=IFERROR(INDEX(MATCHER!$J$5:$J$504,R32),""),INDEX(MATCHER!$J$5:$J$504,AF32)=IFERROR(INDEX(MATCHER!$J$5:$J$504,S32),""),INDEX(MATCHER!$J$5:$J$504,AF32)=IFERROR(INDEX(MATCHER!$J$5:$J$504,T32),"")),""," / "&amp;INDEX(MATCHER!$J$5:$J$504,AF32))),4,1000)</f>
        <v/>
      </c>
      <c r="H32" s="45" t="str">
        <f t="shared" si="9"/>
        <v>F19</v>
      </c>
      <c r="I32" s="46" t="s">
        <v>90</v>
      </c>
      <c r="J32" s="47" t="s">
        <v>105</v>
      </c>
      <c r="K32" s="48"/>
      <c r="L32" s="49"/>
      <c r="M32" s="50" t="str">
        <f>IF(O32&lt;&gt;O31,MAX(1,MIN(AA32,ROUNDUP(SUMPRODUCT(($O$5:$O$546=O32)*($I$5:$I$546="Ja")*($E$5:$E$546-$D$5:$D$546))*24/REGLER!$B$8,0))),"")</f>
        <v/>
      </c>
      <c r="N32" s="50" t="str">
        <f t="shared" si="0"/>
        <v>Klar</v>
      </c>
      <c r="O32" s="15" t="s">
        <v>93</v>
      </c>
      <c r="P32" s="16">
        <v>0.33333333333333298</v>
      </c>
      <c r="Q32" s="16">
        <v>0.67708333333333304</v>
      </c>
      <c r="R32" s="15" t="str">
        <f>IFERROR(MATCH(1,INDEX((MATCHER!$B$5:$B$504=A32)*(MATCHER!$D$5:$D$504=C32)*(MATCHER!$K$5:$K$504="Ja")*(MATCHER!$C$5:$C$504&lt;E32)*(MATCHER!$M$5:$M$504&gt;D32),0),0),"")</f>
        <v/>
      </c>
      <c r="S32" s="15" t="str">
        <f>IF(R32="","",IFERROR(MATCH(1,INDEX((MATCHER!$B$5:$B$504=A32)*(MATCHER!$D$5:$D$504=C32)*(MATCHER!$K$5:$K$504="Ja")*(MATCHER!$C$5:$C$504&lt;E32)*(MATCHER!$M$5:$M$504&gt;D32)*(ROW(MATCHER!$A$5:$A$504)-ROW(MATCHER!$A$5)+1&gt;R32),0),0),""))</f>
        <v/>
      </c>
      <c r="T32" s="15" t="str">
        <f>IF(S32="","",IFERROR(MATCH(1,INDEX((MATCHER!$B$5:$B$504=A32)*(MATCHER!$D$5:$D$504=C32)*(MATCHER!$K$5:$K$504="Ja")*(MATCHER!$C$5:$C$504&lt;E32)*(MATCHER!$M$5:$M$504&gt;D32)*(ROW(MATCHER!$A$5:$A$504)-ROW(MATCHER!$A$5)+1&gt;S32),0),0),""))</f>
        <v/>
      </c>
      <c r="U32" s="15">
        <f t="shared" si="1"/>
        <v>0</v>
      </c>
      <c r="V32" s="15">
        <f>IF(OR(I32&lt;&gt;"Ja",J32=""),"",COUNTIFS($O$5:O32,O32,$U$5:U32,1))</f>
        <v>1</v>
      </c>
      <c r="W32" s="15" t="str">
        <f t="shared" si="2"/>
        <v>2026-09-20 | Ulriksdalshallen|1</v>
      </c>
      <c r="X32" s="16" t="str">
        <f t="shared" si="3"/>
        <v/>
      </c>
      <c r="Y32" s="15">
        <f>IF(OR(I32&lt;&gt;"Ja",J32=""),0,IF(COUNTIFS($O$5:O32,O32,$I$5:I32,"Ja",$J$5:J32,"&lt;&gt;")=1,1,0))</f>
        <v>0</v>
      </c>
      <c r="Z32" s="15">
        <f>IF(OR(I32&lt;&gt;"Ja",J32=""),0,IF(COUNTIFS(O32:$O$546,O32,I32:$I$546,"Ja",J32:$J$546,"&lt;&gt;")=1,1,0))</f>
        <v>0</v>
      </c>
      <c r="AA32" s="15">
        <f t="shared" si="10"/>
        <v>1</v>
      </c>
      <c r="AB32" s="15" t="str">
        <f>IF(U32&lt;&gt;1,"",COUNTIF($U$5:U32,1))</f>
        <v/>
      </c>
      <c r="AC32" s="15" t="str">
        <f t="shared" si="4"/>
        <v/>
      </c>
      <c r="AD32" s="15" t="str">
        <f t="shared" si="5"/>
        <v>Vanligt café</v>
      </c>
      <c r="AE32" s="15" t="str">
        <f t="shared" si="6"/>
        <v/>
      </c>
      <c r="AF32" t="str">
        <f>IF(T32="","",IFERROR(MATCH(1,INDEX((MATCHER!$B$5:$B$504=A32)*(MATCHER!$D$5:$D$504=C32)*(MATCHER!$K$5:$K$504="Ja")*(MATCHER!$C$5:$C$504&lt;E32)*(MATCHER!$M$5:$M$504&gt;D32)*(ROW(MATCHER!$A$5:$A$504)-ROW(MATCHER!$A$5)+1&gt;T32),0),0),""))</f>
        <v/>
      </c>
    </row>
    <row r="33" spans="1:32" ht="26">
      <c r="A33" s="42">
        <v>46285</v>
      </c>
      <c r="B33" s="43" t="s">
        <v>92</v>
      </c>
      <c r="C33" s="43" t="s">
        <v>86</v>
      </c>
      <c r="D33" s="44">
        <v>0.5625</v>
      </c>
      <c r="E33" s="44">
        <v>0.58333333333333304</v>
      </c>
      <c r="F33" s="45" t="str">
        <f>IF(R33="","",HOUR(INDEX(MATCHER!$C$5:$C$504,R33))&amp;":"&amp;IF(MINUTE(INDEX(MATCHER!$C$5:$C$504,R33))&lt;10,"0","")&amp;MINUTE(INDEX(MATCHER!$C$5:$C$504,R33))&amp;" "&amp;INDEX(MATCHER!$H$5:$H$504,R33)&amp;" – "&amp;INDEX(MATCHER!$I$5:$I$504,R33))&amp;IF(S33="",""," | "&amp;HOUR(INDEX(MATCHER!$C$5:$C$504,S33))&amp;":"&amp;IF(MINUTE(INDEX(MATCHER!$C$5:$C$504,S33))&lt;10,"0","")&amp;MINUTE(INDEX(MATCHER!$C$5:$C$504,S33))&amp;" "&amp;INDEX(MATCHER!$H$5:$H$504,S33)&amp;" – "&amp;INDEX(MATCHER!$I$5:$I$504,S33))&amp;IF(T33="",""," | "&amp;HOUR(INDEX(MATCHER!$C$5:$C$504,T33))&amp;":"&amp;IF(MINUTE(INDEX(MATCHER!$C$5:$C$504,T33))&lt;10,"0","")&amp;MINUTE(INDEX(MATCHER!$C$5:$C$504,T33))&amp;" "&amp;INDEX(MATCHER!$H$5:$H$504,T33)&amp;" – "&amp;INDEX(MATCHER!$I$5:$I$504,T33))&amp;IF(AF33="",""," | "&amp;HOUR(INDEX(MATCHER!$C$5:$C$504,AF33))&amp;":"&amp;IF(MINUTE(INDEX(MATCHER!$C$5:$C$504,AF33))&lt;10,"0","")&amp;MINUTE(INDEX(MATCHER!$C$5:$C$504,AF33))&amp;" "&amp;INDEX(MATCHER!$H$5:$H$504,AF33)&amp;" – "&amp;INDEX(MATCHER!$I$5:$I$504,AF33))</f>
        <v>13:30 Eslövs HK – HK Aranäs</v>
      </c>
      <c r="G33" s="45" t="str">
        <f>MID(IF(R33="","",IF(OR(INDEX(MATCHER!$J$5:$J$504,R33)=""),""," / "&amp;INDEX(MATCHER!$J$5:$J$504,R33)))&amp;IF(S33="","",IF(OR(INDEX(MATCHER!$J$5:$J$504,S33)="",INDEX(MATCHER!$J$5:$J$504,S33)=IFERROR(INDEX(MATCHER!$J$5:$J$504,R33),"")),""," / "&amp;INDEX(MATCHER!$J$5:$J$504,S33)))&amp;IF(T33="","",IF(OR(INDEX(MATCHER!$J$5:$J$504,T33)="",INDEX(MATCHER!$J$5:$J$504,T33)=IFERROR(INDEX(MATCHER!$J$5:$J$504,R33),""),INDEX(MATCHER!$J$5:$J$504,T33)=IFERROR(INDEX(MATCHER!$J$5:$J$504,S33),"")),""," / "&amp;INDEX(MATCHER!$J$5:$J$504,T33)))&amp;IF(AF33="","",IF(OR(INDEX(MATCHER!$J$5:$J$504,AF33)="",INDEX(MATCHER!$J$5:$J$504,AF33)=IFERROR(INDEX(MATCHER!$J$5:$J$504,R33),""),INDEX(MATCHER!$J$5:$J$504,AF33)=IFERROR(INDEX(MATCHER!$J$5:$J$504,S33),""),INDEX(MATCHER!$J$5:$J$504,AF33)=IFERROR(INDEX(MATCHER!$J$5:$J$504,T33),"")),""," / "&amp;INDEX(MATCHER!$J$5:$J$504,AF33))),4,1000)</f>
        <v/>
      </c>
      <c r="H33" s="45" t="str">
        <f t="shared" si="9"/>
        <v>F19</v>
      </c>
      <c r="I33" s="46" t="s">
        <v>90</v>
      </c>
      <c r="J33" s="47" t="s">
        <v>105</v>
      </c>
      <c r="K33" s="48"/>
      <c r="L33" s="49"/>
      <c r="M33" s="50" t="str">
        <f>IF(O33&lt;&gt;O32,MAX(1,MIN(AA33,ROUNDUP(SUMPRODUCT(($O$5:$O$546=O33)*($I$5:$I$546="Ja")*($E$5:$E$546-$D$5:$D$546))*24/REGLER!$B$8,0))),"")</f>
        <v/>
      </c>
      <c r="N33" s="50" t="str">
        <f t="shared" si="0"/>
        <v>Klar</v>
      </c>
      <c r="O33" s="15" t="s">
        <v>93</v>
      </c>
      <c r="P33" s="16">
        <v>0.33333333333333298</v>
      </c>
      <c r="Q33" s="16">
        <v>0.67708333333333304</v>
      </c>
      <c r="R33" s="15">
        <f>IFERROR(MATCH(1,INDEX((MATCHER!$B$5:$B$504=A33)*(MATCHER!$D$5:$D$504=C33)*(MATCHER!$K$5:$K$504="Ja")*(MATCHER!$C$5:$C$504&lt;E33)*(MATCHER!$M$5:$M$504&gt;D33),0),0),"")</f>
        <v>5</v>
      </c>
      <c r="S33" s="15" t="str">
        <f>IF(R33="","",IFERROR(MATCH(1,INDEX((MATCHER!$B$5:$B$504=A33)*(MATCHER!$D$5:$D$504=C33)*(MATCHER!$K$5:$K$504="Ja")*(MATCHER!$C$5:$C$504&lt;E33)*(MATCHER!$M$5:$M$504&gt;D33)*(ROW(MATCHER!$A$5:$A$504)-ROW(MATCHER!$A$5)+1&gt;R33),0),0),""))</f>
        <v/>
      </c>
      <c r="T33" s="15" t="str">
        <f>IF(S33="","",IFERROR(MATCH(1,INDEX((MATCHER!$B$5:$B$504=A33)*(MATCHER!$D$5:$D$504=C33)*(MATCHER!$K$5:$K$504="Ja")*(MATCHER!$C$5:$C$504&lt;E33)*(MATCHER!$M$5:$M$504&gt;D33)*(ROW(MATCHER!$A$5:$A$504)-ROW(MATCHER!$A$5)+1&gt;S33),0),0),""))</f>
        <v/>
      </c>
      <c r="U33" s="15">
        <f t="shared" si="1"/>
        <v>0</v>
      </c>
      <c r="V33" s="15">
        <f>IF(OR(I33&lt;&gt;"Ja",J33=""),"",COUNTIFS($O$5:O33,O33,$U$5:U33,1))</f>
        <v>1</v>
      </c>
      <c r="W33" s="15" t="str">
        <f t="shared" si="2"/>
        <v>2026-09-20 | Ulriksdalshallen|1</v>
      </c>
      <c r="X33" s="16" t="str">
        <f t="shared" si="3"/>
        <v/>
      </c>
      <c r="Y33" s="15">
        <f>IF(OR(I33&lt;&gt;"Ja",J33=""),0,IF(COUNTIFS($O$5:O33,O33,$I$5:I33,"Ja",$J$5:J33,"&lt;&gt;")=1,1,0))</f>
        <v>0</v>
      </c>
      <c r="Z33" s="15">
        <f>IF(OR(I33&lt;&gt;"Ja",J33=""),0,IF(COUNTIFS(O33:$O$546,O33,I33:$I$546,"Ja",J33:$J$546,"&lt;&gt;")=1,1,0))</f>
        <v>0</v>
      </c>
      <c r="AA33" s="15">
        <f t="shared" si="10"/>
        <v>1</v>
      </c>
      <c r="AB33" s="15" t="str">
        <f>IF(U33&lt;&gt;1,"",COUNTIF($U$5:U33,1))</f>
        <v/>
      </c>
      <c r="AC33" s="15" t="str">
        <f t="shared" si="4"/>
        <v/>
      </c>
      <c r="AD33" s="15" t="str">
        <f t="shared" si="5"/>
        <v>Vanligt café</v>
      </c>
      <c r="AE33" s="15" t="str">
        <f t="shared" si="6"/>
        <v/>
      </c>
      <c r="AF33" t="str">
        <f>IF(T33="","",IFERROR(MATCH(1,INDEX((MATCHER!$B$5:$B$504=A33)*(MATCHER!$D$5:$D$504=C33)*(MATCHER!$K$5:$K$504="Ja")*(MATCHER!$C$5:$C$504&lt;E33)*(MATCHER!$M$5:$M$504&gt;D33)*(ROW(MATCHER!$A$5:$A$504)-ROW(MATCHER!$A$5)+1&gt;T33),0),0),""))</f>
        <v/>
      </c>
    </row>
    <row r="34" spans="1:32" ht="26">
      <c r="A34" s="42">
        <v>46285</v>
      </c>
      <c r="B34" s="43" t="s">
        <v>92</v>
      </c>
      <c r="C34" s="43" t="s">
        <v>86</v>
      </c>
      <c r="D34" s="44">
        <v>0.58333333333333304</v>
      </c>
      <c r="E34" s="44">
        <v>0.60416666666666696</v>
      </c>
      <c r="F34" s="45" t="str">
        <f>IF(R34="","",HOUR(INDEX(MATCHER!$C$5:$C$504,R34))&amp;":"&amp;IF(MINUTE(INDEX(MATCHER!$C$5:$C$504,R34))&lt;10,"0","")&amp;MINUTE(INDEX(MATCHER!$C$5:$C$504,R34))&amp;" "&amp;INDEX(MATCHER!$H$5:$H$504,R34)&amp;" – "&amp;INDEX(MATCHER!$I$5:$I$504,R34))&amp;IF(S34="",""," | "&amp;HOUR(INDEX(MATCHER!$C$5:$C$504,S34))&amp;":"&amp;IF(MINUTE(INDEX(MATCHER!$C$5:$C$504,S34))&lt;10,"0","")&amp;MINUTE(INDEX(MATCHER!$C$5:$C$504,S34))&amp;" "&amp;INDEX(MATCHER!$H$5:$H$504,S34)&amp;" – "&amp;INDEX(MATCHER!$I$5:$I$504,S34))&amp;IF(T34="",""," | "&amp;HOUR(INDEX(MATCHER!$C$5:$C$504,T34))&amp;":"&amp;IF(MINUTE(INDEX(MATCHER!$C$5:$C$504,T34))&lt;10,"0","")&amp;MINUTE(INDEX(MATCHER!$C$5:$C$504,T34))&amp;" "&amp;INDEX(MATCHER!$H$5:$H$504,T34)&amp;" – "&amp;INDEX(MATCHER!$I$5:$I$504,T34))&amp;IF(AF34="",""," | "&amp;HOUR(INDEX(MATCHER!$C$5:$C$504,AF34))&amp;":"&amp;IF(MINUTE(INDEX(MATCHER!$C$5:$C$504,AF34))&lt;10,"0","")&amp;MINUTE(INDEX(MATCHER!$C$5:$C$504,AF34))&amp;" "&amp;INDEX(MATCHER!$H$5:$H$504,AF34)&amp;" – "&amp;INDEX(MATCHER!$I$5:$I$504,AF34))</f>
        <v>13:30 Eslövs HK – HK Aranäs</v>
      </c>
      <c r="G34" s="45" t="str">
        <f>MID(IF(R34="","",IF(OR(INDEX(MATCHER!$J$5:$J$504,R34)=""),""," / "&amp;INDEX(MATCHER!$J$5:$J$504,R34)))&amp;IF(S34="","",IF(OR(INDEX(MATCHER!$J$5:$J$504,S34)="",INDEX(MATCHER!$J$5:$J$504,S34)=IFERROR(INDEX(MATCHER!$J$5:$J$504,R34),"")),""," / "&amp;INDEX(MATCHER!$J$5:$J$504,S34)))&amp;IF(T34="","",IF(OR(INDEX(MATCHER!$J$5:$J$504,T34)="",INDEX(MATCHER!$J$5:$J$504,T34)=IFERROR(INDEX(MATCHER!$J$5:$J$504,R34),""),INDEX(MATCHER!$J$5:$J$504,T34)=IFERROR(INDEX(MATCHER!$J$5:$J$504,S34),"")),""," / "&amp;INDEX(MATCHER!$J$5:$J$504,T34)))&amp;IF(AF34="","",IF(OR(INDEX(MATCHER!$J$5:$J$504,AF34)="",INDEX(MATCHER!$J$5:$J$504,AF34)=IFERROR(INDEX(MATCHER!$J$5:$J$504,R34),""),INDEX(MATCHER!$J$5:$J$504,AF34)=IFERROR(INDEX(MATCHER!$J$5:$J$504,S34),""),INDEX(MATCHER!$J$5:$J$504,AF34)=IFERROR(INDEX(MATCHER!$J$5:$J$504,T34),"")),""," / "&amp;INDEX(MATCHER!$J$5:$J$504,AF34))),4,1000)</f>
        <v/>
      </c>
      <c r="H34" s="45" t="str">
        <f t="shared" si="9"/>
        <v>F19</v>
      </c>
      <c r="I34" s="46" t="s">
        <v>90</v>
      </c>
      <c r="J34" s="47" t="s">
        <v>105</v>
      </c>
      <c r="K34" s="48"/>
      <c r="L34" s="49"/>
      <c r="M34" s="50" t="str">
        <f>IF(O34&lt;&gt;O33,MAX(1,MIN(AA34,ROUNDUP(SUMPRODUCT(($O$5:$O$546=O34)*($I$5:$I$546="Ja")*($E$5:$E$546-$D$5:$D$546))*24/REGLER!$B$8,0))),"")</f>
        <v/>
      </c>
      <c r="N34" s="50" t="str">
        <f t="shared" si="0"/>
        <v>Klar</v>
      </c>
      <c r="O34" s="15" t="s">
        <v>93</v>
      </c>
      <c r="P34" s="16">
        <v>0.33333333333333298</v>
      </c>
      <c r="Q34" s="16">
        <v>0.67708333333333304</v>
      </c>
      <c r="R34" s="15">
        <f>IFERROR(MATCH(1,INDEX((MATCHER!$B$5:$B$504=A34)*(MATCHER!$D$5:$D$504=C34)*(MATCHER!$K$5:$K$504="Ja")*(MATCHER!$C$5:$C$504&lt;E34)*(MATCHER!$M$5:$M$504&gt;D34),0),0),"")</f>
        <v>5</v>
      </c>
      <c r="S34" s="15" t="str">
        <f>IF(R34="","",IFERROR(MATCH(1,INDEX((MATCHER!$B$5:$B$504=A34)*(MATCHER!$D$5:$D$504=C34)*(MATCHER!$K$5:$K$504="Ja")*(MATCHER!$C$5:$C$504&lt;E34)*(MATCHER!$M$5:$M$504&gt;D34)*(ROW(MATCHER!$A$5:$A$504)-ROW(MATCHER!$A$5)+1&gt;R34),0),0),""))</f>
        <v/>
      </c>
      <c r="T34" s="15" t="str">
        <f>IF(S34="","",IFERROR(MATCH(1,INDEX((MATCHER!$B$5:$B$504=A34)*(MATCHER!$D$5:$D$504=C34)*(MATCHER!$K$5:$K$504="Ja")*(MATCHER!$C$5:$C$504&lt;E34)*(MATCHER!$M$5:$M$504&gt;D34)*(ROW(MATCHER!$A$5:$A$504)-ROW(MATCHER!$A$5)+1&gt;S34),0),0),""))</f>
        <v/>
      </c>
      <c r="U34" s="15">
        <f t="shared" si="1"/>
        <v>0</v>
      </c>
      <c r="V34" s="15">
        <f>IF(OR(I34&lt;&gt;"Ja",J34=""),"",COUNTIFS($O$5:O34,O34,$U$5:U34,1))</f>
        <v>1</v>
      </c>
      <c r="W34" s="15" t="str">
        <f t="shared" si="2"/>
        <v>2026-09-20 | Ulriksdalshallen|1</v>
      </c>
      <c r="X34" s="16" t="str">
        <f t="shared" si="3"/>
        <v/>
      </c>
      <c r="Y34" s="15">
        <f>IF(OR(I34&lt;&gt;"Ja",J34=""),0,IF(COUNTIFS($O$5:O34,O34,$I$5:I34,"Ja",$J$5:J34,"&lt;&gt;")=1,1,0))</f>
        <v>0</v>
      </c>
      <c r="Z34" s="15">
        <f>IF(OR(I34&lt;&gt;"Ja",J34=""),0,IF(COUNTIFS(O34:$O$546,O34,I34:$I$546,"Ja",J34:$J$546,"&lt;&gt;")=1,1,0))</f>
        <v>0</v>
      </c>
      <c r="AA34" s="15">
        <f t="shared" si="10"/>
        <v>1</v>
      </c>
      <c r="AB34" s="15" t="str">
        <f>IF(U34&lt;&gt;1,"",COUNTIF($U$5:U34,1))</f>
        <v/>
      </c>
      <c r="AC34" s="15" t="str">
        <f t="shared" si="4"/>
        <v/>
      </c>
      <c r="AD34" s="15" t="str">
        <f t="shared" si="5"/>
        <v>Vanligt café</v>
      </c>
      <c r="AE34" s="15" t="str">
        <f t="shared" si="6"/>
        <v/>
      </c>
      <c r="AF34" t="str">
        <f>IF(T34="","",IFERROR(MATCH(1,INDEX((MATCHER!$B$5:$B$504=A34)*(MATCHER!$D$5:$D$504=C34)*(MATCHER!$K$5:$K$504="Ja")*(MATCHER!$C$5:$C$504&lt;E34)*(MATCHER!$M$5:$M$504&gt;D34)*(ROW(MATCHER!$A$5:$A$504)-ROW(MATCHER!$A$5)+1&gt;T34),0),0),""))</f>
        <v/>
      </c>
    </row>
    <row r="35" spans="1:32" ht="26">
      <c r="A35" s="42">
        <v>46285</v>
      </c>
      <c r="B35" s="43" t="s">
        <v>92</v>
      </c>
      <c r="C35" s="43" t="s">
        <v>86</v>
      </c>
      <c r="D35" s="44">
        <v>0.60416666666666696</v>
      </c>
      <c r="E35" s="44">
        <v>0.625</v>
      </c>
      <c r="F35" s="45" t="str">
        <f>IF(R35="","",HOUR(INDEX(MATCHER!$C$5:$C$504,R35))&amp;":"&amp;IF(MINUTE(INDEX(MATCHER!$C$5:$C$504,R35))&lt;10,"0","")&amp;MINUTE(INDEX(MATCHER!$C$5:$C$504,R35))&amp;" "&amp;INDEX(MATCHER!$H$5:$H$504,R35)&amp;" – "&amp;INDEX(MATCHER!$I$5:$I$504,R35))&amp;IF(S35="",""," | "&amp;HOUR(INDEX(MATCHER!$C$5:$C$504,S35))&amp;":"&amp;IF(MINUTE(INDEX(MATCHER!$C$5:$C$504,S35))&lt;10,"0","")&amp;MINUTE(INDEX(MATCHER!$C$5:$C$504,S35))&amp;" "&amp;INDEX(MATCHER!$H$5:$H$504,S35)&amp;" – "&amp;INDEX(MATCHER!$I$5:$I$504,S35))&amp;IF(T35="",""," | "&amp;HOUR(INDEX(MATCHER!$C$5:$C$504,T35))&amp;":"&amp;IF(MINUTE(INDEX(MATCHER!$C$5:$C$504,T35))&lt;10,"0","")&amp;MINUTE(INDEX(MATCHER!$C$5:$C$504,T35))&amp;" "&amp;INDEX(MATCHER!$H$5:$H$504,T35)&amp;" – "&amp;INDEX(MATCHER!$I$5:$I$504,T35))&amp;IF(AF35="",""," | "&amp;HOUR(INDEX(MATCHER!$C$5:$C$504,AF35))&amp;":"&amp;IF(MINUTE(INDEX(MATCHER!$C$5:$C$504,AF35))&lt;10,"0","")&amp;MINUTE(INDEX(MATCHER!$C$5:$C$504,AF35))&amp;" "&amp;INDEX(MATCHER!$H$5:$H$504,AF35)&amp;" – "&amp;INDEX(MATCHER!$I$5:$I$504,AF35))</f>
        <v/>
      </c>
      <c r="G35" s="45" t="str">
        <f>MID(IF(R35="","",IF(OR(INDEX(MATCHER!$J$5:$J$504,R35)=""),""," / "&amp;INDEX(MATCHER!$J$5:$J$504,R35)))&amp;IF(S35="","",IF(OR(INDEX(MATCHER!$J$5:$J$504,S35)="",INDEX(MATCHER!$J$5:$J$504,S35)=IFERROR(INDEX(MATCHER!$J$5:$J$504,R35),"")),""," / "&amp;INDEX(MATCHER!$J$5:$J$504,S35)))&amp;IF(T35="","",IF(OR(INDEX(MATCHER!$J$5:$J$504,T35)="",INDEX(MATCHER!$J$5:$J$504,T35)=IFERROR(INDEX(MATCHER!$J$5:$J$504,R35),""),INDEX(MATCHER!$J$5:$J$504,T35)=IFERROR(INDEX(MATCHER!$J$5:$J$504,S35),"")),""," / "&amp;INDEX(MATCHER!$J$5:$J$504,T35)))&amp;IF(AF35="","",IF(OR(INDEX(MATCHER!$J$5:$J$504,AF35)="",INDEX(MATCHER!$J$5:$J$504,AF35)=IFERROR(INDEX(MATCHER!$J$5:$J$504,R35),""),INDEX(MATCHER!$J$5:$J$504,AF35)=IFERROR(INDEX(MATCHER!$J$5:$J$504,S35),""),INDEX(MATCHER!$J$5:$J$504,AF35)=IFERROR(INDEX(MATCHER!$J$5:$J$504,T35),"")),""," / "&amp;INDEX(MATCHER!$J$5:$J$504,AF35))),4,1000)</f>
        <v/>
      </c>
      <c r="H35" s="45" t="str">
        <f t="shared" si="9"/>
        <v>F19</v>
      </c>
      <c r="I35" s="46" t="s">
        <v>90</v>
      </c>
      <c r="J35" s="47" t="s">
        <v>105</v>
      </c>
      <c r="K35" s="48"/>
      <c r="L35" s="49"/>
      <c r="M35" s="50" t="str">
        <f>IF(O35&lt;&gt;O34,MAX(1,MIN(AA35,ROUNDUP(SUMPRODUCT(($O$5:$O$546=O35)*($I$5:$I$546="Ja")*($E$5:$E$546-$D$5:$D$546))*24/REGLER!$B$8,0))),"")</f>
        <v/>
      </c>
      <c r="N35" s="50" t="str">
        <f t="shared" si="0"/>
        <v>Klar</v>
      </c>
      <c r="O35" s="15" t="s">
        <v>93</v>
      </c>
      <c r="P35" s="16">
        <v>0.33333333333333298</v>
      </c>
      <c r="Q35" s="16">
        <v>0.67708333333333304</v>
      </c>
      <c r="R35" s="15" t="str">
        <f>IFERROR(MATCH(1,INDEX((MATCHER!$B$5:$B$504=A35)*(MATCHER!$D$5:$D$504=C35)*(MATCHER!$K$5:$K$504="Ja")*(MATCHER!$C$5:$C$504&lt;E35)*(MATCHER!$M$5:$M$504&gt;D35),0),0),"")</f>
        <v/>
      </c>
      <c r="S35" s="15" t="str">
        <f>IF(R35="","",IFERROR(MATCH(1,INDEX((MATCHER!$B$5:$B$504=A35)*(MATCHER!$D$5:$D$504=C35)*(MATCHER!$K$5:$K$504="Ja")*(MATCHER!$C$5:$C$504&lt;E35)*(MATCHER!$M$5:$M$504&gt;D35)*(ROW(MATCHER!$A$5:$A$504)-ROW(MATCHER!$A$5)+1&gt;R35),0),0),""))</f>
        <v/>
      </c>
      <c r="T35" s="15" t="str">
        <f>IF(S35="","",IFERROR(MATCH(1,INDEX((MATCHER!$B$5:$B$504=A35)*(MATCHER!$D$5:$D$504=C35)*(MATCHER!$K$5:$K$504="Ja")*(MATCHER!$C$5:$C$504&lt;E35)*(MATCHER!$M$5:$M$504&gt;D35)*(ROW(MATCHER!$A$5:$A$504)-ROW(MATCHER!$A$5)+1&gt;S35),0),0),""))</f>
        <v/>
      </c>
      <c r="U35" s="15">
        <f t="shared" si="1"/>
        <v>0</v>
      </c>
      <c r="V35" s="15">
        <f>IF(OR(I35&lt;&gt;"Ja",J35=""),"",COUNTIFS($O$5:O35,O35,$U$5:U35,1))</f>
        <v>1</v>
      </c>
      <c r="W35" s="15" t="str">
        <f t="shared" si="2"/>
        <v>2026-09-20 | Ulriksdalshallen|1</v>
      </c>
      <c r="X35" s="16" t="str">
        <f t="shared" si="3"/>
        <v/>
      </c>
      <c r="Y35" s="15">
        <f>IF(OR(I35&lt;&gt;"Ja",J35=""),0,IF(COUNTIFS($O$5:O35,O35,$I$5:I35,"Ja",$J$5:J35,"&lt;&gt;")=1,1,0))</f>
        <v>0</v>
      </c>
      <c r="Z35" s="15">
        <f>IF(OR(I35&lt;&gt;"Ja",J35=""),0,IF(COUNTIFS(O35:$O$546,O35,I35:$I$546,"Ja",J35:$J$546,"&lt;&gt;")=1,1,0))</f>
        <v>0</v>
      </c>
      <c r="AA35" s="15">
        <f t="shared" si="10"/>
        <v>1</v>
      </c>
      <c r="AB35" s="15" t="str">
        <f>IF(U35&lt;&gt;1,"",COUNTIF($U$5:U35,1))</f>
        <v/>
      </c>
      <c r="AC35" s="15" t="str">
        <f t="shared" si="4"/>
        <v/>
      </c>
      <c r="AD35" s="15" t="str">
        <f t="shared" si="5"/>
        <v>Vanligt café</v>
      </c>
      <c r="AE35" s="15" t="str">
        <f t="shared" si="6"/>
        <v/>
      </c>
      <c r="AF35" t="str">
        <f>IF(T35="","",IFERROR(MATCH(1,INDEX((MATCHER!$B$5:$B$504=A35)*(MATCHER!$D$5:$D$504=C35)*(MATCHER!$K$5:$K$504="Ja")*(MATCHER!$C$5:$C$504&lt;E35)*(MATCHER!$M$5:$M$504&gt;D35)*(ROW(MATCHER!$A$5:$A$504)-ROW(MATCHER!$A$5)+1&gt;T35),0),0),""))</f>
        <v/>
      </c>
    </row>
    <row r="36" spans="1:32" ht="26">
      <c r="A36" s="42">
        <v>46285</v>
      </c>
      <c r="B36" s="43" t="s">
        <v>92</v>
      </c>
      <c r="C36" s="43" t="s">
        <v>86</v>
      </c>
      <c r="D36" s="44">
        <v>0.625</v>
      </c>
      <c r="E36" s="44">
        <v>0.64583333333333304</v>
      </c>
      <c r="F36" s="45" t="str">
        <f>IF(R36="","",HOUR(INDEX(MATCHER!$C$5:$C$504,R36))&amp;":"&amp;IF(MINUTE(INDEX(MATCHER!$C$5:$C$504,R36))&lt;10,"0","")&amp;MINUTE(INDEX(MATCHER!$C$5:$C$504,R36))&amp;" "&amp;INDEX(MATCHER!$H$5:$H$504,R36)&amp;" – "&amp;INDEX(MATCHER!$I$5:$I$504,R36))&amp;IF(S36="",""," | "&amp;HOUR(INDEX(MATCHER!$C$5:$C$504,S36))&amp;":"&amp;IF(MINUTE(INDEX(MATCHER!$C$5:$C$504,S36))&lt;10,"0","")&amp;MINUTE(INDEX(MATCHER!$C$5:$C$504,S36))&amp;" "&amp;INDEX(MATCHER!$H$5:$H$504,S36)&amp;" – "&amp;INDEX(MATCHER!$I$5:$I$504,S36))&amp;IF(T36="",""," | "&amp;HOUR(INDEX(MATCHER!$C$5:$C$504,T36))&amp;":"&amp;IF(MINUTE(INDEX(MATCHER!$C$5:$C$504,T36))&lt;10,"0","")&amp;MINUTE(INDEX(MATCHER!$C$5:$C$504,T36))&amp;" "&amp;INDEX(MATCHER!$H$5:$H$504,T36)&amp;" – "&amp;INDEX(MATCHER!$I$5:$I$504,T36))&amp;IF(AF36="",""," | "&amp;HOUR(INDEX(MATCHER!$C$5:$C$504,AF36))&amp;":"&amp;IF(MINUTE(INDEX(MATCHER!$C$5:$C$504,AF36))&lt;10,"0","")&amp;MINUTE(INDEX(MATCHER!$C$5:$C$504,AF36))&amp;" "&amp;INDEX(MATCHER!$H$5:$H$504,AF36)&amp;" – "&amp;INDEX(MATCHER!$I$5:$I$504,AF36))</f>
        <v>15:00 AIK – Kiruna HK</v>
      </c>
      <c r="G36" s="45" t="str">
        <f>MID(IF(R36="","",IF(OR(INDEX(MATCHER!$J$5:$J$504,R36)=""),""," / "&amp;INDEX(MATCHER!$J$5:$J$504,R36)))&amp;IF(S36="","",IF(OR(INDEX(MATCHER!$J$5:$J$504,S36)="",INDEX(MATCHER!$J$5:$J$504,S36)=IFERROR(INDEX(MATCHER!$J$5:$J$504,R36),"")),""," / "&amp;INDEX(MATCHER!$J$5:$J$504,S36)))&amp;IF(T36="","",IF(OR(INDEX(MATCHER!$J$5:$J$504,T36)="",INDEX(MATCHER!$J$5:$J$504,T36)=IFERROR(INDEX(MATCHER!$J$5:$J$504,R36),""),INDEX(MATCHER!$J$5:$J$504,T36)=IFERROR(INDEX(MATCHER!$J$5:$J$504,S36),"")),""," / "&amp;INDEX(MATCHER!$J$5:$J$504,T36)))&amp;IF(AF36="","",IF(OR(INDEX(MATCHER!$J$5:$J$504,AF36)="",INDEX(MATCHER!$J$5:$J$504,AF36)=IFERROR(INDEX(MATCHER!$J$5:$J$504,R36),""),INDEX(MATCHER!$J$5:$J$504,AF36)=IFERROR(INDEX(MATCHER!$J$5:$J$504,S36),""),INDEX(MATCHER!$J$5:$J$504,AF36)=IFERROR(INDEX(MATCHER!$J$5:$J$504,T36),"")),""," / "&amp;INDEX(MATCHER!$J$5:$J$504,AF36))),4,1000)</f>
        <v>F19</v>
      </c>
      <c r="H36" s="45" t="str">
        <f t="shared" si="9"/>
        <v>F19</v>
      </c>
      <c r="I36" s="46" t="s">
        <v>90</v>
      </c>
      <c r="J36" s="47" t="s">
        <v>105</v>
      </c>
      <c r="K36" s="48"/>
      <c r="L36" s="49"/>
      <c r="M36" s="50" t="str">
        <f>IF(O36&lt;&gt;O35,MAX(1,MIN(AA36,ROUNDUP(SUMPRODUCT(($O$5:$O$546=O36)*($I$5:$I$546="Ja")*($E$5:$E$546-$D$5:$D$546))*24/REGLER!$B$8,0))),"")</f>
        <v/>
      </c>
      <c r="N36" s="50" t="str">
        <f t="shared" si="0"/>
        <v>Klar</v>
      </c>
      <c r="O36" s="15" t="s">
        <v>93</v>
      </c>
      <c r="P36" s="16">
        <v>0.33333333333333298</v>
      </c>
      <c r="Q36" s="16">
        <v>0.67708333333333304</v>
      </c>
      <c r="R36" s="15">
        <f>IFERROR(MATCH(1,INDEX((MATCHER!$B$5:$B$504=A36)*(MATCHER!$D$5:$D$504=C36)*(MATCHER!$K$5:$K$504="Ja")*(MATCHER!$C$5:$C$504&lt;E36)*(MATCHER!$M$5:$M$504&gt;D36),0),0),"")</f>
        <v>6</v>
      </c>
      <c r="S36" s="15" t="str">
        <f>IF(R36="","",IFERROR(MATCH(1,INDEX((MATCHER!$B$5:$B$504=A36)*(MATCHER!$D$5:$D$504=C36)*(MATCHER!$K$5:$K$504="Ja")*(MATCHER!$C$5:$C$504&lt;E36)*(MATCHER!$M$5:$M$504&gt;D36)*(ROW(MATCHER!$A$5:$A$504)-ROW(MATCHER!$A$5)+1&gt;R36),0),0),""))</f>
        <v/>
      </c>
      <c r="T36" s="15" t="str">
        <f>IF(S36="","",IFERROR(MATCH(1,INDEX((MATCHER!$B$5:$B$504=A36)*(MATCHER!$D$5:$D$504=C36)*(MATCHER!$K$5:$K$504="Ja")*(MATCHER!$C$5:$C$504&lt;E36)*(MATCHER!$M$5:$M$504&gt;D36)*(ROW(MATCHER!$A$5:$A$504)-ROW(MATCHER!$A$5)+1&gt;S36),0),0),""))</f>
        <v/>
      </c>
      <c r="U36" s="15">
        <f t="shared" si="1"/>
        <v>0</v>
      </c>
      <c r="V36" s="15">
        <f>IF(OR(I36&lt;&gt;"Ja",J36=""),"",COUNTIFS($O$5:O36,O36,$U$5:U36,1))</f>
        <v>1</v>
      </c>
      <c r="W36" s="15" t="str">
        <f t="shared" si="2"/>
        <v>2026-09-20 | Ulriksdalshallen|1</v>
      </c>
      <c r="X36" s="16" t="str">
        <f t="shared" si="3"/>
        <v/>
      </c>
      <c r="Y36" s="15">
        <f>IF(OR(I36&lt;&gt;"Ja",J36=""),0,IF(COUNTIFS($O$5:O36,O36,$I$5:I36,"Ja",$J$5:J36,"&lt;&gt;")=1,1,0))</f>
        <v>0</v>
      </c>
      <c r="Z36" s="15">
        <f>IF(OR(I36&lt;&gt;"Ja",J36=""),0,IF(COUNTIFS(O36:$O$546,O36,I36:$I$546,"Ja",J36:$J$546,"&lt;&gt;")=1,1,0))</f>
        <v>0</v>
      </c>
      <c r="AA36" s="15">
        <f t="shared" si="10"/>
        <v>1</v>
      </c>
      <c r="AB36" s="15" t="str">
        <f>IF(U36&lt;&gt;1,"",COUNTIF($U$5:U36,1))</f>
        <v/>
      </c>
      <c r="AC36" s="15" t="str">
        <f t="shared" si="4"/>
        <v/>
      </c>
      <c r="AD36" s="15" t="str">
        <f t="shared" si="5"/>
        <v>Vanligt café</v>
      </c>
      <c r="AE36" s="15" t="str">
        <f t="shared" si="6"/>
        <v/>
      </c>
      <c r="AF36" t="str">
        <f>IF(T36="","",IFERROR(MATCH(1,INDEX((MATCHER!$B$5:$B$504=A36)*(MATCHER!$D$5:$D$504=C36)*(MATCHER!$K$5:$K$504="Ja")*(MATCHER!$C$5:$C$504&lt;E36)*(MATCHER!$M$5:$M$504&gt;D36)*(ROW(MATCHER!$A$5:$A$504)-ROW(MATCHER!$A$5)+1&gt;T36),0),0),""))</f>
        <v/>
      </c>
    </row>
    <row r="37" spans="1:32" ht="26">
      <c r="A37" s="42">
        <v>46285</v>
      </c>
      <c r="B37" s="43" t="s">
        <v>92</v>
      </c>
      <c r="C37" s="43" t="s">
        <v>86</v>
      </c>
      <c r="D37" s="44">
        <v>0.64583333333333304</v>
      </c>
      <c r="E37" s="44">
        <v>0.66666666666666696</v>
      </c>
      <c r="F37" s="45" t="str">
        <f>IF(R37="","",HOUR(INDEX(MATCHER!$C$5:$C$504,R37))&amp;":"&amp;IF(MINUTE(INDEX(MATCHER!$C$5:$C$504,R37))&lt;10,"0","")&amp;MINUTE(INDEX(MATCHER!$C$5:$C$504,R37))&amp;" "&amp;INDEX(MATCHER!$H$5:$H$504,R37)&amp;" – "&amp;INDEX(MATCHER!$I$5:$I$504,R37))&amp;IF(S37="",""," | "&amp;HOUR(INDEX(MATCHER!$C$5:$C$504,S37))&amp;":"&amp;IF(MINUTE(INDEX(MATCHER!$C$5:$C$504,S37))&lt;10,"0","")&amp;MINUTE(INDEX(MATCHER!$C$5:$C$504,S37))&amp;" "&amp;INDEX(MATCHER!$H$5:$H$504,S37)&amp;" – "&amp;INDEX(MATCHER!$I$5:$I$504,S37))&amp;IF(T37="",""," | "&amp;HOUR(INDEX(MATCHER!$C$5:$C$504,T37))&amp;":"&amp;IF(MINUTE(INDEX(MATCHER!$C$5:$C$504,T37))&lt;10,"0","")&amp;MINUTE(INDEX(MATCHER!$C$5:$C$504,T37))&amp;" "&amp;INDEX(MATCHER!$H$5:$H$504,T37)&amp;" – "&amp;INDEX(MATCHER!$I$5:$I$504,T37))&amp;IF(AF37="",""," | "&amp;HOUR(INDEX(MATCHER!$C$5:$C$504,AF37))&amp;":"&amp;IF(MINUTE(INDEX(MATCHER!$C$5:$C$504,AF37))&lt;10,"0","")&amp;MINUTE(INDEX(MATCHER!$C$5:$C$504,AF37))&amp;" "&amp;INDEX(MATCHER!$H$5:$H$504,AF37)&amp;" – "&amp;INDEX(MATCHER!$I$5:$I$504,AF37))</f>
        <v>15:00 AIK – Kiruna HK</v>
      </c>
      <c r="G37" s="45" t="str">
        <f>MID(IF(R37="","",IF(OR(INDEX(MATCHER!$J$5:$J$504,R37)=""),""," / "&amp;INDEX(MATCHER!$J$5:$J$504,R37)))&amp;IF(S37="","",IF(OR(INDEX(MATCHER!$J$5:$J$504,S37)="",INDEX(MATCHER!$J$5:$J$504,S37)=IFERROR(INDEX(MATCHER!$J$5:$J$504,R37),"")),""," / "&amp;INDEX(MATCHER!$J$5:$J$504,S37)))&amp;IF(T37="","",IF(OR(INDEX(MATCHER!$J$5:$J$504,T37)="",INDEX(MATCHER!$J$5:$J$504,T37)=IFERROR(INDEX(MATCHER!$J$5:$J$504,R37),""),INDEX(MATCHER!$J$5:$J$504,T37)=IFERROR(INDEX(MATCHER!$J$5:$J$504,S37),"")),""," / "&amp;INDEX(MATCHER!$J$5:$J$504,T37)))&amp;IF(AF37="","",IF(OR(INDEX(MATCHER!$J$5:$J$504,AF37)="",INDEX(MATCHER!$J$5:$J$504,AF37)=IFERROR(INDEX(MATCHER!$J$5:$J$504,R37),""),INDEX(MATCHER!$J$5:$J$504,AF37)=IFERROR(INDEX(MATCHER!$J$5:$J$504,S37),""),INDEX(MATCHER!$J$5:$J$504,AF37)=IFERROR(INDEX(MATCHER!$J$5:$J$504,T37),"")),""," / "&amp;INDEX(MATCHER!$J$5:$J$504,AF37))),4,1000)</f>
        <v>F19</v>
      </c>
      <c r="H37" s="45" t="str">
        <f t="shared" si="9"/>
        <v>F19</v>
      </c>
      <c r="I37" s="46" t="s">
        <v>90</v>
      </c>
      <c r="J37" s="47" t="s">
        <v>105</v>
      </c>
      <c r="K37" s="48"/>
      <c r="L37" s="49"/>
      <c r="M37" s="50" t="str">
        <f>IF(O37&lt;&gt;O36,MAX(1,MIN(AA37,ROUNDUP(SUMPRODUCT(($O$5:$O$546=O37)*($I$5:$I$546="Ja")*($E$5:$E$546-$D$5:$D$546))*24/REGLER!$B$8,0))),"")</f>
        <v/>
      </c>
      <c r="N37" s="50" t="str">
        <f t="shared" si="0"/>
        <v>Klar</v>
      </c>
      <c r="O37" s="15" t="s">
        <v>93</v>
      </c>
      <c r="P37" s="16">
        <v>0.33333333333333298</v>
      </c>
      <c r="Q37" s="16">
        <v>0.67708333333333304</v>
      </c>
      <c r="R37" s="15">
        <f>IFERROR(MATCH(1,INDEX((MATCHER!$B$5:$B$504=A37)*(MATCHER!$D$5:$D$504=C37)*(MATCHER!$K$5:$K$504="Ja")*(MATCHER!$C$5:$C$504&lt;E37)*(MATCHER!$M$5:$M$504&gt;D37),0),0),"")</f>
        <v>6</v>
      </c>
      <c r="S37" s="15" t="str">
        <f>IF(R37="","",IFERROR(MATCH(1,INDEX((MATCHER!$B$5:$B$504=A37)*(MATCHER!$D$5:$D$504=C37)*(MATCHER!$K$5:$K$504="Ja")*(MATCHER!$C$5:$C$504&lt;E37)*(MATCHER!$M$5:$M$504&gt;D37)*(ROW(MATCHER!$A$5:$A$504)-ROW(MATCHER!$A$5)+1&gt;R37),0),0),""))</f>
        <v/>
      </c>
      <c r="T37" s="15" t="str">
        <f>IF(S37="","",IFERROR(MATCH(1,INDEX((MATCHER!$B$5:$B$504=A37)*(MATCHER!$D$5:$D$504=C37)*(MATCHER!$K$5:$K$504="Ja")*(MATCHER!$C$5:$C$504&lt;E37)*(MATCHER!$M$5:$M$504&gt;D37)*(ROW(MATCHER!$A$5:$A$504)-ROW(MATCHER!$A$5)+1&gt;S37),0),0),""))</f>
        <v/>
      </c>
      <c r="U37" s="15">
        <f t="shared" si="1"/>
        <v>0</v>
      </c>
      <c r="V37" s="15">
        <f>IF(OR(I37&lt;&gt;"Ja",J37=""),"",COUNTIFS($O$5:O37,O37,$U$5:U37,1))</f>
        <v>1</v>
      </c>
      <c r="W37" s="15" t="str">
        <f t="shared" si="2"/>
        <v>2026-09-20 | Ulriksdalshallen|1</v>
      </c>
      <c r="X37" s="16" t="str">
        <f t="shared" si="3"/>
        <v/>
      </c>
      <c r="Y37" s="15">
        <f>IF(OR(I37&lt;&gt;"Ja",J37=""),0,IF(COUNTIFS($O$5:O37,O37,$I$5:I37,"Ja",$J$5:J37,"&lt;&gt;")=1,1,0))</f>
        <v>0</v>
      </c>
      <c r="Z37" s="15">
        <f>IF(OR(I37&lt;&gt;"Ja",J37=""),0,IF(COUNTIFS(O37:$O$546,O37,I37:$I$546,"Ja",J37:$J$546,"&lt;&gt;")=1,1,0))</f>
        <v>0</v>
      </c>
      <c r="AA37" s="15">
        <f t="shared" si="10"/>
        <v>1</v>
      </c>
      <c r="AB37" s="15" t="str">
        <f>IF(U37&lt;&gt;1,"",COUNTIF($U$5:U37,1))</f>
        <v/>
      </c>
      <c r="AC37" s="15" t="str">
        <f t="shared" si="4"/>
        <v/>
      </c>
      <c r="AD37" s="15" t="str">
        <f t="shared" si="5"/>
        <v>Vanligt café</v>
      </c>
      <c r="AE37" s="15" t="str">
        <f t="shared" si="6"/>
        <v/>
      </c>
      <c r="AF37" t="str">
        <f>IF(T37="","",IFERROR(MATCH(1,INDEX((MATCHER!$B$5:$B$504=A37)*(MATCHER!$D$5:$D$504=C37)*(MATCHER!$K$5:$K$504="Ja")*(MATCHER!$C$5:$C$504&lt;E37)*(MATCHER!$M$5:$M$504&gt;D37)*(ROW(MATCHER!$A$5:$A$504)-ROW(MATCHER!$A$5)+1&gt;T37),0),0),""))</f>
        <v/>
      </c>
    </row>
    <row r="38" spans="1:32" ht="26.5" thickBot="1">
      <c r="A38" s="52">
        <v>46285</v>
      </c>
      <c r="B38" s="53" t="s">
        <v>92</v>
      </c>
      <c r="C38" s="53" t="s">
        <v>86</v>
      </c>
      <c r="D38" s="54">
        <v>0.66666666666666696</v>
      </c>
      <c r="E38" s="54">
        <v>0.67708333333333304</v>
      </c>
      <c r="F38" s="55" t="str">
        <f>IF(R38="","",HOUR(INDEX(MATCHER!$C$5:$C$504,R38))&amp;":"&amp;IF(MINUTE(INDEX(MATCHER!$C$5:$C$504,R38))&lt;10,"0","")&amp;MINUTE(INDEX(MATCHER!$C$5:$C$504,R38))&amp;" "&amp;INDEX(MATCHER!$H$5:$H$504,R38)&amp;" – "&amp;INDEX(MATCHER!$I$5:$I$504,R38))&amp;IF(S38="",""," | "&amp;HOUR(INDEX(MATCHER!$C$5:$C$504,S38))&amp;":"&amp;IF(MINUTE(INDEX(MATCHER!$C$5:$C$504,S38))&lt;10,"0","")&amp;MINUTE(INDEX(MATCHER!$C$5:$C$504,S38))&amp;" "&amp;INDEX(MATCHER!$H$5:$H$504,S38)&amp;" – "&amp;INDEX(MATCHER!$I$5:$I$504,S38))&amp;IF(T38="",""," | "&amp;HOUR(INDEX(MATCHER!$C$5:$C$504,T38))&amp;":"&amp;IF(MINUTE(INDEX(MATCHER!$C$5:$C$504,T38))&lt;10,"0","")&amp;MINUTE(INDEX(MATCHER!$C$5:$C$504,T38))&amp;" "&amp;INDEX(MATCHER!$H$5:$H$504,T38)&amp;" – "&amp;INDEX(MATCHER!$I$5:$I$504,T38))&amp;IF(AF38="",""," | "&amp;HOUR(INDEX(MATCHER!$C$5:$C$504,AF38))&amp;":"&amp;IF(MINUTE(INDEX(MATCHER!$C$5:$C$504,AF38))&lt;10,"0","")&amp;MINUTE(INDEX(MATCHER!$C$5:$C$504,AF38))&amp;" "&amp;INDEX(MATCHER!$H$5:$H$504,AF38)&amp;" – "&amp;INDEX(MATCHER!$I$5:$I$504,AF38))</f>
        <v/>
      </c>
      <c r="G38" s="55" t="str">
        <f>MID(IF(R38="","",IF(OR(INDEX(MATCHER!$J$5:$J$504,R38)=""),""," / "&amp;INDEX(MATCHER!$J$5:$J$504,R38)))&amp;IF(S38="","",IF(OR(INDEX(MATCHER!$J$5:$J$504,S38)="",INDEX(MATCHER!$J$5:$J$504,S38)=IFERROR(INDEX(MATCHER!$J$5:$J$504,R38),"")),""," / "&amp;INDEX(MATCHER!$J$5:$J$504,S38)))&amp;IF(T38="","",IF(OR(INDEX(MATCHER!$J$5:$J$504,T38)="",INDEX(MATCHER!$J$5:$J$504,T38)=IFERROR(INDEX(MATCHER!$J$5:$J$504,R38),""),INDEX(MATCHER!$J$5:$J$504,T38)=IFERROR(INDEX(MATCHER!$J$5:$J$504,S38),"")),""," / "&amp;INDEX(MATCHER!$J$5:$J$504,T38)))&amp;IF(AF38="","",IF(OR(INDEX(MATCHER!$J$5:$J$504,AF38)="",INDEX(MATCHER!$J$5:$J$504,AF38)=IFERROR(INDEX(MATCHER!$J$5:$J$504,R38),""),INDEX(MATCHER!$J$5:$J$504,AF38)=IFERROR(INDEX(MATCHER!$J$5:$J$504,S38),""),INDEX(MATCHER!$J$5:$J$504,AF38)=IFERROR(INDEX(MATCHER!$J$5:$J$504,T38),"")),""," / "&amp;INDEX(MATCHER!$J$5:$J$504,AF38))),4,1000)</f>
        <v/>
      </c>
      <c r="H38" s="55" t="str">
        <f t="shared" si="9"/>
        <v>F19</v>
      </c>
      <c r="I38" s="56" t="s">
        <v>90</v>
      </c>
      <c r="J38" s="57" t="s">
        <v>105</v>
      </c>
      <c r="K38" s="58"/>
      <c r="L38" s="59"/>
      <c r="M38" s="60" t="str">
        <f>IF(O38&lt;&gt;O37,MAX(1,MIN(AA38,ROUNDUP(SUMPRODUCT(($O$5:$O$546=O38)*($I$5:$I$546="Ja")*($E$5:$E$546-$D$5:$D$546))*24/REGLER!$B$8,0))),"")</f>
        <v/>
      </c>
      <c r="N38" s="60" t="str">
        <f t="shared" si="0"/>
        <v>Klar</v>
      </c>
      <c r="O38" s="15" t="s">
        <v>93</v>
      </c>
      <c r="P38" s="16">
        <v>0.33333333333333298</v>
      </c>
      <c r="Q38" s="16">
        <v>0.67708333333333304</v>
      </c>
      <c r="R38" s="15" t="str">
        <f>IFERROR(MATCH(1,INDEX((MATCHER!$B$5:$B$504=A38)*(MATCHER!$D$5:$D$504=C38)*(MATCHER!$K$5:$K$504="Ja")*(MATCHER!$C$5:$C$504&lt;E38)*(MATCHER!$M$5:$M$504&gt;D38),0),0),"")</f>
        <v/>
      </c>
      <c r="S38" s="15" t="str">
        <f>IF(R38="","",IFERROR(MATCH(1,INDEX((MATCHER!$B$5:$B$504=A38)*(MATCHER!$D$5:$D$504=C38)*(MATCHER!$K$5:$K$504="Ja")*(MATCHER!$C$5:$C$504&lt;E38)*(MATCHER!$M$5:$M$504&gt;D38)*(ROW(MATCHER!$A$5:$A$504)-ROW(MATCHER!$A$5)+1&gt;R38),0),0),""))</f>
        <v/>
      </c>
      <c r="T38" s="15" t="str">
        <f>IF(S38="","",IFERROR(MATCH(1,INDEX((MATCHER!$B$5:$B$504=A38)*(MATCHER!$D$5:$D$504=C38)*(MATCHER!$K$5:$K$504="Ja")*(MATCHER!$C$5:$C$504&lt;E38)*(MATCHER!$M$5:$M$504&gt;D38)*(ROW(MATCHER!$A$5:$A$504)-ROW(MATCHER!$A$5)+1&gt;S38),0),0),""))</f>
        <v/>
      </c>
      <c r="U38" s="15">
        <f t="shared" si="1"/>
        <v>0</v>
      </c>
      <c r="V38" s="15">
        <f>IF(OR(I38&lt;&gt;"Ja",J38=""),"",COUNTIFS($O$5:O38,O38,$U$5:U38,1))</f>
        <v>1</v>
      </c>
      <c r="W38" s="15" t="str">
        <f t="shared" si="2"/>
        <v>2026-09-20 | Ulriksdalshallen|1</v>
      </c>
      <c r="X38" s="16">
        <f t="shared" si="3"/>
        <v>0.67708333333333304</v>
      </c>
      <c r="Y38" s="15">
        <f>IF(OR(I38&lt;&gt;"Ja",J38=""),0,IF(COUNTIFS($O$5:O38,O38,$I$5:I38,"Ja",$J$5:J38,"&lt;&gt;")=1,1,0))</f>
        <v>0</v>
      </c>
      <c r="Z38" s="15">
        <f>IF(OR(I38&lt;&gt;"Ja",J38=""),0,IF(COUNTIFS(O38:$O$546,O38,I38:$I$546,"Ja",J38:$J$546,"&lt;&gt;")=1,1,0))</f>
        <v>1</v>
      </c>
      <c r="AA38" s="15">
        <f t="shared" si="10"/>
        <v>1</v>
      </c>
      <c r="AB38" s="15" t="str">
        <f>IF(U38&lt;&gt;1,"",COUNTIF($U$5:U38,1))</f>
        <v/>
      </c>
      <c r="AC38" s="15" t="str">
        <f t="shared" si="4"/>
        <v>2026-09-20 | Ulriksdalshallen|1</v>
      </c>
      <c r="AD38" s="15" t="str">
        <f t="shared" si="5"/>
        <v>Vanligt café</v>
      </c>
      <c r="AE38" s="15" t="str">
        <f t="shared" si="6"/>
        <v/>
      </c>
      <c r="AF38" t="str">
        <f>IF(T38="","",IFERROR(MATCH(1,INDEX((MATCHER!$B$5:$B$504=A38)*(MATCHER!$D$5:$D$504=C38)*(MATCHER!$K$5:$K$504="Ja")*(MATCHER!$C$5:$C$504&lt;E38)*(MATCHER!$M$5:$M$504&gt;D38)*(ROW(MATCHER!$A$5:$A$504)-ROW(MATCHER!$A$5)+1&gt;T38),0),0),""))</f>
        <v/>
      </c>
    </row>
    <row r="39" spans="1:32" ht="13">
      <c r="A39" s="61">
        <v>46291</v>
      </c>
      <c r="B39" s="62" t="s">
        <v>85</v>
      </c>
      <c r="C39" s="62" t="s">
        <v>94</v>
      </c>
      <c r="D39" s="63">
        <v>0.33333333333333298</v>
      </c>
      <c r="E39" s="63">
        <v>0.35416666666666702</v>
      </c>
      <c r="F39" s="64" t="str">
        <f>IF(R39="","",HOUR(INDEX(MATCHER!$C$5:$C$504,R39))&amp;":"&amp;IF(MINUTE(INDEX(MATCHER!$C$5:$C$504,R39))&lt;10,"0","")&amp;MINUTE(INDEX(MATCHER!$C$5:$C$504,R39))&amp;" "&amp;INDEX(MATCHER!$H$5:$H$504,R39)&amp;" – "&amp;INDEX(MATCHER!$I$5:$I$504,R39))&amp;IF(S39="",""," | "&amp;HOUR(INDEX(MATCHER!$C$5:$C$504,S39))&amp;":"&amp;IF(MINUTE(INDEX(MATCHER!$C$5:$C$504,S39))&lt;10,"0","")&amp;MINUTE(INDEX(MATCHER!$C$5:$C$504,S39))&amp;" "&amp;INDEX(MATCHER!$H$5:$H$504,S39)&amp;" – "&amp;INDEX(MATCHER!$I$5:$I$504,S39))&amp;IF(T39="",""," | "&amp;HOUR(INDEX(MATCHER!$C$5:$C$504,T39))&amp;":"&amp;IF(MINUTE(INDEX(MATCHER!$C$5:$C$504,T39))&lt;10,"0","")&amp;MINUTE(INDEX(MATCHER!$C$5:$C$504,T39))&amp;" "&amp;INDEX(MATCHER!$H$5:$H$504,T39)&amp;" – "&amp;INDEX(MATCHER!$I$5:$I$504,T39))&amp;IF(AF39="",""," | "&amp;HOUR(INDEX(MATCHER!$C$5:$C$504,AF39))&amp;":"&amp;IF(MINUTE(INDEX(MATCHER!$C$5:$C$504,AF39))&lt;10,"0","")&amp;MINUTE(INDEX(MATCHER!$C$5:$C$504,AF39))&amp;" "&amp;INDEX(MATCHER!$H$5:$H$504,AF39)&amp;" – "&amp;INDEX(MATCHER!$I$5:$I$504,AF39))</f>
        <v/>
      </c>
      <c r="G39" s="64" t="str">
        <f>MID(IF(R39="","",IF(OR(INDEX(MATCHER!$J$5:$J$504,R39)=""),""," / "&amp;INDEX(MATCHER!$J$5:$J$504,R39)))&amp;IF(S39="","",IF(OR(INDEX(MATCHER!$J$5:$J$504,S39)="",INDEX(MATCHER!$J$5:$J$504,S39)=IFERROR(INDEX(MATCHER!$J$5:$J$504,R39),"")),""," / "&amp;INDEX(MATCHER!$J$5:$J$504,S39)))&amp;IF(T39="","",IF(OR(INDEX(MATCHER!$J$5:$J$504,T39)="",INDEX(MATCHER!$J$5:$J$504,T39)=IFERROR(INDEX(MATCHER!$J$5:$J$504,R39),""),INDEX(MATCHER!$J$5:$J$504,T39)=IFERROR(INDEX(MATCHER!$J$5:$J$504,S39),"")),""," / "&amp;INDEX(MATCHER!$J$5:$J$504,T39)))&amp;IF(AF39="","",IF(OR(INDEX(MATCHER!$J$5:$J$504,AF39)="",INDEX(MATCHER!$J$5:$J$504,AF39)=IFERROR(INDEX(MATCHER!$J$5:$J$504,R39),""),INDEX(MATCHER!$J$5:$J$504,AF39)=IFERROR(INDEX(MATCHER!$J$5:$J$504,S39),""),INDEX(MATCHER!$J$5:$J$504,AF39)=IFERROR(INDEX(MATCHER!$J$5:$J$504,T39),"")),""," / "&amp;INDEX(MATCHER!$J$5:$J$504,AF39))),4,1000)</f>
        <v/>
      </c>
      <c r="H39" s="64" t="str">
        <f>MID(IF(COUNTIFS(MATCHER!$B$5:$B$504,A39,MATCHER!$D$5:$D$504,C39,MATCHER!$J$5:$J$504,REGLER!$I$6,MATCHER!$K$5:$K$504,"Ja")+COUNTIFS(MATCHER!$B$5:$B$504,A39,MATCHER!$D$5:$D$504,C39,MATCHER!$J$5:$J$504,REGLER!$I$6&amp;" 2",MATCHER!$K$5:$K$504,"Ja")&gt;0,", "&amp;REGLER!$I$6,"")&amp;IF(COUNTIFS(MATCHER!$B$5:$B$504,A39,MATCHER!$D$5:$D$504,C39,MATCHER!$J$5:$J$504,REGLER!$I$7,MATCHER!$K$5:$K$504,"Ja")+COUNTIFS(MATCHER!$B$5:$B$504,A39,MATCHER!$D$5:$D$504,C39,MATCHER!$J$5:$J$504,REGLER!$I$7&amp;" 2",MATCHER!$K$5:$K$504,"Ja")&gt;0,", "&amp;REGLER!$I$7,"")&amp;IF(COUNTIFS(MATCHER!$B$5:$B$504,A39,MATCHER!$D$5:$D$504,C39,MATCHER!$J$5:$J$504,REGLER!$I$8,MATCHER!$K$5:$K$504,"Ja")+COUNTIFS(MATCHER!$B$5:$B$504,A39,MATCHER!$D$5:$D$504,C39,MATCHER!$J$5:$J$504,REGLER!$I$8&amp;" 2",MATCHER!$K$5:$K$504,"Ja")&gt;0,", "&amp;REGLER!$I$8,"")&amp;IF(COUNTIFS(MATCHER!$B$5:$B$504,A39,MATCHER!$D$5:$D$504,C39,MATCHER!$J$5:$J$504,REGLER!$I$9,MATCHER!$K$5:$K$504,"Ja")+COUNTIFS(MATCHER!$B$5:$B$504,A39,MATCHER!$D$5:$D$504,C39,MATCHER!$J$5:$J$504,REGLER!$I$9&amp;" 2",MATCHER!$K$5:$K$504,"Ja")&gt;0,", "&amp;REGLER!$I$9,"")&amp;IF(COUNTIFS(MATCHER!$B$5:$B$504,A39,MATCHER!$D$5:$D$504,C39,MATCHER!$J$5:$J$504,REGLER!$I$10,MATCHER!$K$5:$K$504,"Ja")+COUNTIFS(MATCHER!$B$5:$B$504,A39,MATCHER!$D$5:$D$504,C39,MATCHER!$J$5:$J$504,REGLER!$I$10&amp;" 2",MATCHER!$K$5:$K$504,"Ja")&gt;0,", "&amp;REGLER!$I$10,"")&amp;IF(COUNTIFS(MATCHER!$B$5:$B$504,A39,MATCHER!$D$5:$D$504,C39,MATCHER!$J$5:$J$504,REGLER!$I$11,MATCHER!$K$5:$K$504,"Ja")+COUNTIFS(MATCHER!$B$5:$B$504,A39,MATCHER!$D$5:$D$504,C39,MATCHER!$J$5:$J$504,REGLER!$I$11&amp;" 2",MATCHER!$K$5:$K$504,"Ja")&gt;0,", "&amp;REGLER!$I$11,"")&amp;IF(COUNTIFS(MATCHER!$B$5:$B$504,A39,MATCHER!$D$5:$D$504,C39,MATCHER!$J$5:$J$504,REGLER!$I$12,MATCHER!$K$5:$K$504,"Ja")+COUNTIFS(MATCHER!$B$5:$B$504,A39,MATCHER!$D$5:$D$504,C39,MATCHER!$J$5:$J$504,REGLER!$I$12&amp;" 2",MATCHER!$K$5:$K$504,"Ja")&gt;0,", "&amp;REGLER!$I$12,"")&amp;IF(COUNTIFS(MATCHER!$B$5:$B$504,A39,MATCHER!$D$5:$D$504,C39,MATCHER!$J$5:$J$504,REGLER!$I$13,MATCHER!$K$5:$K$504,"Ja")+COUNTIFS(MATCHER!$B$5:$B$504,A39,MATCHER!$D$5:$D$504,C39,MATCHER!$J$5:$J$504,REGLER!$I$13&amp;" 2",MATCHER!$K$5:$K$504,"Ja")&gt;0,", "&amp;REGLER!$I$13,"")&amp;IF(COUNTIFS(MATCHER!$B$5:$B$504,A39,MATCHER!$D$5:$D$504,C39,MATCHER!$J$5:$J$504,REGLER!$I$14,MATCHER!$K$5:$K$504,"Ja")+COUNTIFS(MATCHER!$B$5:$B$504,A39,MATCHER!$D$5:$D$504,C39,MATCHER!$J$5:$J$504,REGLER!$I$14&amp;" 2",MATCHER!$K$5:$K$504,"Ja")&gt;0,", "&amp;REGLER!$I$14,"")&amp;IF(COUNTIFS(MATCHER!$B$5:$B$504,A39,MATCHER!$D$5:$D$504,C39,MATCHER!$J$5:$J$504,REGLER!$I$15,MATCHER!$K$5:$K$504,"Ja")+COUNTIFS(MATCHER!$B$5:$B$504,A39,MATCHER!$D$5:$D$504,C39,MATCHER!$J$5:$J$504,REGLER!$I$15&amp;" 2",MATCHER!$K$5:$K$504,"Ja")&gt;0,", "&amp;REGLER!$I$15,"")&amp;IF(COUNTIFS(MATCHER!$B$5:$B$504,A39,MATCHER!$D$5:$D$504,C39,MATCHER!$J$5:$J$504,REGLER!$I$16,MATCHER!$K$5:$K$504,"Ja")+COUNTIFS(MATCHER!$B$5:$B$504,A39,MATCHER!$D$5:$D$504,C39,MATCHER!$J$5:$J$504,REGLER!$I$16&amp;" 2",MATCHER!$K$5:$K$504,"Ja")&gt;0,", "&amp;REGLER!$I$16,"")&amp;IF(COUNTIFS(MATCHER!$B$5:$B$504,A39,MATCHER!$D$5:$D$504,C39,MATCHER!$J$5:$J$504,REGLER!$I$17,MATCHER!$K$5:$K$504,"Ja")+COUNTIFS(MATCHER!$B$5:$B$504,A39,MATCHER!$D$5:$D$504,C39,MATCHER!$J$5:$J$504,REGLER!$I$17&amp;" 2",MATCHER!$K$5:$K$504,"Ja")&gt;0,", "&amp;REGLER!$I$17,"")&amp;IF(COUNTIFS(MATCHER!$B$5:$B$504,A39,MATCHER!$D$5:$D$504,C39,MATCHER!$J$5:$J$504,REGLER!$I$18,MATCHER!$K$5:$K$504,"Ja")+COUNTIFS(MATCHER!$B$5:$B$504,A39,MATCHER!$D$5:$D$504,C39,MATCHER!$J$5:$J$504,REGLER!$I$18&amp;" 2",MATCHER!$K$5:$K$504,"Ja")&gt;0,", "&amp;REGLER!$I$18,"")&amp;IF(COUNTIFS(MATCHER!$B$5:$B$504,A39,MATCHER!$D$5:$D$504,C39,MATCHER!$J$5:$J$504,REGLER!$I$19,MATCHER!$K$5:$K$504,"Ja")+COUNTIFS(MATCHER!$B$5:$B$504,A39,MATCHER!$D$5:$D$504,C39,MATCHER!$J$5:$J$504,REGLER!$I$19&amp;" 2",MATCHER!$K$5:$K$504,"Ja")&gt;0,", "&amp;REGLER!$I$19,"")&amp;IF(COUNTIFS(MATCHER!$B$5:$B$504,A39,MATCHER!$D$5:$D$504,C39,MATCHER!$J$5:$J$504,REGLER!$I$20,MATCHER!$K$5:$K$504,"Ja")+COUNTIFS(MATCHER!$B$5:$B$504,A39,MATCHER!$D$5:$D$504,C39,MATCHER!$J$5:$J$504,REGLER!$I$20&amp;" 2",MATCHER!$K$5:$K$504,"Ja")&gt;0,", "&amp;REGLER!$I$20,"")&amp;IF(COUNTIFS(MATCHER!$B$5:$B$504,A39,MATCHER!$D$5:$D$504,C39,MATCHER!$J$5:$J$504,REGLER!$I$21,MATCHER!$K$5:$K$504,"Ja")+COUNTIFS(MATCHER!$B$5:$B$504,A39,MATCHER!$D$5:$D$504,C39,MATCHER!$J$5:$J$504,REGLER!$I$21&amp;" 2",MATCHER!$K$5:$K$504,"Ja")&gt;0,", "&amp;REGLER!$I$21,"")&amp;IF(COUNTIFS(MATCHER!$B$5:$B$504,A39,MATCHER!$D$5:$D$504,C39,MATCHER!$J$5:$J$504,REGLER!$I$22,MATCHER!$K$5:$K$504,"Ja")+COUNTIFS(MATCHER!$B$5:$B$504,A39,MATCHER!$D$5:$D$504,C39,MATCHER!$J$5:$J$504,REGLER!$I$22&amp;" 2",MATCHER!$K$5:$K$504,"Ja")&gt;0,", "&amp;REGLER!$I$22,"")&amp;IF(COUNTIFS(MATCHER!$B$5:$B$504,A39,MATCHER!$D$5:$D$504,C39,MATCHER!$J$5:$J$504,REGLER!$I$23,MATCHER!$K$5:$K$504,"Ja")+COUNTIFS(MATCHER!$B$5:$B$504,A39,MATCHER!$D$5:$D$504,C39,MATCHER!$J$5:$J$504,REGLER!$I$23&amp;" 2",MATCHER!$K$5:$K$504,"Ja")&gt;0,", "&amp;REGLER!$I$23,"")&amp;IF(COUNTIFS(MATCHER!$B$5:$B$504,A39,MATCHER!$D$5:$D$504,C39,MATCHER!$J$5:$J$504,REGLER!$I$24,MATCHER!$K$5:$K$504,"Ja")+COUNTIFS(MATCHER!$B$5:$B$504,A39,MATCHER!$D$5:$D$504,C39,MATCHER!$J$5:$J$504,REGLER!$I$24&amp;" 2",MATCHER!$K$5:$K$504,"Ja")&gt;0,", "&amp;REGLER!$I$24,"")&amp;IF(COUNTIFS(MATCHER!$B$5:$B$504,A39,MATCHER!$D$5:$D$504,C39,MATCHER!$J$5:$J$504,REGLER!$I$25,MATCHER!$K$5:$K$504,"Ja")+COUNTIFS(MATCHER!$B$5:$B$504,A39,MATCHER!$D$5:$D$504,C39,MATCHER!$J$5:$J$504,REGLER!$I$25&amp;" 2",MATCHER!$K$5:$K$504,"Ja")&gt;0,", "&amp;REGLER!$I$25,"")&amp;IF(COUNTIFS(MATCHER!$B$5:$B$504,A39,MATCHER!$D$5:$D$504,C39,MATCHER!$J$5:$J$504,REGLER!$I$26,MATCHER!$K$5:$K$504,"Ja")+COUNTIFS(MATCHER!$B$5:$B$504,A39,MATCHER!$D$5:$D$504,C39,MATCHER!$J$5:$J$504,REGLER!$I$26&amp;" 2",MATCHER!$K$5:$K$504,"Ja")&gt;0,", "&amp;REGLER!$I$26,""),3,1000)</f>
        <v>F11, F13</v>
      </c>
      <c r="I39" s="65" t="s">
        <v>90</v>
      </c>
      <c r="J39" s="66" t="s">
        <v>95</v>
      </c>
      <c r="K39" s="67" t="s">
        <v>88</v>
      </c>
      <c r="L39" s="68"/>
      <c r="M39" s="69">
        <f>IF(O39&lt;&gt;O38,MAX(1,MIN(AA39,ROUNDUP(SUMPRODUCT(($O$5:$O$546=O39)*($I$5:$I$546="Ja")*($E$5:$E$546-$D$5:$D$546))*24/REGLER!$B$8,0))),"")</f>
        <v>2</v>
      </c>
      <c r="N39" s="70" t="str">
        <f t="shared" si="0"/>
        <v>Klar</v>
      </c>
      <c r="O39" s="15" t="s">
        <v>96</v>
      </c>
      <c r="P39" s="16">
        <v>0.33333333333333298</v>
      </c>
      <c r="Q39" s="16">
        <v>0.60416666666666696</v>
      </c>
      <c r="R39" s="15" t="str">
        <f>IFERROR(MATCH(1,INDEX((MATCHER!$B$5:$B$504=A39)*(MATCHER!$D$5:$D$504=C39)*(MATCHER!$K$5:$K$504="Ja")*(MATCHER!$C$5:$C$504&lt;E39)*(MATCHER!$M$5:$M$504&gt;D39),0),0),"")</f>
        <v/>
      </c>
      <c r="S39" s="15" t="str">
        <f>IF(R39="","",IFERROR(MATCH(1,INDEX((MATCHER!$B$5:$B$504=A39)*(MATCHER!$D$5:$D$504=C39)*(MATCHER!$K$5:$K$504="Ja")*(MATCHER!$C$5:$C$504&lt;E39)*(MATCHER!$M$5:$M$504&gt;D39)*(ROW(MATCHER!$A$5:$A$504)-ROW(MATCHER!$A$5)+1&gt;R39),0),0),""))</f>
        <v/>
      </c>
      <c r="T39" s="15" t="str">
        <f>IF(S39="","",IFERROR(MATCH(1,INDEX((MATCHER!$B$5:$B$504=A39)*(MATCHER!$D$5:$D$504=C39)*(MATCHER!$K$5:$K$504="Ja")*(MATCHER!$C$5:$C$504&lt;E39)*(MATCHER!$M$5:$M$504&gt;D39)*(ROW(MATCHER!$A$5:$A$504)-ROW(MATCHER!$A$5)+1&gt;S39),0),0),""))</f>
        <v/>
      </c>
      <c r="U39" s="15">
        <f t="shared" si="1"/>
        <v>1</v>
      </c>
      <c r="V39" s="15">
        <f>IF(OR(I39&lt;&gt;"Ja",J39=""),"",COUNTIFS($O$5:O39,O39,$U$5:U39,1))</f>
        <v>1</v>
      </c>
      <c r="W39" s="15" t="str">
        <f t="shared" si="2"/>
        <v>2026-09-26 | Råsta Park|1</v>
      </c>
      <c r="X39" s="16" t="str">
        <f t="shared" si="3"/>
        <v/>
      </c>
      <c r="Y39" s="15">
        <f>IF(OR(I39&lt;&gt;"Ja",J39=""),0,IF(COUNTIFS($O$5:O39,O39,$I$5:I39,"Ja",$J$5:J39,"&lt;&gt;")=1,1,0))</f>
        <v>1</v>
      </c>
      <c r="Z39" s="15">
        <f>IF(OR(I39&lt;&gt;"Ja",J39=""),0,IF(COUNTIFS(O39:$O$546,O39,I39:$I$546,"Ja",J39:$J$546,"&lt;&gt;")=1,1,0))</f>
        <v>0</v>
      </c>
      <c r="AA39" s="15">
        <f>IF(COUNTIFS(MATCHER!$B$5:$B$504,A39,MATCHER!$D$5:$D$504,C39,MATCHER!$J$5:$J$504,REGLER!$I$6,MATCHER!$K$5:$K$504,"Ja")+COUNTIFS(MATCHER!$B$5:$B$504,A39,MATCHER!$D$5:$D$504,C39,MATCHER!$J$5:$J$504,REGLER!$I$6&amp;" 2",MATCHER!$K$5:$K$504,"Ja")&gt;0,1,0)+IF(COUNTIFS(MATCHER!$B$5:$B$504,A39,MATCHER!$D$5:$D$504,C39,MATCHER!$J$5:$J$504,REGLER!$I$7,MATCHER!$K$5:$K$504,"Ja")+COUNTIFS(MATCHER!$B$5:$B$504,A39,MATCHER!$D$5:$D$504,C39,MATCHER!$J$5:$J$504,REGLER!$I$7&amp;" 2",MATCHER!$K$5:$K$504,"Ja")&gt;0,1,0)+IF(COUNTIFS(MATCHER!$B$5:$B$504,A39,MATCHER!$D$5:$D$504,C39,MATCHER!$J$5:$J$504,REGLER!$I$8,MATCHER!$K$5:$K$504,"Ja")+COUNTIFS(MATCHER!$B$5:$B$504,A39,MATCHER!$D$5:$D$504,C39,MATCHER!$J$5:$J$504,REGLER!$I$8&amp;" 2",MATCHER!$K$5:$K$504,"Ja")&gt;0,1,0)+IF(COUNTIFS(MATCHER!$B$5:$B$504,A39,MATCHER!$D$5:$D$504,C39,MATCHER!$J$5:$J$504,REGLER!$I$9,MATCHER!$K$5:$K$504,"Ja")+COUNTIFS(MATCHER!$B$5:$B$504,A39,MATCHER!$D$5:$D$504,C39,MATCHER!$J$5:$J$504,REGLER!$I$9&amp;" 2",MATCHER!$K$5:$K$504,"Ja")&gt;0,1,0)+IF(COUNTIFS(MATCHER!$B$5:$B$504,A39,MATCHER!$D$5:$D$504,C39,MATCHER!$J$5:$J$504,REGLER!$I$10,MATCHER!$K$5:$K$504,"Ja")+COUNTIFS(MATCHER!$B$5:$B$504,A39,MATCHER!$D$5:$D$504,C39,MATCHER!$J$5:$J$504,REGLER!$I$10&amp;" 2",MATCHER!$K$5:$K$504,"Ja")&gt;0,1,0)+IF(COUNTIFS(MATCHER!$B$5:$B$504,A39,MATCHER!$D$5:$D$504,C39,MATCHER!$J$5:$J$504,REGLER!$I$11,MATCHER!$K$5:$K$504,"Ja")+COUNTIFS(MATCHER!$B$5:$B$504,A39,MATCHER!$D$5:$D$504,C39,MATCHER!$J$5:$J$504,REGLER!$I$11&amp;" 2",MATCHER!$K$5:$K$504,"Ja")&gt;0,1,0)+IF(COUNTIFS(MATCHER!$B$5:$B$504,A39,MATCHER!$D$5:$D$504,C39,MATCHER!$J$5:$J$504,REGLER!$I$12,MATCHER!$K$5:$K$504,"Ja")+COUNTIFS(MATCHER!$B$5:$B$504,A39,MATCHER!$D$5:$D$504,C39,MATCHER!$J$5:$J$504,REGLER!$I$12&amp;" 2",MATCHER!$K$5:$K$504,"Ja")&gt;0,1,0)+IF(COUNTIFS(MATCHER!$B$5:$B$504,A39,MATCHER!$D$5:$D$504,C39,MATCHER!$J$5:$J$504,REGLER!$I$13,MATCHER!$K$5:$K$504,"Ja")+COUNTIFS(MATCHER!$B$5:$B$504,A39,MATCHER!$D$5:$D$504,C39,MATCHER!$J$5:$J$504,REGLER!$I$13&amp;" 2",MATCHER!$K$5:$K$504,"Ja")&gt;0,1,0)+IF(COUNTIFS(MATCHER!$B$5:$B$504,A39,MATCHER!$D$5:$D$504,C39,MATCHER!$J$5:$J$504,REGLER!$I$14,MATCHER!$K$5:$K$504,"Ja")+COUNTIFS(MATCHER!$B$5:$B$504,A39,MATCHER!$D$5:$D$504,C39,MATCHER!$J$5:$J$504,REGLER!$I$14&amp;" 2",MATCHER!$K$5:$K$504,"Ja")&gt;0,1,0)+IF(COUNTIFS(MATCHER!$B$5:$B$504,A39,MATCHER!$D$5:$D$504,C39,MATCHER!$J$5:$J$504,REGLER!$I$15,MATCHER!$K$5:$K$504,"Ja")+COUNTIFS(MATCHER!$B$5:$B$504,A39,MATCHER!$D$5:$D$504,C39,MATCHER!$J$5:$J$504,REGLER!$I$15&amp;" 2",MATCHER!$K$5:$K$504,"Ja")&gt;0,1,0)+IF(COUNTIFS(MATCHER!$B$5:$B$504,A39,MATCHER!$D$5:$D$504,C39,MATCHER!$J$5:$J$504,REGLER!$I$16,MATCHER!$K$5:$K$504,"Ja")+COUNTIFS(MATCHER!$B$5:$B$504,A39,MATCHER!$D$5:$D$504,C39,MATCHER!$J$5:$J$504,REGLER!$I$16&amp;" 2",MATCHER!$K$5:$K$504,"Ja")&gt;0,1,0)+IF(COUNTIFS(MATCHER!$B$5:$B$504,A39,MATCHER!$D$5:$D$504,C39,MATCHER!$J$5:$J$504,REGLER!$I$17,MATCHER!$K$5:$K$504,"Ja")+COUNTIFS(MATCHER!$B$5:$B$504,A39,MATCHER!$D$5:$D$504,C39,MATCHER!$J$5:$J$504,REGLER!$I$17&amp;" 2",MATCHER!$K$5:$K$504,"Ja")&gt;0,1,0)+IF(COUNTIFS(MATCHER!$B$5:$B$504,A39,MATCHER!$D$5:$D$504,C39,MATCHER!$J$5:$J$504,REGLER!$I$18,MATCHER!$K$5:$K$504,"Ja")+COUNTIFS(MATCHER!$B$5:$B$504,A39,MATCHER!$D$5:$D$504,C39,MATCHER!$J$5:$J$504,REGLER!$I$18&amp;" 2",MATCHER!$K$5:$K$504,"Ja")&gt;0,1,0)+IF(COUNTIFS(MATCHER!$B$5:$B$504,A39,MATCHER!$D$5:$D$504,C39,MATCHER!$J$5:$J$504,REGLER!$I$19,MATCHER!$K$5:$K$504,"Ja")+COUNTIFS(MATCHER!$B$5:$B$504,A39,MATCHER!$D$5:$D$504,C39,MATCHER!$J$5:$J$504,REGLER!$I$19&amp;" 2",MATCHER!$K$5:$K$504,"Ja")&gt;0,1,0)+IF(COUNTIFS(MATCHER!$B$5:$B$504,A39,MATCHER!$D$5:$D$504,C39,MATCHER!$J$5:$J$504,REGLER!$I$20,MATCHER!$K$5:$K$504,"Ja")+COUNTIFS(MATCHER!$B$5:$B$504,A39,MATCHER!$D$5:$D$504,C39,MATCHER!$J$5:$J$504,REGLER!$I$20&amp;" 2",MATCHER!$K$5:$K$504,"Ja")&gt;0,1,0)+IF(COUNTIFS(MATCHER!$B$5:$B$504,A39,MATCHER!$D$5:$D$504,C39,MATCHER!$J$5:$J$504,REGLER!$I$21,MATCHER!$K$5:$K$504,"Ja")+COUNTIFS(MATCHER!$B$5:$B$504,A39,MATCHER!$D$5:$D$504,C39,MATCHER!$J$5:$J$504,REGLER!$I$21&amp;" 2",MATCHER!$K$5:$K$504,"Ja")&gt;0,1,0)+IF(COUNTIFS(MATCHER!$B$5:$B$504,A39,MATCHER!$D$5:$D$504,C39,MATCHER!$J$5:$J$504,REGLER!$I$22,MATCHER!$K$5:$K$504,"Ja")+COUNTIFS(MATCHER!$B$5:$B$504,A39,MATCHER!$D$5:$D$504,C39,MATCHER!$J$5:$J$504,REGLER!$I$22&amp;" 2",MATCHER!$K$5:$K$504,"Ja")&gt;0,1,0)+IF(COUNTIFS(MATCHER!$B$5:$B$504,A39,MATCHER!$D$5:$D$504,C39,MATCHER!$J$5:$J$504,REGLER!$I$23,MATCHER!$K$5:$K$504,"Ja")+COUNTIFS(MATCHER!$B$5:$B$504,A39,MATCHER!$D$5:$D$504,C39,MATCHER!$J$5:$J$504,REGLER!$I$23&amp;" 2",MATCHER!$K$5:$K$504,"Ja")&gt;0,1,0)+IF(COUNTIFS(MATCHER!$B$5:$B$504,A39,MATCHER!$D$5:$D$504,C39,MATCHER!$J$5:$J$504,REGLER!$I$24,MATCHER!$K$5:$K$504,"Ja")+COUNTIFS(MATCHER!$B$5:$B$504,A39,MATCHER!$D$5:$D$504,C39,MATCHER!$J$5:$J$504,REGLER!$I$24&amp;" 2",MATCHER!$K$5:$K$504,"Ja")&gt;0,1,0)+IF(COUNTIFS(MATCHER!$B$5:$B$504,A39,MATCHER!$D$5:$D$504,C39,MATCHER!$J$5:$J$504,REGLER!$I$25,MATCHER!$K$5:$K$504,"Ja")+COUNTIFS(MATCHER!$B$5:$B$504,A39,MATCHER!$D$5:$D$504,C39,MATCHER!$J$5:$J$504,REGLER!$I$25&amp;" 2",MATCHER!$K$5:$K$504,"Ja")&gt;0,1,0)+IF(COUNTIFS(MATCHER!$B$5:$B$504,A39,MATCHER!$D$5:$D$504,C39,MATCHER!$J$5:$J$504,REGLER!$I$26,MATCHER!$K$5:$K$504,"Ja")+COUNTIFS(MATCHER!$B$5:$B$504,A39,MATCHER!$D$5:$D$504,C39,MATCHER!$J$5:$J$504,REGLER!$I$26&amp;" 2",MATCHER!$K$5:$K$504,"Ja")&gt;0,1,0)</f>
        <v>2</v>
      </c>
      <c r="AB39" s="15">
        <f>IF(U39&lt;&gt;1,"",COUNTIF($U$5:U39,1))</f>
        <v>3</v>
      </c>
      <c r="AC39" s="15" t="str">
        <f t="shared" si="4"/>
        <v/>
      </c>
      <c r="AD39" s="15" t="str">
        <f t="shared" si="5"/>
        <v>Vanligt café</v>
      </c>
      <c r="AE39" s="15">
        <f t="shared" si="6"/>
        <v>4.0000000000000089</v>
      </c>
      <c r="AF39" t="str">
        <f>IF(T39="","",IFERROR(MATCH(1,INDEX((MATCHER!$B$5:$B$504=A39)*(MATCHER!$D$5:$D$504=C39)*(MATCHER!$K$5:$K$504="Ja")*(MATCHER!$C$5:$C$504&lt;E39)*(MATCHER!$M$5:$M$504&gt;D39)*(ROW(MATCHER!$A$5:$A$504)-ROW(MATCHER!$A$5)+1&gt;T39),0),0),""))</f>
        <v/>
      </c>
    </row>
    <row r="40" spans="1:32" ht="13">
      <c r="A40" s="42">
        <v>46291</v>
      </c>
      <c r="B40" s="43" t="s">
        <v>85</v>
      </c>
      <c r="C40" s="43" t="s">
        <v>94</v>
      </c>
      <c r="D40" s="44">
        <v>0.35416666666666702</v>
      </c>
      <c r="E40" s="44">
        <v>0.375</v>
      </c>
      <c r="F40" s="45" t="str">
        <f>IF(R40="","",HOUR(INDEX(MATCHER!$C$5:$C$504,R40))&amp;":"&amp;IF(MINUTE(INDEX(MATCHER!$C$5:$C$504,R40))&lt;10,"0","")&amp;MINUTE(INDEX(MATCHER!$C$5:$C$504,R40))&amp;" "&amp;INDEX(MATCHER!$H$5:$H$504,R40)&amp;" – "&amp;INDEX(MATCHER!$I$5:$I$504,R40))&amp;IF(S40="",""," | "&amp;HOUR(INDEX(MATCHER!$C$5:$C$504,S40))&amp;":"&amp;IF(MINUTE(INDEX(MATCHER!$C$5:$C$504,S40))&lt;10,"0","")&amp;MINUTE(INDEX(MATCHER!$C$5:$C$504,S40))&amp;" "&amp;INDEX(MATCHER!$H$5:$H$504,S40)&amp;" – "&amp;INDEX(MATCHER!$I$5:$I$504,S40))&amp;IF(T40="",""," | "&amp;HOUR(INDEX(MATCHER!$C$5:$C$504,T40))&amp;":"&amp;IF(MINUTE(INDEX(MATCHER!$C$5:$C$504,T40))&lt;10,"0","")&amp;MINUTE(INDEX(MATCHER!$C$5:$C$504,T40))&amp;" "&amp;INDEX(MATCHER!$H$5:$H$504,T40)&amp;" – "&amp;INDEX(MATCHER!$I$5:$I$504,T40))&amp;IF(AF40="",""," | "&amp;HOUR(INDEX(MATCHER!$C$5:$C$504,AF40))&amp;":"&amp;IF(MINUTE(INDEX(MATCHER!$C$5:$C$504,AF40))&lt;10,"0","")&amp;MINUTE(INDEX(MATCHER!$C$5:$C$504,AF40))&amp;" "&amp;INDEX(MATCHER!$H$5:$H$504,AF40)&amp;" – "&amp;INDEX(MATCHER!$I$5:$I$504,AF40))</f>
        <v/>
      </c>
      <c r="G40" s="45" t="str">
        <f>MID(IF(R40="","",IF(OR(INDEX(MATCHER!$J$5:$J$504,R40)=""),""," / "&amp;INDEX(MATCHER!$J$5:$J$504,R40)))&amp;IF(S40="","",IF(OR(INDEX(MATCHER!$J$5:$J$504,S40)="",INDEX(MATCHER!$J$5:$J$504,S40)=IFERROR(INDEX(MATCHER!$J$5:$J$504,R40),"")),""," / "&amp;INDEX(MATCHER!$J$5:$J$504,S40)))&amp;IF(T40="","",IF(OR(INDEX(MATCHER!$J$5:$J$504,T40)="",INDEX(MATCHER!$J$5:$J$504,T40)=IFERROR(INDEX(MATCHER!$J$5:$J$504,R40),""),INDEX(MATCHER!$J$5:$J$504,T40)=IFERROR(INDEX(MATCHER!$J$5:$J$504,S40),"")),""," / "&amp;INDEX(MATCHER!$J$5:$J$504,T40)))&amp;IF(AF40="","",IF(OR(INDEX(MATCHER!$J$5:$J$504,AF40)="",INDEX(MATCHER!$J$5:$J$504,AF40)=IFERROR(INDEX(MATCHER!$J$5:$J$504,R40),""),INDEX(MATCHER!$J$5:$J$504,AF40)=IFERROR(INDEX(MATCHER!$J$5:$J$504,S40),""),INDEX(MATCHER!$J$5:$J$504,AF40)=IFERROR(INDEX(MATCHER!$J$5:$J$504,T40),"")),""," / "&amp;INDEX(MATCHER!$J$5:$J$504,AF40))),4,1000)</f>
        <v/>
      </c>
      <c r="H40" s="45" t="str">
        <f t="shared" ref="H40:H51" si="11">H39</f>
        <v>F11, F13</v>
      </c>
      <c r="I40" s="46" t="s">
        <v>90</v>
      </c>
      <c r="J40" s="47" t="s">
        <v>95</v>
      </c>
      <c r="K40" s="48"/>
      <c r="L40" s="49"/>
      <c r="M40" s="50" t="str">
        <f>IF(O40&lt;&gt;O39,MAX(1,MIN(AA40,ROUNDUP(SUMPRODUCT(($O$5:$O$546=O40)*($I$5:$I$546="Ja")*($E$5:$E$546-$D$5:$D$546))*24/REGLER!$B$8,0))),"")</f>
        <v/>
      </c>
      <c r="N40" s="50" t="str">
        <f t="shared" si="0"/>
        <v>Klar</v>
      </c>
      <c r="O40" s="15" t="s">
        <v>96</v>
      </c>
      <c r="P40" s="16">
        <v>0.33333333333333298</v>
      </c>
      <c r="Q40" s="16">
        <v>0.60416666666666696</v>
      </c>
      <c r="R40" s="15" t="str">
        <f>IFERROR(MATCH(1,INDEX((MATCHER!$B$5:$B$504=A40)*(MATCHER!$D$5:$D$504=C40)*(MATCHER!$K$5:$K$504="Ja")*(MATCHER!$C$5:$C$504&lt;E40)*(MATCHER!$M$5:$M$504&gt;D40),0),0),"")</f>
        <v/>
      </c>
      <c r="S40" s="15" t="str">
        <f>IF(R40="","",IFERROR(MATCH(1,INDEX((MATCHER!$B$5:$B$504=A40)*(MATCHER!$D$5:$D$504=C40)*(MATCHER!$K$5:$K$504="Ja")*(MATCHER!$C$5:$C$504&lt;E40)*(MATCHER!$M$5:$M$504&gt;D40)*(ROW(MATCHER!$A$5:$A$504)-ROW(MATCHER!$A$5)+1&gt;R40),0),0),""))</f>
        <v/>
      </c>
      <c r="T40" s="15" t="str">
        <f>IF(S40="","",IFERROR(MATCH(1,INDEX((MATCHER!$B$5:$B$504=A40)*(MATCHER!$D$5:$D$504=C40)*(MATCHER!$K$5:$K$504="Ja")*(MATCHER!$C$5:$C$504&lt;E40)*(MATCHER!$M$5:$M$504&gt;D40)*(ROW(MATCHER!$A$5:$A$504)-ROW(MATCHER!$A$5)+1&gt;S40),0),0),""))</f>
        <v/>
      </c>
      <c r="U40" s="15">
        <f t="shared" si="1"/>
        <v>0</v>
      </c>
      <c r="V40" s="15">
        <f>IF(OR(I40&lt;&gt;"Ja",J40=""),"",COUNTIFS($O$5:O40,O40,$U$5:U40,1))</f>
        <v>1</v>
      </c>
      <c r="W40" s="15" t="str">
        <f t="shared" si="2"/>
        <v>2026-09-26 | Råsta Park|1</v>
      </c>
      <c r="X40" s="16" t="str">
        <f t="shared" si="3"/>
        <v/>
      </c>
      <c r="Y40" s="15">
        <f>IF(OR(I40&lt;&gt;"Ja",J40=""),0,IF(COUNTIFS($O$5:O40,O40,$I$5:I40,"Ja",$J$5:J40,"&lt;&gt;")=1,1,0))</f>
        <v>0</v>
      </c>
      <c r="Z40" s="15">
        <f>IF(OR(I40&lt;&gt;"Ja",J40=""),0,IF(COUNTIFS(O40:$O$546,O40,I40:$I$546,"Ja",J40:$J$546,"&lt;&gt;")=1,1,0))</f>
        <v>0</v>
      </c>
      <c r="AA40" s="15">
        <f t="shared" ref="AA40:AA51" si="12">AA39</f>
        <v>2</v>
      </c>
      <c r="AB40" s="15" t="str">
        <f>IF(U40&lt;&gt;1,"",COUNTIF($U$5:U40,1))</f>
        <v/>
      </c>
      <c r="AC40" s="15" t="str">
        <f t="shared" si="4"/>
        <v/>
      </c>
      <c r="AD40" s="15" t="str">
        <f t="shared" si="5"/>
        <v>Vanligt café</v>
      </c>
      <c r="AE40" s="15" t="str">
        <f t="shared" si="6"/>
        <v/>
      </c>
      <c r="AF40" t="str">
        <f>IF(T40="","",IFERROR(MATCH(1,INDEX((MATCHER!$B$5:$B$504=A40)*(MATCHER!$D$5:$D$504=C40)*(MATCHER!$K$5:$K$504="Ja")*(MATCHER!$C$5:$C$504&lt;E40)*(MATCHER!$M$5:$M$504&gt;D40)*(ROW(MATCHER!$A$5:$A$504)-ROW(MATCHER!$A$5)+1&gt;T40),0),0),""))</f>
        <v/>
      </c>
    </row>
    <row r="41" spans="1:32" ht="13">
      <c r="A41" s="42">
        <v>46291</v>
      </c>
      <c r="B41" s="43" t="s">
        <v>85</v>
      </c>
      <c r="C41" s="43" t="s">
        <v>94</v>
      </c>
      <c r="D41" s="44">
        <v>0.375</v>
      </c>
      <c r="E41" s="44">
        <v>0.39583333333333298</v>
      </c>
      <c r="F41" s="45" t="str">
        <f>IF(R41="","",HOUR(INDEX(MATCHER!$C$5:$C$504,R41))&amp;":"&amp;IF(MINUTE(INDEX(MATCHER!$C$5:$C$504,R41))&lt;10,"0","")&amp;MINUTE(INDEX(MATCHER!$C$5:$C$504,R41))&amp;" "&amp;INDEX(MATCHER!$H$5:$H$504,R41)&amp;" – "&amp;INDEX(MATCHER!$I$5:$I$504,R41))&amp;IF(S41="",""," | "&amp;HOUR(INDEX(MATCHER!$C$5:$C$504,S41))&amp;":"&amp;IF(MINUTE(INDEX(MATCHER!$C$5:$C$504,S41))&lt;10,"0","")&amp;MINUTE(INDEX(MATCHER!$C$5:$C$504,S41))&amp;" "&amp;INDEX(MATCHER!$H$5:$H$504,S41)&amp;" – "&amp;INDEX(MATCHER!$I$5:$I$504,S41))&amp;IF(T41="",""," | "&amp;HOUR(INDEX(MATCHER!$C$5:$C$504,T41))&amp;":"&amp;IF(MINUTE(INDEX(MATCHER!$C$5:$C$504,T41))&lt;10,"0","")&amp;MINUTE(INDEX(MATCHER!$C$5:$C$504,T41))&amp;" "&amp;INDEX(MATCHER!$H$5:$H$504,T41)&amp;" – "&amp;INDEX(MATCHER!$I$5:$I$504,T41))&amp;IF(AF41="",""," | "&amp;HOUR(INDEX(MATCHER!$C$5:$C$504,AF41))&amp;":"&amp;IF(MINUTE(INDEX(MATCHER!$C$5:$C$504,AF41))&lt;10,"0","")&amp;MINUTE(INDEX(MATCHER!$C$5:$C$504,AF41))&amp;" "&amp;INDEX(MATCHER!$H$5:$H$504,AF41)&amp;" – "&amp;INDEX(MATCHER!$I$5:$I$504,AF41))</f>
        <v>9:00 AIK – Spånga HK 2</v>
      </c>
      <c r="G41" s="45" t="str">
        <f>MID(IF(R41="","",IF(OR(INDEX(MATCHER!$J$5:$J$504,R41)=""),""," / "&amp;INDEX(MATCHER!$J$5:$J$504,R41)))&amp;IF(S41="","",IF(OR(INDEX(MATCHER!$J$5:$J$504,S41)="",INDEX(MATCHER!$J$5:$J$504,S41)=IFERROR(INDEX(MATCHER!$J$5:$J$504,R41),"")),""," / "&amp;INDEX(MATCHER!$J$5:$J$504,S41)))&amp;IF(T41="","",IF(OR(INDEX(MATCHER!$J$5:$J$504,T41)="",INDEX(MATCHER!$J$5:$J$504,T41)=IFERROR(INDEX(MATCHER!$J$5:$J$504,R41),""),INDEX(MATCHER!$J$5:$J$504,T41)=IFERROR(INDEX(MATCHER!$J$5:$J$504,S41),"")),""," / "&amp;INDEX(MATCHER!$J$5:$J$504,T41)))&amp;IF(AF41="","",IF(OR(INDEX(MATCHER!$J$5:$J$504,AF41)="",INDEX(MATCHER!$J$5:$J$504,AF41)=IFERROR(INDEX(MATCHER!$J$5:$J$504,R41),""),INDEX(MATCHER!$J$5:$J$504,AF41)=IFERROR(INDEX(MATCHER!$J$5:$J$504,S41),""),INDEX(MATCHER!$J$5:$J$504,AF41)=IFERROR(INDEX(MATCHER!$J$5:$J$504,T41),"")),""," / "&amp;INDEX(MATCHER!$J$5:$J$504,AF41))),4,1000)</f>
        <v>F11</v>
      </c>
      <c r="H41" s="45" t="str">
        <f t="shared" si="11"/>
        <v>F11, F13</v>
      </c>
      <c r="I41" s="46" t="s">
        <v>90</v>
      </c>
      <c r="J41" s="47" t="s">
        <v>95</v>
      </c>
      <c r="K41" s="48"/>
      <c r="L41" s="49"/>
      <c r="M41" s="50" t="str">
        <f>IF(O41&lt;&gt;O40,MAX(1,MIN(AA41,ROUNDUP(SUMPRODUCT(($O$5:$O$546=O41)*($I$5:$I$546="Ja")*($E$5:$E$546-$D$5:$D$546))*24/REGLER!$B$8,0))),"")</f>
        <v/>
      </c>
      <c r="N41" s="50" t="str">
        <f t="shared" si="0"/>
        <v>Klar</v>
      </c>
      <c r="O41" s="15" t="s">
        <v>96</v>
      </c>
      <c r="P41" s="16">
        <v>0.33333333333333298</v>
      </c>
      <c r="Q41" s="16">
        <v>0.60416666666666696</v>
      </c>
      <c r="R41" s="15">
        <f>IFERROR(MATCH(1,INDEX((MATCHER!$B$5:$B$504=A41)*(MATCHER!$D$5:$D$504=C41)*(MATCHER!$K$5:$K$504="Ja")*(MATCHER!$C$5:$C$504&lt;E41)*(MATCHER!$M$5:$M$504&gt;D41),0),0),"")</f>
        <v>8</v>
      </c>
      <c r="S41" s="15" t="str">
        <f>IF(R41="","",IFERROR(MATCH(1,INDEX((MATCHER!$B$5:$B$504=A41)*(MATCHER!$D$5:$D$504=C41)*(MATCHER!$K$5:$K$504="Ja")*(MATCHER!$C$5:$C$504&lt;E41)*(MATCHER!$M$5:$M$504&gt;D41)*(ROW(MATCHER!$A$5:$A$504)-ROW(MATCHER!$A$5)+1&gt;R41),0),0),""))</f>
        <v/>
      </c>
      <c r="T41" s="15" t="str">
        <f>IF(S41="","",IFERROR(MATCH(1,INDEX((MATCHER!$B$5:$B$504=A41)*(MATCHER!$D$5:$D$504=C41)*(MATCHER!$K$5:$K$504="Ja")*(MATCHER!$C$5:$C$504&lt;E41)*(MATCHER!$M$5:$M$504&gt;D41)*(ROW(MATCHER!$A$5:$A$504)-ROW(MATCHER!$A$5)+1&gt;S41),0),0),""))</f>
        <v/>
      </c>
      <c r="U41" s="15">
        <f t="shared" si="1"/>
        <v>0</v>
      </c>
      <c r="V41" s="15">
        <f>IF(OR(I41&lt;&gt;"Ja",J41=""),"",COUNTIFS($O$5:O41,O41,$U$5:U41,1))</f>
        <v>1</v>
      </c>
      <c r="W41" s="15" t="str">
        <f t="shared" si="2"/>
        <v>2026-09-26 | Råsta Park|1</v>
      </c>
      <c r="X41" s="16" t="str">
        <f t="shared" si="3"/>
        <v/>
      </c>
      <c r="Y41" s="15">
        <f>IF(OR(I41&lt;&gt;"Ja",J41=""),0,IF(COUNTIFS($O$5:O41,O41,$I$5:I41,"Ja",$J$5:J41,"&lt;&gt;")=1,1,0))</f>
        <v>0</v>
      </c>
      <c r="Z41" s="15">
        <f>IF(OR(I41&lt;&gt;"Ja",J41=""),0,IF(COUNTIFS(O41:$O$546,O41,I41:$I$546,"Ja",J41:$J$546,"&lt;&gt;")=1,1,0))</f>
        <v>0</v>
      </c>
      <c r="AA41" s="15">
        <f t="shared" si="12"/>
        <v>2</v>
      </c>
      <c r="AB41" s="15" t="str">
        <f>IF(U41&lt;&gt;1,"",COUNTIF($U$5:U41,1))</f>
        <v/>
      </c>
      <c r="AC41" s="15" t="str">
        <f t="shared" si="4"/>
        <v/>
      </c>
      <c r="AD41" s="15" t="str">
        <f t="shared" si="5"/>
        <v>Vanligt café</v>
      </c>
      <c r="AE41" s="15" t="str">
        <f t="shared" si="6"/>
        <v/>
      </c>
      <c r="AF41" t="str">
        <f>IF(T41="","",IFERROR(MATCH(1,INDEX((MATCHER!$B$5:$B$504=A41)*(MATCHER!$D$5:$D$504=C41)*(MATCHER!$K$5:$K$504="Ja")*(MATCHER!$C$5:$C$504&lt;E41)*(MATCHER!$M$5:$M$504&gt;D41)*(ROW(MATCHER!$A$5:$A$504)-ROW(MATCHER!$A$5)+1&gt;T41),0),0),""))</f>
        <v/>
      </c>
    </row>
    <row r="42" spans="1:32" ht="13">
      <c r="A42" s="42">
        <v>46291</v>
      </c>
      <c r="B42" s="43" t="s">
        <v>85</v>
      </c>
      <c r="C42" s="43" t="s">
        <v>94</v>
      </c>
      <c r="D42" s="44">
        <v>0.39583333333333298</v>
      </c>
      <c r="E42" s="44">
        <v>0.41666666666666702</v>
      </c>
      <c r="F42" s="45" t="str">
        <f>IF(R42="","",HOUR(INDEX(MATCHER!$C$5:$C$504,R42))&amp;":"&amp;IF(MINUTE(INDEX(MATCHER!$C$5:$C$504,R42))&lt;10,"0","")&amp;MINUTE(INDEX(MATCHER!$C$5:$C$504,R42))&amp;" "&amp;INDEX(MATCHER!$H$5:$H$504,R42)&amp;" – "&amp;INDEX(MATCHER!$I$5:$I$504,R42))&amp;IF(S42="",""," | "&amp;HOUR(INDEX(MATCHER!$C$5:$C$504,S42))&amp;":"&amp;IF(MINUTE(INDEX(MATCHER!$C$5:$C$504,S42))&lt;10,"0","")&amp;MINUTE(INDEX(MATCHER!$C$5:$C$504,S42))&amp;" "&amp;INDEX(MATCHER!$H$5:$H$504,S42)&amp;" – "&amp;INDEX(MATCHER!$I$5:$I$504,S42))&amp;IF(T42="",""," | "&amp;HOUR(INDEX(MATCHER!$C$5:$C$504,T42))&amp;":"&amp;IF(MINUTE(INDEX(MATCHER!$C$5:$C$504,T42))&lt;10,"0","")&amp;MINUTE(INDEX(MATCHER!$C$5:$C$504,T42))&amp;" "&amp;INDEX(MATCHER!$H$5:$H$504,T42)&amp;" – "&amp;INDEX(MATCHER!$I$5:$I$504,T42))&amp;IF(AF42="",""," | "&amp;HOUR(INDEX(MATCHER!$C$5:$C$504,AF42))&amp;":"&amp;IF(MINUTE(INDEX(MATCHER!$C$5:$C$504,AF42))&lt;10,"0","")&amp;MINUTE(INDEX(MATCHER!$C$5:$C$504,AF42))&amp;" "&amp;INDEX(MATCHER!$H$5:$H$504,AF42)&amp;" – "&amp;INDEX(MATCHER!$I$5:$I$504,AF42))</f>
        <v>9:00 AIK – Spånga HK 2</v>
      </c>
      <c r="G42" s="45" t="str">
        <f>MID(IF(R42="","",IF(OR(INDEX(MATCHER!$J$5:$J$504,R42)=""),""," / "&amp;INDEX(MATCHER!$J$5:$J$504,R42)))&amp;IF(S42="","",IF(OR(INDEX(MATCHER!$J$5:$J$504,S42)="",INDEX(MATCHER!$J$5:$J$504,S42)=IFERROR(INDEX(MATCHER!$J$5:$J$504,R42),"")),""," / "&amp;INDEX(MATCHER!$J$5:$J$504,S42)))&amp;IF(T42="","",IF(OR(INDEX(MATCHER!$J$5:$J$504,T42)="",INDEX(MATCHER!$J$5:$J$504,T42)=IFERROR(INDEX(MATCHER!$J$5:$J$504,R42),""),INDEX(MATCHER!$J$5:$J$504,T42)=IFERROR(INDEX(MATCHER!$J$5:$J$504,S42),"")),""," / "&amp;INDEX(MATCHER!$J$5:$J$504,T42)))&amp;IF(AF42="","",IF(OR(INDEX(MATCHER!$J$5:$J$504,AF42)="",INDEX(MATCHER!$J$5:$J$504,AF42)=IFERROR(INDEX(MATCHER!$J$5:$J$504,R42),""),INDEX(MATCHER!$J$5:$J$504,AF42)=IFERROR(INDEX(MATCHER!$J$5:$J$504,S42),""),INDEX(MATCHER!$J$5:$J$504,AF42)=IFERROR(INDEX(MATCHER!$J$5:$J$504,T42),"")),""," / "&amp;INDEX(MATCHER!$J$5:$J$504,AF42))),4,1000)</f>
        <v>F11</v>
      </c>
      <c r="H42" s="45" t="str">
        <f t="shared" si="11"/>
        <v>F11, F13</v>
      </c>
      <c r="I42" s="46" t="s">
        <v>90</v>
      </c>
      <c r="J42" s="47" t="s">
        <v>95</v>
      </c>
      <c r="K42" s="48"/>
      <c r="L42" s="49"/>
      <c r="M42" s="50" t="str">
        <f>IF(O42&lt;&gt;O41,MAX(1,MIN(AA42,ROUNDUP(SUMPRODUCT(($O$5:$O$546=O42)*($I$5:$I$546="Ja")*($E$5:$E$546-$D$5:$D$546))*24/REGLER!$B$8,0))),"")</f>
        <v/>
      </c>
      <c r="N42" s="50" t="str">
        <f t="shared" si="0"/>
        <v>Klar</v>
      </c>
      <c r="O42" s="15" t="s">
        <v>96</v>
      </c>
      <c r="P42" s="16">
        <v>0.33333333333333298</v>
      </c>
      <c r="Q42" s="16">
        <v>0.60416666666666696</v>
      </c>
      <c r="R42" s="15">
        <f>IFERROR(MATCH(1,INDEX((MATCHER!$B$5:$B$504=A42)*(MATCHER!$D$5:$D$504=C42)*(MATCHER!$K$5:$K$504="Ja")*(MATCHER!$C$5:$C$504&lt;E42)*(MATCHER!$M$5:$M$504&gt;D42),0),0),"")</f>
        <v>8</v>
      </c>
      <c r="S42" s="15" t="str">
        <f>IF(R42="","",IFERROR(MATCH(1,INDEX((MATCHER!$B$5:$B$504=A42)*(MATCHER!$D$5:$D$504=C42)*(MATCHER!$K$5:$K$504="Ja")*(MATCHER!$C$5:$C$504&lt;E42)*(MATCHER!$M$5:$M$504&gt;D42)*(ROW(MATCHER!$A$5:$A$504)-ROW(MATCHER!$A$5)+1&gt;R42),0),0),""))</f>
        <v/>
      </c>
      <c r="T42" s="15" t="str">
        <f>IF(S42="","",IFERROR(MATCH(1,INDEX((MATCHER!$B$5:$B$504=A42)*(MATCHER!$D$5:$D$504=C42)*(MATCHER!$K$5:$K$504="Ja")*(MATCHER!$C$5:$C$504&lt;E42)*(MATCHER!$M$5:$M$504&gt;D42)*(ROW(MATCHER!$A$5:$A$504)-ROW(MATCHER!$A$5)+1&gt;S42),0),0),""))</f>
        <v/>
      </c>
      <c r="U42" s="15">
        <f t="shared" si="1"/>
        <v>0</v>
      </c>
      <c r="V42" s="15">
        <f>IF(OR(I42&lt;&gt;"Ja",J42=""),"",COUNTIFS($O$5:O42,O42,$U$5:U42,1))</f>
        <v>1</v>
      </c>
      <c r="W42" s="15" t="str">
        <f t="shared" si="2"/>
        <v>2026-09-26 | Råsta Park|1</v>
      </c>
      <c r="X42" s="16" t="str">
        <f t="shared" si="3"/>
        <v/>
      </c>
      <c r="Y42" s="15">
        <f>IF(OR(I42&lt;&gt;"Ja",J42=""),0,IF(COUNTIFS($O$5:O42,O42,$I$5:I42,"Ja",$J$5:J42,"&lt;&gt;")=1,1,0))</f>
        <v>0</v>
      </c>
      <c r="Z42" s="15">
        <f>IF(OR(I42&lt;&gt;"Ja",J42=""),0,IF(COUNTIFS(O42:$O$546,O42,I42:$I$546,"Ja",J42:$J$546,"&lt;&gt;")=1,1,0))</f>
        <v>0</v>
      </c>
      <c r="AA42" s="15">
        <f t="shared" si="12"/>
        <v>2</v>
      </c>
      <c r="AB42" s="15" t="str">
        <f>IF(U42&lt;&gt;1,"",COUNTIF($U$5:U42,1))</f>
        <v/>
      </c>
      <c r="AC42" s="15" t="str">
        <f t="shared" si="4"/>
        <v/>
      </c>
      <c r="AD42" s="15" t="str">
        <f t="shared" si="5"/>
        <v>Vanligt café</v>
      </c>
      <c r="AE42" s="15" t="str">
        <f t="shared" si="6"/>
        <v/>
      </c>
      <c r="AF42" t="str">
        <f>IF(T42="","",IFERROR(MATCH(1,INDEX((MATCHER!$B$5:$B$504=A42)*(MATCHER!$D$5:$D$504=C42)*(MATCHER!$K$5:$K$504="Ja")*(MATCHER!$C$5:$C$504&lt;E42)*(MATCHER!$M$5:$M$504&gt;D42)*(ROW(MATCHER!$A$5:$A$504)-ROW(MATCHER!$A$5)+1&gt;T42),0),0),""))</f>
        <v/>
      </c>
    </row>
    <row r="43" spans="1:32" ht="13">
      <c r="A43" s="42">
        <v>46291</v>
      </c>
      <c r="B43" s="43" t="s">
        <v>85</v>
      </c>
      <c r="C43" s="43" t="s">
        <v>94</v>
      </c>
      <c r="D43" s="44">
        <v>0.41666666666666702</v>
      </c>
      <c r="E43" s="44">
        <v>0.4375</v>
      </c>
      <c r="F43" s="45" t="str">
        <f>IF(R43="","",HOUR(INDEX(MATCHER!$C$5:$C$504,R43))&amp;":"&amp;IF(MINUTE(INDEX(MATCHER!$C$5:$C$504,R43))&lt;10,"0","")&amp;MINUTE(INDEX(MATCHER!$C$5:$C$504,R43))&amp;" "&amp;INDEX(MATCHER!$H$5:$H$504,R43)&amp;" – "&amp;INDEX(MATCHER!$I$5:$I$504,R43))&amp;IF(S43="",""," | "&amp;HOUR(INDEX(MATCHER!$C$5:$C$504,S43))&amp;":"&amp;IF(MINUTE(INDEX(MATCHER!$C$5:$C$504,S43))&lt;10,"0","")&amp;MINUTE(INDEX(MATCHER!$C$5:$C$504,S43))&amp;" "&amp;INDEX(MATCHER!$H$5:$H$504,S43)&amp;" – "&amp;INDEX(MATCHER!$I$5:$I$504,S43))&amp;IF(T43="",""," | "&amp;HOUR(INDEX(MATCHER!$C$5:$C$504,T43))&amp;":"&amp;IF(MINUTE(INDEX(MATCHER!$C$5:$C$504,T43))&lt;10,"0","")&amp;MINUTE(INDEX(MATCHER!$C$5:$C$504,T43))&amp;" "&amp;INDEX(MATCHER!$H$5:$H$504,T43)&amp;" – "&amp;INDEX(MATCHER!$I$5:$I$504,T43))&amp;IF(AF43="",""," | "&amp;HOUR(INDEX(MATCHER!$C$5:$C$504,AF43))&amp;":"&amp;IF(MINUTE(INDEX(MATCHER!$C$5:$C$504,AF43))&lt;10,"0","")&amp;MINUTE(INDEX(MATCHER!$C$5:$C$504,AF43))&amp;" "&amp;INDEX(MATCHER!$H$5:$H$504,AF43)&amp;" – "&amp;INDEX(MATCHER!$I$5:$I$504,AF43))</f>
        <v>10:10 Spånga HK 2 – Sannadals SK</v>
      </c>
      <c r="G43" s="45" t="str">
        <f>MID(IF(R43="","",IF(OR(INDEX(MATCHER!$J$5:$J$504,R43)=""),""," / "&amp;INDEX(MATCHER!$J$5:$J$504,R43)))&amp;IF(S43="","",IF(OR(INDEX(MATCHER!$J$5:$J$504,S43)="",INDEX(MATCHER!$J$5:$J$504,S43)=IFERROR(INDEX(MATCHER!$J$5:$J$504,R43),"")),""," / "&amp;INDEX(MATCHER!$J$5:$J$504,S43)))&amp;IF(T43="","",IF(OR(INDEX(MATCHER!$J$5:$J$504,T43)="",INDEX(MATCHER!$J$5:$J$504,T43)=IFERROR(INDEX(MATCHER!$J$5:$J$504,R43),""),INDEX(MATCHER!$J$5:$J$504,T43)=IFERROR(INDEX(MATCHER!$J$5:$J$504,S43),"")),""," / "&amp;INDEX(MATCHER!$J$5:$J$504,T43)))&amp;IF(AF43="","",IF(OR(INDEX(MATCHER!$J$5:$J$504,AF43)="",INDEX(MATCHER!$J$5:$J$504,AF43)=IFERROR(INDEX(MATCHER!$J$5:$J$504,R43),""),INDEX(MATCHER!$J$5:$J$504,AF43)=IFERROR(INDEX(MATCHER!$J$5:$J$504,S43),""),INDEX(MATCHER!$J$5:$J$504,AF43)=IFERROR(INDEX(MATCHER!$J$5:$J$504,T43),"")),""," / "&amp;INDEX(MATCHER!$J$5:$J$504,AF43))),4,1000)</f>
        <v/>
      </c>
      <c r="H43" s="45" t="str">
        <f t="shared" si="11"/>
        <v>F11, F13</v>
      </c>
      <c r="I43" s="46" t="s">
        <v>90</v>
      </c>
      <c r="J43" s="47" t="s">
        <v>95</v>
      </c>
      <c r="K43" s="48"/>
      <c r="L43" s="49"/>
      <c r="M43" s="50" t="str">
        <f>IF(O43&lt;&gt;O42,MAX(1,MIN(AA43,ROUNDUP(SUMPRODUCT(($O$5:$O$546=O43)*($I$5:$I$546="Ja")*($E$5:$E$546-$D$5:$D$546))*24/REGLER!$B$8,0))),"")</f>
        <v/>
      </c>
      <c r="N43" s="50" t="str">
        <f t="shared" si="0"/>
        <v>Klar</v>
      </c>
      <c r="O43" s="15" t="s">
        <v>96</v>
      </c>
      <c r="P43" s="16">
        <v>0.33333333333333298</v>
      </c>
      <c r="Q43" s="16">
        <v>0.60416666666666696</v>
      </c>
      <c r="R43" s="15">
        <f>IFERROR(MATCH(1,INDEX((MATCHER!$B$5:$B$504=A43)*(MATCHER!$D$5:$D$504=C43)*(MATCHER!$K$5:$K$504="Ja")*(MATCHER!$C$5:$C$504&lt;E43)*(MATCHER!$M$5:$M$504&gt;D43),0),0),"")</f>
        <v>9</v>
      </c>
      <c r="S43" s="15" t="str">
        <f>IF(R43="","",IFERROR(MATCH(1,INDEX((MATCHER!$B$5:$B$504=A43)*(MATCHER!$D$5:$D$504=C43)*(MATCHER!$K$5:$K$504="Ja")*(MATCHER!$C$5:$C$504&lt;E43)*(MATCHER!$M$5:$M$504&gt;D43)*(ROW(MATCHER!$A$5:$A$504)-ROW(MATCHER!$A$5)+1&gt;R43),0),0),""))</f>
        <v/>
      </c>
      <c r="T43" s="15" t="str">
        <f>IF(S43="","",IFERROR(MATCH(1,INDEX((MATCHER!$B$5:$B$504=A43)*(MATCHER!$D$5:$D$504=C43)*(MATCHER!$K$5:$K$504="Ja")*(MATCHER!$C$5:$C$504&lt;E43)*(MATCHER!$M$5:$M$504&gt;D43)*(ROW(MATCHER!$A$5:$A$504)-ROW(MATCHER!$A$5)+1&gt;S43),0),0),""))</f>
        <v/>
      </c>
      <c r="U43" s="15">
        <f t="shared" si="1"/>
        <v>0</v>
      </c>
      <c r="V43" s="15">
        <f>IF(OR(I43&lt;&gt;"Ja",J43=""),"",COUNTIFS($O$5:O43,O43,$U$5:U43,1))</f>
        <v>1</v>
      </c>
      <c r="W43" s="15" t="str">
        <f t="shared" si="2"/>
        <v>2026-09-26 | Råsta Park|1</v>
      </c>
      <c r="X43" s="16" t="str">
        <f t="shared" si="3"/>
        <v/>
      </c>
      <c r="Y43" s="15">
        <f>IF(OR(I43&lt;&gt;"Ja",J43=""),0,IF(COUNTIFS($O$5:O43,O43,$I$5:I43,"Ja",$J$5:J43,"&lt;&gt;")=1,1,0))</f>
        <v>0</v>
      </c>
      <c r="Z43" s="15">
        <f>IF(OR(I43&lt;&gt;"Ja",J43=""),0,IF(COUNTIFS(O43:$O$546,O43,I43:$I$546,"Ja",J43:$J$546,"&lt;&gt;")=1,1,0))</f>
        <v>0</v>
      </c>
      <c r="AA43" s="15">
        <f t="shared" si="12"/>
        <v>2</v>
      </c>
      <c r="AB43" s="15" t="str">
        <f>IF(U43&lt;&gt;1,"",COUNTIF($U$5:U43,1))</f>
        <v/>
      </c>
      <c r="AC43" s="15" t="str">
        <f t="shared" si="4"/>
        <v/>
      </c>
      <c r="AD43" s="15" t="str">
        <f t="shared" si="5"/>
        <v>Vanligt café</v>
      </c>
      <c r="AE43" s="15" t="str">
        <f t="shared" si="6"/>
        <v/>
      </c>
      <c r="AF43" t="str">
        <f>IF(T43="","",IFERROR(MATCH(1,INDEX((MATCHER!$B$5:$B$504=A43)*(MATCHER!$D$5:$D$504=C43)*(MATCHER!$K$5:$K$504="Ja")*(MATCHER!$C$5:$C$504&lt;E43)*(MATCHER!$M$5:$M$504&gt;D43)*(ROW(MATCHER!$A$5:$A$504)-ROW(MATCHER!$A$5)+1&gt;T43),0),0),""))</f>
        <v/>
      </c>
    </row>
    <row r="44" spans="1:32" ht="13">
      <c r="A44" s="42">
        <v>46291</v>
      </c>
      <c r="B44" s="43" t="s">
        <v>85</v>
      </c>
      <c r="C44" s="43" t="s">
        <v>94</v>
      </c>
      <c r="D44" s="44">
        <v>0.4375</v>
      </c>
      <c r="E44" s="44">
        <v>0.45833333333333298</v>
      </c>
      <c r="F44" s="45" t="str">
        <f>IF(R44="","",HOUR(INDEX(MATCHER!$C$5:$C$504,R44))&amp;":"&amp;IF(MINUTE(INDEX(MATCHER!$C$5:$C$504,R44))&lt;10,"0","")&amp;MINUTE(INDEX(MATCHER!$C$5:$C$504,R44))&amp;" "&amp;INDEX(MATCHER!$H$5:$H$504,R44)&amp;" – "&amp;INDEX(MATCHER!$I$5:$I$504,R44))&amp;IF(S44="",""," | "&amp;HOUR(INDEX(MATCHER!$C$5:$C$504,S44))&amp;":"&amp;IF(MINUTE(INDEX(MATCHER!$C$5:$C$504,S44))&lt;10,"0","")&amp;MINUTE(INDEX(MATCHER!$C$5:$C$504,S44))&amp;" "&amp;INDEX(MATCHER!$H$5:$H$504,S44)&amp;" – "&amp;INDEX(MATCHER!$I$5:$I$504,S44))&amp;IF(T44="",""," | "&amp;HOUR(INDEX(MATCHER!$C$5:$C$504,T44))&amp;":"&amp;IF(MINUTE(INDEX(MATCHER!$C$5:$C$504,T44))&lt;10,"0","")&amp;MINUTE(INDEX(MATCHER!$C$5:$C$504,T44))&amp;" "&amp;INDEX(MATCHER!$H$5:$H$504,T44)&amp;" – "&amp;INDEX(MATCHER!$I$5:$I$504,T44))&amp;IF(AF44="",""," | "&amp;HOUR(INDEX(MATCHER!$C$5:$C$504,AF44))&amp;":"&amp;IF(MINUTE(INDEX(MATCHER!$C$5:$C$504,AF44))&lt;10,"0","")&amp;MINUTE(INDEX(MATCHER!$C$5:$C$504,AF44))&amp;" "&amp;INDEX(MATCHER!$H$5:$H$504,AF44)&amp;" – "&amp;INDEX(MATCHER!$I$5:$I$504,AF44))</f>
        <v>10:10 Spånga HK 2 – Sannadals SK</v>
      </c>
      <c r="G44" s="45" t="str">
        <f>MID(IF(R44="","",IF(OR(INDEX(MATCHER!$J$5:$J$504,R44)=""),""," / "&amp;INDEX(MATCHER!$J$5:$J$504,R44)))&amp;IF(S44="","",IF(OR(INDEX(MATCHER!$J$5:$J$504,S44)="",INDEX(MATCHER!$J$5:$J$504,S44)=IFERROR(INDEX(MATCHER!$J$5:$J$504,R44),"")),""," / "&amp;INDEX(MATCHER!$J$5:$J$504,S44)))&amp;IF(T44="","",IF(OR(INDEX(MATCHER!$J$5:$J$504,T44)="",INDEX(MATCHER!$J$5:$J$504,T44)=IFERROR(INDEX(MATCHER!$J$5:$J$504,R44),""),INDEX(MATCHER!$J$5:$J$504,T44)=IFERROR(INDEX(MATCHER!$J$5:$J$504,S44),"")),""," / "&amp;INDEX(MATCHER!$J$5:$J$504,T44)))&amp;IF(AF44="","",IF(OR(INDEX(MATCHER!$J$5:$J$504,AF44)="",INDEX(MATCHER!$J$5:$J$504,AF44)=IFERROR(INDEX(MATCHER!$J$5:$J$504,R44),""),INDEX(MATCHER!$J$5:$J$504,AF44)=IFERROR(INDEX(MATCHER!$J$5:$J$504,S44),""),INDEX(MATCHER!$J$5:$J$504,AF44)=IFERROR(INDEX(MATCHER!$J$5:$J$504,T44),"")),""," / "&amp;INDEX(MATCHER!$J$5:$J$504,AF44))),4,1000)</f>
        <v/>
      </c>
      <c r="H44" s="45" t="str">
        <f t="shared" si="11"/>
        <v>F11, F13</v>
      </c>
      <c r="I44" s="46" t="s">
        <v>90</v>
      </c>
      <c r="J44" s="47" t="s">
        <v>95</v>
      </c>
      <c r="K44" s="48"/>
      <c r="L44" s="49"/>
      <c r="M44" s="50" t="str">
        <f>IF(O44&lt;&gt;O43,MAX(1,MIN(AA44,ROUNDUP(SUMPRODUCT(($O$5:$O$546=O44)*($I$5:$I$546="Ja")*($E$5:$E$546-$D$5:$D$546))*24/REGLER!$B$8,0))),"")</f>
        <v/>
      </c>
      <c r="N44" s="50" t="str">
        <f t="shared" si="0"/>
        <v>Klar</v>
      </c>
      <c r="O44" s="15" t="s">
        <v>96</v>
      </c>
      <c r="P44" s="16">
        <v>0.33333333333333298</v>
      </c>
      <c r="Q44" s="16">
        <v>0.60416666666666696</v>
      </c>
      <c r="R44" s="15">
        <f>IFERROR(MATCH(1,INDEX((MATCHER!$B$5:$B$504=A44)*(MATCHER!$D$5:$D$504=C44)*(MATCHER!$K$5:$K$504="Ja")*(MATCHER!$C$5:$C$504&lt;E44)*(MATCHER!$M$5:$M$504&gt;D44),0),0),"")</f>
        <v>9</v>
      </c>
      <c r="S44" s="15" t="str">
        <f>IF(R44="","",IFERROR(MATCH(1,INDEX((MATCHER!$B$5:$B$504=A44)*(MATCHER!$D$5:$D$504=C44)*(MATCHER!$K$5:$K$504="Ja")*(MATCHER!$C$5:$C$504&lt;E44)*(MATCHER!$M$5:$M$504&gt;D44)*(ROW(MATCHER!$A$5:$A$504)-ROW(MATCHER!$A$5)+1&gt;R44),0),0),""))</f>
        <v/>
      </c>
      <c r="T44" s="15" t="str">
        <f>IF(S44="","",IFERROR(MATCH(1,INDEX((MATCHER!$B$5:$B$504=A44)*(MATCHER!$D$5:$D$504=C44)*(MATCHER!$K$5:$K$504="Ja")*(MATCHER!$C$5:$C$504&lt;E44)*(MATCHER!$M$5:$M$504&gt;D44)*(ROW(MATCHER!$A$5:$A$504)-ROW(MATCHER!$A$5)+1&gt;S44),0),0),""))</f>
        <v/>
      </c>
      <c r="U44" s="15">
        <f t="shared" si="1"/>
        <v>0</v>
      </c>
      <c r="V44" s="15">
        <f>IF(OR(I44&lt;&gt;"Ja",J44=""),"",COUNTIFS($O$5:O44,O44,$U$5:U44,1))</f>
        <v>1</v>
      </c>
      <c r="W44" s="15" t="str">
        <f t="shared" si="2"/>
        <v>2026-09-26 | Råsta Park|1</v>
      </c>
      <c r="X44" s="16" t="str">
        <f t="shared" si="3"/>
        <v/>
      </c>
      <c r="Y44" s="15">
        <f>IF(OR(I44&lt;&gt;"Ja",J44=""),0,IF(COUNTIFS($O$5:O44,O44,$I$5:I44,"Ja",$J$5:J44,"&lt;&gt;")=1,1,0))</f>
        <v>0</v>
      </c>
      <c r="Z44" s="15">
        <f>IF(OR(I44&lt;&gt;"Ja",J44=""),0,IF(COUNTIFS(O44:$O$546,O44,I44:$I$546,"Ja",J44:$J$546,"&lt;&gt;")=1,1,0))</f>
        <v>0</v>
      </c>
      <c r="AA44" s="15">
        <f t="shared" si="12"/>
        <v>2</v>
      </c>
      <c r="AB44" s="15" t="str">
        <f>IF(U44&lt;&gt;1,"",COUNTIF($U$5:U44,1))</f>
        <v/>
      </c>
      <c r="AC44" s="15" t="str">
        <f t="shared" si="4"/>
        <v/>
      </c>
      <c r="AD44" s="15" t="str">
        <f t="shared" si="5"/>
        <v>Vanligt café</v>
      </c>
      <c r="AE44" s="15" t="str">
        <f t="shared" si="6"/>
        <v/>
      </c>
      <c r="AF44" t="str">
        <f>IF(T44="","",IFERROR(MATCH(1,INDEX((MATCHER!$B$5:$B$504=A44)*(MATCHER!$D$5:$D$504=C44)*(MATCHER!$K$5:$K$504="Ja")*(MATCHER!$C$5:$C$504&lt;E44)*(MATCHER!$M$5:$M$504&gt;D44)*(ROW(MATCHER!$A$5:$A$504)-ROW(MATCHER!$A$5)+1&gt;T44),0),0),""))</f>
        <v/>
      </c>
    </row>
    <row r="45" spans="1:32" ht="13">
      <c r="A45" s="42">
        <v>46291</v>
      </c>
      <c r="B45" s="43" t="s">
        <v>85</v>
      </c>
      <c r="C45" s="43" t="s">
        <v>94</v>
      </c>
      <c r="D45" s="44">
        <v>0.45833333333333298</v>
      </c>
      <c r="E45" s="44">
        <v>0.47916666666666702</v>
      </c>
      <c r="F45" s="45" t="str">
        <f>IF(R45="","",HOUR(INDEX(MATCHER!$C$5:$C$504,R45))&amp;":"&amp;IF(MINUTE(INDEX(MATCHER!$C$5:$C$504,R45))&lt;10,"0","")&amp;MINUTE(INDEX(MATCHER!$C$5:$C$504,R45))&amp;" "&amp;INDEX(MATCHER!$H$5:$H$504,R45)&amp;" – "&amp;INDEX(MATCHER!$I$5:$I$504,R45))&amp;IF(S45="",""," | "&amp;HOUR(INDEX(MATCHER!$C$5:$C$504,S45))&amp;":"&amp;IF(MINUTE(INDEX(MATCHER!$C$5:$C$504,S45))&lt;10,"0","")&amp;MINUTE(INDEX(MATCHER!$C$5:$C$504,S45))&amp;" "&amp;INDEX(MATCHER!$H$5:$H$504,S45)&amp;" – "&amp;INDEX(MATCHER!$I$5:$I$504,S45))&amp;IF(T45="",""," | "&amp;HOUR(INDEX(MATCHER!$C$5:$C$504,T45))&amp;":"&amp;IF(MINUTE(INDEX(MATCHER!$C$5:$C$504,T45))&lt;10,"0","")&amp;MINUTE(INDEX(MATCHER!$C$5:$C$504,T45))&amp;" "&amp;INDEX(MATCHER!$H$5:$H$504,T45)&amp;" – "&amp;INDEX(MATCHER!$I$5:$I$504,T45))&amp;IF(AF45="",""," | "&amp;HOUR(INDEX(MATCHER!$C$5:$C$504,AF45))&amp;":"&amp;IF(MINUTE(INDEX(MATCHER!$C$5:$C$504,AF45))&lt;10,"0","")&amp;MINUTE(INDEX(MATCHER!$C$5:$C$504,AF45))&amp;" "&amp;INDEX(MATCHER!$H$5:$H$504,AF45)&amp;" – "&amp;INDEX(MATCHER!$I$5:$I$504,AF45))</f>
        <v>11:20 AIK – Sannadals SK</v>
      </c>
      <c r="G45" s="45" t="str">
        <f>MID(IF(R45="","",IF(OR(INDEX(MATCHER!$J$5:$J$504,R45)=""),""," / "&amp;INDEX(MATCHER!$J$5:$J$504,R45)))&amp;IF(S45="","",IF(OR(INDEX(MATCHER!$J$5:$J$504,S45)="",INDEX(MATCHER!$J$5:$J$504,S45)=IFERROR(INDEX(MATCHER!$J$5:$J$504,R45),"")),""," / "&amp;INDEX(MATCHER!$J$5:$J$504,S45)))&amp;IF(T45="","",IF(OR(INDEX(MATCHER!$J$5:$J$504,T45)="",INDEX(MATCHER!$J$5:$J$504,T45)=IFERROR(INDEX(MATCHER!$J$5:$J$504,R45),""),INDEX(MATCHER!$J$5:$J$504,T45)=IFERROR(INDEX(MATCHER!$J$5:$J$504,S45),"")),""," / "&amp;INDEX(MATCHER!$J$5:$J$504,T45)))&amp;IF(AF45="","",IF(OR(INDEX(MATCHER!$J$5:$J$504,AF45)="",INDEX(MATCHER!$J$5:$J$504,AF45)=IFERROR(INDEX(MATCHER!$J$5:$J$504,R45),""),INDEX(MATCHER!$J$5:$J$504,AF45)=IFERROR(INDEX(MATCHER!$J$5:$J$504,S45),""),INDEX(MATCHER!$J$5:$J$504,AF45)=IFERROR(INDEX(MATCHER!$J$5:$J$504,T45),"")),""," / "&amp;INDEX(MATCHER!$J$5:$J$504,AF45))),4,1000)</f>
        <v>F11</v>
      </c>
      <c r="H45" s="45" t="str">
        <f t="shared" si="11"/>
        <v>F11, F13</v>
      </c>
      <c r="I45" s="46" t="s">
        <v>90</v>
      </c>
      <c r="J45" s="47" t="s">
        <v>95</v>
      </c>
      <c r="K45" s="48"/>
      <c r="L45" s="49"/>
      <c r="M45" s="50" t="str">
        <f>IF(O45&lt;&gt;O44,MAX(1,MIN(AA45,ROUNDUP(SUMPRODUCT(($O$5:$O$546=O45)*($I$5:$I$546="Ja")*($E$5:$E$546-$D$5:$D$546))*24/REGLER!$B$8,0))),"")</f>
        <v/>
      </c>
      <c r="N45" s="50" t="str">
        <f t="shared" si="0"/>
        <v>Klar</v>
      </c>
      <c r="O45" s="15" t="s">
        <v>96</v>
      </c>
      <c r="P45" s="16">
        <v>0.33333333333333298</v>
      </c>
      <c r="Q45" s="16">
        <v>0.60416666666666696</v>
      </c>
      <c r="R45" s="15">
        <f>IFERROR(MATCH(1,INDEX((MATCHER!$B$5:$B$504=A45)*(MATCHER!$D$5:$D$504=C45)*(MATCHER!$K$5:$K$504="Ja")*(MATCHER!$C$5:$C$504&lt;E45)*(MATCHER!$M$5:$M$504&gt;D45),0),0),"")</f>
        <v>10</v>
      </c>
      <c r="S45" s="15" t="str">
        <f>IF(R45="","",IFERROR(MATCH(1,INDEX((MATCHER!$B$5:$B$504=A45)*(MATCHER!$D$5:$D$504=C45)*(MATCHER!$K$5:$K$504="Ja")*(MATCHER!$C$5:$C$504&lt;E45)*(MATCHER!$M$5:$M$504&gt;D45)*(ROW(MATCHER!$A$5:$A$504)-ROW(MATCHER!$A$5)+1&gt;R45),0),0),""))</f>
        <v/>
      </c>
      <c r="T45" s="15" t="str">
        <f>IF(S45="","",IFERROR(MATCH(1,INDEX((MATCHER!$B$5:$B$504=A45)*(MATCHER!$D$5:$D$504=C45)*(MATCHER!$K$5:$K$504="Ja")*(MATCHER!$C$5:$C$504&lt;E45)*(MATCHER!$M$5:$M$504&gt;D45)*(ROW(MATCHER!$A$5:$A$504)-ROW(MATCHER!$A$5)+1&gt;S45),0),0),""))</f>
        <v/>
      </c>
      <c r="U45" s="15">
        <f t="shared" si="1"/>
        <v>0</v>
      </c>
      <c r="V45" s="15">
        <f>IF(OR(I45&lt;&gt;"Ja",J45=""),"",COUNTIFS($O$5:O45,O45,$U$5:U45,1))</f>
        <v>1</v>
      </c>
      <c r="W45" s="15" t="str">
        <f t="shared" si="2"/>
        <v>2026-09-26 | Råsta Park|1</v>
      </c>
      <c r="X45" s="16" t="str">
        <f t="shared" si="3"/>
        <v/>
      </c>
      <c r="Y45" s="15">
        <f>IF(OR(I45&lt;&gt;"Ja",J45=""),0,IF(COUNTIFS($O$5:O45,O45,$I$5:I45,"Ja",$J$5:J45,"&lt;&gt;")=1,1,0))</f>
        <v>0</v>
      </c>
      <c r="Z45" s="15">
        <f>IF(OR(I45&lt;&gt;"Ja",J45=""),0,IF(COUNTIFS(O45:$O$546,O45,I45:$I$546,"Ja",J45:$J$546,"&lt;&gt;")=1,1,0))</f>
        <v>0</v>
      </c>
      <c r="AA45" s="15">
        <f t="shared" si="12"/>
        <v>2</v>
      </c>
      <c r="AB45" s="15" t="str">
        <f>IF(U45&lt;&gt;1,"",COUNTIF($U$5:U45,1))</f>
        <v/>
      </c>
      <c r="AC45" s="15" t="str">
        <f t="shared" si="4"/>
        <v/>
      </c>
      <c r="AD45" s="15" t="str">
        <f t="shared" si="5"/>
        <v>Vanligt café</v>
      </c>
      <c r="AE45" s="15" t="str">
        <f t="shared" si="6"/>
        <v/>
      </c>
      <c r="AF45" t="str">
        <f>IF(T45="","",IFERROR(MATCH(1,INDEX((MATCHER!$B$5:$B$504=A45)*(MATCHER!$D$5:$D$504=C45)*(MATCHER!$K$5:$K$504="Ja")*(MATCHER!$C$5:$C$504&lt;E45)*(MATCHER!$M$5:$M$504&gt;D45)*(ROW(MATCHER!$A$5:$A$504)-ROW(MATCHER!$A$5)+1&gt;T45),0),0),""))</f>
        <v/>
      </c>
    </row>
    <row r="46" spans="1:32" ht="13">
      <c r="A46" s="42">
        <v>46291</v>
      </c>
      <c r="B46" s="43" t="s">
        <v>85</v>
      </c>
      <c r="C46" s="43" t="s">
        <v>94</v>
      </c>
      <c r="D46" s="44">
        <v>0.47916666666666702</v>
      </c>
      <c r="E46" s="44">
        <v>0.5</v>
      </c>
      <c r="F46" s="45" t="str">
        <f>IF(R46="","",HOUR(INDEX(MATCHER!$C$5:$C$504,R46))&amp;":"&amp;IF(MINUTE(INDEX(MATCHER!$C$5:$C$504,R46))&lt;10,"0","")&amp;MINUTE(INDEX(MATCHER!$C$5:$C$504,R46))&amp;" "&amp;INDEX(MATCHER!$H$5:$H$504,R46)&amp;" – "&amp;INDEX(MATCHER!$I$5:$I$504,R46))&amp;IF(S46="",""," | "&amp;HOUR(INDEX(MATCHER!$C$5:$C$504,S46))&amp;":"&amp;IF(MINUTE(INDEX(MATCHER!$C$5:$C$504,S46))&lt;10,"0","")&amp;MINUTE(INDEX(MATCHER!$C$5:$C$504,S46))&amp;" "&amp;INDEX(MATCHER!$H$5:$H$504,S46)&amp;" – "&amp;INDEX(MATCHER!$I$5:$I$504,S46))&amp;IF(T46="",""," | "&amp;HOUR(INDEX(MATCHER!$C$5:$C$504,T46))&amp;":"&amp;IF(MINUTE(INDEX(MATCHER!$C$5:$C$504,T46))&lt;10,"0","")&amp;MINUTE(INDEX(MATCHER!$C$5:$C$504,T46))&amp;" "&amp;INDEX(MATCHER!$H$5:$H$504,T46)&amp;" – "&amp;INDEX(MATCHER!$I$5:$I$504,T46))&amp;IF(AF46="",""," | "&amp;HOUR(INDEX(MATCHER!$C$5:$C$504,AF46))&amp;":"&amp;IF(MINUTE(INDEX(MATCHER!$C$5:$C$504,AF46))&lt;10,"0","")&amp;MINUTE(INDEX(MATCHER!$C$5:$C$504,AF46))&amp;" "&amp;INDEX(MATCHER!$H$5:$H$504,AF46)&amp;" – "&amp;INDEX(MATCHER!$I$5:$I$504,AF46))</f>
        <v>11:20 AIK – Sannadals SK</v>
      </c>
      <c r="G46" s="45" t="str">
        <f>MID(IF(R46="","",IF(OR(INDEX(MATCHER!$J$5:$J$504,R46)=""),""," / "&amp;INDEX(MATCHER!$J$5:$J$504,R46)))&amp;IF(S46="","",IF(OR(INDEX(MATCHER!$J$5:$J$504,S46)="",INDEX(MATCHER!$J$5:$J$504,S46)=IFERROR(INDEX(MATCHER!$J$5:$J$504,R46),"")),""," / "&amp;INDEX(MATCHER!$J$5:$J$504,S46)))&amp;IF(T46="","",IF(OR(INDEX(MATCHER!$J$5:$J$504,T46)="",INDEX(MATCHER!$J$5:$J$504,T46)=IFERROR(INDEX(MATCHER!$J$5:$J$504,R46),""),INDEX(MATCHER!$J$5:$J$504,T46)=IFERROR(INDEX(MATCHER!$J$5:$J$504,S46),"")),""," / "&amp;INDEX(MATCHER!$J$5:$J$504,T46)))&amp;IF(AF46="","",IF(OR(INDEX(MATCHER!$J$5:$J$504,AF46)="",INDEX(MATCHER!$J$5:$J$504,AF46)=IFERROR(INDEX(MATCHER!$J$5:$J$504,R46),""),INDEX(MATCHER!$J$5:$J$504,AF46)=IFERROR(INDEX(MATCHER!$J$5:$J$504,S46),""),INDEX(MATCHER!$J$5:$J$504,AF46)=IFERROR(INDEX(MATCHER!$J$5:$J$504,T46),"")),""," / "&amp;INDEX(MATCHER!$J$5:$J$504,AF46))),4,1000)</f>
        <v>F11</v>
      </c>
      <c r="H46" s="45" t="str">
        <f t="shared" si="11"/>
        <v>F11, F13</v>
      </c>
      <c r="I46" s="46" t="s">
        <v>90</v>
      </c>
      <c r="J46" s="47" t="s">
        <v>95</v>
      </c>
      <c r="K46" s="48"/>
      <c r="L46" s="49"/>
      <c r="M46" s="50" t="str">
        <f>IF(O46&lt;&gt;O45,MAX(1,MIN(AA46,ROUNDUP(SUMPRODUCT(($O$5:$O$546=O46)*($I$5:$I$546="Ja")*($E$5:$E$546-$D$5:$D$546))*24/REGLER!$B$8,0))),"")</f>
        <v/>
      </c>
      <c r="N46" s="50" t="str">
        <f t="shared" si="0"/>
        <v>Klar</v>
      </c>
      <c r="O46" s="15" t="s">
        <v>96</v>
      </c>
      <c r="P46" s="16">
        <v>0.33333333333333298</v>
      </c>
      <c r="Q46" s="16">
        <v>0.60416666666666696</v>
      </c>
      <c r="R46" s="15">
        <f>IFERROR(MATCH(1,INDEX((MATCHER!$B$5:$B$504=A46)*(MATCHER!$D$5:$D$504=C46)*(MATCHER!$K$5:$K$504="Ja")*(MATCHER!$C$5:$C$504&lt;E46)*(MATCHER!$M$5:$M$504&gt;D46),0),0),"")</f>
        <v>10</v>
      </c>
      <c r="S46" s="15" t="str">
        <f>IF(R46="","",IFERROR(MATCH(1,INDEX((MATCHER!$B$5:$B$504=A46)*(MATCHER!$D$5:$D$504=C46)*(MATCHER!$K$5:$K$504="Ja")*(MATCHER!$C$5:$C$504&lt;E46)*(MATCHER!$M$5:$M$504&gt;D46)*(ROW(MATCHER!$A$5:$A$504)-ROW(MATCHER!$A$5)+1&gt;R46),0),0),""))</f>
        <v/>
      </c>
      <c r="T46" s="15" t="str">
        <f>IF(S46="","",IFERROR(MATCH(1,INDEX((MATCHER!$B$5:$B$504=A46)*(MATCHER!$D$5:$D$504=C46)*(MATCHER!$K$5:$K$504="Ja")*(MATCHER!$C$5:$C$504&lt;E46)*(MATCHER!$M$5:$M$504&gt;D46)*(ROW(MATCHER!$A$5:$A$504)-ROW(MATCHER!$A$5)+1&gt;S46),0),0),""))</f>
        <v/>
      </c>
      <c r="U46" s="15">
        <f t="shared" si="1"/>
        <v>0</v>
      </c>
      <c r="V46" s="15">
        <f>IF(OR(I46&lt;&gt;"Ja",J46=""),"",COUNTIFS($O$5:O46,O46,$U$5:U46,1))</f>
        <v>1</v>
      </c>
      <c r="W46" s="15" t="str">
        <f t="shared" si="2"/>
        <v>2026-09-26 | Råsta Park|1</v>
      </c>
      <c r="X46" s="16">
        <f t="shared" si="3"/>
        <v>0.5</v>
      </c>
      <c r="Y46" s="15">
        <f>IF(OR(I46&lt;&gt;"Ja",J46=""),0,IF(COUNTIFS($O$5:O46,O46,$I$5:I46,"Ja",$J$5:J46,"&lt;&gt;")=1,1,0))</f>
        <v>0</v>
      </c>
      <c r="Z46" s="15">
        <f>IF(OR(I46&lt;&gt;"Ja",J46=""),0,IF(COUNTIFS(O46:$O$546,O46,I46:$I$546,"Ja",J46:$J$546,"&lt;&gt;")=1,1,0))</f>
        <v>0</v>
      </c>
      <c r="AA46" s="15">
        <f t="shared" si="12"/>
        <v>2</v>
      </c>
      <c r="AB46" s="15" t="str">
        <f>IF(U46&lt;&gt;1,"",COUNTIF($U$5:U46,1))</f>
        <v/>
      </c>
      <c r="AC46" s="15" t="str">
        <f t="shared" si="4"/>
        <v>2026-09-26 | Råsta Park|1</v>
      </c>
      <c r="AD46" s="15" t="str">
        <f t="shared" si="5"/>
        <v>Vanligt café</v>
      </c>
      <c r="AE46" s="15" t="str">
        <f t="shared" si="6"/>
        <v/>
      </c>
      <c r="AF46" t="str">
        <f>IF(T46="","",IFERROR(MATCH(1,INDEX((MATCHER!$B$5:$B$504=A46)*(MATCHER!$D$5:$D$504=C46)*(MATCHER!$K$5:$K$504="Ja")*(MATCHER!$C$5:$C$504&lt;E46)*(MATCHER!$M$5:$M$504&gt;D46)*(ROW(MATCHER!$A$5:$A$504)-ROW(MATCHER!$A$5)+1&gt;T46),0),0),""))</f>
        <v/>
      </c>
    </row>
    <row r="47" spans="1:32" ht="13">
      <c r="A47" s="42">
        <v>46291</v>
      </c>
      <c r="B47" s="43" t="s">
        <v>85</v>
      </c>
      <c r="C47" s="43" t="s">
        <v>94</v>
      </c>
      <c r="D47" s="44">
        <v>0.5</v>
      </c>
      <c r="E47" s="44">
        <v>0.52083333333333304</v>
      </c>
      <c r="F47" s="45" t="str">
        <f>IF(R47="","",HOUR(INDEX(MATCHER!$C$5:$C$504,R47))&amp;":"&amp;IF(MINUTE(INDEX(MATCHER!$C$5:$C$504,R47))&lt;10,"0","")&amp;MINUTE(INDEX(MATCHER!$C$5:$C$504,R47))&amp;" "&amp;INDEX(MATCHER!$H$5:$H$504,R47)&amp;" – "&amp;INDEX(MATCHER!$I$5:$I$504,R47))&amp;IF(S47="",""," | "&amp;HOUR(INDEX(MATCHER!$C$5:$C$504,S47))&amp;":"&amp;IF(MINUTE(INDEX(MATCHER!$C$5:$C$504,S47))&lt;10,"0","")&amp;MINUTE(INDEX(MATCHER!$C$5:$C$504,S47))&amp;" "&amp;INDEX(MATCHER!$H$5:$H$504,S47)&amp;" – "&amp;INDEX(MATCHER!$I$5:$I$504,S47))&amp;IF(T47="",""," | "&amp;HOUR(INDEX(MATCHER!$C$5:$C$504,T47))&amp;":"&amp;IF(MINUTE(INDEX(MATCHER!$C$5:$C$504,T47))&lt;10,"0","")&amp;MINUTE(INDEX(MATCHER!$C$5:$C$504,T47))&amp;" "&amp;INDEX(MATCHER!$H$5:$H$504,T47)&amp;" – "&amp;INDEX(MATCHER!$I$5:$I$504,T47))&amp;IF(AF47="",""," | "&amp;HOUR(INDEX(MATCHER!$C$5:$C$504,AF47))&amp;":"&amp;IF(MINUTE(INDEX(MATCHER!$C$5:$C$504,AF47))&lt;10,"0","")&amp;MINUTE(INDEX(MATCHER!$C$5:$C$504,AF47))&amp;" "&amp;INDEX(MATCHER!$H$5:$H$504,AF47)&amp;" – "&amp;INDEX(MATCHER!$I$5:$I$504,AF47))</f>
        <v>12:20 AIK – IK Bolton 1</v>
      </c>
      <c r="G47" s="45" t="str">
        <f>MID(IF(R47="","",IF(OR(INDEX(MATCHER!$J$5:$J$504,R47)=""),""," / "&amp;INDEX(MATCHER!$J$5:$J$504,R47)))&amp;IF(S47="","",IF(OR(INDEX(MATCHER!$J$5:$J$504,S47)="",INDEX(MATCHER!$J$5:$J$504,S47)=IFERROR(INDEX(MATCHER!$J$5:$J$504,R47),"")),""," / "&amp;INDEX(MATCHER!$J$5:$J$504,S47)))&amp;IF(T47="","",IF(OR(INDEX(MATCHER!$J$5:$J$504,T47)="",INDEX(MATCHER!$J$5:$J$504,T47)=IFERROR(INDEX(MATCHER!$J$5:$J$504,R47),""),INDEX(MATCHER!$J$5:$J$504,T47)=IFERROR(INDEX(MATCHER!$J$5:$J$504,S47),"")),""," / "&amp;INDEX(MATCHER!$J$5:$J$504,T47)))&amp;IF(AF47="","",IF(OR(INDEX(MATCHER!$J$5:$J$504,AF47)="",INDEX(MATCHER!$J$5:$J$504,AF47)=IFERROR(INDEX(MATCHER!$J$5:$J$504,R47),""),INDEX(MATCHER!$J$5:$J$504,AF47)=IFERROR(INDEX(MATCHER!$J$5:$J$504,S47),""),INDEX(MATCHER!$J$5:$J$504,AF47)=IFERROR(INDEX(MATCHER!$J$5:$J$504,T47),"")),""," / "&amp;INDEX(MATCHER!$J$5:$J$504,AF47))),4,1000)</f>
        <v>F13</v>
      </c>
      <c r="H47" s="45" t="str">
        <f t="shared" si="11"/>
        <v>F11, F13</v>
      </c>
      <c r="I47" s="46" t="s">
        <v>90</v>
      </c>
      <c r="J47" s="47" t="s">
        <v>97</v>
      </c>
      <c r="K47" s="48"/>
      <c r="L47" s="49"/>
      <c r="M47" s="50" t="str">
        <f>IF(O47&lt;&gt;O46,MAX(1,MIN(AA47,ROUNDUP(SUMPRODUCT(($O$5:$O$546=O47)*($I$5:$I$546="Ja")*($E$5:$E$546-$D$5:$D$546))*24/REGLER!$B$8,0))),"")</f>
        <v/>
      </c>
      <c r="N47" s="50" t="str">
        <f t="shared" si="0"/>
        <v>Klar</v>
      </c>
      <c r="O47" s="15" t="s">
        <v>96</v>
      </c>
      <c r="P47" s="16">
        <v>0.33333333333333298</v>
      </c>
      <c r="Q47" s="16">
        <v>0.60416666666666696</v>
      </c>
      <c r="R47" s="15">
        <f>IFERROR(MATCH(1,INDEX((MATCHER!$B$5:$B$504=A47)*(MATCHER!$D$5:$D$504=C47)*(MATCHER!$K$5:$K$504="Ja")*(MATCHER!$C$5:$C$504&lt;E47)*(MATCHER!$M$5:$M$504&gt;D47),0),0),"")</f>
        <v>11</v>
      </c>
      <c r="S47" s="15" t="str">
        <f>IF(R47="","",IFERROR(MATCH(1,INDEX((MATCHER!$B$5:$B$504=A47)*(MATCHER!$D$5:$D$504=C47)*(MATCHER!$K$5:$K$504="Ja")*(MATCHER!$C$5:$C$504&lt;E47)*(MATCHER!$M$5:$M$504&gt;D47)*(ROW(MATCHER!$A$5:$A$504)-ROW(MATCHER!$A$5)+1&gt;R47),0),0),""))</f>
        <v/>
      </c>
      <c r="T47" s="15" t="str">
        <f>IF(S47="","",IFERROR(MATCH(1,INDEX((MATCHER!$B$5:$B$504=A47)*(MATCHER!$D$5:$D$504=C47)*(MATCHER!$K$5:$K$504="Ja")*(MATCHER!$C$5:$C$504&lt;E47)*(MATCHER!$M$5:$M$504&gt;D47)*(ROW(MATCHER!$A$5:$A$504)-ROW(MATCHER!$A$5)+1&gt;S47),0),0),""))</f>
        <v/>
      </c>
      <c r="U47" s="15">
        <f t="shared" si="1"/>
        <v>1</v>
      </c>
      <c r="V47" s="15">
        <f>IF(OR(I47&lt;&gt;"Ja",J47=""),"",COUNTIFS($O$5:O47,O47,$U$5:U47,1))</f>
        <v>2</v>
      </c>
      <c r="W47" s="15" t="str">
        <f t="shared" si="2"/>
        <v>2026-09-26 | Råsta Park|2</v>
      </c>
      <c r="X47" s="16" t="str">
        <f t="shared" si="3"/>
        <v/>
      </c>
      <c r="Y47" s="15">
        <f>IF(OR(I47&lt;&gt;"Ja",J47=""),0,IF(COUNTIFS($O$5:O47,O47,$I$5:I47,"Ja",$J$5:J47,"&lt;&gt;")=1,1,0))</f>
        <v>0</v>
      </c>
      <c r="Z47" s="15">
        <f>IF(OR(I47&lt;&gt;"Ja",J47=""),0,IF(COUNTIFS(O47:$O$546,O47,I47:$I$546,"Ja",J47:$J$546,"&lt;&gt;")=1,1,0))</f>
        <v>0</v>
      </c>
      <c r="AA47" s="15">
        <f t="shared" si="12"/>
        <v>2</v>
      </c>
      <c r="AB47" s="15">
        <f>IF(U47&lt;&gt;1,"",COUNTIF($U$5:U47,1))</f>
        <v>4</v>
      </c>
      <c r="AC47" s="15" t="str">
        <f t="shared" si="4"/>
        <v/>
      </c>
      <c r="AD47" s="15" t="str">
        <f t="shared" si="5"/>
        <v>Vanligt café</v>
      </c>
      <c r="AE47" s="15">
        <f t="shared" si="6"/>
        <v>2.5000000000000071</v>
      </c>
      <c r="AF47" t="str">
        <f>IF(T47="","",IFERROR(MATCH(1,INDEX((MATCHER!$B$5:$B$504=A47)*(MATCHER!$D$5:$D$504=C47)*(MATCHER!$K$5:$K$504="Ja")*(MATCHER!$C$5:$C$504&lt;E47)*(MATCHER!$M$5:$M$504&gt;D47)*(ROW(MATCHER!$A$5:$A$504)-ROW(MATCHER!$A$5)+1&gt;T47),0),0),""))</f>
        <v/>
      </c>
    </row>
    <row r="48" spans="1:32" ht="13">
      <c r="A48" s="42">
        <v>46291</v>
      </c>
      <c r="B48" s="43" t="s">
        <v>85</v>
      </c>
      <c r="C48" s="43" t="s">
        <v>94</v>
      </c>
      <c r="D48" s="44">
        <v>0.52083333333333304</v>
      </c>
      <c r="E48" s="44">
        <v>0.54166666666666696</v>
      </c>
      <c r="F48" s="45" t="str">
        <f>IF(R48="","",HOUR(INDEX(MATCHER!$C$5:$C$504,R48))&amp;":"&amp;IF(MINUTE(INDEX(MATCHER!$C$5:$C$504,R48))&lt;10,"0","")&amp;MINUTE(INDEX(MATCHER!$C$5:$C$504,R48))&amp;" "&amp;INDEX(MATCHER!$H$5:$H$504,R48)&amp;" – "&amp;INDEX(MATCHER!$I$5:$I$504,R48))&amp;IF(S48="",""," | "&amp;HOUR(INDEX(MATCHER!$C$5:$C$504,S48))&amp;":"&amp;IF(MINUTE(INDEX(MATCHER!$C$5:$C$504,S48))&lt;10,"0","")&amp;MINUTE(INDEX(MATCHER!$C$5:$C$504,S48))&amp;" "&amp;INDEX(MATCHER!$H$5:$H$504,S48)&amp;" – "&amp;INDEX(MATCHER!$I$5:$I$504,S48))&amp;IF(T48="",""," | "&amp;HOUR(INDEX(MATCHER!$C$5:$C$504,T48))&amp;":"&amp;IF(MINUTE(INDEX(MATCHER!$C$5:$C$504,T48))&lt;10,"0","")&amp;MINUTE(INDEX(MATCHER!$C$5:$C$504,T48))&amp;" "&amp;INDEX(MATCHER!$H$5:$H$504,T48)&amp;" – "&amp;INDEX(MATCHER!$I$5:$I$504,T48))&amp;IF(AF48="",""," | "&amp;HOUR(INDEX(MATCHER!$C$5:$C$504,AF48))&amp;":"&amp;IF(MINUTE(INDEX(MATCHER!$C$5:$C$504,AF48))&lt;10,"0","")&amp;MINUTE(INDEX(MATCHER!$C$5:$C$504,AF48))&amp;" "&amp;INDEX(MATCHER!$H$5:$H$504,AF48)&amp;" – "&amp;INDEX(MATCHER!$I$5:$I$504,AF48))</f>
        <v>12:20 AIK – IK Bolton 1</v>
      </c>
      <c r="G48" s="45" t="str">
        <f>MID(IF(R48="","",IF(OR(INDEX(MATCHER!$J$5:$J$504,R48)=""),""," / "&amp;INDEX(MATCHER!$J$5:$J$504,R48)))&amp;IF(S48="","",IF(OR(INDEX(MATCHER!$J$5:$J$504,S48)="",INDEX(MATCHER!$J$5:$J$504,S48)=IFERROR(INDEX(MATCHER!$J$5:$J$504,R48),"")),""," / "&amp;INDEX(MATCHER!$J$5:$J$504,S48)))&amp;IF(T48="","",IF(OR(INDEX(MATCHER!$J$5:$J$504,T48)="",INDEX(MATCHER!$J$5:$J$504,T48)=IFERROR(INDEX(MATCHER!$J$5:$J$504,R48),""),INDEX(MATCHER!$J$5:$J$504,T48)=IFERROR(INDEX(MATCHER!$J$5:$J$504,S48),"")),""," / "&amp;INDEX(MATCHER!$J$5:$J$504,T48)))&amp;IF(AF48="","",IF(OR(INDEX(MATCHER!$J$5:$J$504,AF48)="",INDEX(MATCHER!$J$5:$J$504,AF48)=IFERROR(INDEX(MATCHER!$J$5:$J$504,R48),""),INDEX(MATCHER!$J$5:$J$504,AF48)=IFERROR(INDEX(MATCHER!$J$5:$J$504,S48),""),INDEX(MATCHER!$J$5:$J$504,AF48)=IFERROR(INDEX(MATCHER!$J$5:$J$504,T48),"")),""," / "&amp;INDEX(MATCHER!$J$5:$J$504,AF48))),4,1000)</f>
        <v>F13</v>
      </c>
      <c r="H48" s="45" t="str">
        <f t="shared" si="11"/>
        <v>F11, F13</v>
      </c>
      <c r="I48" s="46" t="s">
        <v>90</v>
      </c>
      <c r="J48" s="47" t="s">
        <v>97</v>
      </c>
      <c r="K48" s="48"/>
      <c r="L48" s="49"/>
      <c r="M48" s="50" t="str">
        <f>IF(O48&lt;&gt;O47,MAX(1,MIN(AA48,ROUNDUP(SUMPRODUCT(($O$5:$O$546=O48)*($I$5:$I$546="Ja")*($E$5:$E$546-$D$5:$D$546))*24/REGLER!$B$8,0))),"")</f>
        <v/>
      </c>
      <c r="N48" s="50" t="str">
        <f t="shared" si="0"/>
        <v>Klar</v>
      </c>
      <c r="O48" s="15" t="s">
        <v>96</v>
      </c>
      <c r="P48" s="16">
        <v>0.33333333333333298</v>
      </c>
      <c r="Q48" s="16">
        <v>0.60416666666666696</v>
      </c>
      <c r="R48" s="15">
        <f>IFERROR(MATCH(1,INDEX((MATCHER!$B$5:$B$504=A48)*(MATCHER!$D$5:$D$504=C48)*(MATCHER!$K$5:$K$504="Ja")*(MATCHER!$C$5:$C$504&lt;E48)*(MATCHER!$M$5:$M$504&gt;D48),0),0),"")</f>
        <v>11</v>
      </c>
      <c r="S48" s="15" t="str">
        <f>IF(R48="","",IFERROR(MATCH(1,INDEX((MATCHER!$B$5:$B$504=A48)*(MATCHER!$D$5:$D$504=C48)*(MATCHER!$K$5:$K$504="Ja")*(MATCHER!$C$5:$C$504&lt;E48)*(MATCHER!$M$5:$M$504&gt;D48)*(ROW(MATCHER!$A$5:$A$504)-ROW(MATCHER!$A$5)+1&gt;R48),0),0),""))</f>
        <v/>
      </c>
      <c r="T48" s="15" t="str">
        <f>IF(S48="","",IFERROR(MATCH(1,INDEX((MATCHER!$B$5:$B$504=A48)*(MATCHER!$D$5:$D$504=C48)*(MATCHER!$K$5:$K$504="Ja")*(MATCHER!$C$5:$C$504&lt;E48)*(MATCHER!$M$5:$M$504&gt;D48)*(ROW(MATCHER!$A$5:$A$504)-ROW(MATCHER!$A$5)+1&gt;S48),0),0),""))</f>
        <v/>
      </c>
      <c r="U48" s="15">
        <f t="shared" si="1"/>
        <v>0</v>
      </c>
      <c r="V48" s="15">
        <f>IF(OR(I48&lt;&gt;"Ja",J48=""),"",COUNTIFS($O$5:O48,O48,$U$5:U48,1))</f>
        <v>2</v>
      </c>
      <c r="W48" s="15" t="str">
        <f t="shared" si="2"/>
        <v>2026-09-26 | Råsta Park|2</v>
      </c>
      <c r="X48" s="16" t="str">
        <f t="shared" si="3"/>
        <v/>
      </c>
      <c r="Y48" s="15">
        <f>IF(OR(I48&lt;&gt;"Ja",J48=""),0,IF(COUNTIFS($O$5:O48,O48,$I$5:I48,"Ja",$J$5:J48,"&lt;&gt;")=1,1,0))</f>
        <v>0</v>
      </c>
      <c r="Z48" s="15">
        <f>IF(OR(I48&lt;&gt;"Ja",J48=""),0,IF(COUNTIFS(O48:$O$546,O48,I48:$I$546,"Ja",J48:$J$546,"&lt;&gt;")=1,1,0))</f>
        <v>0</v>
      </c>
      <c r="AA48" s="15">
        <f t="shared" si="12"/>
        <v>2</v>
      </c>
      <c r="AB48" s="15" t="str">
        <f>IF(U48&lt;&gt;1,"",COUNTIF($U$5:U48,1))</f>
        <v/>
      </c>
      <c r="AC48" s="15" t="str">
        <f t="shared" si="4"/>
        <v/>
      </c>
      <c r="AD48" s="15" t="str">
        <f t="shared" si="5"/>
        <v>Vanligt café</v>
      </c>
      <c r="AE48" s="15" t="str">
        <f t="shared" si="6"/>
        <v/>
      </c>
      <c r="AF48" t="str">
        <f>IF(T48="","",IFERROR(MATCH(1,INDEX((MATCHER!$B$5:$B$504=A48)*(MATCHER!$D$5:$D$504=C48)*(MATCHER!$K$5:$K$504="Ja")*(MATCHER!$C$5:$C$504&lt;E48)*(MATCHER!$M$5:$M$504&gt;D48)*(ROW(MATCHER!$A$5:$A$504)-ROW(MATCHER!$A$5)+1&gt;T48),0),0),""))</f>
        <v/>
      </c>
    </row>
    <row r="49" spans="1:32" ht="13">
      <c r="A49" s="42">
        <v>46291</v>
      </c>
      <c r="B49" s="43" t="s">
        <v>85</v>
      </c>
      <c r="C49" s="43" t="s">
        <v>94</v>
      </c>
      <c r="D49" s="44">
        <v>0.54166666666666696</v>
      </c>
      <c r="E49" s="44">
        <v>0.5625</v>
      </c>
      <c r="F49" s="45" t="str">
        <f>IF(R49="","",HOUR(INDEX(MATCHER!$C$5:$C$504,R49))&amp;":"&amp;IF(MINUTE(INDEX(MATCHER!$C$5:$C$504,R49))&lt;10,"0","")&amp;MINUTE(INDEX(MATCHER!$C$5:$C$504,R49))&amp;" "&amp;INDEX(MATCHER!$H$5:$H$504,R49)&amp;" – "&amp;INDEX(MATCHER!$I$5:$I$504,R49))&amp;IF(S49="",""," | "&amp;HOUR(INDEX(MATCHER!$C$5:$C$504,S49))&amp;":"&amp;IF(MINUTE(INDEX(MATCHER!$C$5:$C$504,S49))&lt;10,"0","")&amp;MINUTE(INDEX(MATCHER!$C$5:$C$504,S49))&amp;" "&amp;INDEX(MATCHER!$H$5:$H$504,S49)&amp;" – "&amp;INDEX(MATCHER!$I$5:$I$504,S49))&amp;IF(T49="",""," | "&amp;HOUR(INDEX(MATCHER!$C$5:$C$504,T49))&amp;":"&amp;IF(MINUTE(INDEX(MATCHER!$C$5:$C$504,T49))&lt;10,"0","")&amp;MINUTE(INDEX(MATCHER!$C$5:$C$504,T49))&amp;" "&amp;INDEX(MATCHER!$H$5:$H$504,T49)&amp;" – "&amp;INDEX(MATCHER!$I$5:$I$504,T49))&amp;IF(AF49="",""," | "&amp;HOUR(INDEX(MATCHER!$C$5:$C$504,AF49))&amp;":"&amp;IF(MINUTE(INDEX(MATCHER!$C$5:$C$504,AF49))&lt;10,"0","")&amp;MINUTE(INDEX(MATCHER!$C$5:$C$504,AF49))&amp;" "&amp;INDEX(MATCHER!$H$5:$H$504,AF49)&amp;" – "&amp;INDEX(MATCHER!$I$5:$I$504,AF49))</f>
        <v>12:20 AIK – IK Bolton 1</v>
      </c>
      <c r="G49" s="45" t="str">
        <f>MID(IF(R49="","",IF(OR(INDEX(MATCHER!$J$5:$J$504,R49)=""),""," / "&amp;INDEX(MATCHER!$J$5:$J$504,R49)))&amp;IF(S49="","",IF(OR(INDEX(MATCHER!$J$5:$J$504,S49)="",INDEX(MATCHER!$J$5:$J$504,S49)=IFERROR(INDEX(MATCHER!$J$5:$J$504,R49),"")),""," / "&amp;INDEX(MATCHER!$J$5:$J$504,S49)))&amp;IF(T49="","",IF(OR(INDEX(MATCHER!$J$5:$J$504,T49)="",INDEX(MATCHER!$J$5:$J$504,T49)=IFERROR(INDEX(MATCHER!$J$5:$J$504,R49),""),INDEX(MATCHER!$J$5:$J$504,T49)=IFERROR(INDEX(MATCHER!$J$5:$J$504,S49),"")),""," / "&amp;INDEX(MATCHER!$J$5:$J$504,T49)))&amp;IF(AF49="","",IF(OR(INDEX(MATCHER!$J$5:$J$504,AF49)="",INDEX(MATCHER!$J$5:$J$504,AF49)=IFERROR(INDEX(MATCHER!$J$5:$J$504,R49),""),INDEX(MATCHER!$J$5:$J$504,AF49)=IFERROR(INDEX(MATCHER!$J$5:$J$504,S49),""),INDEX(MATCHER!$J$5:$J$504,AF49)=IFERROR(INDEX(MATCHER!$J$5:$J$504,T49),"")),""," / "&amp;INDEX(MATCHER!$J$5:$J$504,AF49))),4,1000)</f>
        <v>F13</v>
      </c>
      <c r="H49" s="45" t="str">
        <f t="shared" si="11"/>
        <v>F11, F13</v>
      </c>
      <c r="I49" s="46" t="s">
        <v>90</v>
      </c>
      <c r="J49" s="47" t="s">
        <v>97</v>
      </c>
      <c r="K49" s="48"/>
      <c r="L49" s="49"/>
      <c r="M49" s="50" t="str">
        <f>IF(O49&lt;&gt;O48,MAX(1,MIN(AA49,ROUNDUP(SUMPRODUCT(($O$5:$O$546=O49)*($I$5:$I$546="Ja")*($E$5:$E$546-$D$5:$D$546))*24/REGLER!$B$8,0))),"")</f>
        <v/>
      </c>
      <c r="N49" s="50" t="str">
        <f t="shared" si="0"/>
        <v>Klar</v>
      </c>
      <c r="O49" s="15" t="s">
        <v>96</v>
      </c>
      <c r="P49" s="16">
        <v>0.33333333333333298</v>
      </c>
      <c r="Q49" s="16">
        <v>0.60416666666666696</v>
      </c>
      <c r="R49" s="15">
        <f>IFERROR(MATCH(1,INDEX((MATCHER!$B$5:$B$504=A49)*(MATCHER!$D$5:$D$504=C49)*(MATCHER!$K$5:$K$504="Ja")*(MATCHER!$C$5:$C$504&lt;E49)*(MATCHER!$M$5:$M$504&gt;D49),0),0),"")</f>
        <v>11</v>
      </c>
      <c r="S49" s="15" t="str">
        <f>IF(R49="","",IFERROR(MATCH(1,INDEX((MATCHER!$B$5:$B$504=A49)*(MATCHER!$D$5:$D$504=C49)*(MATCHER!$K$5:$K$504="Ja")*(MATCHER!$C$5:$C$504&lt;E49)*(MATCHER!$M$5:$M$504&gt;D49)*(ROW(MATCHER!$A$5:$A$504)-ROW(MATCHER!$A$5)+1&gt;R49),0),0),""))</f>
        <v/>
      </c>
      <c r="T49" s="15" t="str">
        <f>IF(S49="","",IFERROR(MATCH(1,INDEX((MATCHER!$B$5:$B$504=A49)*(MATCHER!$D$5:$D$504=C49)*(MATCHER!$K$5:$K$504="Ja")*(MATCHER!$C$5:$C$504&lt;E49)*(MATCHER!$M$5:$M$504&gt;D49)*(ROW(MATCHER!$A$5:$A$504)-ROW(MATCHER!$A$5)+1&gt;S49),0),0),""))</f>
        <v/>
      </c>
      <c r="U49" s="15">
        <f t="shared" si="1"/>
        <v>0</v>
      </c>
      <c r="V49" s="15">
        <f>IF(OR(I49&lt;&gt;"Ja",J49=""),"",COUNTIFS($O$5:O49,O49,$U$5:U49,1))</f>
        <v>2</v>
      </c>
      <c r="W49" s="15" t="str">
        <f t="shared" si="2"/>
        <v>2026-09-26 | Råsta Park|2</v>
      </c>
      <c r="X49" s="16" t="str">
        <f t="shared" si="3"/>
        <v/>
      </c>
      <c r="Y49" s="15">
        <f>IF(OR(I49&lt;&gt;"Ja",J49=""),0,IF(COUNTIFS($O$5:O49,O49,$I$5:I49,"Ja",$J$5:J49,"&lt;&gt;")=1,1,0))</f>
        <v>0</v>
      </c>
      <c r="Z49" s="15">
        <f>IF(OR(I49&lt;&gt;"Ja",J49=""),0,IF(COUNTIFS(O49:$O$546,O49,I49:$I$546,"Ja",J49:$J$546,"&lt;&gt;")=1,1,0))</f>
        <v>0</v>
      </c>
      <c r="AA49" s="15">
        <f t="shared" si="12"/>
        <v>2</v>
      </c>
      <c r="AB49" s="15" t="str">
        <f>IF(U49&lt;&gt;1,"",COUNTIF($U$5:U49,1))</f>
        <v/>
      </c>
      <c r="AC49" s="15" t="str">
        <f t="shared" si="4"/>
        <v/>
      </c>
      <c r="AD49" s="15" t="str">
        <f t="shared" si="5"/>
        <v>Vanligt café</v>
      </c>
      <c r="AE49" s="15" t="str">
        <f t="shared" si="6"/>
        <v/>
      </c>
      <c r="AF49" t="str">
        <f>IF(T49="","",IFERROR(MATCH(1,INDEX((MATCHER!$B$5:$B$504=A49)*(MATCHER!$D$5:$D$504=C49)*(MATCHER!$K$5:$K$504="Ja")*(MATCHER!$C$5:$C$504&lt;E49)*(MATCHER!$M$5:$M$504&gt;D49)*(ROW(MATCHER!$A$5:$A$504)-ROW(MATCHER!$A$5)+1&gt;T49),0),0),""))</f>
        <v/>
      </c>
    </row>
    <row r="50" spans="1:32" ht="13">
      <c r="A50" s="42">
        <v>46291</v>
      </c>
      <c r="B50" s="43" t="s">
        <v>85</v>
      </c>
      <c r="C50" s="43" t="s">
        <v>94</v>
      </c>
      <c r="D50" s="44">
        <v>0.5625</v>
      </c>
      <c r="E50" s="44">
        <v>0.58333333333333304</v>
      </c>
      <c r="F50" s="45" t="str">
        <f>IF(R50="","",HOUR(INDEX(MATCHER!$C$5:$C$504,R50))&amp;":"&amp;IF(MINUTE(INDEX(MATCHER!$C$5:$C$504,R50))&lt;10,"0","")&amp;MINUTE(INDEX(MATCHER!$C$5:$C$504,R50))&amp;" "&amp;INDEX(MATCHER!$H$5:$H$504,R50)&amp;" – "&amp;INDEX(MATCHER!$I$5:$I$504,R50))&amp;IF(S50="",""," | "&amp;HOUR(INDEX(MATCHER!$C$5:$C$504,S50))&amp;":"&amp;IF(MINUTE(INDEX(MATCHER!$C$5:$C$504,S50))&lt;10,"0","")&amp;MINUTE(INDEX(MATCHER!$C$5:$C$504,S50))&amp;" "&amp;INDEX(MATCHER!$H$5:$H$504,S50)&amp;" – "&amp;INDEX(MATCHER!$I$5:$I$504,S50))&amp;IF(T50="",""," | "&amp;HOUR(INDEX(MATCHER!$C$5:$C$504,T50))&amp;":"&amp;IF(MINUTE(INDEX(MATCHER!$C$5:$C$504,T50))&lt;10,"0","")&amp;MINUTE(INDEX(MATCHER!$C$5:$C$504,T50))&amp;" "&amp;INDEX(MATCHER!$H$5:$H$504,T50)&amp;" – "&amp;INDEX(MATCHER!$I$5:$I$504,T50))&amp;IF(AF50="",""," | "&amp;HOUR(INDEX(MATCHER!$C$5:$C$504,AF50))&amp;":"&amp;IF(MINUTE(INDEX(MATCHER!$C$5:$C$504,AF50))&lt;10,"0","")&amp;MINUTE(INDEX(MATCHER!$C$5:$C$504,AF50))&amp;" "&amp;INDEX(MATCHER!$H$5:$H$504,AF50)&amp;" – "&amp;INDEX(MATCHER!$I$5:$I$504,AF50))</f>
        <v>13:30 AIK 2 – Uppsala HK 1</v>
      </c>
      <c r="G50" s="45" t="str">
        <f>MID(IF(R50="","",IF(OR(INDEX(MATCHER!$J$5:$J$504,R50)=""),""," / "&amp;INDEX(MATCHER!$J$5:$J$504,R50)))&amp;IF(S50="","",IF(OR(INDEX(MATCHER!$J$5:$J$504,S50)="",INDEX(MATCHER!$J$5:$J$504,S50)=IFERROR(INDEX(MATCHER!$J$5:$J$504,R50),"")),""," / "&amp;INDEX(MATCHER!$J$5:$J$504,S50)))&amp;IF(T50="","",IF(OR(INDEX(MATCHER!$J$5:$J$504,T50)="",INDEX(MATCHER!$J$5:$J$504,T50)=IFERROR(INDEX(MATCHER!$J$5:$J$504,R50),""),INDEX(MATCHER!$J$5:$J$504,T50)=IFERROR(INDEX(MATCHER!$J$5:$J$504,S50),"")),""," / "&amp;INDEX(MATCHER!$J$5:$J$504,T50)))&amp;IF(AF50="","",IF(OR(INDEX(MATCHER!$J$5:$J$504,AF50)="",INDEX(MATCHER!$J$5:$J$504,AF50)=IFERROR(INDEX(MATCHER!$J$5:$J$504,R50),""),INDEX(MATCHER!$J$5:$J$504,AF50)=IFERROR(INDEX(MATCHER!$J$5:$J$504,S50),""),INDEX(MATCHER!$J$5:$J$504,AF50)=IFERROR(INDEX(MATCHER!$J$5:$J$504,T50),"")),""," / "&amp;INDEX(MATCHER!$J$5:$J$504,AF50))),4,1000)</f>
        <v>F13 2</v>
      </c>
      <c r="H50" s="45" t="str">
        <f t="shared" si="11"/>
        <v>F11, F13</v>
      </c>
      <c r="I50" s="46" t="s">
        <v>90</v>
      </c>
      <c r="J50" s="47" t="s">
        <v>97</v>
      </c>
      <c r="K50" s="48"/>
      <c r="L50" s="49"/>
      <c r="M50" s="50" t="str">
        <f>IF(O50&lt;&gt;O49,MAX(1,MIN(AA50,ROUNDUP(SUMPRODUCT(($O$5:$O$546=O50)*($I$5:$I$546="Ja")*($E$5:$E$546-$D$5:$D$546))*24/REGLER!$B$8,0))),"")</f>
        <v/>
      </c>
      <c r="N50" s="50" t="str">
        <f t="shared" si="0"/>
        <v>Klar</v>
      </c>
      <c r="O50" s="15" t="s">
        <v>96</v>
      </c>
      <c r="P50" s="16">
        <v>0.33333333333333298</v>
      </c>
      <c r="Q50" s="16">
        <v>0.60416666666666696</v>
      </c>
      <c r="R50" s="15">
        <f>IFERROR(MATCH(1,INDEX((MATCHER!$B$5:$B$504=A50)*(MATCHER!$D$5:$D$504=C50)*(MATCHER!$K$5:$K$504="Ja")*(MATCHER!$C$5:$C$504&lt;E50)*(MATCHER!$M$5:$M$504&gt;D50),0),0),"")</f>
        <v>12</v>
      </c>
      <c r="S50" s="15" t="str">
        <f>IF(R50="","",IFERROR(MATCH(1,INDEX((MATCHER!$B$5:$B$504=A50)*(MATCHER!$D$5:$D$504=C50)*(MATCHER!$K$5:$K$504="Ja")*(MATCHER!$C$5:$C$504&lt;E50)*(MATCHER!$M$5:$M$504&gt;D50)*(ROW(MATCHER!$A$5:$A$504)-ROW(MATCHER!$A$5)+1&gt;R50),0),0),""))</f>
        <v/>
      </c>
      <c r="T50" s="15" t="str">
        <f>IF(S50="","",IFERROR(MATCH(1,INDEX((MATCHER!$B$5:$B$504=A50)*(MATCHER!$D$5:$D$504=C50)*(MATCHER!$K$5:$K$504="Ja")*(MATCHER!$C$5:$C$504&lt;E50)*(MATCHER!$M$5:$M$504&gt;D50)*(ROW(MATCHER!$A$5:$A$504)-ROW(MATCHER!$A$5)+1&gt;S50),0),0),""))</f>
        <v/>
      </c>
      <c r="U50" s="15">
        <f t="shared" si="1"/>
        <v>0</v>
      </c>
      <c r="V50" s="15">
        <f>IF(OR(I50&lt;&gt;"Ja",J50=""),"",COUNTIFS($O$5:O50,O50,$U$5:U50,1))</f>
        <v>2</v>
      </c>
      <c r="W50" s="15" t="str">
        <f t="shared" si="2"/>
        <v>2026-09-26 | Råsta Park|2</v>
      </c>
      <c r="X50" s="16" t="str">
        <f t="shared" si="3"/>
        <v/>
      </c>
      <c r="Y50" s="15">
        <f>IF(OR(I50&lt;&gt;"Ja",J50=""),0,IF(COUNTIFS($O$5:O50,O50,$I$5:I50,"Ja",$J$5:J50,"&lt;&gt;")=1,1,0))</f>
        <v>0</v>
      </c>
      <c r="Z50" s="15">
        <f>IF(OR(I50&lt;&gt;"Ja",J50=""),0,IF(COUNTIFS(O50:$O$546,O50,I50:$I$546,"Ja",J50:$J$546,"&lt;&gt;")=1,1,0))</f>
        <v>0</v>
      </c>
      <c r="AA50" s="15">
        <f t="shared" si="12"/>
        <v>2</v>
      </c>
      <c r="AB50" s="15" t="str">
        <f>IF(U50&lt;&gt;1,"",COUNTIF($U$5:U50,1))</f>
        <v/>
      </c>
      <c r="AC50" s="15" t="str">
        <f t="shared" si="4"/>
        <v/>
      </c>
      <c r="AD50" s="15" t="str">
        <f t="shared" si="5"/>
        <v>Vanligt café</v>
      </c>
      <c r="AE50" s="15" t="str">
        <f t="shared" si="6"/>
        <v/>
      </c>
      <c r="AF50" t="str">
        <f>IF(T50="","",IFERROR(MATCH(1,INDEX((MATCHER!$B$5:$B$504=A50)*(MATCHER!$D$5:$D$504=C50)*(MATCHER!$K$5:$K$504="Ja")*(MATCHER!$C$5:$C$504&lt;E50)*(MATCHER!$M$5:$M$504&gt;D50)*(ROW(MATCHER!$A$5:$A$504)-ROW(MATCHER!$A$5)+1&gt;T50),0),0),""))</f>
        <v/>
      </c>
    </row>
    <row r="51" spans="1:32" ht="13.5" thickBot="1">
      <c r="A51" s="52">
        <v>46291</v>
      </c>
      <c r="B51" s="53" t="s">
        <v>85</v>
      </c>
      <c r="C51" s="53" t="s">
        <v>94</v>
      </c>
      <c r="D51" s="54">
        <v>0.58333333333333304</v>
      </c>
      <c r="E51" s="54">
        <v>0.60416666666666696</v>
      </c>
      <c r="F51" s="55" t="str">
        <f>IF(R51="","",HOUR(INDEX(MATCHER!$C$5:$C$504,R51))&amp;":"&amp;IF(MINUTE(INDEX(MATCHER!$C$5:$C$504,R51))&lt;10,"0","")&amp;MINUTE(INDEX(MATCHER!$C$5:$C$504,R51))&amp;" "&amp;INDEX(MATCHER!$H$5:$H$504,R51)&amp;" – "&amp;INDEX(MATCHER!$I$5:$I$504,R51))&amp;IF(S51="",""," | "&amp;HOUR(INDEX(MATCHER!$C$5:$C$504,S51))&amp;":"&amp;IF(MINUTE(INDEX(MATCHER!$C$5:$C$504,S51))&lt;10,"0","")&amp;MINUTE(INDEX(MATCHER!$C$5:$C$504,S51))&amp;" "&amp;INDEX(MATCHER!$H$5:$H$504,S51)&amp;" – "&amp;INDEX(MATCHER!$I$5:$I$504,S51))&amp;IF(T51="",""," | "&amp;HOUR(INDEX(MATCHER!$C$5:$C$504,T51))&amp;":"&amp;IF(MINUTE(INDEX(MATCHER!$C$5:$C$504,T51))&lt;10,"0","")&amp;MINUTE(INDEX(MATCHER!$C$5:$C$504,T51))&amp;" "&amp;INDEX(MATCHER!$H$5:$H$504,T51)&amp;" – "&amp;INDEX(MATCHER!$I$5:$I$504,T51))&amp;IF(AF51="",""," | "&amp;HOUR(INDEX(MATCHER!$C$5:$C$504,AF51))&amp;":"&amp;IF(MINUTE(INDEX(MATCHER!$C$5:$C$504,AF51))&lt;10,"0","")&amp;MINUTE(INDEX(MATCHER!$C$5:$C$504,AF51))&amp;" "&amp;INDEX(MATCHER!$H$5:$H$504,AF51)&amp;" – "&amp;INDEX(MATCHER!$I$5:$I$504,AF51))</f>
        <v>13:30 AIK 2 – Uppsala HK 1</v>
      </c>
      <c r="G51" s="55" t="str">
        <f>MID(IF(R51="","",IF(OR(INDEX(MATCHER!$J$5:$J$504,R51)=""),""," / "&amp;INDEX(MATCHER!$J$5:$J$504,R51)))&amp;IF(S51="","",IF(OR(INDEX(MATCHER!$J$5:$J$504,S51)="",INDEX(MATCHER!$J$5:$J$504,S51)=IFERROR(INDEX(MATCHER!$J$5:$J$504,R51),"")),""," / "&amp;INDEX(MATCHER!$J$5:$J$504,S51)))&amp;IF(T51="","",IF(OR(INDEX(MATCHER!$J$5:$J$504,T51)="",INDEX(MATCHER!$J$5:$J$504,T51)=IFERROR(INDEX(MATCHER!$J$5:$J$504,R51),""),INDEX(MATCHER!$J$5:$J$504,T51)=IFERROR(INDEX(MATCHER!$J$5:$J$504,S51),"")),""," / "&amp;INDEX(MATCHER!$J$5:$J$504,T51)))&amp;IF(AF51="","",IF(OR(INDEX(MATCHER!$J$5:$J$504,AF51)="",INDEX(MATCHER!$J$5:$J$504,AF51)=IFERROR(INDEX(MATCHER!$J$5:$J$504,R51),""),INDEX(MATCHER!$J$5:$J$504,AF51)=IFERROR(INDEX(MATCHER!$J$5:$J$504,S51),""),INDEX(MATCHER!$J$5:$J$504,AF51)=IFERROR(INDEX(MATCHER!$J$5:$J$504,T51),"")),""," / "&amp;INDEX(MATCHER!$J$5:$J$504,AF51))),4,1000)</f>
        <v>F13 2</v>
      </c>
      <c r="H51" s="55" t="str">
        <f t="shared" si="11"/>
        <v>F11, F13</v>
      </c>
      <c r="I51" s="56" t="s">
        <v>90</v>
      </c>
      <c r="J51" s="57" t="s">
        <v>97</v>
      </c>
      <c r="K51" s="58"/>
      <c r="L51" s="59"/>
      <c r="M51" s="60" t="str">
        <f>IF(O51&lt;&gt;O50,MAX(1,MIN(AA51,ROUNDUP(SUMPRODUCT(($O$5:$O$546=O51)*($I$5:$I$546="Ja")*($E$5:$E$546-$D$5:$D$546))*24/REGLER!$B$8,0))),"")</f>
        <v/>
      </c>
      <c r="N51" s="60" t="str">
        <f t="shared" si="0"/>
        <v>Klar</v>
      </c>
      <c r="O51" s="15" t="s">
        <v>96</v>
      </c>
      <c r="P51" s="16">
        <v>0.33333333333333298</v>
      </c>
      <c r="Q51" s="16">
        <v>0.60416666666666696</v>
      </c>
      <c r="R51" s="15">
        <f>IFERROR(MATCH(1,INDEX((MATCHER!$B$5:$B$504=A51)*(MATCHER!$D$5:$D$504=C51)*(MATCHER!$K$5:$K$504="Ja")*(MATCHER!$C$5:$C$504&lt;E51)*(MATCHER!$M$5:$M$504&gt;D51),0),0),"")</f>
        <v>12</v>
      </c>
      <c r="S51" s="15" t="str">
        <f>IF(R51="","",IFERROR(MATCH(1,INDEX((MATCHER!$B$5:$B$504=A51)*(MATCHER!$D$5:$D$504=C51)*(MATCHER!$K$5:$K$504="Ja")*(MATCHER!$C$5:$C$504&lt;E51)*(MATCHER!$M$5:$M$504&gt;D51)*(ROW(MATCHER!$A$5:$A$504)-ROW(MATCHER!$A$5)+1&gt;R51),0),0),""))</f>
        <v/>
      </c>
      <c r="T51" s="15" t="str">
        <f>IF(S51="","",IFERROR(MATCH(1,INDEX((MATCHER!$B$5:$B$504=A51)*(MATCHER!$D$5:$D$504=C51)*(MATCHER!$K$5:$K$504="Ja")*(MATCHER!$C$5:$C$504&lt;E51)*(MATCHER!$M$5:$M$504&gt;D51)*(ROW(MATCHER!$A$5:$A$504)-ROW(MATCHER!$A$5)+1&gt;S51),0),0),""))</f>
        <v/>
      </c>
      <c r="U51" s="15">
        <f t="shared" si="1"/>
        <v>0</v>
      </c>
      <c r="V51" s="15">
        <f>IF(OR(I51&lt;&gt;"Ja",J51=""),"",COUNTIFS($O$5:O51,O51,$U$5:U51,1))</f>
        <v>2</v>
      </c>
      <c r="W51" s="15" t="str">
        <f t="shared" si="2"/>
        <v>2026-09-26 | Råsta Park|2</v>
      </c>
      <c r="X51" s="16">
        <f t="shared" si="3"/>
        <v>0.60416666666666696</v>
      </c>
      <c r="Y51" s="15">
        <f>IF(OR(I51&lt;&gt;"Ja",J51=""),0,IF(COUNTIFS($O$5:O51,O51,$I$5:I51,"Ja",$J$5:J51,"&lt;&gt;")=1,1,0))</f>
        <v>0</v>
      </c>
      <c r="Z51" s="15">
        <f>IF(OR(I51&lt;&gt;"Ja",J51=""),0,IF(COUNTIFS(O51:$O$546,O51,I51:$I$546,"Ja",J51:$J$546,"&lt;&gt;")=1,1,0))</f>
        <v>1</v>
      </c>
      <c r="AA51" s="15">
        <f t="shared" si="12"/>
        <v>2</v>
      </c>
      <c r="AB51" s="15" t="str">
        <f>IF(U51&lt;&gt;1,"",COUNTIF($U$5:U51,1))</f>
        <v/>
      </c>
      <c r="AC51" s="15" t="str">
        <f t="shared" si="4"/>
        <v>2026-09-26 | Råsta Park|2</v>
      </c>
      <c r="AD51" s="15" t="str">
        <f t="shared" si="5"/>
        <v>Vanligt café</v>
      </c>
      <c r="AE51" s="15" t="str">
        <f t="shared" si="6"/>
        <v/>
      </c>
      <c r="AF51" t="str">
        <f>IF(T51="","",IFERROR(MATCH(1,INDEX((MATCHER!$B$5:$B$504=A51)*(MATCHER!$D$5:$D$504=C51)*(MATCHER!$K$5:$K$504="Ja")*(MATCHER!$C$5:$C$504&lt;E51)*(MATCHER!$M$5:$M$504&gt;D51)*(ROW(MATCHER!$A$5:$A$504)-ROW(MATCHER!$A$5)+1&gt;T51),0),0),""))</f>
        <v/>
      </c>
    </row>
    <row r="52" spans="1:32" ht="13">
      <c r="A52" s="61">
        <v>46298</v>
      </c>
      <c r="B52" s="62" t="s">
        <v>85</v>
      </c>
      <c r="C52" s="62" t="s">
        <v>94</v>
      </c>
      <c r="D52" s="63">
        <v>0.53125</v>
      </c>
      <c r="E52" s="63">
        <v>0.54166666666666696</v>
      </c>
      <c r="F52" s="64" t="str">
        <f>IF(R52="","",HOUR(INDEX(MATCHER!$C$5:$C$504,R52))&amp;":"&amp;IF(MINUTE(INDEX(MATCHER!$C$5:$C$504,R52))&lt;10,"0","")&amp;MINUTE(INDEX(MATCHER!$C$5:$C$504,R52))&amp;" "&amp;INDEX(MATCHER!$H$5:$H$504,R52)&amp;" – "&amp;INDEX(MATCHER!$I$5:$I$504,R52))&amp;IF(S52="",""," | "&amp;HOUR(INDEX(MATCHER!$C$5:$C$504,S52))&amp;":"&amp;IF(MINUTE(INDEX(MATCHER!$C$5:$C$504,S52))&lt;10,"0","")&amp;MINUTE(INDEX(MATCHER!$C$5:$C$504,S52))&amp;" "&amp;INDEX(MATCHER!$H$5:$H$504,S52)&amp;" – "&amp;INDEX(MATCHER!$I$5:$I$504,S52))&amp;IF(T52="",""," | "&amp;HOUR(INDEX(MATCHER!$C$5:$C$504,T52))&amp;":"&amp;IF(MINUTE(INDEX(MATCHER!$C$5:$C$504,T52))&lt;10,"0","")&amp;MINUTE(INDEX(MATCHER!$C$5:$C$504,T52))&amp;" "&amp;INDEX(MATCHER!$H$5:$H$504,T52)&amp;" – "&amp;INDEX(MATCHER!$I$5:$I$504,T52))&amp;IF(AF52="",""," | "&amp;HOUR(INDEX(MATCHER!$C$5:$C$504,AF52))&amp;":"&amp;IF(MINUTE(INDEX(MATCHER!$C$5:$C$504,AF52))&lt;10,"0","")&amp;MINUTE(INDEX(MATCHER!$C$5:$C$504,AF52))&amp;" "&amp;INDEX(MATCHER!$H$5:$H$504,AF52)&amp;" – "&amp;INDEX(MATCHER!$I$5:$I$504,AF52))</f>
        <v/>
      </c>
      <c r="G52" s="64" t="str">
        <f>MID(IF(R52="","",IF(OR(INDEX(MATCHER!$J$5:$J$504,R52)=""),""," / "&amp;INDEX(MATCHER!$J$5:$J$504,R52)))&amp;IF(S52="","",IF(OR(INDEX(MATCHER!$J$5:$J$504,S52)="",INDEX(MATCHER!$J$5:$J$504,S52)=IFERROR(INDEX(MATCHER!$J$5:$J$504,R52),"")),""," / "&amp;INDEX(MATCHER!$J$5:$J$504,S52)))&amp;IF(T52="","",IF(OR(INDEX(MATCHER!$J$5:$J$504,T52)="",INDEX(MATCHER!$J$5:$J$504,T52)=IFERROR(INDEX(MATCHER!$J$5:$J$504,R52),""),INDEX(MATCHER!$J$5:$J$504,T52)=IFERROR(INDEX(MATCHER!$J$5:$J$504,S52),"")),""," / "&amp;INDEX(MATCHER!$J$5:$J$504,T52)))&amp;IF(AF52="","",IF(OR(INDEX(MATCHER!$J$5:$J$504,AF52)="",INDEX(MATCHER!$J$5:$J$504,AF52)=IFERROR(INDEX(MATCHER!$J$5:$J$504,R52),""),INDEX(MATCHER!$J$5:$J$504,AF52)=IFERROR(INDEX(MATCHER!$J$5:$J$504,S52),""),INDEX(MATCHER!$J$5:$J$504,AF52)=IFERROR(INDEX(MATCHER!$J$5:$J$504,T52),"")),""," / "&amp;INDEX(MATCHER!$J$5:$J$504,AF52))),4,1000)</f>
        <v/>
      </c>
      <c r="H52" s="64" t="str">
        <f>MID(IF(COUNTIFS(MATCHER!$B$5:$B$504,A52,MATCHER!$D$5:$D$504,C52,MATCHER!$J$5:$J$504,REGLER!$I$6,MATCHER!$K$5:$K$504,"Ja")+COUNTIFS(MATCHER!$B$5:$B$504,A52,MATCHER!$D$5:$D$504,C52,MATCHER!$J$5:$J$504,REGLER!$I$6&amp;" 2",MATCHER!$K$5:$K$504,"Ja")&gt;0,", "&amp;REGLER!$I$6,"")&amp;IF(COUNTIFS(MATCHER!$B$5:$B$504,A52,MATCHER!$D$5:$D$504,C52,MATCHER!$J$5:$J$504,REGLER!$I$7,MATCHER!$K$5:$K$504,"Ja")+COUNTIFS(MATCHER!$B$5:$B$504,A52,MATCHER!$D$5:$D$504,C52,MATCHER!$J$5:$J$504,REGLER!$I$7&amp;" 2",MATCHER!$K$5:$K$504,"Ja")&gt;0,", "&amp;REGLER!$I$7,"")&amp;IF(COUNTIFS(MATCHER!$B$5:$B$504,A52,MATCHER!$D$5:$D$504,C52,MATCHER!$J$5:$J$504,REGLER!$I$8,MATCHER!$K$5:$K$504,"Ja")+COUNTIFS(MATCHER!$B$5:$B$504,A52,MATCHER!$D$5:$D$504,C52,MATCHER!$J$5:$J$504,REGLER!$I$8&amp;" 2",MATCHER!$K$5:$K$504,"Ja")&gt;0,", "&amp;REGLER!$I$8,"")&amp;IF(COUNTIFS(MATCHER!$B$5:$B$504,A52,MATCHER!$D$5:$D$504,C52,MATCHER!$J$5:$J$504,REGLER!$I$9,MATCHER!$K$5:$K$504,"Ja")+COUNTIFS(MATCHER!$B$5:$B$504,A52,MATCHER!$D$5:$D$504,C52,MATCHER!$J$5:$J$504,REGLER!$I$9&amp;" 2",MATCHER!$K$5:$K$504,"Ja")&gt;0,", "&amp;REGLER!$I$9,"")&amp;IF(COUNTIFS(MATCHER!$B$5:$B$504,A52,MATCHER!$D$5:$D$504,C52,MATCHER!$J$5:$J$504,REGLER!$I$10,MATCHER!$K$5:$K$504,"Ja")+COUNTIFS(MATCHER!$B$5:$B$504,A52,MATCHER!$D$5:$D$504,C52,MATCHER!$J$5:$J$504,REGLER!$I$10&amp;" 2",MATCHER!$K$5:$K$504,"Ja")&gt;0,", "&amp;REGLER!$I$10,"")&amp;IF(COUNTIFS(MATCHER!$B$5:$B$504,A52,MATCHER!$D$5:$D$504,C52,MATCHER!$J$5:$J$504,REGLER!$I$11,MATCHER!$K$5:$K$504,"Ja")+COUNTIFS(MATCHER!$B$5:$B$504,A52,MATCHER!$D$5:$D$504,C52,MATCHER!$J$5:$J$504,REGLER!$I$11&amp;" 2",MATCHER!$K$5:$K$504,"Ja")&gt;0,", "&amp;REGLER!$I$11,"")&amp;IF(COUNTIFS(MATCHER!$B$5:$B$504,A52,MATCHER!$D$5:$D$504,C52,MATCHER!$J$5:$J$504,REGLER!$I$12,MATCHER!$K$5:$K$504,"Ja")+COUNTIFS(MATCHER!$B$5:$B$504,A52,MATCHER!$D$5:$D$504,C52,MATCHER!$J$5:$J$504,REGLER!$I$12&amp;" 2",MATCHER!$K$5:$K$504,"Ja")&gt;0,", "&amp;REGLER!$I$12,"")&amp;IF(COUNTIFS(MATCHER!$B$5:$B$504,A52,MATCHER!$D$5:$D$504,C52,MATCHER!$J$5:$J$504,REGLER!$I$13,MATCHER!$K$5:$K$504,"Ja")+COUNTIFS(MATCHER!$B$5:$B$504,A52,MATCHER!$D$5:$D$504,C52,MATCHER!$J$5:$J$504,REGLER!$I$13&amp;" 2",MATCHER!$K$5:$K$504,"Ja")&gt;0,", "&amp;REGLER!$I$13,"")&amp;IF(COUNTIFS(MATCHER!$B$5:$B$504,A52,MATCHER!$D$5:$D$504,C52,MATCHER!$J$5:$J$504,REGLER!$I$14,MATCHER!$K$5:$K$504,"Ja")+COUNTIFS(MATCHER!$B$5:$B$504,A52,MATCHER!$D$5:$D$504,C52,MATCHER!$J$5:$J$504,REGLER!$I$14&amp;" 2",MATCHER!$K$5:$K$504,"Ja")&gt;0,", "&amp;REGLER!$I$14,"")&amp;IF(COUNTIFS(MATCHER!$B$5:$B$504,A52,MATCHER!$D$5:$D$504,C52,MATCHER!$J$5:$J$504,REGLER!$I$15,MATCHER!$K$5:$K$504,"Ja")+COUNTIFS(MATCHER!$B$5:$B$504,A52,MATCHER!$D$5:$D$504,C52,MATCHER!$J$5:$J$504,REGLER!$I$15&amp;" 2",MATCHER!$K$5:$K$504,"Ja")&gt;0,", "&amp;REGLER!$I$15,"")&amp;IF(COUNTIFS(MATCHER!$B$5:$B$504,A52,MATCHER!$D$5:$D$504,C52,MATCHER!$J$5:$J$504,REGLER!$I$16,MATCHER!$K$5:$K$504,"Ja")+COUNTIFS(MATCHER!$B$5:$B$504,A52,MATCHER!$D$5:$D$504,C52,MATCHER!$J$5:$J$504,REGLER!$I$16&amp;" 2",MATCHER!$K$5:$K$504,"Ja")&gt;0,", "&amp;REGLER!$I$16,"")&amp;IF(COUNTIFS(MATCHER!$B$5:$B$504,A52,MATCHER!$D$5:$D$504,C52,MATCHER!$J$5:$J$504,REGLER!$I$17,MATCHER!$K$5:$K$504,"Ja")+COUNTIFS(MATCHER!$B$5:$B$504,A52,MATCHER!$D$5:$D$504,C52,MATCHER!$J$5:$J$504,REGLER!$I$17&amp;" 2",MATCHER!$K$5:$K$504,"Ja")&gt;0,", "&amp;REGLER!$I$17,"")&amp;IF(COUNTIFS(MATCHER!$B$5:$B$504,A52,MATCHER!$D$5:$D$504,C52,MATCHER!$J$5:$J$504,REGLER!$I$18,MATCHER!$K$5:$K$504,"Ja")+COUNTIFS(MATCHER!$B$5:$B$504,A52,MATCHER!$D$5:$D$504,C52,MATCHER!$J$5:$J$504,REGLER!$I$18&amp;" 2",MATCHER!$K$5:$K$504,"Ja")&gt;0,", "&amp;REGLER!$I$18,"")&amp;IF(COUNTIFS(MATCHER!$B$5:$B$504,A52,MATCHER!$D$5:$D$504,C52,MATCHER!$J$5:$J$504,REGLER!$I$19,MATCHER!$K$5:$K$504,"Ja")+COUNTIFS(MATCHER!$B$5:$B$504,A52,MATCHER!$D$5:$D$504,C52,MATCHER!$J$5:$J$504,REGLER!$I$19&amp;" 2",MATCHER!$K$5:$K$504,"Ja")&gt;0,", "&amp;REGLER!$I$19,"")&amp;IF(COUNTIFS(MATCHER!$B$5:$B$504,A52,MATCHER!$D$5:$D$504,C52,MATCHER!$J$5:$J$504,REGLER!$I$20,MATCHER!$K$5:$K$504,"Ja")+COUNTIFS(MATCHER!$B$5:$B$504,A52,MATCHER!$D$5:$D$504,C52,MATCHER!$J$5:$J$504,REGLER!$I$20&amp;" 2",MATCHER!$K$5:$K$504,"Ja")&gt;0,", "&amp;REGLER!$I$20,"")&amp;IF(COUNTIFS(MATCHER!$B$5:$B$504,A52,MATCHER!$D$5:$D$504,C52,MATCHER!$J$5:$J$504,REGLER!$I$21,MATCHER!$K$5:$K$504,"Ja")+COUNTIFS(MATCHER!$B$5:$B$504,A52,MATCHER!$D$5:$D$504,C52,MATCHER!$J$5:$J$504,REGLER!$I$21&amp;" 2",MATCHER!$K$5:$K$504,"Ja")&gt;0,", "&amp;REGLER!$I$21,"")&amp;IF(COUNTIFS(MATCHER!$B$5:$B$504,A52,MATCHER!$D$5:$D$504,C52,MATCHER!$J$5:$J$504,REGLER!$I$22,MATCHER!$K$5:$K$504,"Ja")+COUNTIFS(MATCHER!$B$5:$B$504,A52,MATCHER!$D$5:$D$504,C52,MATCHER!$J$5:$J$504,REGLER!$I$22&amp;" 2",MATCHER!$K$5:$K$504,"Ja")&gt;0,", "&amp;REGLER!$I$22,"")&amp;IF(COUNTIFS(MATCHER!$B$5:$B$504,A52,MATCHER!$D$5:$D$504,C52,MATCHER!$J$5:$J$504,REGLER!$I$23,MATCHER!$K$5:$K$504,"Ja")+COUNTIFS(MATCHER!$B$5:$B$504,A52,MATCHER!$D$5:$D$504,C52,MATCHER!$J$5:$J$504,REGLER!$I$23&amp;" 2",MATCHER!$K$5:$K$504,"Ja")&gt;0,", "&amp;REGLER!$I$23,"")&amp;IF(COUNTIFS(MATCHER!$B$5:$B$504,A52,MATCHER!$D$5:$D$504,C52,MATCHER!$J$5:$J$504,REGLER!$I$24,MATCHER!$K$5:$K$504,"Ja")+COUNTIFS(MATCHER!$B$5:$B$504,A52,MATCHER!$D$5:$D$504,C52,MATCHER!$J$5:$J$504,REGLER!$I$24&amp;" 2",MATCHER!$K$5:$K$504,"Ja")&gt;0,", "&amp;REGLER!$I$24,"")&amp;IF(COUNTIFS(MATCHER!$B$5:$B$504,A52,MATCHER!$D$5:$D$504,C52,MATCHER!$J$5:$J$504,REGLER!$I$25,MATCHER!$K$5:$K$504,"Ja")+COUNTIFS(MATCHER!$B$5:$B$504,A52,MATCHER!$D$5:$D$504,C52,MATCHER!$J$5:$J$504,REGLER!$I$25&amp;" 2",MATCHER!$K$5:$K$504,"Ja")&gt;0,", "&amp;REGLER!$I$25,"")&amp;IF(COUNTIFS(MATCHER!$B$5:$B$504,A52,MATCHER!$D$5:$D$504,C52,MATCHER!$J$5:$J$504,REGLER!$I$26,MATCHER!$K$5:$K$504,"Ja")+COUNTIFS(MATCHER!$B$5:$B$504,A52,MATCHER!$D$5:$D$504,C52,MATCHER!$J$5:$J$504,REGLER!$I$26&amp;" 2",MATCHER!$K$5:$K$504,"Ja")&gt;0,", "&amp;REGLER!$I$26,""),3,1000)</f>
        <v>P16</v>
      </c>
      <c r="I52" s="65" t="s">
        <v>87</v>
      </c>
      <c r="J52" s="66"/>
      <c r="K52" s="67" t="s">
        <v>98</v>
      </c>
      <c r="L52" s="68"/>
      <c r="M52" s="69">
        <f>IF(O52&lt;&gt;O51,MAX(1,MIN(AA52,ROUNDUP(SUMPRODUCT(($O$5:$O$546=O52)*($I$5:$I$546="Ja")*($E$5:$E$546-$D$5:$D$546))*24/REGLER!$B$8,0))),"")</f>
        <v>1</v>
      </c>
      <c r="N52" s="70" t="str">
        <f t="shared" si="0"/>
        <v>Ej öppet</v>
      </c>
      <c r="O52" s="15" t="s">
        <v>99</v>
      </c>
      <c r="P52" s="16">
        <v>0.53125</v>
      </c>
      <c r="Q52" s="16">
        <v>0.625</v>
      </c>
      <c r="R52" s="15" t="str">
        <f>IFERROR(MATCH(1,INDEX((MATCHER!$B$5:$B$504=A52)*(MATCHER!$D$5:$D$504=C52)*(MATCHER!$K$5:$K$504="Ja")*(MATCHER!$C$5:$C$504&lt;E52)*(MATCHER!$M$5:$M$504&gt;D52),0),0),"")</f>
        <v/>
      </c>
      <c r="S52" s="15" t="str">
        <f>IF(R52="","",IFERROR(MATCH(1,INDEX((MATCHER!$B$5:$B$504=A52)*(MATCHER!$D$5:$D$504=C52)*(MATCHER!$K$5:$K$504="Ja")*(MATCHER!$C$5:$C$504&lt;E52)*(MATCHER!$M$5:$M$504&gt;D52)*(ROW(MATCHER!$A$5:$A$504)-ROW(MATCHER!$A$5)+1&gt;R52),0),0),""))</f>
        <v/>
      </c>
      <c r="T52" s="15" t="str">
        <f>IF(S52="","",IFERROR(MATCH(1,INDEX((MATCHER!$B$5:$B$504=A52)*(MATCHER!$D$5:$D$504=C52)*(MATCHER!$K$5:$K$504="Ja")*(MATCHER!$C$5:$C$504&lt;E52)*(MATCHER!$M$5:$M$504&gt;D52)*(ROW(MATCHER!$A$5:$A$504)-ROW(MATCHER!$A$5)+1&gt;S52),0),0),""))</f>
        <v/>
      </c>
      <c r="U52" s="15" t="str">
        <f t="shared" si="1"/>
        <v/>
      </c>
      <c r="V52" s="15" t="str">
        <f>IF(OR(I52&lt;&gt;"Ja",J52=""),"",COUNTIFS($O$5:O52,O52,$U$5:U52,1))</f>
        <v/>
      </c>
      <c r="W52" s="15" t="str">
        <f t="shared" si="2"/>
        <v/>
      </c>
      <c r="X52" s="16" t="str">
        <f t="shared" si="3"/>
        <v/>
      </c>
      <c r="Y52" s="15">
        <f>IF(OR(I52&lt;&gt;"Ja",J52=""),0,IF(COUNTIFS($O$5:O52,O52,$I$5:I52,"Ja",$J$5:J52,"&lt;&gt;")=1,1,0))</f>
        <v>0</v>
      </c>
      <c r="Z52" s="15">
        <f>IF(OR(I52&lt;&gt;"Ja",J52=""),0,IF(COUNTIFS(O52:$O$546,O52,I52:$I$546,"Ja",J52:$J$546,"&lt;&gt;")=1,1,0))</f>
        <v>0</v>
      </c>
      <c r="AA52" s="15">
        <f>IF(COUNTIFS(MATCHER!$B$5:$B$504,A52,MATCHER!$D$5:$D$504,C52,MATCHER!$J$5:$J$504,REGLER!$I$6,MATCHER!$K$5:$K$504,"Ja")+COUNTIFS(MATCHER!$B$5:$B$504,A52,MATCHER!$D$5:$D$504,C52,MATCHER!$J$5:$J$504,REGLER!$I$6&amp;" 2",MATCHER!$K$5:$K$504,"Ja")&gt;0,1,0)+IF(COUNTIFS(MATCHER!$B$5:$B$504,A52,MATCHER!$D$5:$D$504,C52,MATCHER!$J$5:$J$504,REGLER!$I$7,MATCHER!$K$5:$K$504,"Ja")+COUNTIFS(MATCHER!$B$5:$B$504,A52,MATCHER!$D$5:$D$504,C52,MATCHER!$J$5:$J$504,REGLER!$I$7&amp;" 2",MATCHER!$K$5:$K$504,"Ja")&gt;0,1,0)+IF(COUNTIFS(MATCHER!$B$5:$B$504,A52,MATCHER!$D$5:$D$504,C52,MATCHER!$J$5:$J$504,REGLER!$I$8,MATCHER!$K$5:$K$504,"Ja")+COUNTIFS(MATCHER!$B$5:$B$504,A52,MATCHER!$D$5:$D$504,C52,MATCHER!$J$5:$J$504,REGLER!$I$8&amp;" 2",MATCHER!$K$5:$K$504,"Ja")&gt;0,1,0)+IF(COUNTIFS(MATCHER!$B$5:$B$504,A52,MATCHER!$D$5:$D$504,C52,MATCHER!$J$5:$J$504,REGLER!$I$9,MATCHER!$K$5:$K$504,"Ja")+COUNTIFS(MATCHER!$B$5:$B$504,A52,MATCHER!$D$5:$D$504,C52,MATCHER!$J$5:$J$504,REGLER!$I$9&amp;" 2",MATCHER!$K$5:$K$504,"Ja")&gt;0,1,0)+IF(COUNTIFS(MATCHER!$B$5:$B$504,A52,MATCHER!$D$5:$D$504,C52,MATCHER!$J$5:$J$504,REGLER!$I$10,MATCHER!$K$5:$K$504,"Ja")+COUNTIFS(MATCHER!$B$5:$B$504,A52,MATCHER!$D$5:$D$504,C52,MATCHER!$J$5:$J$504,REGLER!$I$10&amp;" 2",MATCHER!$K$5:$K$504,"Ja")&gt;0,1,0)+IF(COUNTIFS(MATCHER!$B$5:$B$504,A52,MATCHER!$D$5:$D$504,C52,MATCHER!$J$5:$J$504,REGLER!$I$11,MATCHER!$K$5:$K$504,"Ja")+COUNTIFS(MATCHER!$B$5:$B$504,A52,MATCHER!$D$5:$D$504,C52,MATCHER!$J$5:$J$504,REGLER!$I$11&amp;" 2",MATCHER!$K$5:$K$504,"Ja")&gt;0,1,0)+IF(COUNTIFS(MATCHER!$B$5:$B$504,A52,MATCHER!$D$5:$D$504,C52,MATCHER!$J$5:$J$504,REGLER!$I$12,MATCHER!$K$5:$K$504,"Ja")+COUNTIFS(MATCHER!$B$5:$B$504,A52,MATCHER!$D$5:$D$504,C52,MATCHER!$J$5:$J$504,REGLER!$I$12&amp;" 2",MATCHER!$K$5:$K$504,"Ja")&gt;0,1,0)+IF(COUNTIFS(MATCHER!$B$5:$B$504,A52,MATCHER!$D$5:$D$504,C52,MATCHER!$J$5:$J$504,REGLER!$I$13,MATCHER!$K$5:$K$504,"Ja")+COUNTIFS(MATCHER!$B$5:$B$504,A52,MATCHER!$D$5:$D$504,C52,MATCHER!$J$5:$J$504,REGLER!$I$13&amp;" 2",MATCHER!$K$5:$K$504,"Ja")&gt;0,1,0)+IF(COUNTIFS(MATCHER!$B$5:$B$504,A52,MATCHER!$D$5:$D$504,C52,MATCHER!$J$5:$J$504,REGLER!$I$14,MATCHER!$K$5:$K$504,"Ja")+COUNTIFS(MATCHER!$B$5:$B$504,A52,MATCHER!$D$5:$D$504,C52,MATCHER!$J$5:$J$504,REGLER!$I$14&amp;" 2",MATCHER!$K$5:$K$504,"Ja")&gt;0,1,0)+IF(COUNTIFS(MATCHER!$B$5:$B$504,A52,MATCHER!$D$5:$D$504,C52,MATCHER!$J$5:$J$504,REGLER!$I$15,MATCHER!$K$5:$K$504,"Ja")+COUNTIFS(MATCHER!$B$5:$B$504,A52,MATCHER!$D$5:$D$504,C52,MATCHER!$J$5:$J$504,REGLER!$I$15&amp;" 2",MATCHER!$K$5:$K$504,"Ja")&gt;0,1,0)+IF(COUNTIFS(MATCHER!$B$5:$B$504,A52,MATCHER!$D$5:$D$504,C52,MATCHER!$J$5:$J$504,REGLER!$I$16,MATCHER!$K$5:$K$504,"Ja")+COUNTIFS(MATCHER!$B$5:$B$504,A52,MATCHER!$D$5:$D$504,C52,MATCHER!$J$5:$J$504,REGLER!$I$16&amp;" 2",MATCHER!$K$5:$K$504,"Ja")&gt;0,1,0)+IF(COUNTIFS(MATCHER!$B$5:$B$504,A52,MATCHER!$D$5:$D$504,C52,MATCHER!$J$5:$J$504,REGLER!$I$17,MATCHER!$K$5:$K$504,"Ja")+COUNTIFS(MATCHER!$B$5:$B$504,A52,MATCHER!$D$5:$D$504,C52,MATCHER!$J$5:$J$504,REGLER!$I$17&amp;" 2",MATCHER!$K$5:$K$504,"Ja")&gt;0,1,0)+IF(COUNTIFS(MATCHER!$B$5:$B$504,A52,MATCHER!$D$5:$D$504,C52,MATCHER!$J$5:$J$504,REGLER!$I$18,MATCHER!$K$5:$K$504,"Ja")+COUNTIFS(MATCHER!$B$5:$B$504,A52,MATCHER!$D$5:$D$504,C52,MATCHER!$J$5:$J$504,REGLER!$I$18&amp;" 2",MATCHER!$K$5:$K$504,"Ja")&gt;0,1,0)+IF(COUNTIFS(MATCHER!$B$5:$B$504,A52,MATCHER!$D$5:$D$504,C52,MATCHER!$J$5:$J$504,REGLER!$I$19,MATCHER!$K$5:$K$504,"Ja")+COUNTIFS(MATCHER!$B$5:$B$504,A52,MATCHER!$D$5:$D$504,C52,MATCHER!$J$5:$J$504,REGLER!$I$19&amp;" 2",MATCHER!$K$5:$K$504,"Ja")&gt;0,1,0)+IF(COUNTIFS(MATCHER!$B$5:$B$504,A52,MATCHER!$D$5:$D$504,C52,MATCHER!$J$5:$J$504,REGLER!$I$20,MATCHER!$K$5:$K$504,"Ja")+COUNTIFS(MATCHER!$B$5:$B$504,A52,MATCHER!$D$5:$D$504,C52,MATCHER!$J$5:$J$504,REGLER!$I$20&amp;" 2",MATCHER!$K$5:$K$504,"Ja")&gt;0,1,0)+IF(COUNTIFS(MATCHER!$B$5:$B$504,A52,MATCHER!$D$5:$D$504,C52,MATCHER!$J$5:$J$504,REGLER!$I$21,MATCHER!$K$5:$K$504,"Ja")+COUNTIFS(MATCHER!$B$5:$B$504,A52,MATCHER!$D$5:$D$504,C52,MATCHER!$J$5:$J$504,REGLER!$I$21&amp;" 2",MATCHER!$K$5:$K$504,"Ja")&gt;0,1,0)+IF(COUNTIFS(MATCHER!$B$5:$B$504,A52,MATCHER!$D$5:$D$504,C52,MATCHER!$J$5:$J$504,REGLER!$I$22,MATCHER!$K$5:$K$504,"Ja")+COUNTIFS(MATCHER!$B$5:$B$504,A52,MATCHER!$D$5:$D$504,C52,MATCHER!$J$5:$J$504,REGLER!$I$22&amp;" 2",MATCHER!$K$5:$K$504,"Ja")&gt;0,1,0)+IF(COUNTIFS(MATCHER!$B$5:$B$504,A52,MATCHER!$D$5:$D$504,C52,MATCHER!$J$5:$J$504,REGLER!$I$23,MATCHER!$K$5:$K$504,"Ja")+COUNTIFS(MATCHER!$B$5:$B$504,A52,MATCHER!$D$5:$D$504,C52,MATCHER!$J$5:$J$504,REGLER!$I$23&amp;" 2",MATCHER!$K$5:$K$504,"Ja")&gt;0,1,0)+IF(COUNTIFS(MATCHER!$B$5:$B$504,A52,MATCHER!$D$5:$D$504,C52,MATCHER!$J$5:$J$504,REGLER!$I$24,MATCHER!$K$5:$K$504,"Ja")+COUNTIFS(MATCHER!$B$5:$B$504,A52,MATCHER!$D$5:$D$504,C52,MATCHER!$J$5:$J$504,REGLER!$I$24&amp;" 2",MATCHER!$K$5:$K$504,"Ja")&gt;0,1,0)+IF(COUNTIFS(MATCHER!$B$5:$B$504,A52,MATCHER!$D$5:$D$504,C52,MATCHER!$J$5:$J$504,REGLER!$I$25,MATCHER!$K$5:$K$504,"Ja")+COUNTIFS(MATCHER!$B$5:$B$504,A52,MATCHER!$D$5:$D$504,C52,MATCHER!$J$5:$J$504,REGLER!$I$25&amp;" 2",MATCHER!$K$5:$K$504,"Ja")&gt;0,1,0)+IF(COUNTIFS(MATCHER!$B$5:$B$504,A52,MATCHER!$D$5:$D$504,C52,MATCHER!$J$5:$J$504,REGLER!$I$26,MATCHER!$K$5:$K$504,"Ja")+COUNTIFS(MATCHER!$B$5:$B$504,A52,MATCHER!$D$5:$D$504,C52,MATCHER!$J$5:$J$504,REGLER!$I$26&amp;" 2",MATCHER!$K$5:$K$504,"Ja")&gt;0,1,0)</f>
        <v>1</v>
      </c>
      <c r="AB52" s="15" t="str">
        <f>IF(U52&lt;&gt;1,"",COUNTIF($U$5:U52,1))</f>
        <v/>
      </c>
      <c r="AC52" s="15" t="str">
        <f t="shared" si="4"/>
        <v/>
      </c>
      <c r="AD52" s="15" t="str">
        <f t="shared" si="5"/>
        <v>Minicafé</v>
      </c>
      <c r="AE52" s="15" t="str">
        <f t="shared" si="6"/>
        <v/>
      </c>
      <c r="AF52" t="str">
        <f>IF(T52="","",IFERROR(MATCH(1,INDEX((MATCHER!$B$5:$B$504=A52)*(MATCHER!$D$5:$D$504=C52)*(MATCHER!$K$5:$K$504="Ja")*(MATCHER!$C$5:$C$504&lt;E52)*(MATCHER!$M$5:$M$504&gt;D52)*(ROW(MATCHER!$A$5:$A$504)-ROW(MATCHER!$A$5)+1&gt;T52),0),0),""))</f>
        <v/>
      </c>
    </row>
    <row r="53" spans="1:32" ht="13">
      <c r="A53" s="42">
        <v>46298</v>
      </c>
      <c r="B53" s="43" t="s">
        <v>85</v>
      </c>
      <c r="C53" s="43" t="s">
        <v>94</v>
      </c>
      <c r="D53" s="44">
        <v>0.54166666666666696</v>
      </c>
      <c r="E53" s="44">
        <v>0.5625</v>
      </c>
      <c r="F53" s="45" t="str">
        <f>IF(R53="","",HOUR(INDEX(MATCHER!$C$5:$C$504,R53))&amp;":"&amp;IF(MINUTE(INDEX(MATCHER!$C$5:$C$504,R53))&lt;10,"0","")&amp;MINUTE(INDEX(MATCHER!$C$5:$C$504,R53))&amp;" "&amp;INDEX(MATCHER!$H$5:$H$504,R53)&amp;" – "&amp;INDEX(MATCHER!$I$5:$I$504,R53))&amp;IF(S53="",""," | "&amp;HOUR(INDEX(MATCHER!$C$5:$C$504,S53))&amp;":"&amp;IF(MINUTE(INDEX(MATCHER!$C$5:$C$504,S53))&lt;10,"0","")&amp;MINUTE(INDEX(MATCHER!$C$5:$C$504,S53))&amp;" "&amp;INDEX(MATCHER!$H$5:$H$504,S53)&amp;" – "&amp;INDEX(MATCHER!$I$5:$I$504,S53))&amp;IF(T53="",""," | "&amp;HOUR(INDEX(MATCHER!$C$5:$C$504,T53))&amp;":"&amp;IF(MINUTE(INDEX(MATCHER!$C$5:$C$504,T53))&lt;10,"0","")&amp;MINUTE(INDEX(MATCHER!$C$5:$C$504,T53))&amp;" "&amp;INDEX(MATCHER!$H$5:$H$504,T53)&amp;" – "&amp;INDEX(MATCHER!$I$5:$I$504,T53))&amp;IF(AF53="",""," | "&amp;HOUR(INDEX(MATCHER!$C$5:$C$504,AF53))&amp;":"&amp;IF(MINUTE(INDEX(MATCHER!$C$5:$C$504,AF53))&lt;10,"0","")&amp;MINUTE(INDEX(MATCHER!$C$5:$C$504,AF53))&amp;" "&amp;INDEX(MATCHER!$H$5:$H$504,AF53)&amp;" – "&amp;INDEX(MATCHER!$I$5:$I$504,AF53))</f>
        <v/>
      </c>
      <c r="G53" s="45" t="str">
        <f>MID(IF(R53="","",IF(OR(INDEX(MATCHER!$J$5:$J$504,R53)=""),""," / "&amp;INDEX(MATCHER!$J$5:$J$504,R53)))&amp;IF(S53="","",IF(OR(INDEX(MATCHER!$J$5:$J$504,S53)="",INDEX(MATCHER!$J$5:$J$504,S53)=IFERROR(INDEX(MATCHER!$J$5:$J$504,R53),"")),""," / "&amp;INDEX(MATCHER!$J$5:$J$504,S53)))&amp;IF(T53="","",IF(OR(INDEX(MATCHER!$J$5:$J$504,T53)="",INDEX(MATCHER!$J$5:$J$504,T53)=IFERROR(INDEX(MATCHER!$J$5:$J$504,R53),""),INDEX(MATCHER!$J$5:$J$504,T53)=IFERROR(INDEX(MATCHER!$J$5:$J$504,S53),"")),""," / "&amp;INDEX(MATCHER!$J$5:$J$504,T53)))&amp;IF(AF53="","",IF(OR(INDEX(MATCHER!$J$5:$J$504,AF53)="",INDEX(MATCHER!$J$5:$J$504,AF53)=IFERROR(INDEX(MATCHER!$J$5:$J$504,R53),""),INDEX(MATCHER!$J$5:$J$504,AF53)=IFERROR(INDEX(MATCHER!$J$5:$J$504,S53),""),INDEX(MATCHER!$J$5:$J$504,AF53)=IFERROR(INDEX(MATCHER!$J$5:$J$504,T53),"")),""," / "&amp;INDEX(MATCHER!$J$5:$J$504,AF53))),4,1000)</f>
        <v/>
      </c>
      <c r="H53" s="45" t="str">
        <f>H52</f>
        <v>P16</v>
      </c>
      <c r="I53" s="46" t="s">
        <v>87</v>
      </c>
      <c r="J53" s="47"/>
      <c r="K53" s="48"/>
      <c r="L53" s="49"/>
      <c r="M53" s="50" t="str">
        <f>IF(O53&lt;&gt;O52,MAX(1,MIN(AA53,ROUNDUP(SUMPRODUCT(($O$5:$O$546=O53)*($I$5:$I$546="Ja")*($E$5:$E$546-$D$5:$D$546))*24/REGLER!$B$8,0))),"")</f>
        <v/>
      </c>
      <c r="N53" s="50" t="str">
        <f t="shared" si="0"/>
        <v>Ej öppet</v>
      </c>
      <c r="O53" s="15" t="s">
        <v>99</v>
      </c>
      <c r="P53" s="16">
        <v>0.53125</v>
      </c>
      <c r="Q53" s="16">
        <v>0.625</v>
      </c>
      <c r="R53" s="15" t="str">
        <f>IFERROR(MATCH(1,INDEX((MATCHER!$B$5:$B$504=A53)*(MATCHER!$D$5:$D$504=C53)*(MATCHER!$K$5:$K$504="Ja")*(MATCHER!$C$5:$C$504&lt;E53)*(MATCHER!$M$5:$M$504&gt;D53),0),0),"")</f>
        <v/>
      </c>
      <c r="S53" s="15" t="str">
        <f>IF(R53="","",IFERROR(MATCH(1,INDEX((MATCHER!$B$5:$B$504=A53)*(MATCHER!$D$5:$D$504=C53)*(MATCHER!$K$5:$K$504="Ja")*(MATCHER!$C$5:$C$504&lt;E53)*(MATCHER!$M$5:$M$504&gt;D53)*(ROW(MATCHER!$A$5:$A$504)-ROW(MATCHER!$A$5)+1&gt;R53),0),0),""))</f>
        <v/>
      </c>
      <c r="T53" s="15" t="str">
        <f>IF(S53="","",IFERROR(MATCH(1,INDEX((MATCHER!$B$5:$B$504=A53)*(MATCHER!$D$5:$D$504=C53)*(MATCHER!$K$5:$K$504="Ja")*(MATCHER!$C$5:$C$504&lt;E53)*(MATCHER!$M$5:$M$504&gt;D53)*(ROW(MATCHER!$A$5:$A$504)-ROW(MATCHER!$A$5)+1&gt;S53),0),0),""))</f>
        <v/>
      </c>
      <c r="U53" s="15" t="str">
        <f t="shared" si="1"/>
        <v/>
      </c>
      <c r="V53" s="15" t="str">
        <f>IF(OR(I53&lt;&gt;"Ja",J53=""),"",COUNTIFS($O$5:O53,O53,$U$5:U53,1))</f>
        <v/>
      </c>
      <c r="W53" s="15" t="str">
        <f t="shared" si="2"/>
        <v/>
      </c>
      <c r="X53" s="16" t="str">
        <f t="shared" si="3"/>
        <v/>
      </c>
      <c r="Y53" s="15">
        <f>IF(OR(I53&lt;&gt;"Ja",J53=""),0,IF(COUNTIFS($O$5:O53,O53,$I$5:I53,"Ja",$J$5:J53,"&lt;&gt;")=1,1,0))</f>
        <v>0</v>
      </c>
      <c r="Z53" s="15">
        <f>IF(OR(I53&lt;&gt;"Ja",J53=""),0,IF(COUNTIFS(O53:$O$546,O53,I53:$I$546,"Ja",J53:$J$546,"&lt;&gt;")=1,1,0))</f>
        <v>0</v>
      </c>
      <c r="AA53" s="15">
        <f>AA52</f>
        <v>1</v>
      </c>
      <c r="AB53" s="15" t="str">
        <f>IF(U53&lt;&gt;1,"",COUNTIF($U$5:U53,1))</f>
        <v/>
      </c>
      <c r="AC53" s="15" t="str">
        <f t="shared" si="4"/>
        <v/>
      </c>
      <c r="AD53" s="15" t="str">
        <f t="shared" si="5"/>
        <v>Minicafé</v>
      </c>
      <c r="AE53" s="15" t="str">
        <f t="shared" si="6"/>
        <v/>
      </c>
      <c r="AF53" t="str">
        <f>IF(T53="","",IFERROR(MATCH(1,INDEX((MATCHER!$B$5:$B$504=A53)*(MATCHER!$D$5:$D$504=C53)*(MATCHER!$K$5:$K$504="Ja")*(MATCHER!$C$5:$C$504&lt;E53)*(MATCHER!$M$5:$M$504&gt;D53)*(ROW(MATCHER!$A$5:$A$504)-ROW(MATCHER!$A$5)+1&gt;T53),0),0),""))</f>
        <v/>
      </c>
    </row>
    <row r="54" spans="1:32" ht="13">
      <c r="A54" s="42">
        <v>46298</v>
      </c>
      <c r="B54" s="43" t="s">
        <v>85</v>
      </c>
      <c r="C54" s="43" t="s">
        <v>94</v>
      </c>
      <c r="D54" s="44">
        <v>0.5625</v>
      </c>
      <c r="E54" s="44">
        <v>0.58333333333333304</v>
      </c>
      <c r="F54" s="45" t="str">
        <f>IF(R54="","",HOUR(INDEX(MATCHER!$C$5:$C$504,R54))&amp;":"&amp;IF(MINUTE(INDEX(MATCHER!$C$5:$C$504,R54))&lt;10,"0","")&amp;MINUTE(INDEX(MATCHER!$C$5:$C$504,R54))&amp;" "&amp;INDEX(MATCHER!$H$5:$H$504,R54)&amp;" – "&amp;INDEX(MATCHER!$I$5:$I$504,R54))&amp;IF(S54="",""," | "&amp;HOUR(INDEX(MATCHER!$C$5:$C$504,S54))&amp;":"&amp;IF(MINUTE(INDEX(MATCHER!$C$5:$C$504,S54))&lt;10,"0","")&amp;MINUTE(INDEX(MATCHER!$C$5:$C$504,S54))&amp;" "&amp;INDEX(MATCHER!$H$5:$H$504,S54)&amp;" – "&amp;INDEX(MATCHER!$I$5:$I$504,S54))&amp;IF(T54="",""," | "&amp;HOUR(INDEX(MATCHER!$C$5:$C$504,T54))&amp;":"&amp;IF(MINUTE(INDEX(MATCHER!$C$5:$C$504,T54))&lt;10,"0","")&amp;MINUTE(INDEX(MATCHER!$C$5:$C$504,T54))&amp;" "&amp;INDEX(MATCHER!$H$5:$H$504,T54)&amp;" – "&amp;INDEX(MATCHER!$I$5:$I$504,T54))&amp;IF(AF54="",""," | "&amp;HOUR(INDEX(MATCHER!$C$5:$C$504,AF54))&amp;":"&amp;IF(MINUTE(INDEX(MATCHER!$C$5:$C$504,AF54))&lt;10,"0","")&amp;MINUTE(INDEX(MATCHER!$C$5:$C$504,AF54))&amp;" "&amp;INDEX(MATCHER!$H$5:$H$504,AF54)&amp;" – "&amp;INDEX(MATCHER!$I$5:$I$504,AF54))</f>
        <v>13:40 AIK 2 – Täby HBK 4</v>
      </c>
      <c r="G54" s="45" t="str">
        <f>MID(IF(R54="","",IF(OR(INDEX(MATCHER!$J$5:$J$504,R54)=""),""," / "&amp;INDEX(MATCHER!$J$5:$J$504,R54)))&amp;IF(S54="","",IF(OR(INDEX(MATCHER!$J$5:$J$504,S54)="",INDEX(MATCHER!$J$5:$J$504,S54)=IFERROR(INDEX(MATCHER!$J$5:$J$504,R54),"")),""," / "&amp;INDEX(MATCHER!$J$5:$J$504,S54)))&amp;IF(T54="","",IF(OR(INDEX(MATCHER!$J$5:$J$504,T54)="",INDEX(MATCHER!$J$5:$J$504,T54)=IFERROR(INDEX(MATCHER!$J$5:$J$504,R54),""),INDEX(MATCHER!$J$5:$J$504,T54)=IFERROR(INDEX(MATCHER!$J$5:$J$504,S54),"")),""," / "&amp;INDEX(MATCHER!$J$5:$J$504,T54)))&amp;IF(AF54="","",IF(OR(INDEX(MATCHER!$J$5:$J$504,AF54)="",INDEX(MATCHER!$J$5:$J$504,AF54)=IFERROR(INDEX(MATCHER!$J$5:$J$504,R54),""),INDEX(MATCHER!$J$5:$J$504,AF54)=IFERROR(INDEX(MATCHER!$J$5:$J$504,S54),""),INDEX(MATCHER!$J$5:$J$504,AF54)=IFERROR(INDEX(MATCHER!$J$5:$J$504,T54),"")),""," / "&amp;INDEX(MATCHER!$J$5:$J$504,AF54))),4,1000)</f>
        <v>P16 2</v>
      </c>
      <c r="H54" s="45" t="str">
        <f>H53</f>
        <v>P16</v>
      </c>
      <c r="I54" s="46" t="s">
        <v>90</v>
      </c>
      <c r="J54" s="47" t="s">
        <v>100</v>
      </c>
      <c r="K54" s="48"/>
      <c r="L54" s="49"/>
      <c r="M54" s="50" t="str">
        <f>IF(O54&lt;&gt;O53,MAX(1,MIN(AA54,ROUNDUP(SUMPRODUCT(($O$5:$O$546=O54)*($I$5:$I$546="Ja")*($E$5:$E$546-$D$5:$D$546))*24/REGLER!$B$8,0))),"")</f>
        <v/>
      </c>
      <c r="N54" s="50" t="str">
        <f t="shared" si="0"/>
        <v>Klar</v>
      </c>
      <c r="O54" s="15" t="s">
        <v>99</v>
      </c>
      <c r="P54" s="16">
        <v>0.53125</v>
      </c>
      <c r="Q54" s="16">
        <v>0.625</v>
      </c>
      <c r="R54" s="15">
        <f>IFERROR(MATCH(1,INDEX((MATCHER!$B$5:$B$504=A54)*(MATCHER!$D$5:$D$504=C54)*(MATCHER!$K$5:$K$504="Ja")*(MATCHER!$C$5:$C$504&lt;E54)*(MATCHER!$M$5:$M$504&gt;D54),0),0),"")</f>
        <v>13</v>
      </c>
      <c r="S54" s="15" t="str">
        <f>IF(R54="","",IFERROR(MATCH(1,INDEX((MATCHER!$B$5:$B$504=A54)*(MATCHER!$D$5:$D$504=C54)*(MATCHER!$K$5:$K$504="Ja")*(MATCHER!$C$5:$C$504&lt;E54)*(MATCHER!$M$5:$M$504&gt;D54)*(ROW(MATCHER!$A$5:$A$504)-ROW(MATCHER!$A$5)+1&gt;R54),0),0),""))</f>
        <v/>
      </c>
      <c r="T54" s="15" t="str">
        <f>IF(S54="","",IFERROR(MATCH(1,INDEX((MATCHER!$B$5:$B$504=A54)*(MATCHER!$D$5:$D$504=C54)*(MATCHER!$K$5:$K$504="Ja")*(MATCHER!$C$5:$C$504&lt;E54)*(MATCHER!$M$5:$M$504&gt;D54)*(ROW(MATCHER!$A$5:$A$504)-ROW(MATCHER!$A$5)+1&gt;S54),0),0),""))</f>
        <v/>
      </c>
      <c r="U54" s="15">
        <f t="shared" si="1"/>
        <v>1</v>
      </c>
      <c r="V54" s="15">
        <f>IF(OR(I54&lt;&gt;"Ja",J54=""),"",COUNTIFS($O$5:O54,O54,$U$5:U54,1))</f>
        <v>1</v>
      </c>
      <c r="W54" s="15" t="str">
        <f t="shared" si="2"/>
        <v>2026-10-03 | Råsta Park|1</v>
      </c>
      <c r="X54" s="16" t="str">
        <f t="shared" si="3"/>
        <v/>
      </c>
      <c r="Y54" s="15">
        <f>IF(OR(I54&lt;&gt;"Ja",J54=""),0,IF(COUNTIFS($O$5:O54,O54,$I$5:I54,"Ja",$J$5:J54,"&lt;&gt;")=1,1,0))</f>
        <v>1</v>
      </c>
      <c r="Z54" s="15">
        <f>IF(OR(I54&lt;&gt;"Ja",J54=""),0,IF(COUNTIFS(O54:$O$546,O54,I54:$I$546,"Ja",J54:$J$546,"&lt;&gt;")=1,1,0))</f>
        <v>0</v>
      </c>
      <c r="AA54" s="15">
        <f>AA53</f>
        <v>1</v>
      </c>
      <c r="AB54" s="15">
        <f>IF(U54&lt;&gt;1,"",COUNTIF($U$5:U54,1))</f>
        <v>5</v>
      </c>
      <c r="AC54" s="15" t="str">
        <f t="shared" si="4"/>
        <v/>
      </c>
      <c r="AD54" s="15" t="str">
        <f t="shared" si="5"/>
        <v>Minicafé</v>
      </c>
      <c r="AE54" s="15">
        <f t="shared" si="6"/>
        <v>1.5</v>
      </c>
      <c r="AF54" t="str">
        <f>IF(T54="","",IFERROR(MATCH(1,INDEX((MATCHER!$B$5:$B$504=A54)*(MATCHER!$D$5:$D$504=C54)*(MATCHER!$K$5:$K$504="Ja")*(MATCHER!$C$5:$C$504&lt;E54)*(MATCHER!$M$5:$M$504&gt;D54)*(ROW(MATCHER!$A$5:$A$504)-ROW(MATCHER!$A$5)+1&gt;T54),0),0),""))</f>
        <v/>
      </c>
    </row>
    <row r="55" spans="1:32" ht="13">
      <c r="A55" s="42">
        <v>46298</v>
      </c>
      <c r="B55" s="43" t="s">
        <v>85</v>
      </c>
      <c r="C55" s="43" t="s">
        <v>94</v>
      </c>
      <c r="D55" s="44">
        <v>0.58333333333333304</v>
      </c>
      <c r="E55" s="44">
        <v>0.60416666666666696</v>
      </c>
      <c r="F55" s="45" t="str">
        <f>IF(R55="","",HOUR(INDEX(MATCHER!$C$5:$C$504,R55))&amp;":"&amp;IF(MINUTE(INDEX(MATCHER!$C$5:$C$504,R55))&lt;10,"0","")&amp;MINUTE(INDEX(MATCHER!$C$5:$C$504,R55))&amp;" "&amp;INDEX(MATCHER!$H$5:$H$504,R55)&amp;" – "&amp;INDEX(MATCHER!$I$5:$I$504,R55))&amp;IF(S55="",""," | "&amp;HOUR(INDEX(MATCHER!$C$5:$C$504,S55))&amp;":"&amp;IF(MINUTE(INDEX(MATCHER!$C$5:$C$504,S55))&lt;10,"0","")&amp;MINUTE(INDEX(MATCHER!$C$5:$C$504,S55))&amp;" "&amp;INDEX(MATCHER!$H$5:$H$504,S55)&amp;" – "&amp;INDEX(MATCHER!$I$5:$I$504,S55))&amp;IF(T55="",""," | "&amp;HOUR(INDEX(MATCHER!$C$5:$C$504,T55))&amp;":"&amp;IF(MINUTE(INDEX(MATCHER!$C$5:$C$504,T55))&lt;10,"0","")&amp;MINUTE(INDEX(MATCHER!$C$5:$C$504,T55))&amp;" "&amp;INDEX(MATCHER!$H$5:$H$504,T55)&amp;" – "&amp;INDEX(MATCHER!$I$5:$I$504,T55))&amp;IF(AF55="",""," | "&amp;HOUR(INDEX(MATCHER!$C$5:$C$504,AF55))&amp;":"&amp;IF(MINUTE(INDEX(MATCHER!$C$5:$C$504,AF55))&lt;10,"0","")&amp;MINUTE(INDEX(MATCHER!$C$5:$C$504,AF55))&amp;" "&amp;INDEX(MATCHER!$H$5:$H$504,AF55)&amp;" – "&amp;INDEX(MATCHER!$I$5:$I$504,AF55))</f>
        <v>13:40 AIK 2 – Täby HBK 4</v>
      </c>
      <c r="G55" s="45" t="str">
        <f>MID(IF(R55="","",IF(OR(INDEX(MATCHER!$J$5:$J$504,R55)=""),""," / "&amp;INDEX(MATCHER!$J$5:$J$504,R55)))&amp;IF(S55="","",IF(OR(INDEX(MATCHER!$J$5:$J$504,S55)="",INDEX(MATCHER!$J$5:$J$504,S55)=IFERROR(INDEX(MATCHER!$J$5:$J$504,R55),"")),""," / "&amp;INDEX(MATCHER!$J$5:$J$504,S55)))&amp;IF(T55="","",IF(OR(INDEX(MATCHER!$J$5:$J$504,T55)="",INDEX(MATCHER!$J$5:$J$504,T55)=IFERROR(INDEX(MATCHER!$J$5:$J$504,R55),""),INDEX(MATCHER!$J$5:$J$504,T55)=IFERROR(INDEX(MATCHER!$J$5:$J$504,S55),"")),""," / "&amp;INDEX(MATCHER!$J$5:$J$504,T55)))&amp;IF(AF55="","",IF(OR(INDEX(MATCHER!$J$5:$J$504,AF55)="",INDEX(MATCHER!$J$5:$J$504,AF55)=IFERROR(INDEX(MATCHER!$J$5:$J$504,R55),""),INDEX(MATCHER!$J$5:$J$504,AF55)=IFERROR(INDEX(MATCHER!$J$5:$J$504,S55),""),INDEX(MATCHER!$J$5:$J$504,AF55)=IFERROR(INDEX(MATCHER!$J$5:$J$504,T55),"")),""," / "&amp;INDEX(MATCHER!$J$5:$J$504,AF55))),4,1000)</f>
        <v>P16 2</v>
      </c>
      <c r="H55" s="45" t="str">
        <f>H54</f>
        <v>P16</v>
      </c>
      <c r="I55" s="46" t="s">
        <v>90</v>
      </c>
      <c r="J55" s="47" t="s">
        <v>100</v>
      </c>
      <c r="K55" s="48"/>
      <c r="L55" s="49"/>
      <c r="M55" s="50" t="str">
        <f>IF(O55&lt;&gt;O54,MAX(1,MIN(AA55,ROUNDUP(SUMPRODUCT(($O$5:$O$546=O55)*($I$5:$I$546="Ja")*($E$5:$E$546-$D$5:$D$546))*24/REGLER!$B$8,0))),"")</f>
        <v/>
      </c>
      <c r="N55" s="50" t="str">
        <f t="shared" si="0"/>
        <v>Klar</v>
      </c>
      <c r="O55" s="15" t="s">
        <v>99</v>
      </c>
      <c r="P55" s="16">
        <v>0.53125</v>
      </c>
      <c r="Q55" s="16">
        <v>0.625</v>
      </c>
      <c r="R55" s="15">
        <f>IFERROR(MATCH(1,INDEX((MATCHER!$B$5:$B$504=A55)*(MATCHER!$D$5:$D$504=C55)*(MATCHER!$K$5:$K$504="Ja")*(MATCHER!$C$5:$C$504&lt;E55)*(MATCHER!$M$5:$M$504&gt;D55),0),0),"")</f>
        <v>13</v>
      </c>
      <c r="S55" s="15" t="str">
        <f>IF(R55="","",IFERROR(MATCH(1,INDEX((MATCHER!$B$5:$B$504=A55)*(MATCHER!$D$5:$D$504=C55)*(MATCHER!$K$5:$K$504="Ja")*(MATCHER!$C$5:$C$504&lt;E55)*(MATCHER!$M$5:$M$504&gt;D55)*(ROW(MATCHER!$A$5:$A$504)-ROW(MATCHER!$A$5)+1&gt;R55),0),0),""))</f>
        <v/>
      </c>
      <c r="T55" s="15" t="str">
        <f>IF(S55="","",IFERROR(MATCH(1,INDEX((MATCHER!$B$5:$B$504=A55)*(MATCHER!$D$5:$D$504=C55)*(MATCHER!$K$5:$K$504="Ja")*(MATCHER!$C$5:$C$504&lt;E55)*(MATCHER!$M$5:$M$504&gt;D55)*(ROW(MATCHER!$A$5:$A$504)-ROW(MATCHER!$A$5)+1&gt;S55),0),0),""))</f>
        <v/>
      </c>
      <c r="U55" s="15">
        <f t="shared" si="1"/>
        <v>0</v>
      </c>
      <c r="V55" s="15">
        <f>IF(OR(I55&lt;&gt;"Ja",J55=""),"",COUNTIFS($O$5:O55,O55,$U$5:U55,1))</f>
        <v>1</v>
      </c>
      <c r="W55" s="15" t="str">
        <f t="shared" si="2"/>
        <v>2026-10-03 | Råsta Park|1</v>
      </c>
      <c r="X55" s="16" t="str">
        <f t="shared" si="3"/>
        <v/>
      </c>
      <c r="Y55" s="15">
        <f>IF(OR(I55&lt;&gt;"Ja",J55=""),0,IF(COUNTIFS($O$5:O55,O55,$I$5:I55,"Ja",$J$5:J55,"&lt;&gt;")=1,1,0))</f>
        <v>0</v>
      </c>
      <c r="Z55" s="15">
        <f>IF(OR(I55&lt;&gt;"Ja",J55=""),0,IF(COUNTIFS(O55:$O$546,O55,I55:$I$546,"Ja",J55:$J$546,"&lt;&gt;")=1,1,0))</f>
        <v>0</v>
      </c>
      <c r="AA55" s="15">
        <f>AA54</f>
        <v>1</v>
      </c>
      <c r="AB55" s="15" t="str">
        <f>IF(U55&lt;&gt;1,"",COUNTIF($U$5:U55,1))</f>
        <v/>
      </c>
      <c r="AC55" s="15" t="str">
        <f t="shared" si="4"/>
        <v/>
      </c>
      <c r="AD55" s="15" t="str">
        <f t="shared" si="5"/>
        <v>Minicafé</v>
      </c>
      <c r="AE55" s="15" t="str">
        <f t="shared" si="6"/>
        <v/>
      </c>
      <c r="AF55" t="str">
        <f>IF(T55="","",IFERROR(MATCH(1,INDEX((MATCHER!$B$5:$B$504=A55)*(MATCHER!$D$5:$D$504=C55)*(MATCHER!$K$5:$K$504="Ja")*(MATCHER!$C$5:$C$504&lt;E55)*(MATCHER!$M$5:$M$504&gt;D55)*(ROW(MATCHER!$A$5:$A$504)-ROW(MATCHER!$A$5)+1&gt;T55),0),0),""))</f>
        <v/>
      </c>
    </row>
    <row r="56" spans="1:32" ht="13.5" thickBot="1">
      <c r="A56" s="52">
        <v>46298</v>
      </c>
      <c r="B56" s="53" t="s">
        <v>85</v>
      </c>
      <c r="C56" s="53" t="s">
        <v>94</v>
      </c>
      <c r="D56" s="54">
        <v>0.60416666666666696</v>
      </c>
      <c r="E56" s="54">
        <v>0.625</v>
      </c>
      <c r="F56" s="55" t="str">
        <f>IF(R56="","",HOUR(INDEX(MATCHER!$C$5:$C$504,R56))&amp;":"&amp;IF(MINUTE(INDEX(MATCHER!$C$5:$C$504,R56))&lt;10,"0","")&amp;MINUTE(INDEX(MATCHER!$C$5:$C$504,R56))&amp;" "&amp;INDEX(MATCHER!$H$5:$H$504,R56)&amp;" – "&amp;INDEX(MATCHER!$I$5:$I$504,R56))&amp;IF(S56="",""," | "&amp;HOUR(INDEX(MATCHER!$C$5:$C$504,S56))&amp;":"&amp;IF(MINUTE(INDEX(MATCHER!$C$5:$C$504,S56))&lt;10,"0","")&amp;MINUTE(INDEX(MATCHER!$C$5:$C$504,S56))&amp;" "&amp;INDEX(MATCHER!$H$5:$H$504,S56)&amp;" – "&amp;INDEX(MATCHER!$I$5:$I$504,S56))&amp;IF(T56="",""," | "&amp;HOUR(INDEX(MATCHER!$C$5:$C$504,T56))&amp;":"&amp;IF(MINUTE(INDEX(MATCHER!$C$5:$C$504,T56))&lt;10,"0","")&amp;MINUTE(INDEX(MATCHER!$C$5:$C$504,T56))&amp;" "&amp;INDEX(MATCHER!$H$5:$H$504,T56)&amp;" – "&amp;INDEX(MATCHER!$I$5:$I$504,T56))&amp;IF(AF56="",""," | "&amp;HOUR(INDEX(MATCHER!$C$5:$C$504,AF56))&amp;":"&amp;IF(MINUTE(INDEX(MATCHER!$C$5:$C$504,AF56))&lt;10,"0","")&amp;MINUTE(INDEX(MATCHER!$C$5:$C$504,AF56))&amp;" "&amp;INDEX(MATCHER!$H$5:$H$504,AF56)&amp;" – "&amp;INDEX(MATCHER!$I$5:$I$504,AF56))</f>
        <v>13:40 AIK 2 – Täby HBK 4</v>
      </c>
      <c r="G56" s="55" t="str">
        <f>MID(IF(R56="","",IF(OR(INDEX(MATCHER!$J$5:$J$504,R56)=""),""," / "&amp;INDEX(MATCHER!$J$5:$J$504,R56)))&amp;IF(S56="","",IF(OR(INDEX(MATCHER!$J$5:$J$504,S56)="",INDEX(MATCHER!$J$5:$J$504,S56)=IFERROR(INDEX(MATCHER!$J$5:$J$504,R56),"")),""," / "&amp;INDEX(MATCHER!$J$5:$J$504,S56)))&amp;IF(T56="","",IF(OR(INDEX(MATCHER!$J$5:$J$504,T56)="",INDEX(MATCHER!$J$5:$J$504,T56)=IFERROR(INDEX(MATCHER!$J$5:$J$504,R56),""),INDEX(MATCHER!$J$5:$J$504,T56)=IFERROR(INDEX(MATCHER!$J$5:$J$504,S56),"")),""," / "&amp;INDEX(MATCHER!$J$5:$J$504,T56)))&amp;IF(AF56="","",IF(OR(INDEX(MATCHER!$J$5:$J$504,AF56)="",INDEX(MATCHER!$J$5:$J$504,AF56)=IFERROR(INDEX(MATCHER!$J$5:$J$504,R56),""),INDEX(MATCHER!$J$5:$J$504,AF56)=IFERROR(INDEX(MATCHER!$J$5:$J$504,S56),""),INDEX(MATCHER!$J$5:$J$504,AF56)=IFERROR(INDEX(MATCHER!$J$5:$J$504,T56),"")),""," / "&amp;INDEX(MATCHER!$J$5:$J$504,AF56))),4,1000)</f>
        <v>P16 2</v>
      </c>
      <c r="H56" s="55" t="str">
        <f>H55</f>
        <v>P16</v>
      </c>
      <c r="I56" s="56" t="s">
        <v>90</v>
      </c>
      <c r="J56" s="57" t="s">
        <v>100</v>
      </c>
      <c r="K56" s="58"/>
      <c r="L56" s="59"/>
      <c r="M56" s="60" t="str">
        <f>IF(O56&lt;&gt;O55,MAX(1,MIN(AA56,ROUNDUP(SUMPRODUCT(($O$5:$O$546=O56)*($I$5:$I$546="Ja")*($E$5:$E$546-$D$5:$D$546))*24/REGLER!$B$8,0))),"")</f>
        <v/>
      </c>
      <c r="N56" s="60" t="str">
        <f t="shared" si="0"/>
        <v>Klar</v>
      </c>
      <c r="O56" s="15" t="s">
        <v>99</v>
      </c>
      <c r="P56" s="16">
        <v>0.53125</v>
      </c>
      <c r="Q56" s="16">
        <v>0.625</v>
      </c>
      <c r="R56" s="15">
        <f>IFERROR(MATCH(1,INDEX((MATCHER!$B$5:$B$504=A56)*(MATCHER!$D$5:$D$504=C56)*(MATCHER!$K$5:$K$504="Ja")*(MATCHER!$C$5:$C$504&lt;E56)*(MATCHER!$M$5:$M$504&gt;D56),0),0),"")</f>
        <v>13</v>
      </c>
      <c r="S56" s="15" t="str">
        <f>IF(R56="","",IFERROR(MATCH(1,INDEX((MATCHER!$B$5:$B$504=A56)*(MATCHER!$D$5:$D$504=C56)*(MATCHER!$K$5:$K$504="Ja")*(MATCHER!$C$5:$C$504&lt;E56)*(MATCHER!$M$5:$M$504&gt;D56)*(ROW(MATCHER!$A$5:$A$504)-ROW(MATCHER!$A$5)+1&gt;R56),0),0),""))</f>
        <v/>
      </c>
      <c r="T56" s="15" t="str">
        <f>IF(S56="","",IFERROR(MATCH(1,INDEX((MATCHER!$B$5:$B$504=A56)*(MATCHER!$D$5:$D$504=C56)*(MATCHER!$K$5:$K$504="Ja")*(MATCHER!$C$5:$C$504&lt;E56)*(MATCHER!$M$5:$M$504&gt;D56)*(ROW(MATCHER!$A$5:$A$504)-ROW(MATCHER!$A$5)+1&gt;S56),0),0),""))</f>
        <v/>
      </c>
      <c r="U56" s="15">
        <f t="shared" si="1"/>
        <v>0</v>
      </c>
      <c r="V56" s="15">
        <f>IF(OR(I56&lt;&gt;"Ja",J56=""),"",COUNTIFS($O$5:O56,O56,$U$5:U56,1))</f>
        <v>1</v>
      </c>
      <c r="W56" s="15" t="str">
        <f t="shared" si="2"/>
        <v>2026-10-03 | Råsta Park|1</v>
      </c>
      <c r="X56" s="16">
        <f t="shared" si="3"/>
        <v>0.625</v>
      </c>
      <c r="Y56" s="15">
        <f>IF(OR(I56&lt;&gt;"Ja",J56=""),0,IF(COUNTIFS($O$5:O56,O56,$I$5:I56,"Ja",$J$5:J56,"&lt;&gt;")=1,1,0))</f>
        <v>0</v>
      </c>
      <c r="Z56" s="15">
        <f>IF(OR(I56&lt;&gt;"Ja",J56=""),0,IF(COUNTIFS(O56:$O$546,O56,I56:$I$546,"Ja",J56:$J$546,"&lt;&gt;")=1,1,0))</f>
        <v>1</v>
      </c>
      <c r="AA56" s="15">
        <f>AA55</f>
        <v>1</v>
      </c>
      <c r="AB56" s="15" t="str">
        <f>IF(U56&lt;&gt;1,"",COUNTIF($U$5:U56,1))</f>
        <v/>
      </c>
      <c r="AC56" s="15" t="str">
        <f t="shared" si="4"/>
        <v>2026-10-03 | Råsta Park|1</v>
      </c>
      <c r="AD56" s="15" t="str">
        <f t="shared" si="5"/>
        <v>Minicafé</v>
      </c>
      <c r="AE56" s="15" t="str">
        <f t="shared" si="6"/>
        <v/>
      </c>
      <c r="AF56" t="str">
        <f>IF(T56="","",IFERROR(MATCH(1,INDEX((MATCHER!$B$5:$B$504=A56)*(MATCHER!$D$5:$D$504=C56)*(MATCHER!$K$5:$K$504="Ja")*(MATCHER!$C$5:$C$504&lt;E56)*(MATCHER!$M$5:$M$504&gt;D56)*(ROW(MATCHER!$A$5:$A$504)-ROW(MATCHER!$A$5)+1&gt;T56),0),0),""))</f>
        <v/>
      </c>
    </row>
    <row r="57" spans="1:32" ht="26">
      <c r="A57" s="61">
        <v>46298</v>
      </c>
      <c r="B57" s="62" t="s">
        <v>85</v>
      </c>
      <c r="C57" s="62" t="s">
        <v>86</v>
      </c>
      <c r="D57" s="63">
        <v>0.33333333333333298</v>
      </c>
      <c r="E57" s="63">
        <v>0.35416666666666702</v>
      </c>
      <c r="F57" s="64" t="str">
        <f>IF(R57="","",HOUR(INDEX(MATCHER!$C$5:$C$504,R57))&amp;":"&amp;IF(MINUTE(INDEX(MATCHER!$C$5:$C$504,R57))&lt;10,"0","")&amp;MINUTE(INDEX(MATCHER!$C$5:$C$504,R57))&amp;" "&amp;INDEX(MATCHER!$H$5:$H$504,R57)&amp;" – "&amp;INDEX(MATCHER!$I$5:$I$504,R57))&amp;IF(S57="",""," | "&amp;HOUR(INDEX(MATCHER!$C$5:$C$504,S57))&amp;":"&amp;IF(MINUTE(INDEX(MATCHER!$C$5:$C$504,S57))&lt;10,"0","")&amp;MINUTE(INDEX(MATCHER!$C$5:$C$504,S57))&amp;" "&amp;INDEX(MATCHER!$H$5:$H$504,S57)&amp;" – "&amp;INDEX(MATCHER!$I$5:$I$504,S57))&amp;IF(T57="",""," | "&amp;HOUR(INDEX(MATCHER!$C$5:$C$504,T57))&amp;":"&amp;IF(MINUTE(INDEX(MATCHER!$C$5:$C$504,T57))&lt;10,"0","")&amp;MINUTE(INDEX(MATCHER!$C$5:$C$504,T57))&amp;" "&amp;INDEX(MATCHER!$H$5:$H$504,T57)&amp;" – "&amp;INDEX(MATCHER!$I$5:$I$504,T57))&amp;IF(AF57="",""," | "&amp;HOUR(INDEX(MATCHER!$C$5:$C$504,AF57))&amp;":"&amp;IF(MINUTE(INDEX(MATCHER!$C$5:$C$504,AF57))&lt;10,"0","")&amp;MINUTE(INDEX(MATCHER!$C$5:$C$504,AF57))&amp;" "&amp;INDEX(MATCHER!$H$5:$H$504,AF57)&amp;" – "&amp;INDEX(MATCHER!$I$5:$I$504,AF57))</f>
        <v/>
      </c>
      <c r="G57" s="64" t="str">
        <f>MID(IF(R57="","",IF(OR(INDEX(MATCHER!$J$5:$J$504,R57)=""),""," / "&amp;INDEX(MATCHER!$J$5:$J$504,R57)))&amp;IF(S57="","",IF(OR(INDEX(MATCHER!$J$5:$J$504,S57)="",INDEX(MATCHER!$J$5:$J$504,S57)=IFERROR(INDEX(MATCHER!$J$5:$J$504,R57),"")),""," / "&amp;INDEX(MATCHER!$J$5:$J$504,S57)))&amp;IF(T57="","",IF(OR(INDEX(MATCHER!$J$5:$J$504,T57)="",INDEX(MATCHER!$J$5:$J$504,T57)=IFERROR(INDEX(MATCHER!$J$5:$J$504,R57),""),INDEX(MATCHER!$J$5:$J$504,T57)=IFERROR(INDEX(MATCHER!$J$5:$J$504,S57),"")),""," / "&amp;INDEX(MATCHER!$J$5:$J$504,T57)))&amp;IF(AF57="","",IF(OR(INDEX(MATCHER!$J$5:$J$504,AF57)="",INDEX(MATCHER!$J$5:$J$504,AF57)=IFERROR(INDEX(MATCHER!$J$5:$J$504,R57),""),INDEX(MATCHER!$J$5:$J$504,AF57)=IFERROR(INDEX(MATCHER!$J$5:$J$504,S57),""),INDEX(MATCHER!$J$5:$J$504,AF57)=IFERROR(INDEX(MATCHER!$J$5:$J$504,T57),"")),""," / "&amp;INDEX(MATCHER!$J$5:$J$504,AF57))),4,1000)</f>
        <v/>
      </c>
      <c r="H57" s="64" t="str">
        <f>MID(IF(COUNTIFS(MATCHER!$B$5:$B$504,A57,MATCHER!$D$5:$D$504,C57,MATCHER!$J$5:$J$504,REGLER!$I$6,MATCHER!$K$5:$K$504,"Ja")+COUNTIFS(MATCHER!$B$5:$B$504,A57,MATCHER!$D$5:$D$504,C57,MATCHER!$J$5:$J$504,REGLER!$I$6&amp;" 2",MATCHER!$K$5:$K$504,"Ja")&gt;0,", "&amp;REGLER!$I$6,"")&amp;IF(COUNTIFS(MATCHER!$B$5:$B$504,A57,MATCHER!$D$5:$D$504,C57,MATCHER!$J$5:$J$504,REGLER!$I$7,MATCHER!$K$5:$K$504,"Ja")+COUNTIFS(MATCHER!$B$5:$B$504,A57,MATCHER!$D$5:$D$504,C57,MATCHER!$J$5:$J$504,REGLER!$I$7&amp;" 2",MATCHER!$K$5:$K$504,"Ja")&gt;0,", "&amp;REGLER!$I$7,"")&amp;IF(COUNTIFS(MATCHER!$B$5:$B$504,A57,MATCHER!$D$5:$D$504,C57,MATCHER!$J$5:$J$504,REGLER!$I$8,MATCHER!$K$5:$K$504,"Ja")+COUNTIFS(MATCHER!$B$5:$B$504,A57,MATCHER!$D$5:$D$504,C57,MATCHER!$J$5:$J$504,REGLER!$I$8&amp;" 2",MATCHER!$K$5:$K$504,"Ja")&gt;0,", "&amp;REGLER!$I$8,"")&amp;IF(COUNTIFS(MATCHER!$B$5:$B$504,A57,MATCHER!$D$5:$D$504,C57,MATCHER!$J$5:$J$504,REGLER!$I$9,MATCHER!$K$5:$K$504,"Ja")+COUNTIFS(MATCHER!$B$5:$B$504,A57,MATCHER!$D$5:$D$504,C57,MATCHER!$J$5:$J$504,REGLER!$I$9&amp;" 2",MATCHER!$K$5:$K$504,"Ja")&gt;0,", "&amp;REGLER!$I$9,"")&amp;IF(COUNTIFS(MATCHER!$B$5:$B$504,A57,MATCHER!$D$5:$D$504,C57,MATCHER!$J$5:$J$504,REGLER!$I$10,MATCHER!$K$5:$K$504,"Ja")+COUNTIFS(MATCHER!$B$5:$B$504,A57,MATCHER!$D$5:$D$504,C57,MATCHER!$J$5:$J$504,REGLER!$I$10&amp;" 2",MATCHER!$K$5:$K$504,"Ja")&gt;0,", "&amp;REGLER!$I$10,"")&amp;IF(COUNTIFS(MATCHER!$B$5:$B$504,A57,MATCHER!$D$5:$D$504,C57,MATCHER!$J$5:$J$504,REGLER!$I$11,MATCHER!$K$5:$K$504,"Ja")+COUNTIFS(MATCHER!$B$5:$B$504,A57,MATCHER!$D$5:$D$504,C57,MATCHER!$J$5:$J$504,REGLER!$I$11&amp;" 2",MATCHER!$K$5:$K$504,"Ja")&gt;0,", "&amp;REGLER!$I$11,"")&amp;IF(COUNTIFS(MATCHER!$B$5:$B$504,A57,MATCHER!$D$5:$D$504,C57,MATCHER!$J$5:$J$504,REGLER!$I$12,MATCHER!$K$5:$K$504,"Ja")+COUNTIFS(MATCHER!$B$5:$B$504,A57,MATCHER!$D$5:$D$504,C57,MATCHER!$J$5:$J$504,REGLER!$I$12&amp;" 2",MATCHER!$K$5:$K$504,"Ja")&gt;0,", "&amp;REGLER!$I$12,"")&amp;IF(COUNTIFS(MATCHER!$B$5:$B$504,A57,MATCHER!$D$5:$D$504,C57,MATCHER!$J$5:$J$504,REGLER!$I$13,MATCHER!$K$5:$K$504,"Ja")+COUNTIFS(MATCHER!$B$5:$B$504,A57,MATCHER!$D$5:$D$504,C57,MATCHER!$J$5:$J$504,REGLER!$I$13&amp;" 2",MATCHER!$K$5:$K$504,"Ja")&gt;0,", "&amp;REGLER!$I$13,"")&amp;IF(COUNTIFS(MATCHER!$B$5:$B$504,A57,MATCHER!$D$5:$D$504,C57,MATCHER!$J$5:$J$504,REGLER!$I$14,MATCHER!$K$5:$K$504,"Ja")+COUNTIFS(MATCHER!$B$5:$B$504,A57,MATCHER!$D$5:$D$504,C57,MATCHER!$J$5:$J$504,REGLER!$I$14&amp;" 2",MATCHER!$K$5:$K$504,"Ja")&gt;0,", "&amp;REGLER!$I$14,"")&amp;IF(COUNTIFS(MATCHER!$B$5:$B$504,A57,MATCHER!$D$5:$D$504,C57,MATCHER!$J$5:$J$504,REGLER!$I$15,MATCHER!$K$5:$K$504,"Ja")+COUNTIFS(MATCHER!$B$5:$B$504,A57,MATCHER!$D$5:$D$504,C57,MATCHER!$J$5:$J$504,REGLER!$I$15&amp;" 2",MATCHER!$K$5:$K$504,"Ja")&gt;0,", "&amp;REGLER!$I$15,"")&amp;IF(COUNTIFS(MATCHER!$B$5:$B$504,A57,MATCHER!$D$5:$D$504,C57,MATCHER!$J$5:$J$504,REGLER!$I$16,MATCHER!$K$5:$K$504,"Ja")+COUNTIFS(MATCHER!$B$5:$B$504,A57,MATCHER!$D$5:$D$504,C57,MATCHER!$J$5:$J$504,REGLER!$I$16&amp;" 2",MATCHER!$K$5:$K$504,"Ja")&gt;0,", "&amp;REGLER!$I$16,"")&amp;IF(COUNTIFS(MATCHER!$B$5:$B$504,A57,MATCHER!$D$5:$D$504,C57,MATCHER!$J$5:$J$504,REGLER!$I$17,MATCHER!$K$5:$K$504,"Ja")+COUNTIFS(MATCHER!$B$5:$B$504,A57,MATCHER!$D$5:$D$504,C57,MATCHER!$J$5:$J$504,REGLER!$I$17&amp;" 2",MATCHER!$K$5:$K$504,"Ja")&gt;0,", "&amp;REGLER!$I$17,"")&amp;IF(COUNTIFS(MATCHER!$B$5:$B$504,A57,MATCHER!$D$5:$D$504,C57,MATCHER!$J$5:$J$504,REGLER!$I$18,MATCHER!$K$5:$K$504,"Ja")+COUNTIFS(MATCHER!$B$5:$B$504,A57,MATCHER!$D$5:$D$504,C57,MATCHER!$J$5:$J$504,REGLER!$I$18&amp;" 2",MATCHER!$K$5:$K$504,"Ja")&gt;0,", "&amp;REGLER!$I$18,"")&amp;IF(COUNTIFS(MATCHER!$B$5:$B$504,A57,MATCHER!$D$5:$D$504,C57,MATCHER!$J$5:$J$504,REGLER!$I$19,MATCHER!$K$5:$K$504,"Ja")+COUNTIFS(MATCHER!$B$5:$B$504,A57,MATCHER!$D$5:$D$504,C57,MATCHER!$J$5:$J$504,REGLER!$I$19&amp;" 2",MATCHER!$K$5:$K$504,"Ja")&gt;0,", "&amp;REGLER!$I$19,"")&amp;IF(COUNTIFS(MATCHER!$B$5:$B$504,A57,MATCHER!$D$5:$D$504,C57,MATCHER!$J$5:$J$504,REGLER!$I$20,MATCHER!$K$5:$K$504,"Ja")+COUNTIFS(MATCHER!$B$5:$B$504,A57,MATCHER!$D$5:$D$504,C57,MATCHER!$J$5:$J$504,REGLER!$I$20&amp;" 2",MATCHER!$K$5:$K$504,"Ja")&gt;0,", "&amp;REGLER!$I$20,"")&amp;IF(COUNTIFS(MATCHER!$B$5:$B$504,A57,MATCHER!$D$5:$D$504,C57,MATCHER!$J$5:$J$504,REGLER!$I$21,MATCHER!$K$5:$K$504,"Ja")+COUNTIFS(MATCHER!$B$5:$B$504,A57,MATCHER!$D$5:$D$504,C57,MATCHER!$J$5:$J$504,REGLER!$I$21&amp;" 2",MATCHER!$K$5:$K$504,"Ja")&gt;0,", "&amp;REGLER!$I$21,"")&amp;IF(COUNTIFS(MATCHER!$B$5:$B$504,A57,MATCHER!$D$5:$D$504,C57,MATCHER!$J$5:$J$504,REGLER!$I$22,MATCHER!$K$5:$K$504,"Ja")+COUNTIFS(MATCHER!$B$5:$B$504,A57,MATCHER!$D$5:$D$504,C57,MATCHER!$J$5:$J$504,REGLER!$I$22&amp;" 2",MATCHER!$K$5:$K$504,"Ja")&gt;0,", "&amp;REGLER!$I$22,"")&amp;IF(COUNTIFS(MATCHER!$B$5:$B$504,A57,MATCHER!$D$5:$D$504,C57,MATCHER!$J$5:$J$504,REGLER!$I$23,MATCHER!$K$5:$K$504,"Ja")+COUNTIFS(MATCHER!$B$5:$B$504,A57,MATCHER!$D$5:$D$504,C57,MATCHER!$J$5:$J$504,REGLER!$I$23&amp;" 2",MATCHER!$K$5:$K$504,"Ja")&gt;0,", "&amp;REGLER!$I$23,"")&amp;IF(COUNTIFS(MATCHER!$B$5:$B$504,A57,MATCHER!$D$5:$D$504,C57,MATCHER!$J$5:$J$504,REGLER!$I$24,MATCHER!$K$5:$K$504,"Ja")+COUNTIFS(MATCHER!$B$5:$B$504,A57,MATCHER!$D$5:$D$504,C57,MATCHER!$J$5:$J$504,REGLER!$I$24&amp;" 2",MATCHER!$K$5:$K$504,"Ja")&gt;0,", "&amp;REGLER!$I$24,"")&amp;IF(COUNTIFS(MATCHER!$B$5:$B$504,A57,MATCHER!$D$5:$D$504,C57,MATCHER!$J$5:$J$504,REGLER!$I$25,MATCHER!$K$5:$K$504,"Ja")+COUNTIFS(MATCHER!$B$5:$B$504,A57,MATCHER!$D$5:$D$504,C57,MATCHER!$J$5:$J$504,REGLER!$I$25&amp;" 2",MATCHER!$K$5:$K$504,"Ja")&gt;0,", "&amp;REGLER!$I$25,"")&amp;IF(COUNTIFS(MATCHER!$B$5:$B$504,A57,MATCHER!$D$5:$D$504,C57,MATCHER!$J$5:$J$504,REGLER!$I$26,MATCHER!$K$5:$K$504,"Ja")+COUNTIFS(MATCHER!$B$5:$B$504,A57,MATCHER!$D$5:$D$504,C57,MATCHER!$J$5:$J$504,REGLER!$I$26&amp;" 2",MATCHER!$K$5:$K$504,"Ja")&gt;0,", "&amp;REGLER!$I$26,""),3,1000)</f>
        <v>F12, F14</v>
      </c>
      <c r="I57" s="65" t="s">
        <v>90</v>
      </c>
      <c r="J57" s="66" t="s">
        <v>101</v>
      </c>
      <c r="K57" s="67" t="s">
        <v>88</v>
      </c>
      <c r="L57" s="68"/>
      <c r="M57" s="69">
        <f>IF(O57&lt;&gt;O56,MAX(1,MIN(AA57,ROUNDUP(SUMPRODUCT(($O$5:$O$546=O57)*($I$5:$I$546="Ja")*($E$5:$E$546-$D$5:$D$546))*24/REGLER!$B$8,0))),"")</f>
        <v>2</v>
      </c>
      <c r="N57" s="70" t="str">
        <f t="shared" si="0"/>
        <v>Klar</v>
      </c>
      <c r="O57" s="15" t="s">
        <v>102</v>
      </c>
      <c r="P57" s="16">
        <v>0.33333333333333298</v>
      </c>
      <c r="Q57" s="16">
        <v>0.5625</v>
      </c>
      <c r="R57" s="15" t="str">
        <f>IFERROR(MATCH(1,INDEX((MATCHER!$B$5:$B$504=A57)*(MATCHER!$D$5:$D$504=C57)*(MATCHER!$K$5:$K$504="Ja")*(MATCHER!$C$5:$C$504&lt;E57)*(MATCHER!$M$5:$M$504&gt;D57),0),0),"")</f>
        <v/>
      </c>
      <c r="S57" s="15" t="str">
        <f>IF(R57="","",IFERROR(MATCH(1,INDEX((MATCHER!$B$5:$B$504=A57)*(MATCHER!$D$5:$D$504=C57)*(MATCHER!$K$5:$K$504="Ja")*(MATCHER!$C$5:$C$504&lt;E57)*(MATCHER!$M$5:$M$504&gt;D57)*(ROW(MATCHER!$A$5:$A$504)-ROW(MATCHER!$A$5)+1&gt;R57),0),0),""))</f>
        <v/>
      </c>
      <c r="T57" s="15" t="str">
        <f>IF(S57="","",IFERROR(MATCH(1,INDEX((MATCHER!$B$5:$B$504=A57)*(MATCHER!$D$5:$D$504=C57)*(MATCHER!$K$5:$K$504="Ja")*(MATCHER!$C$5:$C$504&lt;E57)*(MATCHER!$M$5:$M$504&gt;D57)*(ROW(MATCHER!$A$5:$A$504)-ROW(MATCHER!$A$5)+1&gt;S57),0),0),""))</f>
        <v/>
      </c>
      <c r="U57" s="15">
        <f t="shared" si="1"/>
        <v>1</v>
      </c>
      <c r="V57" s="15">
        <f>IF(OR(I57&lt;&gt;"Ja",J57=""),"",COUNTIFS($O$5:O57,O57,$U$5:U57,1))</f>
        <v>1</v>
      </c>
      <c r="W57" s="15" t="str">
        <f t="shared" si="2"/>
        <v>2026-10-03 | Ulriksdalshallen|1</v>
      </c>
      <c r="X57" s="16" t="str">
        <f t="shared" si="3"/>
        <v/>
      </c>
      <c r="Y57" s="15">
        <f>IF(OR(I57&lt;&gt;"Ja",J57=""),0,IF(COUNTIFS($O$5:O57,O57,$I$5:I57,"Ja",$J$5:J57,"&lt;&gt;")=1,1,0))</f>
        <v>1</v>
      </c>
      <c r="Z57" s="15">
        <f>IF(OR(I57&lt;&gt;"Ja",J57=""),0,IF(COUNTIFS(O57:$O$546,O57,I57:$I$546,"Ja",J57:$J$546,"&lt;&gt;")=1,1,0))</f>
        <v>0</v>
      </c>
      <c r="AA57" s="15">
        <f>IF(COUNTIFS(MATCHER!$B$5:$B$504,A57,MATCHER!$D$5:$D$504,C57,MATCHER!$J$5:$J$504,REGLER!$I$6,MATCHER!$K$5:$K$504,"Ja")+COUNTIFS(MATCHER!$B$5:$B$504,A57,MATCHER!$D$5:$D$504,C57,MATCHER!$J$5:$J$504,REGLER!$I$6&amp;" 2",MATCHER!$K$5:$K$504,"Ja")&gt;0,1,0)+IF(COUNTIFS(MATCHER!$B$5:$B$504,A57,MATCHER!$D$5:$D$504,C57,MATCHER!$J$5:$J$504,REGLER!$I$7,MATCHER!$K$5:$K$504,"Ja")+COUNTIFS(MATCHER!$B$5:$B$504,A57,MATCHER!$D$5:$D$504,C57,MATCHER!$J$5:$J$504,REGLER!$I$7&amp;" 2",MATCHER!$K$5:$K$504,"Ja")&gt;0,1,0)+IF(COUNTIFS(MATCHER!$B$5:$B$504,A57,MATCHER!$D$5:$D$504,C57,MATCHER!$J$5:$J$504,REGLER!$I$8,MATCHER!$K$5:$K$504,"Ja")+COUNTIFS(MATCHER!$B$5:$B$504,A57,MATCHER!$D$5:$D$504,C57,MATCHER!$J$5:$J$504,REGLER!$I$8&amp;" 2",MATCHER!$K$5:$K$504,"Ja")&gt;0,1,0)+IF(COUNTIFS(MATCHER!$B$5:$B$504,A57,MATCHER!$D$5:$D$504,C57,MATCHER!$J$5:$J$504,REGLER!$I$9,MATCHER!$K$5:$K$504,"Ja")+COUNTIFS(MATCHER!$B$5:$B$504,A57,MATCHER!$D$5:$D$504,C57,MATCHER!$J$5:$J$504,REGLER!$I$9&amp;" 2",MATCHER!$K$5:$K$504,"Ja")&gt;0,1,0)+IF(COUNTIFS(MATCHER!$B$5:$B$504,A57,MATCHER!$D$5:$D$504,C57,MATCHER!$J$5:$J$504,REGLER!$I$10,MATCHER!$K$5:$K$504,"Ja")+COUNTIFS(MATCHER!$B$5:$B$504,A57,MATCHER!$D$5:$D$504,C57,MATCHER!$J$5:$J$504,REGLER!$I$10&amp;" 2",MATCHER!$K$5:$K$504,"Ja")&gt;0,1,0)+IF(COUNTIFS(MATCHER!$B$5:$B$504,A57,MATCHER!$D$5:$D$504,C57,MATCHER!$J$5:$J$504,REGLER!$I$11,MATCHER!$K$5:$K$504,"Ja")+COUNTIFS(MATCHER!$B$5:$B$504,A57,MATCHER!$D$5:$D$504,C57,MATCHER!$J$5:$J$504,REGLER!$I$11&amp;" 2",MATCHER!$K$5:$K$504,"Ja")&gt;0,1,0)+IF(COUNTIFS(MATCHER!$B$5:$B$504,A57,MATCHER!$D$5:$D$504,C57,MATCHER!$J$5:$J$504,REGLER!$I$12,MATCHER!$K$5:$K$504,"Ja")+COUNTIFS(MATCHER!$B$5:$B$504,A57,MATCHER!$D$5:$D$504,C57,MATCHER!$J$5:$J$504,REGLER!$I$12&amp;" 2",MATCHER!$K$5:$K$504,"Ja")&gt;0,1,0)+IF(COUNTIFS(MATCHER!$B$5:$B$504,A57,MATCHER!$D$5:$D$504,C57,MATCHER!$J$5:$J$504,REGLER!$I$13,MATCHER!$K$5:$K$504,"Ja")+COUNTIFS(MATCHER!$B$5:$B$504,A57,MATCHER!$D$5:$D$504,C57,MATCHER!$J$5:$J$504,REGLER!$I$13&amp;" 2",MATCHER!$K$5:$K$504,"Ja")&gt;0,1,0)+IF(COUNTIFS(MATCHER!$B$5:$B$504,A57,MATCHER!$D$5:$D$504,C57,MATCHER!$J$5:$J$504,REGLER!$I$14,MATCHER!$K$5:$K$504,"Ja")+COUNTIFS(MATCHER!$B$5:$B$504,A57,MATCHER!$D$5:$D$504,C57,MATCHER!$J$5:$J$504,REGLER!$I$14&amp;" 2",MATCHER!$K$5:$K$504,"Ja")&gt;0,1,0)+IF(COUNTIFS(MATCHER!$B$5:$B$504,A57,MATCHER!$D$5:$D$504,C57,MATCHER!$J$5:$J$504,REGLER!$I$15,MATCHER!$K$5:$K$504,"Ja")+COUNTIFS(MATCHER!$B$5:$B$504,A57,MATCHER!$D$5:$D$504,C57,MATCHER!$J$5:$J$504,REGLER!$I$15&amp;" 2",MATCHER!$K$5:$K$504,"Ja")&gt;0,1,0)+IF(COUNTIFS(MATCHER!$B$5:$B$504,A57,MATCHER!$D$5:$D$504,C57,MATCHER!$J$5:$J$504,REGLER!$I$16,MATCHER!$K$5:$K$504,"Ja")+COUNTIFS(MATCHER!$B$5:$B$504,A57,MATCHER!$D$5:$D$504,C57,MATCHER!$J$5:$J$504,REGLER!$I$16&amp;" 2",MATCHER!$K$5:$K$504,"Ja")&gt;0,1,0)+IF(COUNTIFS(MATCHER!$B$5:$B$504,A57,MATCHER!$D$5:$D$504,C57,MATCHER!$J$5:$J$504,REGLER!$I$17,MATCHER!$K$5:$K$504,"Ja")+COUNTIFS(MATCHER!$B$5:$B$504,A57,MATCHER!$D$5:$D$504,C57,MATCHER!$J$5:$J$504,REGLER!$I$17&amp;" 2",MATCHER!$K$5:$K$504,"Ja")&gt;0,1,0)+IF(COUNTIFS(MATCHER!$B$5:$B$504,A57,MATCHER!$D$5:$D$504,C57,MATCHER!$J$5:$J$504,REGLER!$I$18,MATCHER!$K$5:$K$504,"Ja")+COUNTIFS(MATCHER!$B$5:$B$504,A57,MATCHER!$D$5:$D$504,C57,MATCHER!$J$5:$J$504,REGLER!$I$18&amp;" 2",MATCHER!$K$5:$K$504,"Ja")&gt;0,1,0)+IF(COUNTIFS(MATCHER!$B$5:$B$504,A57,MATCHER!$D$5:$D$504,C57,MATCHER!$J$5:$J$504,REGLER!$I$19,MATCHER!$K$5:$K$504,"Ja")+COUNTIFS(MATCHER!$B$5:$B$504,A57,MATCHER!$D$5:$D$504,C57,MATCHER!$J$5:$J$504,REGLER!$I$19&amp;" 2",MATCHER!$K$5:$K$504,"Ja")&gt;0,1,0)+IF(COUNTIFS(MATCHER!$B$5:$B$504,A57,MATCHER!$D$5:$D$504,C57,MATCHER!$J$5:$J$504,REGLER!$I$20,MATCHER!$K$5:$K$504,"Ja")+COUNTIFS(MATCHER!$B$5:$B$504,A57,MATCHER!$D$5:$D$504,C57,MATCHER!$J$5:$J$504,REGLER!$I$20&amp;" 2",MATCHER!$K$5:$K$504,"Ja")&gt;0,1,0)+IF(COUNTIFS(MATCHER!$B$5:$B$504,A57,MATCHER!$D$5:$D$504,C57,MATCHER!$J$5:$J$504,REGLER!$I$21,MATCHER!$K$5:$K$504,"Ja")+COUNTIFS(MATCHER!$B$5:$B$504,A57,MATCHER!$D$5:$D$504,C57,MATCHER!$J$5:$J$504,REGLER!$I$21&amp;" 2",MATCHER!$K$5:$K$504,"Ja")&gt;0,1,0)+IF(COUNTIFS(MATCHER!$B$5:$B$504,A57,MATCHER!$D$5:$D$504,C57,MATCHER!$J$5:$J$504,REGLER!$I$22,MATCHER!$K$5:$K$504,"Ja")+COUNTIFS(MATCHER!$B$5:$B$504,A57,MATCHER!$D$5:$D$504,C57,MATCHER!$J$5:$J$504,REGLER!$I$22&amp;" 2",MATCHER!$K$5:$K$504,"Ja")&gt;0,1,0)+IF(COUNTIFS(MATCHER!$B$5:$B$504,A57,MATCHER!$D$5:$D$504,C57,MATCHER!$J$5:$J$504,REGLER!$I$23,MATCHER!$K$5:$K$504,"Ja")+COUNTIFS(MATCHER!$B$5:$B$504,A57,MATCHER!$D$5:$D$504,C57,MATCHER!$J$5:$J$504,REGLER!$I$23&amp;" 2",MATCHER!$K$5:$K$504,"Ja")&gt;0,1,0)+IF(COUNTIFS(MATCHER!$B$5:$B$504,A57,MATCHER!$D$5:$D$504,C57,MATCHER!$J$5:$J$504,REGLER!$I$24,MATCHER!$K$5:$K$504,"Ja")+COUNTIFS(MATCHER!$B$5:$B$504,A57,MATCHER!$D$5:$D$504,C57,MATCHER!$J$5:$J$504,REGLER!$I$24&amp;" 2",MATCHER!$K$5:$K$504,"Ja")&gt;0,1,0)+IF(COUNTIFS(MATCHER!$B$5:$B$504,A57,MATCHER!$D$5:$D$504,C57,MATCHER!$J$5:$J$504,REGLER!$I$25,MATCHER!$K$5:$K$504,"Ja")+COUNTIFS(MATCHER!$B$5:$B$504,A57,MATCHER!$D$5:$D$504,C57,MATCHER!$J$5:$J$504,REGLER!$I$25&amp;" 2",MATCHER!$K$5:$K$504,"Ja")&gt;0,1,0)+IF(COUNTIFS(MATCHER!$B$5:$B$504,A57,MATCHER!$D$5:$D$504,C57,MATCHER!$J$5:$J$504,REGLER!$I$26,MATCHER!$K$5:$K$504,"Ja")+COUNTIFS(MATCHER!$B$5:$B$504,A57,MATCHER!$D$5:$D$504,C57,MATCHER!$J$5:$J$504,REGLER!$I$26&amp;" 2",MATCHER!$K$5:$K$504,"Ja")&gt;0,1,0)</f>
        <v>2</v>
      </c>
      <c r="AB57" s="15">
        <f>IF(U57&lt;&gt;1,"",COUNTIF($U$5:U57,1))</f>
        <v>6</v>
      </c>
      <c r="AC57" s="15" t="str">
        <f t="shared" si="4"/>
        <v/>
      </c>
      <c r="AD57" s="15" t="str">
        <f t="shared" si="5"/>
        <v>Vanligt café</v>
      </c>
      <c r="AE57" s="15">
        <f t="shared" si="6"/>
        <v>4.0000000000000089</v>
      </c>
      <c r="AF57" t="str">
        <f>IF(T57="","",IFERROR(MATCH(1,INDEX((MATCHER!$B$5:$B$504=A57)*(MATCHER!$D$5:$D$504=C57)*(MATCHER!$K$5:$K$504="Ja")*(MATCHER!$C$5:$C$504&lt;E57)*(MATCHER!$M$5:$M$504&gt;D57)*(ROW(MATCHER!$A$5:$A$504)-ROW(MATCHER!$A$5)+1&gt;T57),0),0),""))</f>
        <v/>
      </c>
    </row>
    <row r="58" spans="1:32" ht="26">
      <c r="A58" s="42">
        <v>46298</v>
      </c>
      <c r="B58" s="43" t="s">
        <v>85</v>
      </c>
      <c r="C58" s="43" t="s">
        <v>86</v>
      </c>
      <c r="D58" s="44">
        <v>0.35416666666666702</v>
      </c>
      <c r="E58" s="44">
        <v>0.375</v>
      </c>
      <c r="F58" s="45" t="str">
        <f>IF(R58="","",HOUR(INDEX(MATCHER!$C$5:$C$504,R58))&amp;":"&amp;IF(MINUTE(INDEX(MATCHER!$C$5:$C$504,R58))&lt;10,"0","")&amp;MINUTE(INDEX(MATCHER!$C$5:$C$504,R58))&amp;" "&amp;INDEX(MATCHER!$H$5:$H$504,R58)&amp;" – "&amp;INDEX(MATCHER!$I$5:$I$504,R58))&amp;IF(S58="",""," | "&amp;HOUR(INDEX(MATCHER!$C$5:$C$504,S58))&amp;":"&amp;IF(MINUTE(INDEX(MATCHER!$C$5:$C$504,S58))&lt;10,"0","")&amp;MINUTE(INDEX(MATCHER!$C$5:$C$504,S58))&amp;" "&amp;INDEX(MATCHER!$H$5:$H$504,S58)&amp;" – "&amp;INDEX(MATCHER!$I$5:$I$504,S58))&amp;IF(T58="",""," | "&amp;HOUR(INDEX(MATCHER!$C$5:$C$504,T58))&amp;":"&amp;IF(MINUTE(INDEX(MATCHER!$C$5:$C$504,T58))&lt;10,"0","")&amp;MINUTE(INDEX(MATCHER!$C$5:$C$504,T58))&amp;" "&amp;INDEX(MATCHER!$H$5:$H$504,T58)&amp;" – "&amp;INDEX(MATCHER!$I$5:$I$504,T58))&amp;IF(AF58="",""," | "&amp;HOUR(INDEX(MATCHER!$C$5:$C$504,AF58))&amp;":"&amp;IF(MINUTE(INDEX(MATCHER!$C$5:$C$504,AF58))&lt;10,"0","")&amp;MINUTE(INDEX(MATCHER!$C$5:$C$504,AF58))&amp;" "&amp;INDEX(MATCHER!$H$5:$H$504,AF58)&amp;" – "&amp;INDEX(MATCHER!$I$5:$I$504,AF58))</f>
        <v/>
      </c>
      <c r="G58" s="45" t="str">
        <f>MID(IF(R58="","",IF(OR(INDEX(MATCHER!$J$5:$J$504,R58)=""),""," / "&amp;INDEX(MATCHER!$J$5:$J$504,R58)))&amp;IF(S58="","",IF(OR(INDEX(MATCHER!$J$5:$J$504,S58)="",INDEX(MATCHER!$J$5:$J$504,S58)=IFERROR(INDEX(MATCHER!$J$5:$J$504,R58),"")),""," / "&amp;INDEX(MATCHER!$J$5:$J$504,S58)))&amp;IF(T58="","",IF(OR(INDEX(MATCHER!$J$5:$J$504,T58)="",INDEX(MATCHER!$J$5:$J$504,T58)=IFERROR(INDEX(MATCHER!$J$5:$J$504,R58),""),INDEX(MATCHER!$J$5:$J$504,T58)=IFERROR(INDEX(MATCHER!$J$5:$J$504,S58),"")),""," / "&amp;INDEX(MATCHER!$J$5:$J$504,T58)))&amp;IF(AF58="","",IF(OR(INDEX(MATCHER!$J$5:$J$504,AF58)="",INDEX(MATCHER!$J$5:$J$504,AF58)=IFERROR(INDEX(MATCHER!$J$5:$J$504,R58),""),INDEX(MATCHER!$J$5:$J$504,AF58)=IFERROR(INDEX(MATCHER!$J$5:$J$504,S58),""),INDEX(MATCHER!$J$5:$J$504,AF58)=IFERROR(INDEX(MATCHER!$J$5:$J$504,T58),"")),""," / "&amp;INDEX(MATCHER!$J$5:$J$504,AF58))),4,1000)</f>
        <v/>
      </c>
      <c r="H58" s="45" t="str">
        <f t="shared" ref="H58:H67" si="13">H57</f>
        <v>F12, F14</v>
      </c>
      <c r="I58" s="46" t="s">
        <v>90</v>
      </c>
      <c r="J58" s="47" t="s">
        <v>101</v>
      </c>
      <c r="K58" s="48"/>
      <c r="L58" s="49"/>
      <c r="M58" s="50" t="str">
        <f>IF(O58&lt;&gt;O57,MAX(1,MIN(AA58,ROUNDUP(SUMPRODUCT(($O$5:$O$546=O58)*($I$5:$I$546="Ja")*($E$5:$E$546-$D$5:$D$546))*24/REGLER!$B$8,0))),"")</f>
        <v/>
      </c>
      <c r="N58" s="50" t="str">
        <f t="shared" si="0"/>
        <v>Klar</v>
      </c>
      <c r="O58" s="15" t="s">
        <v>102</v>
      </c>
      <c r="P58" s="16">
        <v>0.33333333333333298</v>
      </c>
      <c r="Q58" s="16">
        <v>0.5625</v>
      </c>
      <c r="R58" s="15" t="str">
        <f>IFERROR(MATCH(1,INDEX((MATCHER!$B$5:$B$504=A58)*(MATCHER!$D$5:$D$504=C58)*(MATCHER!$K$5:$K$504="Ja")*(MATCHER!$C$5:$C$504&lt;E58)*(MATCHER!$M$5:$M$504&gt;D58),0),0),"")</f>
        <v/>
      </c>
      <c r="S58" s="15" t="str">
        <f>IF(R58="","",IFERROR(MATCH(1,INDEX((MATCHER!$B$5:$B$504=A58)*(MATCHER!$D$5:$D$504=C58)*(MATCHER!$K$5:$K$504="Ja")*(MATCHER!$C$5:$C$504&lt;E58)*(MATCHER!$M$5:$M$504&gt;D58)*(ROW(MATCHER!$A$5:$A$504)-ROW(MATCHER!$A$5)+1&gt;R58),0),0),""))</f>
        <v/>
      </c>
      <c r="T58" s="15" t="str">
        <f>IF(S58="","",IFERROR(MATCH(1,INDEX((MATCHER!$B$5:$B$504=A58)*(MATCHER!$D$5:$D$504=C58)*(MATCHER!$K$5:$K$504="Ja")*(MATCHER!$C$5:$C$504&lt;E58)*(MATCHER!$M$5:$M$504&gt;D58)*(ROW(MATCHER!$A$5:$A$504)-ROW(MATCHER!$A$5)+1&gt;S58),0),0),""))</f>
        <v/>
      </c>
      <c r="U58" s="15">
        <f t="shared" si="1"/>
        <v>0</v>
      </c>
      <c r="V58" s="15">
        <f>IF(OR(I58&lt;&gt;"Ja",J58=""),"",COUNTIFS($O$5:O58,O58,$U$5:U58,1))</f>
        <v>1</v>
      </c>
      <c r="W58" s="15" t="str">
        <f t="shared" si="2"/>
        <v>2026-10-03 | Ulriksdalshallen|1</v>
      </c>
      <c r="X58" s="16" t="str">
        <f t="shared" si="3"/>
        <v/>
      </c>
      <c r="Y58" s="15">
        <f>IF(OR(I58&lt;&gt;"Ja",J58=""),0,IF(COUNTIFS($O$5:O58,O58,$I$5:I58,"Ja",$J$5:J58,"&lt;&gt;")=1,1,0))</f>
        <v>0</v>
      </c>
      <c r="Z58" s="15">
        <f>IF(OR(I58&lt;&gt;"Ja",J58=""),0,IF(COUNTIFS(O58:$O$546,O58,I58:$I$546,"Ja",J58:$J$546,"&lt;&gt;")=1,1,0))</f>
        <v>0</v>
      </c>
      <c r="AA58" s="15">
        <f t="shared" ref="AA58:AA67" si="14">AA57</f>
        <v>2</v>
      </c>
      <c r="AB58" s="15" t="str">
        <f>IF(U58&lt;&gt;1,"",COUNTIF($U$5:U58,1))</f>
        <v/>
      </c>
      <c r="AC58" s="15" t="str">
        <f t="shared" si="4"/>
        <v/>
      </c>
      <c r="AD58" s="15" t="str">
        <f t="shared" si="5"/>
        <v>Vanligt café</v>
      </c>
      <c r="AE58" s="15" t="str">
        <f t="shared" si="6"/>
        <v/>
      </c>
      <c r="AF58" t="str">
        <f>IF(T58="","",IFERROR(MATCH(1,INDEX((MATCHER!$B$5:$B$504=A58)*(MATCHER!$D$5:$D$504=C58)*(MATCHER!$K$5:$K$504="Ja")*(MATCHER!$C$5:$C$504&lt;E58)*(MATCHER!$M$5:$M$504&gt;D58)*(ROW(MATCHER!$A$5:$A$504)-ROW(MATCHER!$A$5)+1&gt;T58),0),0),""))</f>
        <v/>
      </c>
    </row>
    <row r="59" spans="1:32" ht="26">
      <c r="A59" s="42">
        <v>46298</v>
      </c>
      <c r="B59" s="43" t="s">
        <v>85</v>
      </c>
      <c r="C59" s="43" t="s">
        <v>86</v>
      </c>
      <c r="D59" s="44">
        <v>0.375</v>
      </c>
      <c r="E59" s="44">
        <v>0.39583333333333298</v>
      </c>
      <c r="F59" s="45" t="str">
        <f>IF(R59="","",HOUR(INDEX(MATCHER!$C$5:$C$504,R59))&amp;":"&amp;IF(MINUTE(INDEX(MATCHER!$C$5:$C$504,R59))&lt;10,"0","")&amp;MINUTE(INDEX(MATCHER!$C$5:$C$504,R59))&amp;" "&amp;INDEX(MATCHER!$H$5:$H$504,R59)&amp;" – "&amp;INDEX(MATCHER!$I$5:$I$504,R59))&amp;IF(S59="",""," | "&amp;HOUR(INDEX(MATCHER!$C$5:$C$504,S59))&amp;":"&amp;IF(MINUTE(INDEX(MATCHER!$C$5:$C$504,S59))&lt;10,"0","")&amp;MINUTE(INDEX(MATCHER!$C$5:$C$504,S59))&amp;" "&amp;INDEX(MATCHER!$H$5:$H$504,S59)&amp;" – "&amp;INDEX(MATCHER!$I$5:$I$504,S59))&amp;IF(T59="",""," | "&amp;HOUR(INDEX(MATCHER!$C$5:$C$504,T59))&amp;":"&amp;IF(MINUTE(INDEX(MATCHER!$C$5:$C$504,T59))&lt;10,"0","")&amp;MINUTE(INDEX(MATCHER!$C$5:$C$504,T59))&amp;" "&amp;INDEX(MATCHER!$H$5:$H$504,T59)&amp;" – "&amp;INDEX(MATCHER!$I$5:$I$504,T59))&amp;IF(AF59="",""," | "&amp;HOUR(INDEX(MATCHER!$C$5:$C$504,AF59))&amp;":"&amp;IF(MINUTE(INDEX(MATCHER!$C$5:$C$504,AF59))&lt;10,"0","")&amp;MINUTE(INDEX(MATCHER!$C$5:$C$504,AF59))&amp;" "&amp;INDEX(MATCHER!$H$5:$H$504,AF59)&amp;" – "&amp;INDEX(MATCHER!$I$5:$I$504,AF59))</f>
        <v>9:00 AIK – Sollentuna HK 1</v>
      </c>
      <c r="G59" s="45" t="str">
        <f>MID(IF(R59="","",IF(OR(INDEX(MATCHER!$J$5:$J$504,R59)=""),""," / "&amp;INDEX(MATCHER!$J$5:$J$504,R59)))&amp;IF(S59="","",IF(OR(INDEX(MATCHER!$J$5:$J$504,S59)="",INDEX(MATCHER!$J$5:$J$504,S59)=IFERROR(INDEX(MATCHER!$J$5:$J$504,R59),"")),""," / "&amp;INDEX(MATCHER!$J$5:$J$504,S59)))&amp;IF(T59="","",IF(OR(INDEX(MATCHER!$J$5:$J$504,T59)="",INDEX(MATCHER!$J$5:$J$504,T59)=IFERROR(INDEX(MATCHER!$J$5:$J$504,R59),""),INDEX(MATCHER!$J$5:$J$504,T59)=IFERROR(INDEX(MATCHER!$J$5:$J$504,S59),"")),""," / "&amp;INDEX(MATCHER!$J$5:$J$504,T59)))&amp;IF(AF59="","",IF(OR(INDEX(MATCHER!$J$5:$J$504,AF59)="",INDEX(MATCHER!$J$5:$J$504,AF59)=IFERROR(INDEX(MATCHER!$J$5:$J$504,R59),""),INDEX(MATCHER!$J$5:$J$504,AF59)=IFERROR(INDEX(MATCHER!$J$5:$J$504,S59),""),INDEX(MATCHER!$J$5:$J$504,AF59)=IFERROR(INDEX(MATCHER!$J$5:$J$504,T59),"")),""," / "&amp;INDEX(MATCHER!$J$5:$J$504,AF59))),4,1000)</f>
        <v>F12</v>
      </c>
      <c r="H59" s="45" t="str">
        <f t="shared" si="13"/>
        <v>F12, F14</v>
      </c>
      <c r="I59" s="46" t="s">
        <v>90</v>
      </c>
      <c r="J59" s="47" t="s">
        <v>101</v>
      </c>
      <c r="K59" s="48"/>
      <c r="L59" s="49"/>
      <c r="M59" s="50" t="str">
        <f>IF(O59&lt;&gt;O58,MAX(1,MIN(AA59,ROUNDUP(SUMPRODUCT(($O$5:$O$546=O59)*($I$5:$I$546="Ja")*($E$5:$E$546-$D$5:$D$546))*24/REGLER!$B$8,0))),"")</f>
        <v/>
      </c>
      <c r="N59" s="50" t="str">
        <f t="shared" si="0"/>
        <v>Klar</v>
      </c>
      <c r="O59" s="15" t="s">
        <v>102</v>
      </c>
      <c r="P59" s="16">
        <v>0.33333333333333298</v>
      </c>
      <c r="Q59" s="16">
        <v>0.5625</v>
      </c>
      <c r="R59" s="15">
        <f>IFERROR(MATCH(1,INDEX((MATCHER!$B$5:$B$504=A59)*(MATCHER!$D$5:$D$504=C59)*(MATCHER!$K$5:$K$504="Ja")*(MATCHER!$C$5:$C$504&lt;E59)*(MATCHER!$M$5:$M$504&gt;D59),0),0),"")</f>
        <v>14</v>
      </c>
      <c r="S59" s="15" t="str">
        <f>IF(R59="","",IFERROR(MATCH(1,INDEX((MATCHER!$B$5:$B$504=A59)*(MATCHER!$D$5:$D$504=C59)*(MATCHER!$K$5:$K$504="Ja")*(MATCHER!$C$5:$C$504&lt;E59)*(MATCHER!$M$5:$M$504&gt;D59)*(ROW(MATCHER!$A$5:$A$504)-ROW(MATCHER!$A$5)+1&gt;R59),0),0),""))</f>
        <v/>
      </c>
      <c r="T59" s="15" t="str">
        <f>IF(S59="","",IFERROR(MATCH(1,INDEX((MATCHER!$B$5:$B$504=A59)*(MATCHER!$D$5:$D$504=C59)*(MATCHER!$K$5:$K$504="Ja")*(MATCHER!$C$5:$C$504&lt;E59)*(MATCHER!$M$5:$M$504&gt;D59)*(ROW(MATCHER!$A$5:$A$504)-ROW(MATCHER!$A$5)+1&gt;S59),0),0),""))</f>
        <v/>
      </c>
      <c r="U59" s="15">
        <f t="shared" si="1"/>
        <v>0</v>
      </c>
      <c r="V59" s="15">
        <f>IF(OR(I59&lt;&gt;"Ja",J59=""),"",COUNTIFS($O$5:O59,O59,$U$5:U59,1))</f>
        <v>1</v>
      </c>
      <c r="W59" s="15" t="str">
        <f t="shared" si="2"/>
        <v>2026-10-03 | Ulriksdalshallen|1</v>
      </c>
      <c r="X59" s="16" t="str">
        <f t="shared" si="3"/>
        <v/>
      </c>
      <c r="Y59" s="15">
        <f>IF(OR(I59&lt;&gt;"Ja",J59=""),0,IF(COUNTIFS($O$5:O59,O59,$I$5:I59,"Ja",$J$5:J59,"&lt;&gt;")=1,1,0))</f>
        <v>0</v>
      </c>
      <c r="Z59" s="15">
        <f>IF(OR(I59&lt;&gt;"Ja",J59=""),0,IF(COUNTIFS(O59:$O$546,O59,I59:$I$546,"Ja",J59:$J$546,"&lt;&gt;")=1,1,0))</f>
        <v>0</v>
      </c>
      <c r="AA59" s="15">
        <f t="shared" si="14"/>
        <v>2</v>
      </c>
      <c r="AB59" s="15" t="str">
        <f>IF(U59&lt;&gt;1,"",COUNTIF($U$5:U59,1))</f>
        <v/>
      </c>
      <c r="AC59" s="15" t="str">
        <f t="shared" si="4"/>
        <v/>
      </c>
      <c r="AD59" s="15" t="str">
        <f t="shared" si="5"/>
        <v>Vanligt café</v>
      </c>
      <c r="AE59" s="15" t="str">
        <f t="shared" si="6"/>
        <v/>
      </c>
      <c r="AF59" t="str">
        <f>IF(T59="","",IFERROR(MATCH(1,INDEX((MATCHER!$B$5:$B$504=A59)*(MATCHER!$D$5:$D$504=C59)*(MATCHER!$K$5:$K$504="Ja")*(MATCHER!$C$5:$C$504&lt;E59)*(MATCHER!$M$5:$M$504&gt;D59)*(ROW(MATCHER!$A$5:$A$504)-ROW(MATCHER!$A$5)+1&gt;T59),0),0),""))</f>
        <v/>
      </c>
    </row>
    <row r="60" spans="1:32" ht="26">
      <c r="A60" s="42">
        <v>46298</v>
      </c>
      <c r="B60" s="43" t="s">
        <v>85</v>
      </c>
      <c r="C60" s="43" t="s">
        <v>86</v>
      </c>
      <c r="D60" s="44">
        <v>0.39583333333333298</v>
      </c>
      <c r="E60" s="44">
        <v>0.41666666666666702</v>
      </c>
      <c r="F60" s="45" t="str">
        <f>IF(R60="","",HOUR(INDEX(MATCHER!$C$5:$C$504,R60))&amp;":"&amp;IF(MINUTE(INDEX(MATCHER!$C$5:$C$504,R60))&lt;10,"0","")&amp;MINUTE(INDEX(MATCHER!$C$5:$C$504,R60))&amp;" "&amp;INDEX(MATCHER!$H$5:$H$504,R60)&amp;" – "&amp;INDEX(MATCHER!$I$5:$I$504,R60))&amp;IF(S60="",""," | "&amp;HOUR(INDEX(MATCHER!$C$5:$C$504,S60))&amp;":"&amp;IF(MINUTE(INDEX(MATCHER!$C$5:$C$504,S60))&lt;10,"0","")&amp;MINUTE(INDEX(MATCHER!$C$5:$C$504,S60))&amp;" "&amp;INDEX(MATCHER!$H$5:$H$504,S60)&amp;" – "&amp;INDEX(MATCHER!$I$5:$I$504,S60))&amp;IF(T60="",""," | "&amp;HOUR(INDEX(MATCHER!$C$5:$C$504,T60))&amp;":"&amp;IF(MINUTE(INDEX(MATCHER!$C$5:$C$504,T60))&lt;10,"0","")&amp;MINUTE(INDEX(MATCHER!$C$5:$C$504,T60))&amp;" "&amp;INDEX(MATCHER!$H$5:$H$504,T60)&amp;" – "&amp;INDEX(MATCHER!$I$5:$I$504,T60))&amp;IF(AF60="",""," | "&amp;HOUR(INDEX(MATCHER!$C$5:$C$504,AF60))&amp;":"&amp;IF(MINUTE(INDEX(MATCHER!$C$5:$C$504,AF60))&lt;10,"0","")&amp;MINUTE(INDEX(MATCHER!$C$5:$C$504,AF60))&amp;" "&amp;INDEX(MATCHER!$H$5:$H$504,AF60)&amp;" – "&amp;INDEX(MATCHER!$I$5:$I$504,AF60))</f>
        <v>9:00 AIK – Sollentuna HK 1</v>
      </c>
      <c r="G60" s="45" t="str">
        <f>MID(IF(R60="","",IF(OR(INDEX(MATCHER!$J$5:$J$504,R60)=""),""," / "&amp;INDEX(MATCHER!$J$5:$J$504,R60)))&amp;IF(S60="","",IF(OR(INDEX(MATCHER!$J$5:$J$504,S60)="",INDEX(MATCHER!$J$5:$J$504,S60)=IFERROR(INDEX(MATCHER!$J$5:$J$504,R60),"")),""," / "&amp;INDEX(MATCHER!$J$5:$J$504,S60)))&amp;IF(T60="","",IF(OR(INDEX(MATCHER!$J$5:$J$504,T60)="",INDEX(MATCHER!$J$5:$J$504,T60)=IFERROR(INDEX(MATCHER!$J$5:$J$504,R60),""),INDEX(MATCHER!$J$5:$J$504,T60)=IFERROR(INDEX(MATCHER!$J$5:$J$504,S60),"")),""," / "&amp;INDEX(MATCHER!$J$5:$J$504,T60)))&amp;IF(AF60="","",IF(OR(INDEX(MATCHER!$J$5:$J$504,AF60)="",INDEX(MATCHER!$J$5:$J$504,AF60)=IFERROR(INDEX(MATCHER!$J$5:$J$504,R60),""),INDEX(MATCHER!$J$5:$J$504,AF60)=IFERROR(INDEX(MATCHER!$J$5:$J$504,S60),""),INDEX(MATCHER!$J$5:$J$504,AF60)=IFERROR(INDEX(MATCHER!$J$5:$J$504,T60),"")),""," / "&amp;INDEX(MATCHER!$J$5:$J$504,AF60))),4,1000)</f>
        <v>F12</v>
      </c>
      <c r="H60" s="45" t="str">
        <f t="shared" si="13"/>
        <v>F12, F14</v>
      </c>
      <c r="I60" s="46" t="s">
        <v>90</v>
      </c>
      <c r="J60" s="47" t="s">
        <v>101</v>
      </c>
      <c r="K60" s="48"/>
      <c r="L60" s="49"/>
      <c r="M60" s="50" t="str">
        <f>IF(O60&lt;&gt;O59,MAX(1,MIN(AA60,ROUNDUP(SUMPRODUCT(($O$5:$O$546=O60)*($I$5:$I$546="Ja")*($E$5:$E$546-$D$5:$D$546))*24/REGLER!$B$8,0))),"")</f>
        <v/>
      </c>
      <c r="N60" s="50" t="str">
        <f t="shared" si="0"/>
        <v>Klar</v>
      </c>
      <c r="O60" s="15" t="s">
        <v>102</v>
      </c>
      <c r="P60" s="16">
        <v>0.33333333333333298</v>
      </c>
      <c r="Q60" s="16">
        <v>0.5625</v>
      </c>
      <c r="R60" s="15">
        <f>IFERROR(MATCH(1,INDEX((MATCHER!$B$5:$B$504=A60)*(MATCHER!$D$5:$D$504=C60)*(MATCHER!$K$5:$K$504="Ja")*(MATCHER!$C$5:$C$504&lt;E60)*(MATCHER!$M$5:$M$504&gt;D60),0),0),"")</f>
        <v>14</v>
      </c>
      <c r="S60" s="15" t="str">
        <f>IF(R60="","",IFERROR(MATCH(1,INDEX((MATCHER!$B$5:$B$504=A60)*(MATCHER!$D$5:$D$504=C60)*(MATCHER!$K$5:$K$504="Ja")*(MATCHER!$C$5:$C$504&lt;E60)*(MATCHER!$M$5:$M$504&gt;D60)*(ROW(MATCHER!$A$5:$A$504)-ROW(MATCHER!$A$5)+1&gt;R60),0),0),""))</f>
        <v/>
      </c>
      <c r="T60" s="15" t="str">
        <f>IF(S60="","",IFERROR(MATCH(1,INDEX((MATCHER!$B$5:$B$504=A60)*(MATCHER!$D$5:$D$504=C60)*(MATCHER!$K$5:$K$504="Ja")*(MATCHER!$C$5:$C$504&lt;E60)*(MATCHER!$M$5:$M$504&gt;D60)*(ROW(MATCHER!$A$5:$A$504)-ROW(MATCHER!$A$5)+1&gt;S60),0),0),""))</f>
        <v/>
      </c>
      <c r="U60" s="15">
        <f t="shared" si="1"/>
        <v>0</v>
      </c>
      <c r="V60" s="15">
        <f>IF(OR(I60&lt;&gt;"Ja",J60=""),"",COUNTIFS($O$5:O60,O60,$U$5:U60,1))</f>
        <v>1</v>
      </c>
      <c r="W60" s="15" t="str">
        <f t="shared" si="2"/>
        <v>2026-10-03 | Ulriksdalshallen|1</v>
      </c>
      <c r="X60" s="16" t="str">
        <f t="shared" si="3"/>
        <v/>
      </c>
      <c r="Y60" s="15">
        <f>IF(OR(I60&lt;&gt;"Ja",J60=""),0,IF(COUNTIFS($O$5:O60,O60,$I$5:I60,"Ja",$J$5:J60,"&lt;&gt;")=1,1,0))</f>
        <v>0</v>
      </c>
      <c r="Z60" s="15">
        <f>IF(OR(I60&lt;&gt;"Ja",J60=""),0,IF(COUNTIFS(O60:$O$546,O60,I60:$I$546,"Ja",J60:$J$546,"&lt;&gt;")=1,1,0))</f>
        <v>0</v>
      </c>
      <c r="AA60" s="15">
        <f t="shared" si="14"/>
        <v>2</v>
      </c>
      <c r="AB60" s="15" t="str">
        <f>IF(U60&lt;&gt;1,"",COUNTIF($U$5:U60,1))</f>
        <v/>
      </c>
      <c r="AC60" s="15" t="str">
        <f t="shared" si="4"/>
        <v/>
      </c>
      <c r="AD60" s="15" t="str">
        <f t="shared" si="5"/>
        <v>Vanligt café</v>
      </c>
      <c r="AE60" s="15" t="str">
        <f t="shared" si="6"/>
        <v/>
      </c>
      <c r="AF60" t="str">
        <f>IF(T60="","",IFERROR(MATCH(1,INDEX((MATCHER!$B$5:$B$504=A60)*(MATCHER!$D$5:$D$504=C60)*(MATCHER!$K$5:$K$504="Ja")*(MATCHER!$C$5:$C$504&lt;E60)*(MATCHER!$M$5:$M$504&gt;D60)*(ROW(MATCHER!$A$5:$A$504)-ROW(MATCHER!$A$5)+1&gt;T60),0),0),""))</f>
        <v/>
      </c>
    </row>
    <row r="61" spans="1:32" ht="26">
      <c r="A61" s="42">
        <v>46298</v>
      </c>
      <c r="B61" s="43" t="s">
        <v>85</v>
      </c>
      <c r="C61" s="43" t="s">
        <v>86</v>
      </c>
      <c r="D61" s="44">
        <v>0.41666666666666702</v>
      </c>
      <c r="E61" s="44">
        <v>0.4375</v>
      </c>
      <c r="F61" s="45" t="str">
        <f>IF(R61="","",HOUR(INDEX(MATCHER!$C$5:$C$504,R61))&amp;":"&amp;IF(MINUTE(INDEX(MATCHER!$C$5:$C$504,R61))&lt;10,"0","")&amp;MINUTE(INDEX(MATCHER!$C$5:$C$504,R61))&amp;" "&amp;INDEX(MATCHER!$H$5:$H$504,R61)&amp;" – "&amp;INDEX(MATCHER!$I$5:$I$504,R61))&amp;IF(S61="",""," | "&amp;HOUR(INDEX(MATCHER!$C$5:$C$504,S61))&amp;":"&amp;IF(MINUTE(INDEX(MATCHER!$C$5:$C$504,S61))&lt;10,"0","")&amp;MINUTE(INDEX(MATCHER!$C$5:$C$504,S61))&amp;" "&amp;INDEX(MATCHER!$H$5:$H$504,S61)&amp;" – "&amp;INDEX(MATCHER!$I$5:$I$504,S61))&amp;IF(T61="",""," | "&amp;HOUR(INDEX(MATCHER!$C$5:$C$504,T61))&amp;":"&amp;IF(MINUTE(INDEX(MATCHER!$C$5:$C$504,T61))&lt;10,"0","")&amp;MINUTE(INDEX(MATCHER!$C$5:$C$504,T61))&amp;" "&amp;INDEX(MATCHER!$H$5:$H$504,T61)&amp;" – "&amp;INDEX(MATCHER!$I$5:$I$504,T61))&amp;IF(AF61="",""," | "&amp;HOUR(INDEX(MATCHER!$C$5:$C$504,AF61))&amp;":"&amp;IF(MINUTE(INDEX(MATCHER!$C$5:$C$504,AF61))&lt;10,"0","")&amp;MINUTE(INDEX(MATCHER!$C$5:$C$504,AF61))&amp;" "&amp;INDEX(MATCHER!$H$5:$H$504,AF61)&amp;" – "&amp;INDEX(MATCHER!$I$5:$I$504,AF61))</f>
        <v>10:10 Skånela IF 1 – Sollentuna HK 1</v>
      </c>
      <c r="G61" s="45" t="str">
        <f>MID(IF(R61="","",IF(OR(INDEX(MATCHER!$J$5:$J$504,R61)=""),""," / "&amp;INDEX(MATCHER!$J$5:$J$504,R61)))&amp;IF(S61="","",IF(OR(INDEX(MATCHER!$J$5:$J$504,S61)="",INDEX(MATCHER!$J$5:$J$504,S61)=IFERROR(INDEX(MATCHER!$J$5:$J$504,R61),"")),""," / "&amp;INDEX(MATCHER!$J$5:$J$504,S61)))&amp;IF(T61="","",IF(OR(INDEX(MATCHER!$J$5:$J$504,T61)="",INDEX(MATCHER!$J$5:$J$504,T61)=IFERROR(INDEX(MATCHER!$J$5:$J$504,R61),""),INDEX(MATCHER!$J$5:$J$504,T61)=IFERROR(INDEX(MATCHER!$J$5:$J$504,S61),"")),""," / "&amp;INDEX(MATCHER!$J$5:$J$504,T61)))&amp;IF(AF61="","",IF(OR(INDEX(MATCHER!$J$5:$J$504,AF61)="",INDEX(MATCHER!$J$5:$J$504,AF61)=IFERROR(INDEX(MATCHER!$J$5:$J$504,R61),""),INDEX(MATCHER!$J$5:$J$504,AF61)=IFERROR(INDEX(MATCHER!$J$5:$J$504,S61),""),INDEX(MATCHER!$J$5:$J$504,AF61)=IFERROR(INDEX(MATCHER!$J$5:$J$504,T61),"")),""," / "&amp;INDEX(MATCHER!$J$5:$J$504,AF61))),4,1000)</f>
        <v/>
      </c>
      <c r="H61" s="45" t="str">
        <f t="shared" si="13"/>
        <v>F12, F14</v>
      </c>
      <c r="I61" s="46" t="s">
        <v>90</v>
      </c>
      <c r="J61" s="47" t="s">
        <v>101</v>
      </c>
      <c r="K61" s="48"/>
      <c r="L61" s="49"/>
      <c r="M61" s="50" t="str">
        <f>IF(O61&lt;&gt;O60,MAX(1,MIN(AA61,ROUNDUP(SUMPRODUCT(($O$5:$O$546=O61)*($I$5:$I$546="Ja")*($E$5:$E$546-$D$5:$D$546))*24/REGLER!$B$8,0))),"")</f>
        <v/>
      </c>
      <c r="N61" s="50" t="str">
        <f t="shared" si="0"/>
        <v>Klar</v>
      </c>
      <c r="O61" s="15" t="s">
        <v>102</v>
      </c>
      <c r="P61" s="16">
        <v>0.33333333333333298</v>
      </c>
      <c r="Q61" s="16">
        <v>0.5625</v>
      </c>
      <c r="R61" s="15">
        <f>IFERROR(MATCH(1,INDEX((MATCHER!$B$5:$B$504=A61)*(MATCHER!$D$5:$D$504=C61)*(MATCHER!$K$5:$K$504="Ja")*(MATCHER!$C$5:$C$504&lt;E61)*(MATCHER!$M$5:$M$504&gt;D61),0),0),"")</f>
        <v>15</v>
      </c>
      <c r="S61" s="15" t="str">
        <f>IF(R61="","",IFERROR(MATCH(1,INDEX((MATCHER!$B$5:$B$504=A61)*(MATCHER!$D$5:$D$504=C61)*(MATCHER!$K$5:$K$504="Ja")*(MATCHER!$C$5:$C$504&lt;E61)*(MATCHER!$M$5:$M$504&gt;D61)*(ROW(MATCHER!$A$5:$A$504)-ROW(MATCHER!$A$5)+1&gt;R61),0),0),""))</f>
        <v/>
      </c>
      <c r="T61" s="15" t="str">
        <f>IF(S61="","",IFERROR(MATCH(1,INDEX((MATCHER!$B$5:$B$504=A61)*(MATCHER!$D$5:$D$504=C61)*(MATCHER!$K$5:$K$504="Ja")*(MATCHER!$C$5:$C$504&lt;E61)*(MATCHER!$M$5:$M$504&gt;D61)*(ROW(MATCHER!$A$5:$A$504)-ROW(MATCHER!$A$5)+1&gt;S61),0),0),""))</f>
        <v/>
      </c>
      <c r="U61" s="15">
        <f t="shared" si="1"/>
        <v>0</v>
      </c>
      <c r="V61" s="15">
        <f>IF(OR(I61&lt;&gt;"Ja",J61=""),"",COUNTIFS($O$5:O61,O61,$U$5:U61,1))</f>
        <v>1</v>
      </c>
      <c r="W61" s="15" t="str">
        <f t="shared" si="2"/>
        <v>2026-10-03 | Ulriksdalshallen|1</v>
      </c>
      <c r="X61" s="16" t="str">
        <f t="shared" si="3"/>
        <v/>
      </c>
      <c r="Y61" s="15">
        <f>IF(OR(I61&lt;&gt;"Ja",J61=""),0,IF(COUNTIFS($O$5:O61,O61,$I$5:I61,"Ja",$J$5:J61,"&lt;&gt;")=1,1,0))</f>
        <v>0</v>
      </c>
      <c r="Z61" s="15">
        <f>IF(OR(I61&lt;&gt;"Ja",J61=""),0,IF(COUNTIFS(O61:$O$546,O61,I61:$I$546,"Ja",J61:$J$546,"&lt;&gt;")=1,1,0))</f>
        <v>0</v>
      </c>
      <c r="AA61" s="15">
        <f t="shared" si="14"/>
        <v>2</v>
      </c>
      <c r="AB61" s="15" t="str">
        <f>IF(U61&lt;&gt;1,"",COUNTIF($U$5:U61,1))</f>
        <v/>
      </c>
      <c r="AC61" s="15" t="str">
        <f t="shared" si="4"/>
        <v/>
      </c>
      <c r="AD61" s="15" t="str">
        <f t="shared" si="5"/>
        <v>Vanligt café</v>
      </c>
      <c r="AE61" s="15" t="str">
        <f t="shared" si="6"/>
        <v/>
      </c>
      <c r="AF61" t="str">
        <f>IF(T61="","",IFERROR(MATCH(1,INDEX((MATCHER!$B$5:$B$504=A61)*(MATCHER!$D$5:$D$504=C61)*(MATCHER!$K$5:$K$504="Ja")*(MATCHER!$C$5:$C$504&lt;E61)*(MATCHER!$M$5:$M$504&gt;D61)*(ROW(MATCHER!$A$5:$A$504)-ROW(MATCHER!$A$5)+1&gt;T61),0),0),""))</f>
        <v/>
      </c>
    </row>
    <row r="62" spans="1:32" ht="26">
      <c r="A62" s="42">
        <v>46298</v>
      </c>
      <c r="B62" s="43" t="s">
        <v>85</v>
      </c>
      <c r="C62" s="43" t="s">
        <v>86</v>
      </c>
      <c r="D62" s="44">
        <v>0.4375</v>
      </c>
      <c r="E62" s="44">
        <v>0.45833333333333298</v>
      </c>
      <c r="F62" s="45" t="str">
        <f>IF(R62="","",HOUR(INDEX(MATCHER!$C$5:$C$504,R62))&amp;":"&amp;IF(MINUTE(INDEX(MATCHER!$C$5:$C$504,R62))&lt;10,"0","")&amp;MINUTE(INDEX(MATCHER!$C$5:$C$504,R62))&amp;" "&amp;INDEX(MATCHER!$H$5:$H$504,R62)&amp;" – "&amp;INDEX(MATCHER!$I$5:$I$504,R62))&amp;IF(S62="",""," | "&amp;HOUR(INDEX(MATCHER!$C$5:$C$504,S62))&amp;":"&amp;IF(MINUTE(INDEX(MATCHER!$C$5:$C$504,S62))&lt;10,"0","")&amp;MINUTE(INDEX(MATCHER!$C$5:$C$504,S62))&amp;" "&amp;INDEX(MATCHER!$H$5:$H$504,S62)&amp;" – "&amp;INDEX(MATCHER!$I$5:$I$504,S62))&amp;IF(T62="",""," | "&amp;HOUR(INDEX(MATCHER!$C$5:$C$504,T62))&amp;":"&amp;IF(MINUTE(INDEX(MATCHER!$C$5:$C$504,T62))&lt;10,"0","")&amp;MINUTE(INDEX(MATCHER!$C$5:$C$504,T62))&amp;" "&amp;INDEX(MATCHER!$H$5:$H$504,T62)&amp;" – "&amp;INDEX(MATCHER!$I$5:$I$504,T62))&amp;IF(AF62="",""," | "&amp;HOUR(INDEX(MATCHER!$C$5:$C$504,AF62))&amp;":"&amp;IF(MINUTE(INDEX(MATCHER!$C$5:$C$504,AF62))&lt;10,"0","")&amp;MINUTE(INDEX(MATCHER!$C$5:$C$504,AF62))&amp;" "&amp;INDEX(MATCHER!$H$5:$H$504,AF62)&amp;" – "&amp;INDEX(MATCHER!$I$5:$I$504,AF62))</f>
        <v>10:10 Skånela IF 1 – Sollentuna HK 1</v>
      </c>
      <c r="G62" s="45" t="str">
        <f>MID(IF(R62="","",IF(OR(INDEX(MATCHER!$J$5:$J$504,R62)=""),""," / "&amp;INDEX(MATCHER!$J$5:$J$504,R62)))&amp;IF(S62="","",IF(OR(INDEX(MATCHER!$J$5:$J$504,S62)="",INDEX(MATCHER!$J$5:$J$504,S62)=IFERROR(INDEX(MATCHER!$J$5:$J$504,R62),"")),""," / "&amp;INDEX(MATCHER!$J$5:$J$504,S62)))&amp;IF(T62="","",IF(OR(INDEX(MATCHER!$J$5:$J$504,T62)="",INDEX(MATCHER!$J$5:$J$504,T62)=IFERROR(INDEX(MATCHER!$J$5:$J$504,R62),""),INDEX(MATCHER!$J$5:$J$504,T62)=IFERROR(INDEX(MATCHER!$J$5:$J$504,S62),"")),""," / "&amp;INDEX(MATCHER!$J$5:$J$504,T62)))&amp;IF(AF62="","",IF(OR(INDEX(MATCHER!$J$5:$J$504,AF62)="",INDEX(MATCHER!$J$5:$J$504,AF62)=IFERROR(INDEX(MATCHER!$J$5:$J$504,R62),""),INDEX(MATCHER!$J$5:$J$504,AF62)=IFERROR(INDEX(MATCHER!$J$5:$J$504,S62),""),INDEX(MATCHER!$J$5:$J$504,AF62)=IFERROR(INDEX(MATCHER!$J$5:$J$504,T62),"")),""," / "&amp;INDEX(MATCHER!$J$5:$J$504,AF62))),4,1000)</f>
        <v/>
      </c>
      <c r="H62" s="45" t="str">
        <f t="shared" si="13"/>
        <v>F12, F14</v>
      </c>
      <c r="I62" s="46" t="s">
        <v>90</v>
      </c>
      <c r="J62" s="47" t="s">
        <v>101</v>
      </c>
      <c r="K62" s="48"/>
      <c r="L62" s="49"/>
      <c r="M62" s="50" t="str">
        <f>IF(O62&lt;&gt;O61,MAX(1,MIN(AA62,ROUNDUP(SUMPRODUCT(($O$5:$O$546=O62)*($I$5:$I$546="Ja")*($E$5:$E$546-$D$5:$D$546))*24/REGLER!$B$8,0))),"")</f>
        <v/>
      </c>
      <c r="N62" s="50" t="str">
        <f t="shared" si="0"/>
        <v>Klar</v>
      </c>
      <c r="O62" s="15" t="s">
        <v>102</v>
      </c>
      <c r="P62" s="16">
        <v>0.33333333333333298</v>
      </c>
      <c r="Q62" s="16">
        <v>0.5625</v>
      </c>
      <c r="R62" s="15">
        <f>IFERROR(MATCH(1,INDEX((MATCHER!$B$5:$B$504=A62)*(MATCHER!$D$5:$D$504=C62)*(MATCHER!$K$5:$K$504="Ja")*(MATCHER!$C$5:$C$504&lt;E62)*(MATCHER!$M$5:$M$504&gt;D62),0),0),"")</f>
        <v>15</v>
      </c>
      <c r="S62" s="15" t="str">
        <f>IF(R62="","",IFERROR(MATCH(1,INDEX((MATCHER!$B$5:$B$504=A62)*(MATCHER!$D$5:$D$504=C62)*(MATCHER!$K$5:$K$504="Ja")*(MATCHER!$C$5:$C$504&lt;E62)*(MATCHER!$M$5:$M$504&gt;D62)*(ROW(MATCHER!$A$5:$A$504)-ROW(MATCHER!$A$5)+1&gt;R62),0),0),""))</f>
        <v/>
      </c>
      <c r="T62" s="15" t="str">
        <f>IF(S62="","",IFERROR(MATCH(1,INDEX((MATCHER!$B$5:$B$504=A62)*(MATCHER!$D$5:$D$504=C62)*(MATCHER!$K$5:$K$504="Ja")*(MATCHER!$C$5:$C$504&lt;E62)*(MATCHER!$M$5:$M$504&gt;D62)*(ROW(MATCHER!$A$5:$A$504)-ROW(MATCHER!$A$5)+1&gt;S62),0),0),""))</f>
        <v/>
      </c>
      <c r="U62" s="15">
        <f t="shared" si="1"/>
        <v>0</v>
      </c>
      <c r="V62" s="15">
        <f>IF(OR(I62&lt;&gt;"Ja",J62=""),"",COUNTIFS($O$5:O62,O62,$U$5:U62,1))</f>
        <v>1</v>
      </c>
      <c r="W62" s="15" t="str">
        <f t="shared" si="2"/>
        <v>2026-10-03 | Ulriksdalshallen|1</v>
      </c>
      <c r="X62" s="16" t="str">
        <f t="shared" si="3"/>
        <v/>
      </c>
      <c r="Y62" s="15">
        <f>IF(OR(I62&lt;&gt;"Ja",J62=""),0,IF(COUNTIFS($O$5:O62,O62,$I$5:I62,"Ja",$J$5:J62,"&lt;&gt;")=1,1,0))</f>
        <v>0</v>
      </c>
      <c r="Z62" s="15">
        <f>IF(OR(I62&lt;&gt;"Ja",J62=""),0,IF(COUNTIFS(O62:$O$546,O62,I62:$I$546,"Ja",J62:$J$546,"&lt;&gt;")=1,1,0))</f>
        <v>0</v>
      </c>
      <c r="AA62" s="15">
        <f t="shared" si="14"/>
        <v>2</v>
      </c>
      <c r="AB62" s="15" t="str">
        <f>IF(U62&lt;&gt;1,"",COUNTIF($U$5:U62,1))</f>
        <v/>
      </c>
      <c r="AC62" s="15" t="str">
        <f t="shared" si="4"/>
        <v/>
      </c>
      <c r="AD62" s="15" t="str">
        <f t="shared" si="5"/>
        <v>Vanligt café</v>
      </c>
      <c r="AE62" s="15" t="str">
        <f t="shared" si="6"/>
        <v/>
      </c>
      <c r="AF62" t="str">
        <f>IF(T62="","",IFERROR(MATCH(1,INDEX((MATCHER!$B$5:$B$504=A62)*(MATCHER!$D$5:$D$504=C62)*(MATCHER!$K$5:$K$504="Ja")*(MATCHER!$C$5:$C$504&lt;E62)*(MATCHER!$M$5:$M$504&gt;D62)*(ROW(MATCHER!$A$5:$A$504)-ROW(MATCHER!$A$5)+1&gt;T62),0),0),""))</f>
        <v/>
      </c>
    </row>
    <row r="63" spans="1:32" ht="26">
      <c r="A63" s="42">
        <v>46298</v>
      </c>
      <c r="B63" s="43" t="s">
        <v>85</v>
      </c>
      <c r="C63" s="43" t="s">
        <v>86</v>
      </c>
      <c r="D63" s="44">
        <v>0.45833333333333298</v>
      </c>
      <c r="E63" s="44">
        <v>0.47916666666666702</v>
      </c>
      <c r="F63" s="45" t="str">
        <f>IF(R63="","",HOUR(INDEX(MATCHER!$C$5:$C$504,R63))&amp;":"&amp;IF(MINUTE(INDEX(MATCHER!$C$5:$C$504,R63))&lt;10,"0","")&amp;MINUTE(INDEX(MATCHER!$C$5:$C$504,R63))&amp;" "&amp;INDEX(MATCHER!$H$5:$H$504,R63)&amp;" – "&amp;INDEX(MATCHER!$I$5:$I$504,R63))&amp;IF(S63="",""," | "&amp;HOUR(INDEX(MATCHER!$C$5:$C$504,S63))&amp;":"&amp;IF(MINUTE(INDEX(MATCHER!$C$5:$C$504,S63))&lt;10,"0","")&amp;MINUTE(INDEX(MATCHER!$C$5:$C$504,S63))&amp;" "&amp;INDEX(MATCHER!$H$5:$H$504,S63)&amp;" – "&amp;INDEX(MATCHER!$I$5:$I$504,S63))&amp;IF(T63="",""," | "&amp;HOUR(INDEX(MATCHER!$C$5:$C$504,T63))&amp;":"&amp;IF(MINUTE(INDEX(MATCHER!$C$5:$C$504,T63))&lt;10,"0","")&amp;MINUTE(INDEX(MATCHER!$C$5:$C$504,T63))&amp;" "&amp;INDEX(MATCHER!$H$5:$H$504,T63)&amp;" – "&amp;INDEX(MATCHER!$I$5:$I$504,T63))&amp;IF(AF63="",""," | "&amp;HOUR(INDEX(MATCHER!$C$5:$C$504,AF63))&amp;":"&amp;IF(MINUTE(INDEX(MATCHER!$C$5:$C$504,AF63))&lt;10,"0","")&amp;MINUTE(INDEX(MATCHER!$C$5:$C$504,AF63))&amp;" "&amp;INDEX(MATCHER!$H$5:$H$504,AF63)&amp;" – "&amp;INDEX(MATCHER!$I$5:$I$504,AF63))</f>
        <v>11:20 AIK – Skånela IF 1</v>
      </c>
      <c r="G63" s="45" t="str">
        <f>MID(IF(R63="","",IF(OR(INDEX(MATCHER!$J$5:$J$504,R63)=""),""," / "&amp;INDEX(MATCHER!$J$5:$J$504,R63)))&amp;IF(S63="","",IF(OR(INDEX(MATCHER!$J$5:$J$504,S63)="",INDEX(MATCHER!$J$5:$J$504,S63)=IFERROR(INDEX(MATCHER!$J$5:$J$504,R63),"")),""," / "&amp;INDEX(MATCHER!$J$5:$J$504,S63)))&amp;IF(T63="","",IF(OR(INDEX(MATCHER!$J$5:$J$504,T63)="",INDEX(MATCHER!$J$5:$J$504,T63)=IFERROR(INDEX(MATCHER!$J$5:$J$504,R63),""),INDEX(MATCHER!$J$5:$J$504,T63)=IFERROR(INDEX(MATCHER!$J$5:$J$504,S63),"")),""," / "&amp;INDEX(MATCHER!$J$5:$J$504,T63)))&amp;IF(AF63="","",IF(OR(INDEX(MATCHER!$J$5:$J$504,AF63)="",INDEX(MATCHER!$J$5:$J$504,AF63)=IFERROR(INDEX(MATCHER!$J$5:$J$504,R63),""),INDEX(MATCHER!$J$5:$J$504,AF63)=IFERROR(INDEX(MATCHER!$J$5:$J$504,S63),""),INDEX(MATCHER!$J$5:$J$504,AF63)=IFERROR(INDEX(MATCHER!$J$5:$J$504,T63),"")),""," / "&amp;INDEX(MATCHER!$J$5:$J$504,AF63))),4,1000)</f>
        <v>F12</v>
      </c>
      <c r="H63" s="45" t="str">
        <f t="shared" si="13"/>
        <v>F12, F14</v>
      </c>
      <c r="I63" s="46" t="s">
        <v>90</v>
      </c>
      <c r="J63" s="47" t="s">
        <v>101</v>
      </c>
      <c r="K63" s="48"/>
      <c r="L63" s="49"/>
      <c r="M63" s="50" t="str">
        <f>IF(O63&lt;&gt;O62,MAX(1,MIN(AA63,ROUNDUP(SUMPRODUCT(($O$5:$O$546=O63)*($I$5:$I$546="Ja")*($E$5:$E$546-$D$5:$D$546))*24/REGLER!$B$8,0))),"")</f>
        <v/>
      </c>
      <c r="N63" s="50" t="str">
        <f t="shared" si="0"/>
        <v>Klar</v>
      </c>
      <c r="O63" s="15" t="s">
        <v>102</v>
      </c>
      <c r="P63" s="16">
        <v>0.33333333333333298</v>
      </c>
      <c r="Q63" s="16">
        <v>0.5625</v>
      </c>
      <c r="R63" s="15">
        <f>IFERROR(MATCH(1,INDEX((MATCHER!$B$5:$B$504=A63)*(MATCHER!$D$5:$D$504=C63)*(MATCHER!$K$5:$K$504="Ja")*(MATCHER!$C$5:$C$504&lt;E63)*(MATCHER!$M$5:$M$504&gt;D63),0),0),"")</f>
        <v>16</v>
      </c>
      <c r="S63" s="15" t="str">
        <f>IF(R63="","",IFERROR(MATCH(1,INDEX((MATCHER!$B$5:$B$504=A63)*(MATCHER!$D$5:$D$504=C63)*(MATCHER!$K$5:$K$504="Ja")*(MATCHER!$C$5:$C$504&lt;E63)*(MATCHER!$M$5:$M$504&gt;D63)*(ROW(MATCHER!$A$5:$A$504)-ROW(MATCHER!$A$5)+1&gt;R63),0),0),""))</f>
        <v/>
      </c>
      <c r="T63" s="15" t="str">
        <f>IF(S63="","",IFERROR(MATCH(1,INDEX((MATCHER!$B$5:$B$504=A63)*(MATCHER!$D$5:$D$504=C63)*(MATCHER!$K$5:$K$504="Ja")*(MATCHER!$C$5:$C$504&lt;E63)*(MATCHER!$M$5:$M$504&gt;D63)*(ROW(MATCHER!$A$5:$A$504)-ROW(MATCHER!$A$5)+1&gt;S63),0),0),""))</f>
        <v/>
      </c>
      <c r="U63" s="15">
        <f t="shared" si="1"/>
        <v>0</v>
      </c>
      <c r="V63" s="15">
        <f>IF(OR(I63&lt;&gt;"Ja",J63=""),"",COUNTIFS($O$5:O63,O63,$U$5:U63,1))</f>
        <v>1</v>
      </c>
      <c r="W63" s="15" t="str">
        <f t="shared" si="2"/>
        <v>2026-10-03 | Ulriksdalshallen|1</v>
      </c>
      <c r="X63" s="16" t="str">
        <f t="shared" si="3"/>
        <v/>
      </c>
      <c r="Y63" s="15">
        <f>IF(OR(I63&lt;&gt;"Ja",J63=""),0,IF(COUNTIFS($O$5:O63,O63,$I$5:I63,"Ja",$J$5:J63,"&lt;&gt;")=1,1,0))</f>
        <v>0</v>
      </c>
      <c r="Z63" s="15">
        <f>IF(OR(I63&lt;&gt;"Ja",J63=""),0,IF(COUNTIFS(O63:$O$546,O63,I63:$I$546,"Ja",J63:$J$546,"&lt;&gt;")=1,1,0))</f>
        <v>0</v>
      </c>
      <c r="AA63" s="15">
        <f t="shared" si="14"/>
        <v>2</v>
      </c>
      <c r="AB63" s="15" t="str">
        <f>IF(U63&lt;&gt;1,"",COUNTIF($U$5:U63,1))</f>
        <v/>
      </c>
      <c r="AC63" s="15" t="str">
        <f t="shared" si="4"/>
        <v/>
      </c>
      <c r="AD63" s="15" t="str">
        <f t="shared" si="5"/>
        <v>Vanligt café</v>
      </c>
      <c r="AE63" s="15" t="str">
        <f t="shared" si="6"/>
        <v/>
      </c>
      <c r="AF63" t="str">
        <f>IF(T63="","",IFERROR(MATCH(1,INDEX((MATCHER!$B$5:$B$504=A63)*(MATCHER!$D$5:$D$504=C63)*(MATCHER!$K$5:$K$504="Ja")*(MATCHER!$C$5:$C$504&lt;E63)*(MATCHER!$M$5:$M$504&gt;D63)*(ROW(MATCHER!$A$5:$A$504)-ROW(MATCHER!$A$5)+1&gt;T63),0),0),""))</f>
        <v/>
      </c>
    </row>
    <row r="64" spans="1:32" ht="26">
      <c r="A64" s="42">
        <v>46298</v>
      </c>
      <c r="B64" s="43" t="s">
        <v>85</v>
      </c>
      <c r="C64" s="43" t="s">
        <v>86</v>
      </c>
      <c r="D64" s="44">
        <v>0.47916666666666702</v>
      </c>
      <c r="E64" s="44">
        <v>0.5</v>
      </c>
      <c r="F64" s="45" t="str">
        <f>IF(R64="","",HOUR(INDEX(MATCHER!$C$5:$C$504,R64))&amp;":"&amp;IF(MINUTE(INDEX(MATCHER!$C$5:$C$504,R64))&lt;10,"0","")&amp;MINUTE(INDEX(MATCHER!$C$5:$C$504,R64))&amp;" "&amp;INDEX(MATCHER!$H$5:$H$504,R64)&amp;" – "&amp;INDEX(MATCHER!$I$5:$I$504,R64))&amp;IF(S64="",""," | "&amp;HOUR(INDEX(MATCHER!$C$5:$C$504,S64))&amp;":"&amp;IF(MINUTE(INDEX(MATCHER!$C$5:$C$504,S64))&lt;10,"0","")&amp;MINUTE(INDEX(MATCHER!$C$5:$C$504,S64))&amp;" "&amp;INDEX(MATCHER!$H$5:$H$504,S64)&amp;" – "&amp;INDEX(MATCHER!$I$5:$I$504,S64))&amp;IF(T64="",""," | "&amp;HOUR(INDEX(MATCHER!$C$5:$C$504,T64))&amp;":"&amp;IF(MINUTE(INDEX(MATCHER!$C$5:$C$504,T64))&lt;10,"0","")&amp;MINUTE(INDEX(MATCHER!$C$5:$C$504,T64))&amp;" "&amp;INDEX(MATCHER!$H$5:$H$504,T64)&amp;" – "&amp;INDEX(MATCHER!$I$5:$I$504,T64))&amp;IF(AF64="",""," | "&amp;HOUR(INDEX(MATCHER!$C$5:$C$504,AF64))&amp;":"&amp;IF(MINUTE(INDEX(MATCHER!$C$5:$C$504,AF64))&lt;10,"0","")&amp;MINUTE(INDEX(MATCHER!$C$5:$C$504,AF64))&amp;" "&amp;INDEX(MATCHER!$H$5:$H$504,AF64)&amp;" – "&amp;INDEX(MATCHER!$I$5:$I$504,AF64))</f>
        <v>11:20 AIK – Skånela IF 1</v>
      </c>
      <c r="G64" s="45" t="str">
        <f>MID(IF(R64="","",IF(OR(INDEX(MATCHER!$J$5:$J$504,R64)=""),""," / "&amp;INDEX(MATCHER!$J$5:$J$504,R64)))&amp;IF(S64="","",IF(OR(INDEX(MATCHER!$J$5:$J$504,S64)="",INDEX(MATCHER!$J$5:$J$504,S64)=IFERROR(INDEX(MATCHER!$J$5:$J$504,R64),"")),""," / "&amp;INDEX(MATCHER!$J$5:$J$504,S64)))&amp;IF(T64="","",IF(OR(INDEX(MATCHER!$J$5:$J$504,T64)="",INDEX(MATCHER!$J$5:$J$504,T64)=IFERROR(INDEX(MATCHER!$J$5:$J$504,R64),""),INDEX(MATCHER!$J$5:$J$504,T64)=IFERROR(INDEX(MATCHER!$J$5:$J$504,S64),"")),""," / "&amp;INDEX(MATCHER!$J$5:$J$504,T64)))&amp;IF(AF64="","",IF(OR(INDEX(MATCHER!$J$5:$J$504,AF64)="",INDEX(MATCHER!$J$5:$J$504,AF64)=IFERROR(INDEX(MATCHER!$J$5:$J$504,R64),""),INDEX(MATCHER!$J$5:$J$504,AF64)=IFERROR(INDEX(MATCHER!$J$5:$J$504,S64),""),INDEX(MATCHER!$J$5:$J$504,AF64)=IFERROR(INDEX(MATCHER!$J$5:$J$504,T64),"")),""," / "&amp;INDEX(MATCHER!$J$5:$J$504,AF64))),4,1000)</f>
        <v>F12</v>
      </c>
      <c r="H64" s="45" t="str">
        <f t="shared" si="13"/>
        <v>F12, F14</v>
      </c>
      <c r="I64" s="46" t="s">
        <v>90</v>
      </c>
      <c r="J64" s="47" t="s">
        <v>101</v>
      </c>
      <c r="K64" s="48"/>
      <c r="L64" s="49"/>
      <c r="M64" s="50" t="str">
        <f>IF(O64&lt;&gt;O63,MAX(1,MIN(AA64,ROUNDUP(SUMPRODUCT(($O$5:$O$546=O64)*($I$5:$I$546="Ja")*($E$5:$E$546-$D$5:$D$546))*24/REGLER!$B$8,0))),"")</f>
        <v/>
      </c>
      <c r="N64" s="50" t="str">
        <f t="shared" si="0"/>
        <v>Klar</v>
      </c>
      <c r="O64" s="15" t="s">
        <v>102</v>
      </c>
      <c r="P64" s="16">
        <v>0.33333333333333298</v>
      </c>
      <c r="Q64" s="16">
        <v>0.5625</v>
      </c>
      <c r="R64" s="15">
        <f>IFERROR(MATCH(1,INDEX((MATCHER!$B$5:$B$504=A64)*(MATCHER!$D$5:$D$504=C64)*(MATCHER!$K$5:$K$504="Ja")*(MATCHER!$C$5:$C$504&lt;E64)*(MATCHER!$M$5:$M$504&gt;D64),0),0),"")</f>
        <v>16</v>
      </c>
      <c r="S64" s="15" t="str">
        <f>IF(R64="","",IFERROR(MATCH(1,INDEX((MATCHER!$B$5:$B$504=A64)*(MATCHER!$D$5:$D$504=C64)*(MATCHER!$K$5:$K$504="Ja")*(MATCHER!$C$5:$C$504&lt;E64)*(MATCHER!$M$5:$M$504&gt;D64)*(ROW(MATCHER!$A$5:$A$504)-ROW(MATCHER!$A$5)+1&gt;R64),0),0),""))</f>
        <v/>
      </c>
      <c r="T64" s="15" t="str">
        <f>IF(S64="","",IFERROR(MATCH(1,INDEX((MATCHER!$B$5:$B$504=A64)*(MATCHER!$D$5:$D$504=C64)*(MATCHER!$K$5:$K$504="Ja")*(MATCHER!$C$5:$C$504&lt;E64)*(MATCHER!$M$5:$M$504&gt;D64)*(ROW(MATCHER!$A$5:$A$504)-ROW(MATCHER!$A$5)+1&gt;S64),0),0),""))</f>
        <v/>
      </c>
      <c r="U64" s="15">
        <f t="shared" si="1"/>
        <v>0</v>
      </c>
      <c r="V64" s="15">
        <f>IF(OR(I64&lt;&gt;"Ja",J64=""),"",COUNTIFS($O$5:O64,O64,$U$5:U64,1))</f>
        <v>1</v>
      </c>
      <c r="W64" s="15" t="str">
        <f t="shared" si="2"/>
        <v>2026-10-03 | Ulriksdalshallen|1</v>
      </c>
      <c r="X64" s="16">
        <f t="shared" si="3"/>
        <v>0.5</v>
      </c>
      <c r="Y64" s="15">
        <f>IF(OR(I64&lt;&gt;"Ja",J64=""),0,IF(COUNTIFS($O$5:O64,O64,$I$5:I64,"Ja",$J$5:J64,"&lt;&gt;")=1,1,0))</f>
        <v>0</v>
      </c>
      <c r="Z64" s="15">
        <f>IF(OR(I64&lt;&gt;"Ja",J64=""),0,IF(COUNTIFS(O64:$O$546,O64,I64:$I$546,"Ja",J64:$J$546,"&lt;&gt;")=1,1,0))</f>
        <v>0</v>
      </c>
      <c r="AA64" s="15">
        <f t="shared" si="14"/>
        <v>2</v>
      </c>
      <c r="AB64" s="15" t="str">
        <f>IF(U64&lt;&gt;1,"",COUNTIF($U$5:U64,1))</f>
        <v/>
      </c>
      <c r="AC64" s="15" t="str">
        <f t="shared" si="4"/>
        <v>2026-10-03 | Ulriksdalshallen|1</v>
      </c>
      <c r="AD64" s="15" t="str">
        <f t="shared" si="5"/>
        <v>Vanligt café</v>
      </c>
      <c r="AE64" s="15" t="str">
        <f t="shared" si="6"/>
        <v/>
      </c>
      <c r="AF64" t="str">
        <f>IF(T64="","",IFERROR(MATCH(1,INDEX((MATCHER!$B$5:$B$504=A64)*(MATCHER!$D$5:$D$504=C64)*(MATCHER!$K$5:$K$504="Ja")*(MATCHER!$C$5:$C$504&lt;E64)*(MATCHER!$M$5:$M$504&gt;D64)*(ROW(MATCHER!$A$5:$A$504)-ROW(MATCHER!$A$5)+1&gt;T64),0),0),""))</f>
        <v/>
      </c>
    </row>
    <row r="65" spans="1:32" ht="26">
      <c r="A65" s="42">
        <v>46298</v>
      </c>
      <c r="B65" s="43" t="s">
        <v>85</v>
      </c>
      <c r="C65" s="43" t="s">
        <v>86</v>
      </c>
      <c r="D65" s="44">
        <v>0.5</v>
      </c>
      <c r="E65" s="44">
        <v>0.52083333333333304</v>
      </c>
      <c r="F65" s="45" t="str">
        <f>IF(R65="","",HOUR(INDEX(MATCHER!$C$5:$C$504,R65))&amp;":"&amp;IF(MINUTE(INDEX(MATCHER!$C$5:$C$504,R65))&lt;10,"0","")&amp;MINUTE(INDEX(MATCHER!$C$5:$C$504,R65))&amp;" "&amp;INDEX(MATCHER!$H$5:$H$504,R65)&amp;" – "&amp;INDEX(MATCHER!$I$5:$I$504,R65))&amp;IF(S65="",""," | "&amp;HOUR(INDEX(MATCHER!$C$5:$C$504,S65))&amp;":"&amp;IF(MINUTE(INDEX(MATCHER!$C$5:$C$504,S65))&lt;10,"0","")&amp;MINUTE(INDEX(MATCHER!$C$5:$C$504,S65))&amp;" "&amp;INDEX(MATCHER!$H$5:$H$504,S65)&amp;" – "&amp;INDEX(MATCHER!$I$5:$I$504,S65))&amp;IF(T65="",""," | "&amp;HOUR(INDEX(MATCHER!$C$5:$C$504,T65))&amp;":"&amp;IF(MINUTE(INDEX(MATCHER!$C$5:$C$504,T65))&lt;10,"0","")&amp;MINUTE(INDEX(MATCHER!$C$5:$C$504,T65))&amp;" "&amp;INDEX(MATCHER!$H$5:$H$504,T65)&amp;" – "&amp;INDEX(MATCHER!$I$5:$I$504,T65))&amp;IF(AF65="",""," | "&amp;HOUR(INDEX(MATCHER!$C$5:$C$504,AF65))&amp;":"&amp;IF(MINUTE(INDEX(MATCHER!$C$5:$C$504,AF65))&lt;10,"0","")&amp;MINUTE(INDEX(MATCHER!$C$5:$C$504,AF65))&amp;" "&amp;INDEX(MATCHER!$H$5:$H$504,AF65)&amp;" – "&amp;INDEX(MATCHER!$I$5:$I$504,AF65))</f>
        <v>12:20 AIK – Bollstanäs SK 1</v>
      </c>
      <c r="G65" s="45" t="str">
        <f>MID(IF(R65="","",IF(OR(INDEX(MATCHER!$J$5:$J$504,R65)=""),""," / "&amp;INDEX(MATCHER!$J$5:$J$504,R65)))&amp;IF(S65="","",IF(OR(INDEX(MATCHER!$J$5:$J$504,S65)="",INDEX(MATCHER!$J$5:$J$504,S65)=IFERROR(INDEX(MATCHER!$J$5:$J$504,R65),"")),""," / "&amp;INDEX(MATCHER!$J$5:$J$504,S65)))&amp;IF(T65="","",IF(OR(INDEX(MATCHER!$J$5:$J$504,T65)="",INDEX(MATCHER!$J$5:$J$504,T65)=IFERROR(INDEX(MATCHER!$J$5:$J$504,R65),""),INDEX(MATCHER!$J$5:$J$504,T65)=IFERROR(INDEX(MATCHER!$J$5:$J$504,S65),"")),""," / "&amp;INDEX(MATCHER!$J$5:$J$504,T65)))&amp;IF(AF65="","",IF(OR(INDEX(MATCHER!$J$5:$J$504,AF65)="",INDEX(MATCHER!$J$5:$J$504,AF65)=IFERROR(INDEX(MATCHER!$J$5:$J$504,R65),""),INDEX(MATCHER!$J$5:$J$504,AF65)=IFERROR(INDEX(MATCHER!$J$5:$J$504,S65),""),INDEX(MATCHER!$J$5:$J$504,AF65)=IFERROR(INDEX(MATCHER!$J$5:$J$504,T65),"")),""," / "&amp;INDEX(MATCHER!$J$5:$J$504,AF65))),4,1000)</f>
        <v>F14</v>
      </c>
      <c r="H65" s="45" t="str">
        <f t="shared" si="13"/>
        <v>F12, F14</v>
      </c>
      <c r="I65" s="46" t="s">
        <v>90</v>
      </c>
      <c r="J65" s="47" t="s">
        <v>103</v>
      </c>
      <c r="K65" s="48"/>
      <c r="L65" s="49"/>
      <c r="M65" s="50" t="str">
        <f>IF(O65&lt;&gt;O64,MAX(1,MIN(AA65,ROUNDUP(SUMPRODUCT(($O$5:$O$546=O65)*($I$5:$I$546="Ja")*($E$5:$E$546-$D$5:$D$546))*24/REGLER!$B$8,0))),"")</f>
        <v/>
      </c>
      <c r="N65" s="50" t="str">
        <f t="shared" si="0"/>
        <v>Klar</v>
      </c>
      <c r="O65" s="15" t="s">
        <v>102</v>
      </c>
      <c r="P65" s="16">
        <v>0.33333333333333298</v>
      </c>
      <c r="Q65" s="16">
        <v>0.5625</v>
      </c>
      <c r="R65" s="15">
        <f>IFERROR(MATCH(1,INDEX((MATCHER!$B$5:$B$504=A65)*(MATCHER!$D$5:$D$504=C65)*(MATCHER!$K$5:$K$504="Ja")*(MATCHER!$C$5:$C$504&lt;E65)*(MATCHER!$M$5:$M$504&gt;D65),0),0),"")</f>
        <v>17</v>
      </c>
      <c r="S65" s="15" t="str">
        <f>IF(R65="","",IFERROR(MATCH(1,INDEX((MATCHER!$B$5:$B$504=A65)*(MATCHER!$D$5:$D$504=C65)*(MATCHER!$K$5:$K$504="Ja")*(MATCHER!$C$5:$C$504&lt;E65)*(MATCHER!$M$5:$M$504&gt;D65)*(ROW(MATCHER!$A$5:$A$504)-ROW(MATCHER!$A$5)+1&gt;R65),0),0),""))</f>
        <v/>
      </c>
      <c r="T65" s="15" t="str">
        <f>IF(S65="","",IFERROR(MATCH(1,INDEX((MATCHER!$B$5:$B$504=A65)*(MATCHER!$D$5:$D$504=C65)*(MATCHER!$K$5:$K$504="Ja")*(MATCHER!$C$5:$C$504&lt;E65)*(MATCHER!$M$5:$M$504&gt;D65)*(ROW(MATCHER!$A$5:$A$504)-ROW(MATCHER!$A$5)+1&gt;S65),0),0),""))</f>
        <v/>
      </c>
      <c r="U65" s="15">
        <f t="shared" si="1"/>
        <v>1</v>
      </c>
      <c r="V65" s="15">
        <f>IF(OR(I65&lt;&gt;"Ja",J65=""),"",COUNTIFS($O$5:O65,O65,$U$5:U65,1))</f>
        <v>2</v>
      </c>
      <c r="W65" s="15" t="str">
        <f t="shared" si="2"/>
        <v>2026-10-03 | Ulriksdalshallen|2</v>
      </c>
      <c r="X65" s="16" t="str">
        <f t="shared" si="3"/>
        <v/>
      </c>
      <c r="Y65" s="15">
        <f>IF(OR(I65&lt;&gt;"Ja",J65=""),0,IF(COUNTIFS($O$5:O65,O65,$I$5:I65,"Ja",$J$5:J65,"&lt;&gt;")=1,1,0))</f>
        <v>0</v>
      </c>
      <c r="Z65" s="15">
        <f>IF(OR(I65&lt;&gt;"Ja",J65=""),0,IF(COUNTIFS(O65:$O$546,O65,I65:$I$546,"Ja",J65:$J$546,"&lt;&gt;")=1,1,0))</f>
        <v>0</v>
      </c>
      <c r="AA65" s="15">
        <f t="shared" si="14"/>
        <v>2</v>
      </c>
      <c r="AB65" s="15">
        <f>IF(U65&lt;&gt;1,"",COUNTIF($U$5:U65,1))</f>
        <v>7</v>
      </c>
      <c r="AC65" s="15" t="str">
        <f t="shared" si="4"/>
        <v/>
      </c>
      <c r="AD65" s="15" t="str">
        <f t="shared" si="5"/>
        <v>Vanligt café</v>
      </c>
      <c r="AE65" s="15">
        <f t="shared" si="6"/>
        <v>1.5</v>
      </c>
      <c r="AF65" t="str">
        <f>IF(T65="","",IFERROR(MATCH(1,INDEX((MATCHER!$B$5:$B$504=A65)*(MATCHER!$D$5:$D$504=C65)*(MATCHER!$K$5:$K$504="Ja")*(MATCHER!$C$5:$C$504&lt;E65)*(MATCHER!$M$5:$M$504&gt;D65)*(ROW(MATCHER!$A$5:$A$504)-ROW(MATCHER!$A$5)+1&gt;T65),0),0),""))</f>
        <v/>
      </c>
    </row>
    <row r="66" spans="1:32" ht="26">
      <c r="A66" s="42">
        <v>46298</v>
      </c>
      <c r="B66" s="43" t="s">
        <v>85</v>
      </c>
      <c r="C66" s="43" t="s">
        <v>86</v>
      </c>
      <c r="D66" s="44">
        <v>0.52083333333333304</v>
      </c>
      <c r="E66" s="44">
        <v>0.54166666666666696</v>
      </c>
      <c r="F66" s="45" t="str">
        <f>IF(R66="","",HOUR(INDEX(MATCHER!$C$5:$C$504,R66))&amp;":"&amp;IF(MINUTE(INDEX(MATCHER!$C$5:$C$504,R66))&lt;10,"0","")&amp;MINUTE(INDEX(MATCHER!$C$5:$C$504,R66))&amp;" "&amp;INDEX(MATCHER!$H$5:$H$504,R66)&amp;" – "&amp;INDEX(MATCHER!$I$5:$I$504,R66))&amp;IF(S66="",""," | "&amp;HOUR(INDEX(MATCHER!$C$5:$C$504,S66))&amp;":"&amp;IF(MINUTE(INDEX(MATCHER!$C$5:$C$504,S66))&lt;10,"0","")&amp;MINUTE(INDEX(MATCHER!$C$5:$C$504,S66))&amp;" "&amp;INDEX(MATCHER!$H$5:$H$504,S66)&amp;" – "&amp;INDEX(MATCHER!$I$5:$I$504,S66))&amp;IF(T66="",""," | "&amp;HOUR(INDEX(MATCHER!$C$5:$C$504,T66))&amp;":"&amp;IF(MINUTE(INDEX(MATCHER!$C$5:$C$504,T66))&lt;10,"0","")&amp;MINUTE(INDEX(MATCHER!$C$5:$C$504,T66))&amp;" "&amp;INDEX(MATCHER!$H$5:$H$504,T66)&amp;" – "&amp;INDEX(MATCHER!$I$5:$I$504,T66))&amp;IF(AF66="",""," | "&amp;HOUR(INDEX(MATCHER!$C$5:$C$504,AF66))&amp;":"&amp;IF(MINUTE(INDEX(MATCHER!$C$5:$C$504,AF66))&lt;10,"0","")&amp;MINUTE(INDEX(MATCHER!$C$5:$C$504,AF66))&amp;" "&amp;INDEX(MATCHER!$H$5:$H$504,AF66)&amp;" – "&amp;INDEX(MATCHER!$I$5:$I$504,AF66))</f>
        <v>12:20 AIK – Bollstanäs SK 1</v>
      </c>
      <c r="G66" s="45" t="str">
        <f>MID(IF(R66="","",IF(OR(INDEX(MATCHER!$J$5:$J$504,R66)=""),""," / "&amp;INDEX(MATCHER!$J$5:$J$504,R66)))&amp;IF(S66="","",IF(OR(INDEX(MATCHER!$J$5:$J$504,S66)="",INDEX(MATCHER!$J$5:$J$504,S66)=IFERROR(INDEX(MATCHER!$J$5:$J$504,R66),"")),""," / "&amp;INDEX(MATCHER!$J$5:$J$504,S66)))&amp;IF(T66="","",IF(OR(INDEX(MATCHER!$J$5:$J$504,T66)="",INDEX(MATCHER!$J$5:$J$504,T66)=IFERROR(INDEX(MATCHER!$J$5:$J$504,R66),""),INDEX(MATCHER!$J$5:$J$504,T66)=IFERROR(INDEX(MATCHER!$J$5:$J$504,S66),"")),""," / "&amp;INDEX(MATCHER!$J$5:$J$504,T66)))&amp;IF(AF66="","",IF(OR(INDEX(MATCHER!$J$5:$J$504,AF66)="",INDEX(MATCHER!$J$5:$J$504,AF66)=IFERROR(INDEX(MATCHER!$J$5:$J$504,R66),""),INDEX(MATCHER!$J$5:$J$504,AF66)=IFERROR(INDEX(MATCHER!$J$5:$J$504,S66),""),INDEX(MATCHER!$J$5:$J$504,AF66)=IFERROR(INDEX(MATCHER!$J$5:$J$504,T66),"")),""," / "&amp;INDEX(MATCHER!$J$5:$J$504,AF66))),4,1000)</f>
        <v>F14</v>
      </c>
      <c r="H66" s="45" t="str">
        <f t="shared" si="13"/>
        <v>F12, F14</v>
      </c>
      <c r="I66" s="46" t="s">
        <v>90</v>
      </c>
      <c r="J66" s="47" t="s">
        <v>103</v>
      </c>
      <c r="K66" s="48"/>
      <c r="L66" s="49"/>
      <c r="M66" s="50" t="str">
        <f>IF(O66&lt;&gt;O65,MAX(1,MIN(AA66,ROUNDUP(SUMPRODUCT(($O$5:$O$546=O66)*($I$5:$I$546="Ja")*($E$5:$E$546-$D$5:$D$546))*24/REGLER!$B$8,0))),"")</f>
        <v/>
      </c>
      <c r="N66" s="50" t="str">
        <f t="shared" si="0"/>
        <v>Klar</v>
      </c>
      <c r="O66" s="15" t="s">
        <v>102</v>
      </c>
      <c r="P66" s="16">
        <v>0.33333333333333298</v>
      </c>
      <c r="Q66" s="16">
        <v>0.5625</v>
      </c>
      <c r="R66" s="15">
        <f>IFERROR(MATCH(1,INDEX((MATCHER!$B$5:$B$504=A66)*(MATCHER!$D$5:$D$504=C66)*(MATCHER!$K$5:$K$504="Ja")*(MATCHER!$C$5:$C$504&lt;E66)*(MATCHER!$M$5:$M$504&gt;D66),0),0),"")</f>
        <v>17</v>
      </c>
      <c r="S66" s="15" t="str">
        <f>IF(R66="","",IFERROR(MATCH(1,INDEX((MATCHER!$B$5:$B$504=A66)*(MATCHER!$D$5:$D$504=C66)*(MATCHER!$K$5:$K$504="Ja")*(MATCHER!$C$5:$C$504&lt;E66)*(MATCHER!$M$5:$M$504&gt;D66)*(ROW(MATCHER!$A$5:$A$504)-ROW(MATCHER!$A$5)+1&gt;R66),0),0),""))</f>
        <v/>
      </c>
      <c r="T66" s="15" t="str">
        <f>IF(S66="","",IFERROR(MATCH(1,INDEX((MATCHER!$B$5:$B$504=A66)*(MATCHER!$D$5:$D$504=C66)*(MATCHER!$K$5:$K$504="Ja")*(MATCHER!$C$5:$C$504&lt;E66)*(MATCHER!$M$5:$M$504&gt;D66)*(ROW(MATCHER!$A$5:$A$504)-ROW(MATCHER!$A$5)+1&gt;S66),0),0),""))</f>
        <v/>
      </c>
      <c r="U66" s="15">
        <f t="shared" si="1"/>
        <v>0</v>
      </c>
      <c r="V66" s="15">
        <f>IF(OR(I66&lt;&gt;"Ja",J66=""),"",COUNTIFS($O$5:O66,O66,$U$5:U66,1))</f>
        <v>2</v>
      </c>
      <c r="W66" s="15" t="str">
        <f t="shared" si="2"/>
        <v>2026-10-03 | Ulriksdalshallen|2</v>
      </c>
      <c r="X66" s="16" t="str">
        <f t="shared" si="3"/>
        <v/>
      </c>
      <c r="Y66" s="15">
        <f>IF(OR(I66&lt;&gt;"Ja",J66=""),0,IF(COUNTIFS($O$5:O66,O66,$I$5:I66,"Ja",$J$5:J66,"&lt;&gt;")=1,1,0))</f>
        <v>0</v>
      </c>
      <c r="Z66" s="15">
        <f>IF(OR(I66&lt;&gt;"Ja",J66=""),0,IF(COUNTIFS(O66:$O$546,O66,I66:$I$546,"Ja",J66:$J$546,"&lt;&gt;")=1,1,0))</f>
        <v>0</v>
      </c>
      <c r="AA66" s="15">
        <f t="shared" si="14"/>
        <v>2</v>
      </c>
      <c r="AB66" s="15" t="str">
        <f>IF(U66&lt;&gt;1,"",COUNTIF($U$5:U66,1))</f>
        <v/>
      </c>
      <c r="AC66" s="15" t="str">
        <f t="shared" si="4"/>
        <v/>
      </c>
      <c r="AD66" s="15" t="str">
        <f t="shared" si="5"/>
        <v>Vanligt café</v>
      </c>
      <c r="AE66" s="15" t="str">
        <f t="shared" si="6"/>
        <v/>
      </c>
      <c r="AF66" t="str">
        <f>IF(T66="","",IFERROR(MATCH(1,INDEX((MATCHER!$B$5:$B$504=A66)*(MATCHER!$D$5:$D$504=C66)*(MATCHER!$K$5:$K$504="Ja")*(MATCHER!$C$5:$C$504&lt;E66)*(MATCHER!$M$5:$M$504&gt;D66)*(ROW(MATCHER!$A$5:$A$504)-ROW(MATCHER!$A$5)+1&gt;T66),0),0),""))</f>
        <v/>
      </c>
    </row>
    <row r="67" spans="1:32" ht="26.5" thickBot="1">
      <c r="A67" s="52">
        <v>46298</v>
      </c>
      <c r="B67" s="53" t="s">
        <v>85</v>
      </c>
      <c r="C67" s="53" t="s">
        <v>86</v>
      </c>
      <c r="D67" s="54">
        <v>0.54166666666666696</v>
      </c>
      <c r="E67" s="54">
        <v>0.5625</v>
      </c>
      <c r="F67" s="55" t="str">
        <f>IF(R67="","",HOUR(INDEX(MATCHER!$C$5:$C$504,R67))&amp;":"&amp;IF(MINUTE(INDEX(MATCHER!$C$5:$C$504,R67))&lt;10,"0","")&amp;MINUTE(INDEX(MATCHER!$C$5:$C$504,R67))&amp;" "&amp;INDEX(MATCHER!$H$5:$H$504,R67)&amp;" – "&amp;INDEX(MATCHER!$I$5:$I$504,R67))&amp;IF(S67="",""," | "&amp;HOUR(INDEX(MATCHER!$C$5:$C$504,S67))&amp;":"&amp;IF(MINUTE(INDEX(MATCHER!$C$5:$C$504,S67))&lt;10,"0","")&amp;MINUTE(INDEX(MATCHER!$C$5:$C$504,S67))&amp;" "&amp;INDEX(MATCHER!$H$5:$H$504,S67)&amp;" – "&amp;INDEX(MATCHER!$I$5:$I$504,S67))&amp;IF(T67="",""," | "&amp;HOUR(INDEX(MATCHER!$C$5:$C$504,T67))&amp;":"&amp;IF(MINUTE(INDEX(MATCHER!$C$5:$C$504,T67))&lt;10,"0","")&amp;MINUTE(INDEX(MATCHER!$C$5:$C$504,T67))&amp;" "&amp;INDEX(MATCHER!$H$5:$H$504,T67)&amp;" – "&amp;INDEX(MATCHER!$I$5:$I$504,T67))&amp;IF(AF67="",""," | "&amp;HOUR(INDEX(MATCHER!$C$5:$C$504,AF67))&amp;":"&amp;IF(MINUTE(INDEX(MATCHER!$C$5:$C$504,AF67))&lt;10,"0","")&amp;MINUTE(INDEX(MATCHER!$C$5:$C$504,AF67))&amp;" "&amp;INDEX(MATCHER!$H$5:$H$504,AF67)&amp;" – "&amp;INDEX(MATCHER!$I$5:$I$504,AF67))</f>
        <v>12:20 AIK – Bollstanäs SK 1</v>
      </c>
      <c r="G67" s="55" t="str">
        <f>MID(IF(R67="","",IF(OR(INDEX(MATCHER!$J$5:$J$504,R67)=""),""," / "&amp;INDEX(MATCHER!$J$5:$J$504,R67)))&amp;IF(S67="","",IF(OR(INDEX(MATCHER!$J$5:$J$504,S67)="",INDEX(MATCHER!$J$5:$J$504,S67)=IFERROR(INDEX(MATCHER!$J$5:$J$504,R67),"")),""," / "&amp;INDEX(MATCHER!$J$5:$J$504,S67)))&amp;IF(T67="","",IF(OR(INDEX(MATCHER!$J$5:$J$504,T67)="",INDEX(MATCHER!$J$5:$J$504,T67)=IFERROR(INDEX(MATCHER!$J$5:$J$504,R67),""),INDEX(MATCHER!$J$5:$J$504,T67)=IFERROR(INDEX(MATCHER!$J$5:$J$504,S67),"")),""," / "&amp;INDEX(MATCHER!$J$5:$J$504,T67)))&amp;IF(AF67="","",IF(OR(INDEX(MATCHER!$J$5:$J$504,AF67)="",INDEX(MATCHER!$J$5:$J$504,AF67)=IFERROR(INDEX(MATCHER!$J$5:$J$504,R67),""),INDEX(MATCHER!$J$5:$J$504,AF67)=IFERROR(INDEX(MATCHER!$J$5:$J$504,S67),""),INDEX(MATCHER!$J$5:$J$504,AF67)=IFERROR(INDEX(MATCHER!$J$5:$J$504,T67),"")),""," / "&amp;INDEX(MATCHER!$J$5:$J$504,AF67))),4,1000)</f>
        <v>F14</v>
      </c>
      <c r="H67" s="55" t="str">
        <f t="shared" si="13"/>
        <v>F12, F14</v>
      </c>
      <c r="I67" s="56" t="s">
        <v>90</v>
      </c>
      <c r="J67" s="57" t="s">
        <v>103</v>
      </c>
      <c r="K67" s="58"/>
      <c r="L67" s="59"/>
      <c r="M67" s="60" t="str">
        <f>IF(O67&lt;&gt;O66,MAX(1,MIN(AA67,ROUNDUP(SUMPRODUCT(($O$5:$O$546=O67)*($I$5:$I$546="Ja")*($E$5:$E$546-$D$5:$D$546))*24/REGLER!$B$8,0))),"")</f>
        <v/>
      </c>
      <c r="N67" s="60" t="str">
        <f t="shared" si="0"/>
        <v>Klar</v>
      </c>
      <c r="O67" s="15" t="s">
        <v>102</v>
      </c>
      <c r="P67" s="16">
        <v>0.33333333333333298</v>
      </c>
      <c r="Q67" s="16">
        <v>0.5625</v>
      </c>
      <c r="R67" s="15">
        <f>IFERROR(MATCH(1,INDEX((MATCHER!$B$5:$B$504=A67)*(MATCHER!$D$5:$D$504=C67)*(MATCHER!$K$5:$K$504="Ja")*(MATCHER!$C$5:$C$504&lt;E67)*(MATCHER!$M$5:$M$504&gt;D67),0),0),"")</f>
        <v>17</v>
      </c>
      <c r="S67" s="15" t="str">
        <f>IF(R67="","",IFERROR(MATCH(1,INDEX((MATCHER!$B$5:$B$504=A67)*(MATCHER!$D$5:$D$504=C67)*(MATCHER!$K$5:$K$504="Ja")*(MATCHER!$C$5:$C$504&lt;E67)*(MATCHER!$M$5:$M$504&gt;D67)*(ROW(MATCHER!$A$5:$A$504)-ROW(MATCHER!$A$5)+1&gt;R67),0),0),""))</f>
        <v/>
      </c>
      <c r="T67" s="15" t="str">
        <f>IF(S67="","",IFERROR(MATCH(1,INDEX((MATCHER!$B$5:$B$504=A67)*(MATCHER!$D$5:$D$504=C67)*(MATCHER!$K$5:$K$504="Ja")*(MATCHER!$C$5:$C$504&lt;E67)*(MATCHER!$M$5:$M$504&gt;D67)*(ROW(MATCHER!$A$5:$A$504)-ROW(MATCHER!$A$5)+1&gt;S67),0),0),""))</f>
        <v/>
      </c>
      <c r="U67" s="15">
        <f t="shared" si="1"/>
        <v>0</v>
      </c>
      <c r="V67" s="15">
        <f>IF(OR(I67&lt;&gt;"Ja",J67=""),"",COUNTIFS($O$5:O67,O67,$U$5:U67,1))</f>
        <v>2</v>
      </c>
      <c r="W67" s="15" t="str">
        <f t="shared" si="2"/>
        <v>2026-10-03 | Ulriksdalshallen|2</v>
      </c>
      <c r="X67" s="16">
        <f t="shared" si="3"/>
        <v>0.5625</v>
      </c>
      <c r="Y67" s="15">
        <f>IF(OR(I67&lt;&gt;"Ja",J67=""),0,IF(COUNTIFS($O$5:O67,O67,$I$5:I67,"Ja",$J$5:J67,"&lt;&gt;")=1,1,0))</f>
        <v>0</v>
      </c>
      <c r="Z67" s="15">
        <f>IF(OR(I67&lt;&gt;"Ja",J67=""),0,IF(COUNTIFS(O67:$O$546,O67,I67:$I$546,"Ja",J67:$J$546,"&lt;&gt;")=1,1,0))</f>
        <v>1</v>
      </c>
      <c r="AA67" s="15">
        <f t="shared" si="14"/>
        <v>2</v>
      </c>
      <c r="AB67" s="15" t="str">
        <f>IF(U67&lt;&gt;1,"",COUNTIF($U$5:U67,1))</f>
        <v/>
      </c>
      <c r="AC67" s="15" t="str">
        <f t="shared" si="4"/>
        <v>2026-10-03 | Ulriksdalshallen|2</v>
      </c>
      <c r="AD67" s="15" t="str">
        <f t="shared" si="5"/>
        <v>Vanligt café</v>
      </c>
      <c r="AE67" s="15" t="str">
        <f t="shared" si="6"/>
        <v/>
      </c>
      <c r="AF67" t="str">
        <f>IF(T67="","",IFERROR(MATCH(1,INDEX((MATCHER!$B$5:$B$504=A67)*(MATCHER!$D$5:$D$504=C67)*(MATCHER!$K$5:$K$504="Ja")*(MATCHER!$C$5:$C$504&lt;E67)*(MATCHER!$M$5:$M$504&gt;D67)*(ROW(MATCHER!$A$5:$A$504)-ROW(MATCHER!$A$5)+1&gt;T67),0),0),""))</f>
        <v/>
      </c>
    </row>
    <row r="68" spans="1:32" ht="13">
      <c r="A68" s="61">
        <v>46301</v>
      </c>
      <c r="B68" s="62" t="s">
        <v>104</v>
      </c>
      <c r="C68" s="62" t="s">
        <v>94</v>
      </c>
      <c r="D68" s="63">
        <v>0.83333333333333304</v>
      </c>
      <c r="E68" s="63">
        <v>0.85416666666666696</v>
      </c>
      <c r="F68" s="64" t="str">
        <f>IF(R68="","",HOUR(INDEX(MATCHER!$C$5:$C$504,R68))&amp;":"&amp;IF(MINUTE(INDEX(MATCHER!$C$5:$C$504,R68))&lt;10,"0","")&amp;MINUTE(INDEX(MATCHER!$C$5:$C$504,R68))&amp;" "&amp;INDEX(MATCHER!$H$5:$H$504,R68)&amp;" – "&amp;INDEX(MATCHER!$I$5:$I$504,R68))&amp;IF(S68="",""," | "&amp;HOUR(INDEX(MATCHER!$C$5:$C$504,S68))&amp;":"&amp;IF(MINUTE(INDEX(MATCHER!$C$5:$C$504,S68))&lt;10,"0","")&amp;MINUTE(INDEX(MATCHER!$C$5:$C$504,S68))&amp;" "&amp;INDEX(MATCHER!$H$5:$H$504,S68)&amp;" – "&amp;INDEX(MATCHER!$I$5:$I$504,S68))&amp;IF(T68="",""," | "&amp;HOUR(INDEX(MATCHER!$C$5:$C$504,T68))&amp;":"&amp;IF(MINUTE(INDEX(MATCHER!$C$5:$C$504,T68))&lt;10,"0","")&amp;MINUTE(INDEX(MATCHER!$C$5:$C$504,T68))&amp;" "&amp;INDEX(MATCHER!$H$5:$H$504,T68)&amp;" – "&amp;INDEX(MATCHER!$I$5:$I$504,T68))&amp;IF(AF68="",""," | "&amp;HOUR(INDEX(MATCHER!$C$5:$C$504,AF68))&amp;":"&amp;IF(MINUTE(INDEX(MATCHER!$C$5:$C$504,AF68))&lt;10,"0","")&amp;MINUTE(INDEX(MATCHER!$C$5:$C$504,AF68))&amp;" "&amp;INDEX(MATCHER!$H$5:$H$504,AF68)&amp;" – "&amp;INDEX(MATCHER!$I$5:$I$504,AF68))</f>
        <v/>
      </c>
      <c r="G68" s="64" t="str">
        <f>MID(IF(R68="","",IF(OR(INDEX(MATCHER!$J$5:$J$504,R68)=""),""," / "&amp;INDEX(MATCHER!$J$5:$J$504,R68)))&amp;IF(S68="","",IF(OR(INDEX(MATCHER!$J$5:$J$504,S68)="",INDEX(MATCHER!$J$5:$J$504,S68)=IFERROR(INDEX(MATCHER!$J$5:$J$504,R68),"")),""," / "&amp;INDEX(MATCHER!$J$5:$J$504,S68)))&amp;IF(T68="","",IF(OR(INDEX(MATCHER!$J$5:$J$504,T68)="",INDEX(MATCHER!$J$5:$J$504,T68)=IFERROR(INDEX(MATCHER!$J$5:$J$504,R68),""),INDEX(MATCHER!$J$5:$J$504,T68)=IFERROR(INDEX(MATCHER!$J$5:$J$504,S68),"")),""," / "&amp;INDEX(MATCHER!$J$5:$J$504,T68)))&amp;IF(AF68="","",IF(OR(INDEX(MATCHER!$J$5:$J$504,AF68)="",INDEX(MATCHER!$J$5:$J$504,AF68)=IFERROR(INDEX(MATCHER!$J$5:$J$504,R68),""),INDEX(MATCHER!$J$5:$J$504,AF68)=IFERROR(INDEX(MATCHER!$J$5:$J$504,S68),""),INDEX(MATCHER!$J$5:$J$504,AF68)=IFERROR(INDEX(MATCHER!$J$5:$J$504,T68),"")),""," / "&amp;INDEX(MATCHER!$J$5:$J$504,AF68))),4,1000)</f>
        <v/>
      </c>
      <c r="H68" s="64" t="str">
        <f>MID(IF(COUNTIFS(MATCHER!$B$5:$B$504,A68,MATCHER!$D$5:$D$504,C68,MATCHER!$J$5:$J$504,REGLER!$I$6,MATCHER!$K$5:$K$504,"Ja")+COUNTIFS(MATCHER!$B$5:$B$504,A68,MATCHER!$D$5:$D$504,C68,MATCHER!$J$5:$J$504,REGLER!$I$6&amp;" 2",MATCHER!$K$5:$K$504,"Ja")&gt;0,", "&amp;REGLER!$I$6,"")&amp;IF(COUNTIFS(MATCHER!$B$5:$B$504,A68,MATCHER!$D$5:$D$504,C68,MATCHER!$J$5:$J$504,REGLER!$I$7,MATCHER!$K$5:$K$504,"Ja")+COUNTIFS(MATCHER!$B$5:$B$504,A68,MATCHER!$D$5:$D$504,C68,MATCHER!$J$5:$J$504,REGLER!$I$7&amp;" 2",MATCHER!$K$5:$K$504,"Ja")&gt;0,", "&amp;REGLER!$I$7,"")&amp;IF(COUNTIFS(MATCHER!$B$5:$B$504,A68,MATCHER!$D$5:$D$504,C68,MATCHER!$J$5:$J$504,REGLER!$I$8,MATCHER!$K$5:$K$504,"Ja")+COUNTIFS(MATCHER!$B$5:$B$504,A68,MATCHER!$D$5:$D$504,C68,MATCHER!$J$5:$J$504,REGLER!$I$8&amp;" 2",MATCHER!$K$5:$K$504,"Ja")&gt;0,", "&amp;REGLER!$I$8,"")&amp;IF(COUNTIFS(MATCHER!$B$5:$B$504,A68,MATCHER!$D$5:$D$504,C68,MATCHER!$J$5:$J$504,REGLER!$I$9,MATCHER!$K$5:$K$504,"Ja")+COUNTIFS(MATCHER!$B$5:$B$504,A68,MATCHER!$D$5:$D$504,C68,MATCHER!$J$5:$J$504,REGLER!$I$9&amp;" 2",MATCHER!$K$5:$K$504,"Ja")&gt;0,", "&amp;REGLER!$I$9,"")&amp;IF(COUNTIFS(MATCHER!$B$5:$B$504,A68,MATCHER!$D$5:$D$504,C68,MATCHER!$J$5:$J$504,REGLER!$I$10,MATCHER!$K$5:$K$504,"Ja")+COUNTIFS(MATCHER!$B$5:$B$504,A68,MATCHER!$D$5:$D$504,C68,MATCHER!$J$5:$J$504,REGLER!$I$10&amp;" 2",MATCHER!$K$5:$K$504,"Ja")&gt;0,", "&amp;REGLER!$I$10,"")&amp;IF(COUNTIFS(MATCHER!$B$5:$B$504,A68,MATCHER!$D$5:$D$504,C68,MATCHER!$J$5:$J$504,REGLER!$I$11,MATCHER!$K$5:$K$504,"Ja")+COUNTIFS(MATCHER!$B$5:$B$504,A68,MATCHER!$D$5:$D$504,C68,MATCHER!$J$5:$J$504,REGLER!$I$11&amp;" 2",MATCHER!$K$5:$K$504,"Ja")&gt;0,", "&amp;REGLER!$I$11,"")&amp;IF(COUNTIFS(MATCHER!$B$5:$B$504,A68,MATCHER!$D$5:$D$504,C68,MATCHER!$J$5:$J$504,REGLER!$I$12,MATCHER!$K$5:$K$504,"Ja")+COUNTIFS(MATCHER!$B$5:$B$504,A68,MATCHER!$D$5:$D$504,C68,MATCHER!$J$5:$J$504,REGLER!$I$12&amp;" 2",MATCHER!$K$5:$K$504,"Ja")&gt;0,", "&amp;REGLER!$I$12,"")&amp;IF(COUNTIFS(MATCHER!$B$5:$B$504,A68,MATCHER!$D$5:$D$504,C68,MATCHER!$J$5:$J$504,REGLER!$I$13,MATCHER!$K$5:$K$504,"Ja")+COUNTIFS(MATCHER!$B$5:$B$504,A68,MATCHER!$D$5:$D$504,C68,MATCHER!$J$5:$J$504,REGLER!$I$13&amp;" 2",MATCHER!$K$5:$K$504,"Ja")&gt;0,", "&amp;REGLER!$I$13,"")&amp;IF(COUNTIFS(MATCHER!$B$5:$B$504,A68,MATCHER!$D$5:$D$504,C68,MATCHER!$J$5:$J$504,REGLER!$I$14,MATCHER!$K$5:$K$504,"Ja")+COUNTIFS(MATCHER!$B$5:$B$504,A68,MATCHER!$D$5:$D$504,C68,MATCHER!$J$5:$J$504,REGLER!$I$14&amp;" 2",MATCHER!$K$5:$K$504,"Ja")&gt;0,", "&amp;REGLER!$I$14,"")&amp;IF(COUNTIFS(MATCHER!$B$5:$B$504,A68,MATCHER!$D$5:$D$504,C68,MATCHER!$J$5:$J$504,REGLER!$I$15,MATCHER!$K$5:$K$504,"Ja")+COUNTIFS(MATCHER!$B$5:$B$504,A68,MATCHER!$D$5:$D$504,C68,MATCHER!$J$5:$J$504,REGLER!$I$15&amp;" 2",MATCHER!$K$5:$K$504,"Ja")&gt;0,", "&amp;REGLER!$I$15,"")&amp;IF(COUNTIFS(MATCHER!$B$5:$B$504,A68,MATCHER!$D$5:$D$504,C68,MATCHER!$J$5:$J$504,REGLER!$I$16,MATCHER!$K$5:$K$504,"Ja")+COUNTIFS(MATCHER!$B$5:$B$504,A68,MATCHER!$D$5:$D$504,C68,MATCHER!$J$5:$J$504,REGLER!$I$16&amp;" 2",MATCHER!$K$5:$K$504,"Ja")&gt;0,", "&amp;REGLER!$I$16,"")&amp;IF(COUNTIFS(MATCHER!$B$5:$B$504,A68,MATCHER!$D$5:$D$504,C68,MATCHER!$J$5:$J$504,REGLER!$I$17,MATCHER!$K$5:$K$504,"Ja")+COUNTIFS(MATCHER!$B$5:$B$504,A68,MATCHER!$D$5:$D$504,C68,MATCHER!$J$5:$J$504,REGLER!$I$17&amp;" 2",MATCHER!$K$5:$K$504,"Ja")&gt;0,", "&amp;REGLER!$I$17,"")&amp;IF(COUNTIFS(MATCHER!$B$5:$B$504,A68,MATCHER!$D$5:$D$504,C68,MATCHER!$J$5:$J$504,REGLER!$I$18,MATCHER!$K$5:$K$504,"Ja")+COUNTIFS(MATCHER!$B$5:$B$504,A68,MATCHER!$D$5:$D$504,C68,MATCHER!$J$5:$J$504,REGLER!$I$18&amp;" 2",MATCHER!$K$5:$K$504,"Ja")&gt;0,", "&amp;REGLER!$I$18,"")&amp;IF(COUNTIFS(MATCHER!$B$5:$B$504,A68,MATCHER!$D$5:$D$504,C68,MATCHER!$J$5:$J$504,REGLER!$I$19,MATCHER!$K$5:$K$504,"Ja")+COUNTIFS(MATCHER!$B$5:$B$504,A68,MATCHER!$D$5:$D$504,C68,MATCHER!$J$5:$J$504,REGLER!$I$19&amp;" 2",MATCHER!$K$5:$K$504,"Ja")&gt;0,", "&amp;REGLER!$I$19,"")&amp;IF(COUNTIFS(MATCHER!$B$5:$B$504,A68,MATCHER!$D$5:$D$504,C68,MATCHER!$J$5:$J$504,REGLER!$I$20,MATCHER!$K$5:$K$504,"Ja")+COUNTIFS(MATCHER!$B$5:$B$504,A68,MATCHER!$D$5:$D$504,C68,MATCHER!$J$5:$J$504,REGLER!$I$20&amp;" 2",MATCHER!$K$5:$K$504,"Ja")&gt;0,", "&amp;REGLER!$I$20,"")&amp;IF(COUNTIFS(MATCHER!$B$5:$B$504,A68,MATCHER!$D$5:$D$504,C68,MATCHER!$J$5:$J$504,REGLER!$I$21,MATCHER!$K$5:$K$504,"Ja")+COUNTIFS(MATCHER!$B$5:$B$504,A68,MATCHER!$D$5:$D$504,C68,MATCHER!$J$5:$J$504,REGLER!$I$21&amp;" 2",MATCHER!$K$5:$K$504,"Ja")&gt;0,", "&amp;REGLER!$I$21,"")&amp;IF(COUNTIFS(MATCHER!$B$5:$B$504,A68,MATCHER!$D$5:$D$504,C68,MATCHER!$J$5:$J$504,REGLER!$I$22,MATCHER!$K$5:$K$504,"Ja")+COUNTIFS(MATCHER!$B$5:$B$504,A68,MATCHER!$D$5:$D$504,C68,MATCHER!$J$5:$J$504,REGLER!$I$22&amp;" 2",MATCHER!$K$5:$K$504,"Ja")&gt;0,", "&amp;REGLER!$I$22,"")&amp;IF(COUNTIFS(MATCHER!$B$5:$B$504,A68,MATCHER!$D$5:$D$504,C68,MATCHER!$J$5:$J$504,REGLER!$I$23,MATCHER!$K$5:$K$504,"Ja")+COUNTIFS(MATCHER!$B$5:$B$504,A68,MATCHER!$D$5:$D$504,C68,MATCHER!$J$5:$J$504,REGLER!$I$23&amp;" 2",MATCHER!$K$5:$K$504,"Ja")&gt;0,", "&amp;REGLER!$I$23,"")&amp;IF(COUNTIFS(MATCHER!$B$5:$B$504,A68,MATCHER!$D$5:$D$504,C68,MATCHER!$J$5:$J$504,REGLER!$I$24,MATCHER!$K$5:$K$504,"Ja")+COUNTIFS(MATCHER!$B$5:$B$504,A68,MATCHER!$D$5:$D$504,C68,MATCHER!$J$5:$J$504,REGLER!$I$24&amp;" 2",MATCHER!$K$5:$K$504,"Ja")&gt;0,", "&amp;REGLER!$I$24,"")&amp;IF(COUNTIFS(MATCHER!$B$5:$B$504,A68,MATCHER!$D$5:$D$504,C68,MATCHER!$J$5:$J$504,REGLER!$I$25,MATCHER!$K$5:$K$504,"Ja")+COUNTIFS(MATCHER!$B$5:$B$504,A68,MATCHER!$D$5:$D$504,C68,MATCHER!$J$5:$J$504,REGLER!$I$25&amp;" 2",MATCHER!$K$5:$K$504,"Ja")&gt;0,", "&amp;REGLER!$I$25,"")&amp;IF(COUNTIFS(MATCHER!$B$5:$B$504,A68,MATCHER!$D$5:$D$504,C68,MATCHER!$J$5:$J$504,REGLER!$I$26,MATCHER!$K$5:$K$504,"Ja")+COUNTIFS(MATCHER!$B$5:$B$504,A68,MATCHER!$D$5:$D$504,C68,MATCHER!$J$5:$J$504,REGLER!$I$26&amp;" 2",MATCHER!$K$5:$K$504,"Ja")&gt;0,", "&amp;REGLER!$I$26,""),3,1000)</f>
        <v>F19</v>
      </c>
      <c r="I68" s="65" t="s">
        <v>90</v>
      </c>
      <c r="J68" s="66" t="s">
        <v>105</v>
      </c>
      <c r="K68" s="67" t="s">
        <v>98</v>
      </c>
      <c r="L68" s="158"/>
      <c r="M68" s="69">
        <f>IF(O68&lt;&gt;O67,MAX(1,MIN(AA68,ROUNDUP(SUMPRODUCT(($O$5:$O$546=O68)*($I$5:$I$546="Ja")*($E$5:$E$546-$D$5:$D$546))*24/REGLER!$B$8,0))),"")</f>
        <v>1</v>
      </c>
      <c r="N68" s="70" t="str">
        <f t="shared" si="0"/>
        <v>Klar</v>
      </c>
      <c r="O68" s="15" t="s">
        <v>106</v>
      </c>
      <c r="P68" s="16">
        <v>0.83333333333333304</v>
      </c>
      <c r="Q68" s="16">
        <v>0.91666666666666696</v>
      </c>
      <c r="R68" s="15" t="str">
        <f>IFERROR(MATCH(1,INDEX((MATCHER!$B$5:$B$504=A68)*(MATCHER!$D$5:$D$504=C68)*(MATCHER!$K$5:$K$504="Ja")*(MATCHER!$C$5:$C$504&lt;E68)*(MATCHER!$M$5:$M$504&gt;D68),0),0),"")</f>
        <v/>
      </c>
      <c r="S68" s="15" t="str">
        <f>IF(R68="","",IFERROR(MATCH(1,INDEX((MATCHER!$B$5:$B$504=A68)*(MATCHER!$D$5:$D$504=C68)*(MATCHER!$K$5:$K$504="Ja")*(MATCHER!$C$5:$C$504&lt;E68)*(MATCHER!$M$5:$M$504&gt;D68)*(ROW(MATCHER!$A$5:$A$504)-ROW(MATCHER!$A$5)+1&gt;R68),0),0),""))</f>
        <v/>
      </c>
      <c r="T68" s="15" t="str">
        <f>IF(S68="","",IFERROR(MATCH(1,INDEX((MATCHER!$B$5:$B$504=A68)*(MATCHER!$D$5:$D$504=C68)*(MATCHER!$K$5:$K$504="Ja")*(MATCHER!$C$5:$C$504&lt;E68)*(MATCHER!$M$5:$M$504&gt;D68)*(ROW(MATCHER!$A$5:$A$504)-ROW(MATCHER!$A$5)+1&gt;S68),0),0),""))</f>
        <v/>
      </c>
      <c r="U68" s="15">
        <f t="shared" si="1"/>
        <v>1</v>
      </c>
      <c r="V68" s="15">
        <f>IF(OR(I68&lt;&gt;"Ja",J68=""),"",COUNTIFS($O$5:O68,O68,$U$5:U68,1))</f>
        <v>1</v>
      </c>
      <c r="W68" s="15" t="str">
        <f t="shared" si="2"/>
        <v>2026-10-06 | Råsta Park|1</v>
      </c>
      <c r="X68" s="16" t="str">
        <f t="shared" si="3"/>
        <v/>
      </c>
      <c r="Y68" s="15">
        <f>IF(OR(I68&lt;&gt;"Ja",J68=""),0,IF(COUNTIFS($O$5:O68,O68,$I$5:I68,"Ja",$J$5:J68,"&lt;&gt;")=1,1,0))</f>
        <v>1</v>
      </c>
      <c r="Z68" s="15">
        <f>IF(OR(I68&lt;&gt;"Ja",J68=""),0,IF(COUNTIFS(O68:$O$546,O68,I68:$I$546,"Ja",J68:$J$546,"&lt;&gt;")=1,1,0))</f>
        <v>0</v>
      </c>
      <c r="AA68" s="15">
        <f>IF(COUNTIFS(MATCHER!$B$5:$B$504,A68,MATCHER!$D$5:$D$504,C68,MATCHER!$J$5:$J$504,REGLER!$I$6,MATCHER!$K$5:$K$504,"Ja")+COUNTIFS(MATCHER!$B$5:$B$504,A68,MATCHER!$D$5:$D$504,C68,MATCHER!$J$5:$J$504,REGLER!$I$6&amp;" 2",MATCHER!$K$5:$K$504,"Ja")&gt;0,1,0)+IF(COUNTIFS(MATCHER!$B$5:$B$504,A68,MATCHER!$D$5:$D$504,C68,MATCHER!$J$5:$J$504,REGLER!$I$7,MATCHER!$K$5:$K$504,"Ja")+COUNTIFS(MATCHER!$B$5:$B$504,A68,MATCHER!$D$5:$D$504,C68,MATCHER!$J$5:$J$504,REGLER!$I$7&amp;" 2",MATCHER!$K$5:$K$504,"Ja")&gt;0,1,0)+IF(COUNTIFS(MATCHER!$B$5:$B$504,A68,MATCHER!$D$5:$D$504,C68,MATCHER!$J$5:$J$504,REGLER!$I$8,MATCHER!$K$5:$K$504,"Ja")+COUNTIFS(MATCHER!$B$5:$B$504,A68,MATCHER!$D$5:$D$504,C68,MATCHER!$J$5:$J$504,REGLER!$I$8&amp;" 2",MATCHER!$K$5:$K$504,"Ja")&gt;0,1,0)+IF(COUNTIFS(MATCHER!$B$5:$B$504,A68,MATCHER!$D$5:$D$504,C68,MATCHER!$J$5:$J$504,REGLER!$I$9,MATCHER!$K$5:$K$504,"Ja")+COUNTIFS(MATCHER!$B$5:$B$504,A68,MATCHER!$D$5:$D$504,C68,MATCHER!$J$5:$J$504,REGLER!$I$9&amp;" 2",MATCHER!$K$5:$K$504,"Ja")&gt;0,1,0)+IF(COUNTIFS(MATCHER!$B$5:$B$504,A68,MATCHER!$D$5:$D$504,C68,MATCHER!$J$5:$J$504,REGLER!$I$10,MATCHER!$K$5:$K$504,"Ja")+COUNTIFS(MATCHER!$B$5:$B$504,A68,MATCHER!$D$5:$D$504,C68,MATCHER!$J$5:$J$504,REGLER!$I$10&amp;" 2",MATCHER!$K$5:$K$504,"Ja")&gt;0,1,0)+IF(COUNTIFS(MATCHER!$B$5:$B$504,A68,MATCHER!$D$5:$D$504,C68,MATCHER!$J$5:$J$504,REGLER!$I$11,MATCHER!$K$5:$K$504,"Ja")+COUNTIFS(MATCHER!$B$5:$B$504,A68,MATCHER!$D$5:$D$504,C68,MATCHER!$J$5:$J$504,REGLER!$I$11&amp;" 2",MATCHER!$K$5:$K$504,"Ja")&gt;0,1,0)+IF(COUNTIFS(MATCHER!$B$5:$B$504,A68,MATCHER!$D$5:$D$504,C68,MATCHER!$J$5:$J$504,REGLER!$I$12,MATCHER!$K$5:$K$504,"Ja")+COUNTIFS(MATCHER!$B$5:$B$504,A68,MATCHER!$D$5:$D$504,C68,MATCHER!$J$5:$J$504,REGLER!$I$12&amp;" 2",MATCHER!$K$5:$K$504,"Ja")&gt;0,1,0)+IF(COUNTIFS(MATCHER!$B$5:$B$504,A68,MATCHER!$D$5:$D$504,C68,MATCHER!$J$5:$J$504,REGLER!$I$13,MATCHER!$K$5:$K$504,"Ja")+COUNTIFS(MATCHER!$B$5:$B$504,A68,MATCHER!$D$5:$D$504,C68,MATCHER!$J$5:$J$504,REGLER!$I$13&amp;" 2",MATCHER!$K$5:$K$504,"Ja")&gt;0,1,0)+IF(COUNTIFS(MATCHER!$B$5:$B$504,A68,MATCHER!$D$5:$D$504,C68,MATCHER!$J$5:$J$504,REGLER!$I$14,MATCHER!$K$5:$K$504,"Ja")+COUNTIFS(MATCHER!$B$5:$B$504,A68,MATCHER!$D$5:$D$504,C68,MATCHER!$J$5:$J$504,REGLER!$I$14&amp;" 2",MATCHER!$K$5:$K$504,"Ja")&gt;0,1,0)+IF(COUNTIFS(MATCHER!$B$5:$B$504,A68,MATCHER!$D$5:$D$504,C68,MATCHER!$J$5:$J$504,REGLER!$I$15,MATCHER!$K$5:$K$504,"Ja")+COUNTIFS(MATCHER!$B$5:$B$504,A68,MATCHER!$D$5:$D$504,C68,MATCHER!$J$5:$J$504,REGLER!$I$15&amp;" 2",MATCHER!$K$5:$K$504,"Ja")&gt;0,1,0)+IF(COUNTIFS(MATCHER!$B$5:$B$504,A68,MATCHER!$D$5:$D$504,C68,MATCHER!$J$5:$J$504,REGLER!$I$16,MATCHER!$K$5:$K$504,"Ja")+COUNTIFS(MATCHER!$B$5:$B$504,A68,MATCHER!$D$5:$D$504,C68,MATCHER!$J$5:$J$504,REGLER!$I$16&amp;" 2",MATCHER!$K$5:$K$504,"Ja")&gt;0,1,0)+IF(COUNTIFS(MATCHER!$B$5:$B$504,A68,MATCHER!$D$5:$D$504,C68,MATCHER!$J$5:$J$504,REGLER!$I$17,MATCHER!$K$5:$K$504,"Ja")+COUNTIFS(MATCHER!$B$5:$B$504,A68,MATCHER!$D$5:$D$504,C68,MATCHER!$J$5:$J$504,REGLER!$I$17&amp;" 2",MATCHER!$K$5:$K$504,"Ja")&gt;0,1,0)+IF(COUNTIFS(MATCHER!$B$5:$B$504,A68,MATCHER!$D$5:$D$504,C68,MATCHER!$J$5:$J$504,REGLER!$I$18,MATCHER!$K$5:$K$504,"Ja")+COUNTIFS(MATCHER!$B$5:$B$504,A68,MATCHER!$D$5:$D$504,C68,MATCHER!$J$5:$J$504,REGLER!$I$18&amp;" 2",MATCHER!$K$5:$K$504,"Ja")&gt;0,1,0)+IF(COUNTIFS(MATCHER!$B$5:$B$504,A68,MATCHER!$D$5:$D$504,C68,MATCHER!$J$5:$J$504,REGLER!$I$19,MATCHER!$K$5:$K$504,"Ja")+COUNTIFS(MATCHER!$B$5:$B$504,A68,MATCHER!$D$5:$D$504,C68,MATCHER!$J$5:$J$504,REGLER!$I$19&amp;" 2",MATCHER!$K$5:$K$504,"Ja")&gt;0,1,0)+IF(COUNTIFS(MATCHER!$B$5:$B$504,A68,MATCHER!$D$5:$D$504,C68,MATCHER!$J$5:$J$504,REGLER!$I$20,MATCHER!$K$5:$K$504,"Ja")+COUNTIFS(MATCHER!$B$5:$B$504,A68,MATCHER!$D$5:$D$504,C68,MATCHER!$J$5:$J$504,REGLER!$I$20&amp;" 2",MATCHER!$K$5:$K$504,"Ja")&gt;0,1,0)+IF(COUNTIFS(MATCHER!$B$5:$B$504,A68,MATCHER!$D$5:$D$504,C68,MATCHER!$J$5:$J$504,REGLER!$I$21,MATCHER!$K$5:$K$504,"Ja")+COUNTIFS(MATCHER!$B$5:$B$504,A68,MATCHER!$D$5:$D$504,C68,MATCHER!$J$5:$J$504,REGLER!$I$21&amp;" 2",MATCHER!$K$5:$K$504,"Ja")&gt;0,1,0)+IF(COUNTIFS(MATCHER!$B$5:$B$504,A68,MATCHER!$D$5:$D$504,C68,MATCHER!$J$5:$J$504,REGLER!$I$22,MATCHER!$K$5:$K$504,"Ja")+COUNTIFS(MATCHER!$B$5:$B$504,A68,MATCHER!$D$5:$D$504,C68,MATCHER!$J$5:$J$504,REGLER!$I$22&amp;" 2",MATCHER!$K$5:$K$504,"Ja")&gt;0,1,0)+IF(COUNTIFS(MATCHER!$B$5:$B$504,A68,MATCHER!$D$5:$D$504,C68,MATCHER!$J$5:$J$504,REGLER!$I$23,MATCHER!$K$5:$K$504,"Ja")+COUNTIFS(MATCHER!$B$5:$B$504,A68,MATCHER!$D$5:$D$504,C68,MATCHER!$J$5:$J$504,REGLER!$I$23&amp;" 2",MATCHER!$K$5:$K$504,"Ja")&gt;0,1,0)+IF(COUNTIFS(MATCHER!$B$5:$B$504,A68,MATCHER!$D$5:$D$504,C68,MATCHER!$J$5:$J$504,REGLER!$I$24,MATCHER!$K$5:$K$504,"Ja")+COUNTIFS(MATCHER!$B$5:$B$504,A68,MATCHER!$D$5:$D$504,C68,MATCHER!$J$5:$J$504,REGLER!$I$24&amp;" 2",MATCHER!$K$5:$K$504,"Ja")&gt;0,1,0)+IF(COUNTIFS(MATCHER!$B$5:$B$504,A68,MATCHER!$D$5:$D$504,C68,MATCHER!$J$5:$J$504,REGLER!$I$25,MATCHER!$K$5:$K$504,"Ja")+COUNTIFS(MATCHER!$B$5:$B$504,A68,MATCHER!$D$5:$D$504,C68,MATCHER!$J$5:$J$504,REGLER!$I$25&amp;" 2",MATCHER!$K$5:$K$504,"Ja")&gt;0,1,0)+IF(COUNTIFS(MATCHER!$B$5:$B$504,A68,MATCHER!$D$5:$D$504,C68,MATCHER!$J$5:$J$504,REGLER!$I$26,MATCHER!$K$5:$K$504,"Ja")+COUNTIFS(MATCHER!$B$5:$B$504,A68,MATCHER!$D$5:$D$504,C68,MATCHER!$J$5:$J$504,REGLER!$I$26&amp;" 2",MATCHER!$K$5:$K$504,"Ja")&gt;0,1,0)</f>
        <v>1</v>
      </c>
      <c r="AB68" s="15">
        <f>IF(U68&lt;&gt;1,"",COUNTIF($U$5:U68,1))</f>
        <v>8</v>
      </c>
      <c r="AC68" s="15" t="str">
        <f t="shared" si="4"/>
        <v/>
      </c>
      <c r="AD68" s="15" t="str">
        <f t="shared" si="5"/>
        <v>Minicafé</v>
      </c>
      <c r="AE68" s="15">
        <f t="shared" si="6"/>
        <v>2.0000000000000142</v>
      </c>
      <c r="AF68" t="str">
        <f>IF(T68="","",IFERROR(MATCH(1,INDEX((MATCHER!$B$5:$B$504=A68)*(MATCHER!$D$5:$D$504=C68)*(MATCHER!$K$5:$K$504="Ja")*(MATCHER!$C$5:$C$504&lt;E68)*(MATCHER!$M$5:$M$504&gt;D68)*(ROW(MATCHER!$A$5:$A$504)-ROW(MATCHER!$A$5)+1&gt;T68),0),0),""))</f>
        <v/>
      </c>
    </row>
    <row r="69" spans="1:32" ht="13">
      <c r="A69" s="42">
        <v>46301</v>
      </c>
      <c r="B69" s="43" t="s">
        <v>104</v>
      </c>
      <c r="C69" s="43" t="s">
        <v>94</v>
      </c>
      <c r="D69" s="44">
        <v>0.85416666666666696</v>
      </c>
      <c r="E69" s="44">
        <v>0.875</v>
      </c>
      <c r="F69" s="45" t="str">
        <f>IF(R69="","",HOUR(INDEX(MATCHER!$C$5:$C$504,R69))&amp;":"&amp;IF(MINUTE(INDEX(MATCHER!$C$5:$C$504,R69))&lt;10,"0","")&amp;MINUTE(INDEX(MATCHER!$C$5:$C$504,R69))&amp;" "&amp;INDEX(MATCHER!$H$5:$H$504,R69)&amp;" – "&amp;INDEX(MATCHER!$I$5:$I$504,R69))&amp;IF(S69="",""," | "&amp;HOUR(INDEX(MATCHER!$C$5:$C$504,S69))&amp;":"&amp;IF(MINUTE(INDEX(MATCHER!$C$5:$C$504,S69))&lt;10,"0","")&amp;MINUTE(INDEX(MATCHER!$C$5:$C$504,S69))&amp;" "&amp;INDEX(MATCHER!$H$5:$H$504,S69)&amp;" – "&amp;INDEX(MATCHER!$I$5:$I$504,S69))&amp;IF(T69="",""," | "&amp;HOUR(INDEX(MATCHER!$C$5:$C$504,T69))&amp;":"&amp;IF(MINUTE(INDEX(MATCHER!$C$5:$C$504,T69))&lt;10,"0","")&amp;MINUTE(INDEX(MATCHER!$C$5:$C$504,T69))&amp;" "&amp;INDEX(MATCHER!$H$5:$H$504,T69)&amp;" – "&amp;INDEX(MATCHER!$I$5:$I$504,T69))&amp;IF(AF69="",""," | "&amp;HOUR(INDEX(MATCHER!$C$5:$C$504,AF69))&amp;":"&amp;IF(MINUTE(INDEX(MATCHER!$C$5:$C$504,AF69))&lt;10,"0","")&amp;MINUTE(INDEX(MATCHER!$C$5:$C$504,AF69))&amp;" "&amp;INDEX(MATCHER!$H$5:$H$504,AF69)&amp;" – "&amp;INDEX(MATCHER!$I$5:$I$504,AF69))</f>
        <v>20:45 AIK – GT Söder HK Blå</v>
      </c>
      <c r="G69" s="45" t="str">
        <f>MID(IF(R69="","",IF(OR(INDEX(MATCHER!$J$5:$J$504,R69)=""),""," / "&amp;INDEX(MATCHER!$J$5:$J$504,R69)))&amp;IF(S69="","",IF(OR(INDEX(MATCHER!$J$5:$J$504,S69)="",INDEX(MATCHER!$J$5:$J$504,S69)=IFERROR(INDEX(MATCHER!$J$5:$J$504,R69),"")),""," / "&amp;INDEX(MATCHER!$J$5:$J$504,S69)))&amp;IF(T69="","",IF(OR(INDEX(MATCHER!$J$5:$J$504,T69)="",INDEX(MATCHER!$J$5:$J$504,T69)=IFERROR(INDEX(MATCHER!$J$5:$J$504,R69),""),INDEX(MATCHER!$J$5:$J$504,T69)=IFERROR(INDEX(MATCHER!$J$5:$J$504,S69),"")),""," / "&amp;INDEX(MATCHER!$J$5:$J$504,T69)))&amp;IF(AF69="","",IF(OR(INDEX(MATCHER!$J$5:$J$504,AF69)="",INDEX(MATCHER!$J$5:$J$504,AF69)=IFERROR(INDEX(MATCHER!$J$5:$J$504,R69),""),INDEX(MATCHER!$J$5:$J$504,AF69)=IFERROR(INDEX(MATCHER!$J$5:$J$504,S69),""),INDEX(MATCHER!$J$5:$J$504,AF69)=IFERROR(INDEX(MATCHER!$J$5:$J$504,T69),"")),""," / "&amp;INDEX(MATCHER!$J$5:$J$504,AF69))),4,1000)</f>
        <v>F19</v>
      </c>
      <c r="H69" s="45" t="str">
        <f>H68</f>
        <v>F19</v>
      </c>
      <c r="I69" s="46" t="s">
        <v>90</v>
      </c>
      <c r="J69" s="47" t="s">
        <v>105</v>
      </c>
      <c r="K69" s="48"/>
      <c r="L69" s="49"/>
      <c r="M69" s="50" t="str">
        <f>IF(O69&lt;&gt;O68,MAX(1,MIN(AA69,ROUNDUP(SUMPRODUCT(($O$5:$O$546=O69)*($I$5:$I$546="Ja")*($E$5:$E$546-$D$5:$D$546))*24/REGLER!$B$8,0))),"")</f>
        <v/>
      </c>
      <c r="N69" s="50" t="str">
        <f t="shared" ref="N69:N132" si="15">IF(I69="Nej",IF(J69="","Ej öppet","Ta bort lag"),IF(J69="","Ej tilldelad",IF(ISNUMBER(SEARCH(", "&amp;J69&amp;", ",", "&amp;H69&amp;", ")),"Klar","Kontrollera lag")))</f>
        <v>Klar</v>
      </c>
      <c r="O69" s="15" t="s">
        <v>106</v>
      </c>
      <c r="P69" s="16">
        <v>0.83333333333333304</v>
      </c>
      <c r="Q69" s="16">
        <v>0.91666666666666696</v>
      </c>
      <c r="R69" s="15">
        <f>IFERROR(MATCH(1,INDEX((MATCHER!$B$5:$B$504=A69)*(MATCHER!$D$5:$D$504=C69)*(MATCHER!$K$5:$K$504="Ja")*(MATCHER!$C$5:$C$504&lt;E69)*(MATCHER!$M$5:$M$504&gt;D69),0),0),"")</f>
        <v>19</v>
      </c>
      <c r="S69" s="15" t="str">
        <f>IF(R69="","",IFERROR(MATCH(1,INDEX((MATCHER!$B$5:$B$504=A69)*(MATCHER!$D$5:$D$504=C69)*(MATCHER!$K$5:$K$504="Ja")*(MATCHER!$C$5:$C$504&lt;E69)*(MATCHER!$M$5:$M$504&gt;D69)*(ROW(MATCHER!$A$5:$A$504)-ROW(MATCHER!$A$5)+1&gt;R69),0),0),""))</f>
        <v/>
      </c>
      <c r="T69" s="15" t="str">
        <f>IF(S69="","",IFERROR(MATCH(1,INDEX((MATCHER!$B$5:$B$504=A69)*(MATCHER!$D$5:$D$504=C69)*(MATCHER!$K$5:$K$504="Ja")*(MATCHER!$C$5:$C$504&lt;E69)*(MATCHER!$M$5:$M$504&gt;D69)*(ROW(MATCHER!$A$5:$A$504)-ROW(MATCHER!$A$5)+1&gt;S69),0),0),""))</f>
        <v/>
      </c>
      <c r="U69" s="15">
        <f t="shared" ref="U69:U132" si="16">IF(OR(I69&lt;&gt;"Ja",J69=""),"",IF(OR(O69&lt;&gt;O68,I68&lt;&gt;"Ja",J69&lt;&gt;J68,D69&lt;&gt;E68),1,0))</f>
        <v>0</v>
      </c>
      <c r="V69" s="15">
        <f>IF(OR(I69&lt;&gt;"Ja",J69=""),"",COUNTIFS($O$5:O69,O69,$U$5:U69,1))</f>
        <v>1</v>
      </c>
      <c r="W69" s="15" t="str">
        <f t="shared" ref="W69:W132" si="17">IF(V69="","",O69&amp;"|"&amp;V69)</f>
        <v>2026-10-06 | Råsta Park|1</v>
      </c>
      <c r="X69" s="16" t="str">
        <f t="shared" ref="X69:X132" si="18">IF(OR(I69&lt;&gt;"Ja",J69=""),"",IF(OR(O69&lt;&gt;O70,I70&lt;&gt;"Ja",J69&lt;&gt;J70,E69&lt;&gt;D70),E69,""))</f>
        <v/>
      </c>
      <c r="Y69" s="15">
        <f>IF(OR(I69&lt;&gt;"Ja",J69=""),0,IF(COUNTIFS($O$5:O69,O69,$I$5:I69,"Ja",$J$5:J69,"&lt;&gt;")=1,1,0))</f>
        <v>0</v>
      </c>
      <c r="Z69" s="15">
        <f>IF(OR(I69&lt;&gt;"Ja",J69=""),0,IF(COUNTIFS(O69:$O$546,O69,I69:$I$546,"Ja",J69:$J$546,"&lt;&gt;")=1,1,0))</f>
        <v>0</v>
      </c>
      <c r="AA69" s="15">
        <f>AA68</f>
        <v>1</v>
      </c>
      <c r="AB69" s="15" t="str">
        <f>IF(U69&lt;&gt;1,"",COUNTIF($U$5:U69,1))</f>
        <v/>
      </c>
      <c r="AC69" s="15" t="str">
        <f t="shared" ref="AC69:AC132" si="19">IF(X69="","",W69)</f>
        <v/>
      </c>
      <c r="AD69" s="15" t="str">
        <f t="shared" ref="AD69:AD132" si="20">IF(O69="","",INDEX($K$5:$K$546,MATCH(O69,$O$5:$O$546,0)))</f>
        <v>Minicafé</v>
      </c>
      <c r="AE69" s="15" t="str">
        <f t="shared" ref="AE69:AE132" si="21">IF(U69&lt;&gt;1,"",(SUMIF($W$5:$W$546,W69,$X$5:$X$546)-D69)*24)</f>
        <v/>
      </c>
      <c r="AF69" t="str">
        <f>IF(T69="","",IFERROR(MATCH(1,INDEX((MATCHER!$B$5:$B$504=A69)*(MATCHER!$D$5:$D$504=C69)*(MATCHER!$K$5:$K$504="Ja")*(MATCHER!$C$5:$C$504&lt;E69)*(MATCHER!$M$5:$M$504&gt;D69)*(ROW(MATCHER!$A$5:$A$504)-ROW(MATCHER!$A$5)+1&gt;T69),0),0),""))</f>
        <v/>
      </c>
    </row>
    <row r="70" spans="1:32" ht="13">
      <c r="A70" s="42">
        <v>46301</v>
      </c>
      <c r="B70" s="43" t="s">
        <v>104</v>
      </c>
      <c r="C70" s="43" t="s">
        <v>94</v>
      </c>
      <c r="D70" s="44">
        <v>0.875</v>
      </c>
      <c r="E70" s="44">
        <v>0.89583333333333304</v>
      </c>
      <c r="F70" s="45" t="str">
        <f>IF(R70="","",HOUR(INDEX(MATCHER!$C$5:$C$504,R70))&amp;":"&amp;IF(MINUTE(INDEX(MATCHER!$C$5:$C$504,R70))&lt;10,"0","")&amp;MINUTE(INDEX(MATCHER!$C$5:$C$504,R70))&amp;" "&amp;INDEX(MATCHER!$H$5:$H$504,R70)&amp;" – "&amp;INDEX(MATCHER!$I$5:$I$504,R70))&amp;IF(S70="",""," | "&amp;HOUR(INDEX(MATCHER!$C$5:$C$504,S70))&amp;":"&amp;IF(MINUTE(INDEX(MATCHER!$C$5:$C$504,S70))&lt;10,"0","")&amp;MINUTE(INDEX(MATCHER!$C$5:$C$504,S70))&amp;" "&amp;INDEX(MATCHER!$H$5:$H$504,S70)&amp;" – "&amp;INDEX(MATCHER!$I$5:$I$504,S70))&amp;IF(T70="",""," | "&amp;HOUR(INDEX(MATCHER!$C$5:$C$504,T70))&amp;":"&amp;IF(MINUTE(INDEX(MATCHER!$C$5:$C$504,T70))&lt;10,"0","")&amp;MINUTE(INDEX(MATCHER!$C$5:$C$504,T70))&amp;" "&amp;INDEX(MATCHER!$H$5:$H$504,T70)&amp;" – "&amp;INDEX(MATCHER!$I$5:$I$504,T70))&amp;IF(AF70="",""," | "&amp;HOUR(INDEX(MATCHER!$C$5:$C$504,AF70))&amp;":"&amp;IF(MINUTE(INDEX(MATCHER!$C$5:$C$504,AF70))&lt;10,"0","")&amp;MINUTE(INDEX(MATCHER!$C$5:$C$504,AF70))&amp;" "&amp;INDEX(MATCHER!$H$5:$H$504,AF70)&amp;" – "&amp;INDEX(MATCHER!$I$5:$I$504,AF70))</f>
        <v>20:45 AIK – GT Söder HK Blå</v>
      </c>
      <c r="G70" s="45" t="str">
        <f>MID(IF(R70="","",IF(OR(INDEX(MATCHER!$J$5:$J$504,R70)=""),""," / "&amp;INDEX(MATCHER!$J$5:$J$504,R70)))&amp;IF(S70="","",IF(OR(INDEX(MATCHER!$J$5:$J$504,S70)="",INDEX(MATCHER!$J$5:$J$504,S70)=IFERROR(INDEX(MATCHER!$J$5:$J$504,R70),"")),""," / "&amp;INDEX(MATCHER!$J$5:$J$504,S70)))&amp;IF(T70="","",IF(OR(INDEX(MATCHER!$J$5:$J$504,T70)="",INDEX(MATCHER!$J$5:$J$504,T70)=IFERROR(INDEX(MATCHER!$J$5:$J$504,R70),""),INDEX(MATCHER!$J$5:$J$504,T70)=IFERROR(INDEX(MATCHER!$J$5:$J$504,S70),"")),""," / "&amp;INDEX(MATCHER!$J$5:$J$504,T70)))&amp;IF(AF70="","",IF(OR(INDEX(MATCHER!$J$5:$J$504,AF70)="",INDEX(MATCHER!$J$5:$J$504,AF70)=IFERROR(INDEX(MATCHER!$J$5:$J$504,R70),""),INDEX(MATCHER!$J$5:$J$504,AF70)=IFERROR(INDEX(MATCHER!$J$5:$J$504,S70),""),INDEX(MATCHER!$J$5:$J$504,AF70)=IFERROR(INDEX(MATCHER!$J$5:$J$504,T70),"")),""," / "&amp;INDEX(MATCHER!$J$5:$J$504,AF70))),4,1000)</f>
        <v>F19</v>
      </c>
      <c r="H70" s="45" t="str">
        <f>H69</f>
        <v>F19</v>
      </c>
      <c r="I70" s="46" t="s">
        <v>90</v>
      </c>
      <c r="J70" s="47" t="s">
        <v>105</v>
      </c>
      <c r="K70" s="48"/>
      <c r="L70" s="49"/>
      <c r="M70" s="50" t="str">
        <f>IF(O70&lt;&gt;O69,MAX(1,MIN(AA70,ROUNDUP(SUMPRODUCT(($O$5:$O$546=O70)*($I$5:$I$546="Ja")*($E$5:$E$546-$D$5:$D$546))*24/REGLER!$B$8,0))),"")</f>
        <v/>
      </c>
      <c r="N70" s="50" t="str">
        <f t="shared" si="15"/>
        <v>Klar</v>
      </c>
      <c r="O70" s="15" t="s">
        <v>106</v>
      </c>
      <c r="P70" s="16">
        <v>0.83333333333333304</v>
      </c>
      <c r="Q70" s="16">
        <v>0.91666666666666696</v>
      </c>
      <c r="R70" s="15">
        <f>IFERROR(MATCH(1,INDEX((MATCHER!$B$5:$B$504=A70)*(MATCHER!$D$5:$D$504=C70)*(MATCHER!$K$5:$K$504="Ja")*(MATCHER!$C$5:$C$504&lt;E70)*(MATCHER!$M$5:$M$504&gt;D70),0),0),"")</f>
        <v>19</v>
      </c>
      <c r="S70" s="15" t="str">
        <f>IF(R70="","",IFERROR(MATCH(1,INDEX((MATCHER!$B$5:$B$504=A70)*(MATCHER!$D$5:$D$504=C70)*(MATCHER!$K$5:$K$504="Ja")*(MATCHER!$C$5:$C$504&lt;E70)*(MATCHER!$M$5:$M$504&gt;D70)*(ROW(MATCHER!$A$5:$A$504)-ROW(MATCHER!$A$5)+1&gt;R70),0),0),""))</f>
        <v/>
      </c>
      <c r="T70" s="15" t="str">
        <f>IF(S70="","",IFERROR(MATCH(1,INDEX((MATCHER!$B$5:$B$504=A70)*(MATCHER!$D$5:$D$504=C70)*(MATCHER!$K$5:$K$504="Ja")*(MATCHER!$C$5:$C$504&lt;E70)*(MATCHER!$M$5:$M$504&gt;D70)*(ROW(MATCHER!$A$5:$A$504)-ROW(MATCHER!$A$5)+1&gt;S70),0),0),""))</f>
        <v/>
      </c>
      <c r="U70" s="15">
        <f t="shared" si="16"/>
        <v>0</v>
      </c>
      <c r="V70" s="15">
        <f>IF(OR(I70&lt;&gt;"Ja",J70=""),"",COUNTIFS($O$5:O70,O70,$U$5:U70,1))</f>
        <v>1</v>
      </c>
      <c r="W70" s="15" t="str">
        <f t="shared" si="17"/>
        <v>2026-10-06 | Råsta Park|1</v>
      </c>
      <c r="X70" s="16" t="str">
        <f t="shared" si="18"/>
        <v/>
      </c>
      <c r="Y70" s="15">
        <f>IF(OR(I70&lt;&gt;"Ja",J70=""),0,IF(COUNTIFS($O$5:O70,O70,$I$5:I70,"Ja",$J$5:J70,"&lt;&gt;")=1,1,0))</f>
        <v>0</v>
      </c>
      <c r="Z70" s="15">
        <f>IF(OR(I70&lt;&gt;"Ja",J70=""),0,IF(COUNTIFS(O70:$O$546,O70,I70:$I$546,"Ja",J70:$J$546,"&lt;&gt;")=1,1,0))</f>
        <v>0</v>
      </c>
      <c r="AA70" s="15">
        <f>AA69</f>
        <v>1</v>
      </c>
      <c r="AB70" s="15" t="str">
        <f>IF(U70&lt;&gt;1,"",COUNTIF($U$5:U70,1))</f>
        <v/>
      </c>
      <c r="AC70" s="15" t="str">
        <f t="shared" si="19"/>
        <v/>
      </c>
      <c r="AD70" s="15" t="str">
        <f t="shared" si="20"/>
        <v>Minicafé</v>
      </c>
      <c r="AE70" s="15" t="str">
        <f t="shared" si="21"/>
        <v/>
      </c>
      <c r="AF70" t="str">
        <f>IF(T70="","",IFERROR(MATCH(1,INDEX((MATCHER!$B$5:$B$504=A70)*(MATCHER!$D$5:$D$504=C70)*(MATCHER!$K$5:$K$504="Ja")*(MATCHER!$C$5:$C$504&lt;E70)*(MATCHER!$M$5:$M$504&gt;D70)*(ROW(MATCHER!$A$5:$A$504)-ROW(MATCHER!$A$5)+1&gt;T70),0),0),""))</f>
        <v/>
      </c>
    </row>
    <row r="71" spans="1:32" ht="13.5" thickBot="1">
      <c r="A71" s="52">
        <v>46301</v>
      </c>
      <c r="B71" s="53" t="s">
        <v>104</v>
      </c>
      <c r="C71" s="53" t="s">
        <v>94</v>
      </c>
      <c r="D71" s="54">
        <v>0.89583333333333304</v>
      </c>
      <c r="E71" s="54">
        <v>0.91666666666666696</v>
      </c>
      <c r="F71" s="55" t="str">
        <f>IF(R71="","",HOUR(INDEX(MATCHER!$C$5:$C$504,R71))&amp;":"&amp;IF(MINUTE(INDEX(MATCHER!$C$5:$C$504,R71))&lt;10,"0","")&amp;MINUTE(INDEX(MATCHER!$C$5:$C$504,R71))&amp;" "&amp;INDEX(MATCHER!$H$5:$H$504,R71)&amp;" – "&amp;INDEX(MATCHER!$I$5:$I$504,R71))&amp;IF(S71="",""," | "&amp;HOUR(INDEX(MATCHER!$C$5:$C$504,S71))&amp;":"&amp;IF(MINUTE(INDEX(MATCHER!$C$5:$C$504,S71))&lt;10,"0","")&amp;MINUTE(INDEX(MATCHER!$C$5:$C$504,S71))&amp;" "&amp;INDEX(MATCHER!$H$5:$H$504,S71)&amp;" – "&amp;INDEX(MATCHER!$I$5:$I$504,S71))&amp;IF(T71="",""," | "&amp;HOUR(INDEX(MATCHER!$C$5:$C$504,T71))&amp;":"&amp;IF(MINUTE(INDEX(MATCHER!$C$5:$C$504,T71))&lt;10,"0","")&amp;MINUTE(INDEX(MATCHER!$C$5:$C$504,T71))&amp;" "&amp;INDEX(MATCHER!$H$5:$H$504,T71)&amp;" – "&amp;INDEX(MATCHER!$I$5:$I$504,T71))&amp;IF(AF71="",""," | "&amp;HOUR(INDEX(MATCHER!$C$5:$C$504,AF71))&amp;":"&amp;IF(MINUTE(INDEX(MATCHER!$C$5:$C$504,AF71))&lt;10,"0","")&amp;MINUTE(INDEX(MATCHER!$C$5:$C$504,AF71))&amp;" "&amp;INDEX(MATCHER!$H$5:$H$504,AF71)&amp;" – "&amp;INDEX(MATCHER!$I$5:$I$504,AF71))</f>
        <v>20:45 AIK – GT Söder HK Blå</v>
      </c>
      <c r="G71" s="55" t="str">
        <f>MID(IF(R71="","",IF(OR(INDEX(MATCHER!$J$5:$J$504,R71)=""),""," / "&amp;INDEX(MATCHER!$J$5:$J$504,R71)))&amp;IF(S71="","",IF(OR(INDEX(MATCHER!$J$5:$J$504,S71)="",INDEX(MATCHER!$J$5:$J$504,S71)=IFERROR(INDEX(MATCHER!$J$5:$J$504,R71),"")),""," / "&amp;INDEX(MATCHER!$J$5:$J$504,S71)))&amp;IF(T71="","",IF(OR(INDEX(MATCHER!$J$5:$J$504,T71)="",INDEX(MATCHER!$J$5:$J$504,T71)=IFERROR(INDEX(MATCHER!$J$5:$J$504,R71),""),INDEX(MATCHER!$J$5:$J$504,T71)=IFERROR(INDEX(MATCHER!$J$5:$J$504,S71),"")),""," / "&amp;INDEX(MATCHER!$J$5:$J$504,T71)))&amp;IF(AF71="","",IF(OR(INDEX(MATCHER!$J$5:$J$504,AF71)="",INDEX(MATCHER!$J$5:$J$504,AF71)=IFERROR(INDEX(MATCHER!$J$5:$J$504,R71),""),INDEX(MATCHER!$J$5:$J$504,AF71)=IFERROR(INDEX(MATCHER!$J$5:$J$504,S71),""),INDEX(MATCHER!$J$5:$J$504,AF71)=IFERROR(INDEX(MATCHER!$J$5:$J$504,T71),"")),""," / "&amp;INDEX(MATCHER!$J$5:$J$504,AF71))),4,1000)</f>
        <v>F19</v>
      </c>
      <c r="H71" s="55" t="str">
        <f>H70</f>
        <v>F19</v>
      </c>
      <c r="I71" s="56" t="s">
        <v>90</v>
      </c>
      <c r="J71" s="57" t="s">
        <v>105</v>
      </c>
      <c r="K71" s="58"/>
      <c r="L71" s="59"/>
      <c r="M71" s="60" t="str">
        <f>IF(O71&lt;&gt;O70,MAX(1,MIN(AA71,ROUNDUP(SUMPRODUCT(($O$5:$O$546=O71)*($I$5:$I$546="Ja")*($E$5:$E$546-$D$5:$D$546))*24/REGLER!$B$8,0))),"")</f>
        <v/>
      </c>
      <c r="N71" s="60" t="str">
        <f t="shared" si="15"/>
        <v>Klar</v>
      </c>
      <c r="O71" s="15" t="s">
        <v>106</v>
      </c>
      <c r="P71" s="16">
        <v>0.83333333333333304</v>
      </c>
      <c r="Q71" s="16">
        <v>0.91666666666666696</v>
      </c>
      <c r="R71" s="15">
        <f>IFERROR(MATCH(1,INDEX((MATCHER!$B$5:$B$504=A71)*(MATCHER!$D$5:$D$504=C71)*(MATCHER!$K$5:$K$504="Ja")*(MATCHER!$C$5:$C$504&lt;E71)*(MATCHER!$M$5:$M$504&gt;D71),0),0),"")</f>
        <v>19</v>
      </c>
      <c r="S71" s="15" t="str">
        <f>IF(R71="","",IFERROR(MATCH(1,INDEX((MATCHER!$B$5:$B$504=A71)*(MATCHER!$D$5:$D$504=C71)*(MATCHER!$K$5:$K$504="Ja")*(MATCHER!$C$5:$C$504&lt;E71)*(MATCHER!$M$5:$M$504&gt;D71)*(ROW(MATCHER!$A$5:$A$504)-ROW(MATCHER!$A$5)+1&gt;R71),0),0),""))</f>
        <v/>
      </c>
      <c r="T71" s="15" t="str">
        <f>IF(S71="","",IFERROR(MATCH(1,INDEX((MATCHER!$B$5:$B$504=A71)*(MATCHER!$D$5:$D$504=C71)*(MATCHER!$K$5:$K$504="Ja")*(MATCHER!$C$5:$C$504&lt;E71)*(MATCHER!$M$5:$M$504&gt;D71)*(ROW(MATCHER!$A$5:$A$504)-ROW(MATCHER!$A$5)+1&gt;S71),0),0),""))</f>
        <v/>
      </c>
      <c r="U71" s="15">
        <f t="shared" si="16"/>
        <v>0</v>
      </c>
      <c r="V71" s="15">
        <f>IF(OR(I71&lt;&gt;"Ja",J71=""),"",COUNTIFS($O$5:O71,O71,$U$5:U71,1))</f>
        <v>1</v>
      </c>
      <c r="W71" s="15" t="str">
        <f t="shared" si="17"/>
        <v>2026-10-06 | Råsta Park|1</v>
      </c>
      <c r="X71" s="16">
        <f t="shared" si="18"/>
        <v>0.91666666666666696</v>
      </c>
      <c r="Y71" s="15">
        <f>IF(OR(I71&lt;&gt;"Ja",J71=""),0,IF(COUNTIFS($O$5:O71,O71,$I$5:I71,"Ja",$J$5:J71,"&lt;&gt;")=1,1,0))</f>
        <v>0</v>
      </c>
      <c r="Z71" s="15">
        <f>IF(OR(I71&lt;&gt;"Ja",J71=""),0,IF(COUNTIFS(O71:$O$546,O71,I71:$I$546,"Ja",J71:$J$546,"&lt;&gt;")=1,1,0))</f>
        <v>1</v>
      </c>
      <c r="AA71" s="15">
        <f>AA70</f>
        <v>1</v>
      </c>
      <c r="AB71" s="15" t="str">
        <f>IF(U71&lt;&gt;1,"",COUNTIF($U$5:U71,1))</f>
        <v/>
      </c>
      <c r="AC71" s="15" t="str">
        <f t="shared" si="19"/>
        <v>2026-10-06 | Råsta Park|1</v>
      </c>
      <c r="AD71" s="15" t="str">
        <f t="shared" si="20"/>
        <v>Minicafé</v>
      </c>
      <c r="AE71" s="15" t="str">
        <f t="shared" si="21"/>
        <v/>
      </c>
      <c r="AF71" t="str">
        <f>IF(T71="","",IFERROR(MATCH(1,INDEX((MATCHER!$B$5:$B$504=A71)*(MATCHER!$D$5:$D$504=C71)*(MATCHER!$K$5:$K$504="Ja")*(MATCHER!$C$5:$C$504&lt;E71)*(MATCHER!$M$5:$M$504&gt;D71)*(ROW(MATCHER!$A$5:$A$504)-ROW(MATCHER!$A$5)+1&gt;T71),0),0),""))</f>
        <v/>
      </c>
    </row>
    <row r="72" spans="1:32" ht="13">
      <c r="A72" s="42">
        <v>46305</v>
      </c>
      <c r="B72" s="43" t="s">
        <v>85</v>
      </c>
      <c r="C72" s="43" t="s">
        <v>94</v>
      </c>
      <c r="D72" s="44">
        <v>0.52083333333333304</v>
      </c>
      <c r="E72" s="44">
        <v>0.54166666666666696</v>
      </c>
      <c r="F72" s="45" t="str">
        <f>IF(R72="","",HOUR(INDEX(MATCHER!$C$5:$C$504,R72))&amp;":"&amp;IF(MINUTE(INDEX(MATCHER!$C$5:$C$504,R72))&lt;10,"0","")&amp;MINUTE(INDEX(MATCHER!$C$5:$C$504,R72))&amp;" "&amp;INDEX(MATCHER!$H$5:$H$504,R72)&amp;" – "&amp;INDEX(MATCHER!$I$5:$I$504,R72))&amp;IF(S72="",""," | "&amp;HOUR(INDEX(MATCHER!$C$5:$C$504,S72))&amp;":"&amp;IF(MINUTE(INDEX(MATCHER!$C$5:$C$504,S72))&lt;10,"0","")&amp;MINUTE(INDEX(MATCHER!$C$5:$C$504,S72))&amp;" "&amp;INDEX(MATCHER!$H$5:$H$504,S72)&amp;" – "&amp;INDEX(MATCHER!$I$5:$I$504,S72))&amp;IF(T72="",""," | "&amp;HOUR(INDEX(MATCHER!$C$5:$C$504,T72))&amp;":"&amp;IF(MINUTE(INDEX(MATCHER!$C$5:$C$504,T72))&lt;10,"0","")&amp;MINUTE(INDEX(MATCHER!$C$5:$C$504,T72))&amp;" "&amp;INDEX(MATCHER!$H$5:$H$504,T72)&amp;" – "&amp;INDEX(MATCHER!$I$5:$I$504,T72))&amp;IF(AF72="",""," | "&amp;HOUR(INDEX(MATCHER!$C$5:$C$504,AF72))&amp;":"&amp;IF(MINUTE(INDEX(MATCHER!$C$5:$C$504,AF72))&lt;10,"0","")&amp;MINUTE(INDEX(MATCHER!$C$5:$C$504,AF72))&amp;" "&amp;INDEX(MATCHER!$H$5:$H$504,AF72)&amp;" – "&amp;INDEX(MATCHER!$I$5:$I$504,AF72))</f>
        <v/>
      </c>
      <c r="G72" s="45" t="str">
        <f>MID(IF(R72="","",IF(OR(INDEX(MATCHER!$J$5:$J$504,R72)=""),""," / "&amp;INDEX(MATCHER!$J$5:$J$504,R72)))&amp;IF(S72="","",IF(OR(INDEX(MATCHER!$J$5:$J$504,S72)="",INDEX(MATCHER!$J$5:$J$504,S72)=IFERROR(INDEX(MATCHER!$J$5:$J$504,R72),"")),""," / "&amp;INDEX(MATCHER!$J$5:$J$504,S72)))&amp;IF(T72="","",IF(OR(INDEX(MATCHER!$J$5:$J$504,T72)="",INDEX(MATCHER!$J$5:$J$504,T72)=IFERROR(INDEX(MATCHER!$J$5:$J$504,R72),""),INDEX(MATCHER!$J$5:$J$504,T72)=IFERROR(INDEX(MATCHER!$J$5:$J$504,S72),"")),""," / "&amp;INDEX(MATCHER!$J$5:$J$504,T72)))&amp;IF(AF72="","",IF(OR(INDEX(MATCHER!$J$5:$J$504,AF72)="",INDEX(MATCHER!$J$5:$J$504,AF72)=IFERROR(INDEX(MATCHER!$J$5:$J$504,R72),""),INDEX(MATCHER!$J$5:$J$504,AF72)=IFERROR(INDEX(MATCHER!$J$5:$J$504,S72),""),INDEX(MATCHER!$J$5:$J$504,AF72)=IFERROR(INDEX(MATCHER!$J$5:$J$504,T72),"")),""," / "&amp;INDEX(MATCHER!$J$5:$J$504,AF72))),4,1000)</f>
        <v/>
      </c>
      <c r="H72" s="45" t="str">
        <f>MID(IF(COUNTIFS(MATCHER!$B$5:$B$504,A72,MATCHER!$D$5:$D$504,C72,MATCHER!$J$5:$J$504,REGLER!$I$6,MATCHER!$K$5:$K$504,"Ja")+COUNTIFS(MATCHER!$B$5:$B$504,A72,MATCHER!$D$5:$D$504,C72,MATCHER!$J$5:$J$504,REGLER!$I$6&amp;" 2",MATCHER!$K$5:$K$504,"Ja")&gt;0,", "&amp;REGLER!$I$6,"")&amp;IF(COUNTIFS(MATCHER!$B$5:$B$504,A72,MATCHER!$D$5:$D$504,C72,MATCHER!$J$5:$J$504,REGLER!$I$7,MATCHER!$K$5:$K$504,"Ja")+COUNTIFS(MATCHER!$B$5:$B$504,A72,MATCHER!$D$5:$D$504,C72,MATCHER!$J$5:$J$504,REGLER!$I$7&amp;" 2",MATCHER!$K$5:$K$504,"Ja")&gt;0,", "&amp;REGLER!$I$7,"")&amp;IF(COUNTIFS(MATCHER!$B$5:$B$504,A72,MATCHER!$D$5:$D$504,C72,MATCHER!$J$5:$J$504,REGLER!$I$8,MATCHER!$K$5:$K$504,"Ja")+COUNTIFS(MATCHER!$B$5:$B$504,A72,MATCHER!$D$5:$D$504,C72,MATCHER!$J$5:$J$504,REGLER!$I$8&amp;" 2",MATCHER!$K$5:$K$504,"Ja")&gt;0,", "&amp;REGLER!$I$8,"")&amp;IF(COUNTIFS(MATCHER!$B$5:$B$504,A72,MATCHER!$D$5:$D$504,C72,MATCHER!$J$5:$J$504,REGLER!$I$9,MATCHER!$K$5:$K$504,"Ja")+COUNTIFS(MATCHER!$B$5:$B$504,A72,MATCHER!$D$5:$D$504,C72,MATCHER!$J$5:$J$504,REGLER!$I$9&amp;" 2",MATCHER!$K$5:$K$504,"Ja")&gt;0,", "&amp;REGLER!$I$9,"")&amp;IF(COUNTIFS(MATCHER!$B$5:$B$504,A72,MATCHER!$D$5:$D$504,C72,MATCHER!$J$5:$J$504,REGLER!$I$10,MATCHER!$K$5:$K$504,"Ja")+COUNTIFS(MATCHER!$B$5:$B$504,A72,MATCHER!$D$5:$D$504,C72,MATCHER!$J$5:$J$504,REGLER!$I$10&amp;" 2",MATCHER!$K$5:$K$504,"Ja")&gt;0,", "&amp;REGLER!$I$10,"")&amp;IF(COUNTIFS(MATCHER!$B$5:$B$504,A72,MATCHER!$D$5:$D$504,C72,MATCHER!$J$5:$J$504,REGLER!$I$11,MATCHER!$K$5:$K$504,"Ja")+COUNTIFS(MATCHER!$B$5:$B$504,A72,MATCHER!$D$5:$D$504,C72,MATCHER!$J$5:$J$504,REGLER!$I$11&amp;" 2",MATCHER!$K$5:$K$504,"Ja")&gt;0,", "&amp;REGLER!$I$11,"")&amp;IF(COUNTIFS(MATCHER!$B$5:$B$504,A72,MATCHER!$D$5:$D$504,C72,MATCHER!$J$5:$J$504,REGLER!$I$12,MATCHER!$K$5:$K$504,"Ja")+COUNTIFS(MATCHER!$B$5:$B$504,A72,MATCHER!$D$5:$D$504,C72,MATCHER!$J$5:$J$504,REGLER!$I$12&amp;" 2",MATCHER!$K$5:$K$504,"Ja")&gt;0,", "&amp;REGLER!$I$12,"")&amp;IF(COUNTIFS(MATCHER!$B$5:$B$504,A72,MATCHER!$D$5:$D$504,C72,MATCHER!$J$5:$J$504,REGLER!$I$13,MATCHER!$K$5:$K$504,"Ja")+COUNTIFS(MATCHER!$B$5:$B$504,A72,MATCHER!$D$5:$D$504,C72,MATCHER!$J$5:$J$504,REGLER!$I$13&amp;" 2",MATCHER!$K$5:$K$504,"Ja")&gt;0,", "&amp;REGLER!$I$13,"")&amp;IF(COUNTIFS(MATCHER!$B$5:$B$504,A72,MATCHER!$D$5:$D$504,C72,MATCHER!$J$5:$J$504,REGLER!$I$14,MATCHER!$K$5:$K$504,"Ja")+COUNTIFS(MATCHER!$B$5:$B$504,A72,MATCHER!$D$5:$D$504,C72,MATCHER!$J$5:$J$504,REGLER!$I$14&amp;" 2",MATCHER!$K$5:$K$504,"Ja")&gt;0,", "&amp;REGLER!$I$14,"")&amp;IF(COUNTIFS(MATCHER!$B$5:$B$504,A72,MATCHER!$D$5:$D$504,C72,MATCHER!$J$5:$J$504,REGLER!$I$15,MATCHER!$K$5:$K$504,"Ja")+COUNTIFS(MATCHER!$B$5:$B$504,A72,MATCHER!$D$5:$D$504,C72,MATCHER!$J$5:$J$504,REGLER!$I$15&amp;" 2",MATCHER!$K$5:$K$504,"Ja")&gt;0,", "&amp;REGLER!$I$15,"")&amp;IF(COUNTIFS(MATCHER!$B$5:$B$504,A72,MATCHER!$D$5:$D$504,C72,MATCHER!$J$5:$J$504,REGLER!$I$16,MATCHER!$K$5:$K$504,"Ja")+COUNTIFS(MATCHER!$B$5:$B$504,A72,MATCHER!$D$5:$D$504,C72,MATCHER!$J$5:$J$504,REGLER!$I$16&amp;" 2",MATCHER!$K$5:$K$504,"Ja")&gt;0,", "&amp;REGLER!$I$16,"")&amp;IF(COUNTIFS(MATCHER!$B$5:$B$504,A72,MATCHER!$D$5:$D$504,C72,MATCHER!$J$5:$J$504,REGLER!$I$17,MATCHER!$K$5:$K$504,"Ja")+COUNTIFS(MATCHER!$B$5:$B$504,A72,MATCHER!$D$5:$D$504,C72,MATCHER!$J$5:$J$504,REGLER!$I$17&amp;" 2",MATCHER!$K$5:$K$504,"Ja")&gt;0,", "&amp;REGLER!$I$17,"")&amp;IF(COUNTIFS(MATCHER!$B$5:$B$504,A72,MATCHER!$D$5:$D$504,C72,MATCHER!$J$5:$J$504,REGLER!$I$18,MATCHER!$K$5:$K$504,"Ja")+COUNTIFS(MATCHER!$B$5:$B$504,A72,MATCHER!$D$5:$D$504,C72,MATCHER!$J$5:$J$504,REGLER!$I$18&amp;" 2",MATCHER!$K$5:$K$504,"Ja")&gt;0,", "&amp;REGLER!$I$18,"")&amp;IF(COUNTIFS(MATCHER!$B$5:$B$504,A72,MATCHER!$D$5:$D$504,C72,MATCHER!$J$5:$J$504,REGLER!$I$19,MATCHER!$K$5:$K$504,"Ja")+COUNTIFS(MATCHER!$B$5:$B$504,A72,MATCHER!$D$5:$D$504,C72,MATCHER!$J$5:$J$504,REGLER!$I$19&amp;" 2",MATCHER!$K$5:$K$504,"Ja")&gt;0,", "&amp;REGLER!$I$19,"")&amp;IF(COUNTIFS(MATCHER!$B$5:$B$504,A72,MATCHER!$D$5:$D$504,C72,MATCHER!$J$5:$J$504,REGLER!$I$20,MATCHER!$K$5:$K$504,"Ja")+COUNTIFS(MATCHER!$B$5:$B$504,A72,MATCHER!$D$5:$D$504,C72,MATCHER!$J$5:$J$504,REGLER!$I$20&amp;" 2",MATCHER!$K$5:$K$504,"Ja")&gt;0,", "&amp;REGLER!$I$20,"")&amp;IF(COUNTIFS(MATCHER!$B$5:$B$504,A72,MATCHER!$D$5:$D$504,C72,MATCHER!$J$5:$J$504,REGLER!$I$21,MATCHER!$K$5:$K$504,"Ja")+COUNTIFS(MATCHER!$B$5:$B$504,A72,MATCHER!$D$5:$D$504,C72,MATCHER!$J$5:$J$504,REGLER!$I$21&amp;" 2",MATCHER!$K$5:$K$504,"Ja")&gt;0,", "&amp;REGLER!$I$21,"")&amp;IF(COUNTIFS(MATCHER!$B$5:$B$504,A72,MATCHER!$D$5:$D$504,C72,MATCHER!$J$5:$J$504,REGLER!$I$22,MATCHER!$K$5:$K$504,"Ja")+COUNTIFS(MATCHER!$B$5:$B$504,A72,MATCHER!$D$5:$D$504,C72,MATCHER!$J$5:$J$504,REGLER!$I$22&amp;" 2",MATCHER!$K$5:$K$504,"Ja")&gt;0,", "&amp;REGLER!$I$22,"")&amp;IF(COUNTIFS(MATCHER!$B$5:$B$504,A72,MATCHER!$D$5:$D$504,C72,MATCHER!$J$5:$J$504,REGLER!$I$23,MATCHER!$K$5:$K$504,"Ja")+COUNTIFS(MATCHER!$B$5:$B$504,A72,MATCHER!$D$5:$D$504,C72,MATCHER!$J$5:$J$504,REGLER!$I$23&amp;" 2",MATCHER!$K$5:$K$504,"Ja")&gt;0,", "&amp;REGLER!$I$23,"")&amp;IF(COUNTIFS(MATCHER!$B$5:$B$504,A72,MATCHER!$D$5:$D$504,C72,MATCHER!$J$5:$J$504,REGLER!$I$24,MATCHER!$K$5:$K$504,"Ja")+COUNTIFS(MATCHER!$B$5:$B$504,A72,MATCHER!$D$5:$D$504,C72,MATCHER!$J$5:$J$504,REGLER!$I$24&amp;" 2",MATCHER!$K$5:$K$504,"Ja")&gt;0,", "&amp;REGLER!$I$24,"")&amp;IF(COUNTIFS(MATCHER!$B$5:$B$504,A72,MATCHER!$D$5:$D$504,C72,MATCHER!$J$5:$J$504,REGLER!$I$25,MATCHER!$K$5:$K$504,"Ja")+COUNTIFS(MATCHER!$B$5:$B$504,A72,MATCHER!$D$5:$D$504,C72,MATCHER!$J$5:$J$504,REGLER!$I$25&amp;" 2",MATCHER!$K$5:$K$504,"Ja")&gt;0,", "&amp;REGLER!$I$25,"")&amp;IF(COUNTIFS(MATCHER!$B$5:$B$504,A72,MATCHER!$D$5:$D$504,C72,MATCHER!$J$5:$J$504,REGLER!$I$26,MATCHER!$K$5:$K$504,"Ja")+COUNTIFS(MATCHER!$B$5:$B$504,A72,MATCHER!$D$5:$D$504,C72,MATCHER!$J$5:$J$504,REGLER!$I$26&amp;" 2",MATCHER!$K$5:$K$504,"Ja")&gt;0,", "&amp;REGLER!$I$26,""),3,1000)</f>
        <v>Herr</v>
      </c>
      <c r="I72" s="46" t="s">
        <v>87</v>
      </c>
      <c r="J72" s="47"/>
      <c r="K72" s="48" t="s">
        <v>98</v>
      </c>
      <c r="L72" s="49"/>
      <c r="M72" s="50">
        <f>IF(O72&lt;&gt;O71,MAX(1,MIN(AA72,ROUNDUP(SUMPRODUCT(($O$5:$O$546=O72)*($I$5:$I$546="Ja")*($E$5:$E$546-$D$5:$D$546))*24/REGLER!$B$8,0))),"")</f>
        <v>1</v>
      </c>
      <c r="N72" s="50" t="str">
        <f t="shared" si="15"/>
        <v>Ej öppet</v>
      </c>
      <c r="O72" s="15" t="s">
        <v>107</v>
      </c>
      <c r="P72" s="16">
        <v>0.52083333333333304</v>
      </c>
      <c r="Q72" s="16">
        <v>0.625</v>
      </c>
      <c r="R72" s="15" t="str">
        <f>IFERROR(MATCH(1,INDEX((MATCHER!$B$5:$B$504=A72)*(MATCHER!$D$5:$D$504=C72)*(MATCHER!$K$5:$K$504="Ja")*(MATCHER!$C$5:$C$504&lt;E72)*(MATCHER!$M$5:$M$504&gt;D72),0),0),"")</f>
        <v/>
      </c>
      <c r="S72" s="15" t="str">
        <f>IF(R72="","",IFERROR(MATCH(1,INDEX((MATCHER!$B$5:$B$504=A72)*(MATCHER!$D$5:$D$504=C72)*(MATCHER!$K$5:$K$504="Ja")*(MATCHER!$C$5:$C$504&lt;E72)*(MATCHER!$M$5:$M$504&gt;D72)*(ROW(MATCHER!$A$5:$A$504)-ROW(MATCHER!$A$5)+1&gt;R72),0),0),""))</f>
        <v/>
      </c>
      <c r="T72" s="15" t="str">
        <f>IF(S72="","",IFERROR(MATCH(1,INDEX((MATCHER!$B$5:$B$504=A72)*(MATCHER!$D$5:$D$504=C72)*(MATCHER!$K$5:$K$504="Ja")*(MATCHER!$C$5:$C$504&lt;E72)*(MATCHER!$M$5:$M$504&gt;D72)*(ROW(MATCHER!$A$5:$A$504)-ROW(MATCHER!$A$5)+1&gt;S72),0),0),""))</f>
        <v/>
      </c>
      <c r="U72" s="15" t="str">
        <f t="shared" si="16"/>
        <v/>
      </c>
      <c r="V72" s="15" t="str">
        <f>IF(OR(I72&lt;&gt;"Ja",J72=""),"",COUNTIFS($O$5:O72,O72,$U$5:U72,1))</f>
        <v/>
      </c>
      <c r="W72" s="15" t="str">
        <f t="shared" si="17"/>
        <v/>
      </c>
      <c r="X72" s="16" t="str">
        <f t="shared" si="18"/>
        <v/>
      </c>
      <c r="Y72" s="15">
        <f>IF(OR(I72&lt;&gt;"Ja",J72=""),0,IF(COUNTIFS($O$5:O72,O72,$I$5:I72,"Ja",$J$5:J72,"&lt;&gt;")=1,1,0))</f>
        <v>0</v>
      </c>
      <c r="Z72" s="15">
        <f>IF(OR(I72&lt;&gt;"Ja",J72=""),0,IF(COUNTIFS(O72:$O$546,O72,I72:$I$546,"Ja",J72:$J$546,"&lt;&gt;")=1,1,0))</f>
        <v>0</v>
      </c>
      <c r="AA72" s="15">
        <f>IF(COUNTIFS(MATCHER!$B$5:$B$504,A72,MATCHER!$D$5:$D$504,C72,MATCHER!$J$5:$J$504,REGLER!$I$6,MATCHER!$K$5:$K$504,"Ja")+COUNTIFS(MATCHER!$B$5:$B$504,A72,MATCHER!$D$5:$D$504,C72,MATCHER!$J$5:$J$504,REGLER!$I$6&amp;" 2",MATCHER!$K$5:$K$504,"Ja")&gt;0,1,0)+IF(COUNTIFS(MATCHER!$B$5:$B$504,A72,MATCHER!$D$5:$D$504,C72,MATCHER!$J$5:$J$504,REGLER!$I$7,MATCHER!$K$5:$K$504,"Ja")+COUNTIFS(MATCHER!$B$5:$B$504,A72,MATCHER!$D$5:$D$504,C72,MATCHER!$J$5:$J$504,REGLER!$I$7&amp;" 2",MATCHER!$K$5:$K$504,"Ja")&gt;0,1,0)+IF(COUNTIFS(MATCHER!$B$5:$B$504,A72,MATCHER!$D$5:$D$504,C72,MATCHER!$J$5:$J$504,REGLER!$I$8,MATCHER!$K$5:$K$504,"Ja")+COUNTIFS(MATCHER!$B$5:$B$504,A72,MATCHER!$D$5:$D$504,C72,MATCHER!$J$5:$J$504,REGLER!$I$8&amp;" 2",MATCHER!$K$5:$K$504,"Ja")&gt;0,1,0)+IF(COUNTIFS(MATCHER!$B$5:$B$504,A72,MATCHER!$D$5:$D$504,C72,MATCHER!$J$5:$J$504,REGLER!$I$9,MATCHER!$K$5:$K$504,"Ja")+COUNTIFS(MATCHER!$B$5:$B$504,A72,MATCHER!$D$5:$D$504,C72,MATCHER!$J$5:$J$504,REGLER!$I$9&amp;" 2",MATCHER!$K$5:$K$504,"Ja")&gt;0,1,0)+IF(COUNTIFS(MATCHER!$B$5:$B$504,A72,MATCHER!$D$5:$D$504,C72,MATCHER!$J$5:$J$504,REGLER!$I$10,MATCHER!$K$5:$K$504,"Ja")+COUNTIFS(MATCHER!$B$5:$B$504,A72,MATCHER!$D$5:$D$504,C72,MATCHER!$J$5:$J$504,REGLER!$I$10&amp;" 2",MATCHER!$K$5:$K$504,"Ja")&gt;0,1,0)+IF(COUNTIFS(MATCHER!$B$5:$B$504,A72,MATCHER!$D$5:$D$504,C72,MATCHER!$J$5:$J$504,REGLER!$I$11,MATCHER!$K$5:$K$504,"Ja")+COUNTIFS(MATCHER!$B$5:$B$504,A72,MATCHER!$D$5:$D$504,C72,MATCHER!$J$5:$J$504,REGLER!$I$11&amp;" 2",MATCHER!$K$5:$K$504,"Ja")&gt;0,1,0)+IF(COUNTIFS(MATCHER!$B$5:$B$504,A72,MATCHER!$D$5:$D$504,C72,MATCHER!$J$5:$J$504,REGLER!$I$12,MATCHER!$K$5:$K$504,"Ja")+COUNTIFS(MATCHER!$B$5:$B$504,A72,MATCHER!$D$5:$D$504,C72,MATCHER!$J$5:$J$504,REGLER!$I$12&amp;" 2",MATCHER!$K$5:$K$504,"Ja")&gt;0,1,0)+IF(COUNTIFS(MATCHER!$B$5:$B$504,A72,MATCHER!$D$5:$D$504,C72,MATCHER!$J$5:$J$504,REGLER!$I$13,MATCHER!$K$5:$K$504,"Ja")+COUNTIFS(MATCHER!$B$5:$B$504,A72,MATCHER!$D$5:$D$504,C72,MATCHER!$J$5:$J$504,REGLER!$I$13&amp;" 2",MATCHER!$K$5:$K$504,"Ja")&gt;0,1,0)+IF(COUNTIFS(MATCHER!$B$5:$B$504,A72,MATCHER!$D$5:$D$504,C72,MATCHER!$J$5:$J$504,REGLER!$I$14,MATCHER!$K$5:$K$504,"Ja")+COUNTIFS(MATCHER!$B$5:$B$504,A72,MATCHER!$D$5:$D$504,C72,MATCHER!$J$5:$J$504,REGLER!$I$14&amp;" 2",MATCHER!$K$5:$K$504,"Ja")&gt;0,1,0)+IF(COUNTIFS(MATCHER!$B$5:$B$504,A72,MATCHER!$D$5:$D$504,C72,MATCHER!$J$5:$J$504,REGLER!$I$15,MATCHER!$K$5:$K$504,"Ja")+COUNTIFS(MATCHER!$B$5:$B$504,A72,MATCHER!$D$5:$D$504,C72,MATCHER!$J$5:$J$504,REGLER!$I$15&amp;" 2",MATCHER!$K$5:$K$504,"Ja")&gt;0,1,0)+IF(COUNTIFS(MATCHER!$B$5:$B$504,A72,MATCHER!$D$5:$D$504,C72,MATCHER!$J$5:$J$504,REGLER!$I$16,MATCHER!$K$5:$K$504,"Ja")+COUNTIFS(MATCHER!$B$5:$B$504,A72,MATCHER!$D$5:$D$504,C72,MATCHER!$J$5:$J$504,REGLER!$I$16&amp;" 2",MATCHER!$K$5:$K$504,"Ja")&gt;0,1,0)+IF(COUNTIFS(MATCHER!$B$5:$B$504,A72,MATCHER!$D$5:$D$504,C72,MATCHER!$J$5:$J$504,REGLER!$I$17,MATCHER!$K$5:$K$504,"Ja")+COUNTIFS(MATCHER!$B$5:$B$504,A72,MATCHER!$D$5:$D$504,C72,MATCHER!$J$5:$J$504,REGLER!$I$17&amp;" 2",MATCHER!$K$5:$K$504,"Ja")&gt;0,1,0)+IF(COUNTIFS(MATCHER!$B$5:$B$504,A72,MATCHER!$D$5:$D$504,C72,MATCHER!$J$5:$J$504,REGLER!$I$18,MATCHER!$K$5:$K$504,"Ja")+COUNTIFS(MATCHER!$B$5:$B$504,A72,MATCHER!$D$5:$D$504,C72,MATCHER!$J$5:$J$504,REGLER!$I$18&amp;" 2",MATCHER!$K$5:$K$504,"Ja")&gt;0,1,0)+IF(COUNTIFS(MATCHER!$B$5:$B$504,A72,MATCHER!$D$5:$D$504,C72,MATCHER!$J$5:$J$504,REGLER!$I$19,MATCHER!$K$5:$K$504,"Ja")+COUNTIFS(MATCHER!$B$5:$B$504,A72,MATCHER!$D$5:$D$504,C72,MATCHER!$J$5:$J$504,REGLER!$I$19&amp;" 2",MATCHER!$K$5:$K$504,"Ja")&gt;0,1,0)+IF(COUNTIFS(MATCHER!$B$5:$B$504,A72,MATCHER!$D$5:$D$504,C72,MATCHER!$J$5:$J$504,REGLER!$I$20,MATCHER!$K$5:$K$504,"Ja")+COUNTIFS(MATCHER!$B$5:$B$504,A72,MATCHER!$D$5:$D$504,C72,MATCHER!$J$5:$J$504,REGLER!$I$20&amp;" 2",MATCHER!$K$5:$K$504,"Ja")&gt;0,1,0)+IF(COUNTIFS(MATCHER!$B$5:$B$504,A72,MATCHER!$D$5:$D$504,C72,MATCHER!$J$5:$J$504,REGLER!$I$21,MATCHER!$K$5:$K$504,"Ja")+COUNTIFS(MATCHER!$B$5:$B$504,A72,MATCHER!$D$5:$D$504,C72,MATCHER!$J$5:$J$504,REGLER!$I$21&amp;" 2",MATCHER!$K$5:$K$504,"Ja")&gt;0,1,0)+IF(COUNTIFS(MATCHER!$B$5:$B$504,A72,MATCHER!$D$5:$D$504,C72,MATCHER!$J$5:$J$504,REGLER!$I$22,MATCHER!$K$5:$K$504,"Ja")+COUNTIFS(MATCHER!$B$5:$B$504,A72,MATCHER!$D$5:$D$504,C72,MATCHER!$J$5:$J$504,REGLER!$I$22&amp;" 2",MATCHER!$K$5:$K$504,"Ja")&gt;0,1,0)+IF(COUNTIFS(MATCHER!$B$5:$B$504,A72,MATCHER!$D$5:$D$504,C72,MATCHER!$J$5:$J$504,REGLER!$I$23,MATCHER!$K$5:$K$504,"Ja")+COUNTIFS(MATCHER!$B$5:$B$504,A72,MATCHER!$D$5:$D$504,C72,MATCHER!$J$5:$J$504,REGLER!$I$23&amp;" 2",MATCHER!$K$5:$K$504,"Ja")&gt;0,1,0)+IF(COUNTIFS(MATCHER!$B$5:$B$504,A72,MATCHER!$D$5:$D$504,C72,MATCHER!$J$5:$J$504,REGLER!$I$24,MATCHER!$K$5:$K$504,"Ja")+COUNTIFS(MATCHER!$B$5:$B$504,A72,MATCHER!$D$5:$D$504,C72,MATCHER!$J$5:$J$504,REGLER!$I$24&amp;" 2",MATCHER!$K$5:$K$504,"Ja")&gt;0,1,0)+IF(COUNTIFS(MATCHER!$B$5:$B$504,A72,MATCHER!$D$5:$D$504,C72,MATCHER!$J$5:$J$504,REGLER!$I$25,MATCHER!$K$5:$K$504,"Ja")+COUNTIFS(MATCHER!$B$5:$B$504,A72,MATCHER!$D$5:$D$504,C72,MATCHER!$J$5:$J$504,REGLER!$I$25&amp;" 2",MATCHER!$K$5:$K$504,"Ja")&gt;0,1,0)+IF(COUNTIFS(MATCHER!$B$5:$B$504,A72,MATCHER!$D$5:$D$504,C72,MATCHER!$J$5:$J$504,REGLER!$I$26,MATCHER!$K$5:$K$504,"Ja")+COUNTIFS(MATCHER!$B$5:$B$504,A72,MATCHER!$D$5:$D$504,C72,MATCHER!$J$5:$J$504,REGLER!$I$26&amp;" 2",MATCHER!$K$5:$K$504,"Ja")&gt;0,1,0)</f>
        <v>1</v>
      </c>
      <c r="AB72" s="15" t="str">
        <f>IF(U72&lt;&gt;1,"",COUNTIF($U$5:U72,1))</f>
        <v/>
      </c>
      <c r="AC72" s="15" t="str">
        <f t="shared" si="19"/>
        <v/>
      </c>
      <c r="AD72" s="15" t="str">
        <f t="shared" si="20"/>
        <v>Minicafé</v>
      </c>
      <c r="AE72" s="15" t="str">
        <f t="shared" si="21"/>
        <v/>
      </c>
      <c r="AF72" t="str">
        <f>IF(T72="","",IFERROR(MATCH(1,INDEX((MATCHER!$B$5:$B$504=A72)*(MATCHER!$D$5:$D$504=C72)*(MATCHER!$K$5:$K$504="Ja")*(MATCHER!$C$5:$C$504&lt;E72)*(MATCHER!$M$5:$M$504&gt;D72)*(ROW(MATCHER!$A$5:$A$504)-ROW(MATCHER!$A$5)+1&gt;T72),0),0),""))</f>
        <v/>
      </c>
    </row>
    <row r="73" spans="1:32" ht="13">
      <c r="A73" s="42">
        <v>46305</v>
      </c>
      <c r="B73" s="43" t="s">
        <v>85</v>
      </c>
      <c r="C73" s="43" t="s">
        <v>94</v>
      </c>
      <c r="D73" s="44">
        <v>0.54166666666666696</v>
      </c>
      <c r="E73" s="44">
        <v>0.5625</v>
      </c>
      <c r="F73" s="45" t="str">
        <f>IF(R73="","",HOUR(INDEX(MATCHER!$C$5:$C$504,R73))&amp;":"&amp;IF(MINUTE(INDEX(MATCHER!$C$5:$C$504,R73))&lt;10,"0","")&amp;MINUTE(INDEX(MATCHER!$C$5:$C$504,R73))&amp;" "&amp;INDEX(MATCHER!$H$5:$H$504,R73)&amp;" – "&amp;INDEX(MATCHER!$I$5:$I$504,R73))&amp;IF(S73="",""," | "&amp;HOUR(INDEX(MATCHER!$C$5:$C$504,S73))&amp;":"&amp;IF(MINUTE(INDEX(MATCHER!$C$5:$C$504,S73))&lt;10,"0","")&amp;MINUTE(INDEX(MATCHER!$C$5:$C$504,S73))&amp;" "&amp;INDEX(MATCHER!$H$5:$H$504,S73)&amp;" – "&amp;INDEX(MATCHER!$I$5:$I$504,S73))&amp;IF(T73="",""," | "&amp;HOUR(INDEX(MATCHER!$C$5:$C$504,T73))&amp;":"&amp;IF(MINUTE(INDEX(MATCHER!$C$5:$C$504,T73))&lt;10,"0","")&amp;MINUTE(INDEX(MATCHER!$C$5:$C$504,T73))&amp;" "&amp;INDEX(MATCHER!$H$5:$H$504,T73)&amp;" – "&amp;INDEX(MATCHER!$I$5:$I$504,T73))&amp;IF(AF73="",""," | "&amp;HOUR(INDEX(MATCHER!$C$5:$C$504,AF73))&amp;":"&amp;IF(MINUTE(INDEX(MATCHER!$C$5:$C$504,AF73))&lt;10,"0","")&amp;MINUTE(INDEX(MATCHER!$C$5:$C$504,AF73))&amp;" "&amp;INDEX(MATCHER!$H$5:$H$504,AF73)&amp;" – "&amp;INDEX(MATCHER!$I$5:$I$504,AF73))</f>
        <v/>
      </c>
      <c r="G73" s="45" t="str">
        <f>MID(IF(R73="","",IF(OR(INDEX(MATCHER!$J$5:$J$504,R73)=""),""," / "&amp;INDEX(MATCHER!$J$5:$J$504,R73)))&amp;IF(S73="","",IF(OR(INDEX(MATCHER!$J$5:$J$504,S73)="",INDEX(MATCHER!$J$5:$J$504,S73)=IFERROR(INDEX(MATCHER!$J$5:$J$504,R73),"")),""," / "&amp;INDEX(MATCHER!$J$5:$J$504,S73)))&amp;IF(T73="","",IF(OR(INDEX(MATCHER!$J$5:$J$504,T73)="",INDEX(MATCHER!$J$5:$J$504,T73)=IFERROR(INDEX(MATCHER!$J$5:$J$504,R73),""),INDEX(MATCHER!$J$5:$J$504,T73)=IFERROR(INDEX(MATCHER!$J$5:$J$504,S73),"")),""," / "&amp;INDEX(MATCHER!$J$5:$J$504,T73)))&amp;IF(AF73="","",IF(OR(INDEX(MATCHER!$J$5:$J$504,AF73)="",INDEX(MATCHER!$J$5:$J$504,AF73)=IFERROR(INDEX(MATCHER!$J$5:$J$504,R73),""),INDEX(MATCHER!$J$5:$J$504,AF73)=IFERROR(INDEX(MATCHER!$J$5:$J$504,S73),""),INDEX(MATCHER!$J$5:$J$504,AF73)=IFERROR(INDEX(MATCHER!$J$5:$J$504,T73),"")),""," / "&amp;INDEX(MATCHER!$J$5:$J$504,AF73))),4,1000)</f>
        <v/>
      </c>
      <c r="H73" s="45" t="str">
        <f>H72</f>
        <v>Herr</v>
      </c>
      <c r="I73" s="46" t="s">
        <v>87</v>
      </c>
      <c r="J73" s="47"/>
      <c r="K73" s="48"/>
      <c r="L73" s="49"/>
      <c r="M73" s="50" t="str">
        <f>IF(O73&lt;&gt;O72,MAX(1,MIN(AA73,ROUNDUP(SUMPRODUCT(($O$5:$O$546=O73)*($I$5:$I$546="Ja")*($E$5:$E$546-$D$5:$D$546))*24/REGLER!$B$8,0))),"")</f>
        <v/>
      </c>
      <c r="N73" s="50" t="str">
        <f t="shared" si="15"/>
        <v>Ej öppet</v>
      </c>
      <c r="O73" s="15" t="s">
        <v>107</v>
      </c>
      <c r="P73" s="16">
        <v>0.52083333333333304</v>
      </c>
      <c r="Q73" s="16">
        <v>0.625</v>
      </c>
      <c r="R73" s="15" t="str">
        <f>IFERROR(MATCH(1,INDEX((MATCHER!$B$5:$B$504=A73)*(MATCHER!$D$5:$D$504=C73)*(MATCHER!$K$5:$K$504="Ja")*(MATCHER!$C$5:$C$504&lt;E73)*(MATCHER!$M$5:$M$504&gt;D73),0),0),"")</f>
        <v/>
      </c>
      <c r="S73" s="15" t="str">
        <f>IF(R73="","",IFERROR(MATCH(1,INDEX((MATCHER!$B$5:$B$504=A73)*(MATCHER!$D$5:$D$504=C73)*(MATCHER!$K$5:$K$504="Ja")*(MATCHER!$C$5:$C$504&lt;E73)*(MATCHER!$M$5:$M$504&gt;D73)*(ROW(MATCHER!$A$5:$A$504)-ROW(MATCHER!$A$5)+1&gt;R73),0),0),""))</f>
        <v/>
      </c>
      <c r="T73" s="15" t="str">
        <f>IF(S73="","",IFERROR(MATCH(1,INDEX((MATCHER!$B$5:$B$504=A73)*(MATCHER!$D$5:$D$504=C73)*(MATCHER!$K$5:$K$504="Ja")*(MATCHER!$C$5:$C$504&lt;E73)*(MATCHER!$M$5:$M$504&gt;D73)*(ROW(MATCHER!$A$5:$A$504)-ROW(MATCHER!$A$5)+1&gt;S73),0),0),""))</f>
        <v/>
      </c>
      <c r="U73" s="15" t="str">
        <f t="shared" si="16"/>
        <v/>
      </c>
      <c r="V73" s="15" t="str">
        <f>IF(OR(I73&lt;&gt;"Ja",J73=""),"",COUNTIFS($O$5:O73,O73,$U$5:U73,1))</f>
        <v/>
      </c>
      <c r="W73" s="15" t="str">
        <f t="shared" si="17"/>
        <v/>
      </c>
      <c r="X73" s="16" t="str">
        <f t="shared" si="18"/>
        <v/>
      </c>
      <c r="Y73" s="15">
        <f>IF(OR(I73&lt;&gt;"Ja",J73=""),0,IF(COUNTIFS($O$5:O73,O73,$I$5:I73,"Ja",$J$5:J73,"&lt;&gt;")=1,1,0))</f>
        <v>0</v>
      </c>
      <c r="Z73" s="15">
        <f>IF(OR(I73&lt;&gt;"Ja",J73=""),0,IF(COUNTIFS(O73:$O$546,O73,I73:$I$546,"Ja",J73:$J$546,"&lt;&gt;")=1,1,0))</f>
        <v>0</v>
      </c>
      <c r="AA73" s="15">
        <f>AA72</f>
        <v>1</v>
      </c>
      <c r="AB73" s="15" t="str">
        <f>IF(U73&lt;&gt;1,"",COUNTIF($U$5:U73,1))</f>
        <v/>
      </c>
      <c r="AC73" s="15" t="str">
        <f t="shared" si="19"/>
        <v/>
      </c>
      <c r="AD73" s="15" t="str">
        <f t="shared" si="20"/>
        <v>Minicafé</v>
      </c>
      <c r="AE73" s="15" t="str">
        <f t="shared" si="21"/>
        <v/>
      </c>
      <c r="AF73" t="str">
        <f>IF(T73="","",IFERROR(MATCH(1,INDEX((MATCHER!$B$5:$B$504=A73)*(MATCHER!$D$5:$D$504=C73)*(MATCHER!$K$5:$K$504="Ja")*(MATCHER!$C$5:$C$504&lt;E73)*(MATCHER!$M$5:$M$504&gt;D73)*(ROW(MATCHER!$A$5:$A$504)-ROW(MATCHER!$A$5)+1&gt;T73),0),0),""))</f>
        <v/>
      </c>
    </row>
    <row r="74" spans="1:32" ht="13">
      <c r="A74" s="42">
        <v>46305</v>
      </c>
      <c r="B74" s="43" t="s">
        <v>85</v>
      </c>
      <c r="C74" s="43" t="s">
        <v>94</v>
      </c>
      <c r="D74" s="44">
        <v>0.5625</v>
      </c>
      <c r="E74" s="44">
        <v>0.58333333333333304</v>
      </c>
      <c r="F74" s="45" t="str">
        <f>IF(R74="","",HOUR(INDEX(MATCHER!$C$5:$C$504,R74))&amp;":"&amp;IF(MINUTE(INDEX(MATCHER!$C$5:$C$504,R74))&lt;10,"0","")&amp;MINUTE(INDEX(MATCHER!$C$5:$C$504,R74))&amp;" "&amp;INDEX(MATCHER!$H$5:$H$504,R74)&amp;" – "&amp;INDEX(MATCHER!$I$5:$I$504,R74))&amp;IF(S74="",""," | "&amp;HOUR(INDEX(MATCHER!$C$5:$C$504,S74))&amp;":"&amp;IF(MINUTE(INDEX(MATCHER!$C$5:$C$504,S74))&lt;10,"0","")&amp;MINUTE(INDEX(MATCHER!$C$5:$C$504,S74))&amp;" "&amp;INDEX(MATCHER!$H$5:$H$504,S74)&amp;" – "&amp;INDEX(MATCHER!$I$5:$I$504,S74))&amp;IF(T74="",""," | "&amp;HOUR(INDEX(MATCHER!$C$5:$C$504,T74))&amp;":"&amp;IF(MINUTE(INDEX(MATCHER!$C$5:$C$504,T74))&lt;10,"0","")&amp;MINUTE(INDEX(MATCHER!$C$5:$C$504,T74))&amp;" "&amp;INDEX(MATCHER!$H$5:$H$504,T74)&amp;" – "&amp;INDEX(MATCHER!$I$5:$I$504,T74))&amp;IF(AF74="",""," | "&amp;HOUR(INDEX(MATCHER!$C$5:$C$504,AF74))&amp;":"&amp;IF(MINUTE(INDEX(MATCHER!$C$5:$C$504,AF74))&lt;10,"0","")&amp;MINUTE(INDEX(MATCHER!$C$5:$C$504,AF74))&amp;" "&amp;INDEX(MATCHER!$H$5:$H$504,AF74)&amp;" – "&amp;INDEX(MATCHER!$I$5:$I$504,AF74))</f>
        <v>13:30 AIK – Djurgårdens HF</v>
      </c>
      <c r="G74" s="45" t="str">
        <f>MID(IF(R74="","",IF(OR(INDEX(MATCHER!$J$5:$J$504,R74)=""),""," / "&amp;INDEX(MATCHER!$J$5:$J$504,R74)))&amp;IF(S74="","",IF(OR(INDEX(MATCHER!$J$5:$J$504,S74)="",INDEX(MATCHER!$J$5:$J$504,S74)=IFERROR(INDEX(MATCHER!$J$5:$J$504,R74),"")),""," / "&amp;INDEX(MATCHER!$J$5:$J$504,S74)))&amp;IF(T74="","",IF(OR(INDEX(MATCHER!$J$5:$J$504,T74)="",INDEX(MATCHER!$J$5:$J$504,T74)=IFERROR(INDEX(MATCHER!$J$5:$J$504,R74),""),INDEX(MATCHER!$J$5:$J$504,T74)=IFERROR(INDEX(MATCHER!$J$5:$J$504,S74),"")),""," / "&amp;INDEX(MATCHER!$J$5:$J$504,T74)))&amp;IF(AF74="","",IF(OR(INDEX(MATCHER!$J$5:$J$504,AF74)="",INDEX(MATCHER!$J$5:$J$504,AF74)=IFERROR(INDEX(MATCHER!$J$5:$J$504,R74),""),INDEX(MATCHER!$J$5:$J$504,AF74)=IFERROR(INDEX(MATCHER!$J$5:$J$504,S74),""),INDEX(MATCHER!$J$5:$J$504,AF74)=IFERROR(INDEX(MATCHER!$J$5:$J$504,T74),"")),""," / "&amp;INDEX(MATCHER!$J$5:$J$504,AF74))),4,1000)</f>
        <v>Herr</v>
      </c>
      <c r="H74" s="45" t="str">
        <f>H73</f>
        <v>Herr</v>
      </c>
      <c r="I74" s="46" t="s">
        <v>87</v>
      </c>
      <c r="J74" s="47"/>
      <c r="K74" s="48"/>
      <c r="L74" s="49"/>
      <c r="M74" s="50" t="str">
        <f>IF(O74&lt;&gt;O73,MAX(1,MIN(AA74,ROUNDUP(SUMPRODUCT(($O$5:$O$546=O74)*($I$5:$I$546="Ja")*($E$5:$E$546-$D$5:$D$546))*24/REGLER!$B$8,0))),"")</f>
        <v/>
      </c>
      <c r="N74" s="50" t="str">
        <f t="shared" si="15"/>
        <v>Ej öppet</v>
      </c>
      <c r="O74" s="15" t="s">
        <v>107</v>
      </c>
      <c r="P74" s="16">
        <v>0.52083333333333304</v>
      </c>
      <c r="Q74" s="16">
        <v>0.625</v>
      </c>
      <c r="R74" s="15">
        <f>IFERROR(MATCH(1,INDEX((MATCHER!$B$5:$B$504=A74)*(MATCHER!$D$5:$D$504=C74)*(MATCHER!$K$5:$K$504="Ja")*(MATCHER!$C$5:$C$504&lt;E74)*(MATCHER!$M$5:$M$504&gt;D74),0),0),"")</f>
        <v>20</v>
      </c>
      <c r="S74" s="15" t="str">
        <f>IF(R74="","",IFERROR(MATCH(1,INDEX((MATCHER!$B$5:$B$504=A74)*(MATCHER!$D$5:$D$504=C74)*(MATCHER!$K$5:$K$504="Ja")*(MATCHER!$C$5:$C$504&lt;E74)*(MATCHER!$M$5:$M$504&gt;D74)*(ROW(MATCHER!$A$5:$A$504)-ROW(MATCHER!$A$5)+1&gt;R74),0),0),""))</f>
        <v/>
      </c>
      <c r="T74" s="15" t="str">
        <f>IF(S74="","",IFERROR(MATCH(1,INDEX((MATCHER!$B$5:$B$504=A74)*(MATCHER!$D$5:$D$504=C74)*(MATCHER!$K$5:$K$504="Ja")*(MATCHER!$C$5:$C$504&lt;E74)*(MATCHER!$M$5:$M$504&gt;D74)*(ROW(MATCHER!$A$5:$A$504)-ROW(MATCHER!$A$5)+1&gt;S74),0),0),""))</f>
        <v/>
      </c>
      <c r="U74" s="15" t="str">
        <f t="shared" si="16"/>
        <v/>
      </c>
      <c r="V74" s="15" t="str">
        <f>IF(OR(I74&lt;&gt;"Ja",J74=""),"",COUNTIFS($O$5:O74,O74,$U$5:U74,1))</f>
        <v/>
      </c>
      <c r="W74" s="15" t="str">
        <f t="shared" si="17"/>
        <v/>
      </c>
      <c r="X74" s="16" t="str">
        <f t="shared" si="18"/>
        <v/>
      </c>
      <c r="Y74" s="15">
        <f>IF(OR(I74&lt;&gt;"Ja",J74=""),0,IF(COUNTIFS($O$5:O74,O74,$I$5:I74,"Ja",$J$5:J74,"&lt;&gt;")=1,1,0))</f>
        <v>0</v>
      </c>
      <c r="Z74" s="15">
        <f>IF(OR(I74&lt;&gt;"Ja",J74=""),0,IF(COUNTIFS(O74:$O$546,O74,I74:$I$546,"Ja",J74:$J$546,"&lt;&gt;")=1,1,0))</f>
        <v>0</v>
      </c>
      <c r="AA74" s="15">
        <f>AA73</f>
        <v>1</v>
      </c>
      <c r="AB74" s="15" t="str">
        <f>IF(U74&lt;&gt;1,"",COUNTIF($U$5:U74,1))</f>
        <v/>
      </c>
      <c r="AC74" s="15" t="str">
        <f t="shared" si="19"/>
        <v/>
      </c>
      <c r="AD74" s="15" t="str">
        <f t="shared" si="20"/>
        <v>Minicafé</v>
      </c>
      <c r="AE74" s="15" t="str">
        <f t="shared" si="21"/>
        <v/>
      </c>
      <c r="AF74" t="str">
        <f>IF(T74="","",IFERROR(MATCH(1,INDEX((MATCHER!$B$5:$B$504=A74)*(MATCHER!$D$5:$D$504=C74)*(MATCHER!$K$5:$K$504="Ja")*(MATCHER!$C$5:$C$504&lt;E74)*(MATCHER!$M$5:$M$504&gt;D74)*(ROW(MATCHER!$A$5:$A$504)-ROW(MATCHER!$A$5)+1&gt;T74),0),0),""))</f>
        <v/>
      </c>
    </row>
    <row r="75" spans="1:32" ht="13">
      <c r="A75" s="42">
        <v>46305</v>
      </c>
      <c r="B75" s="43" t="s">
        <v>85</v>
      </c>
      <c r="C75" s="43" t="s">
        <v>94</v>
      </c>
      <c r="D75" s="44">
        <v>0.58333333333333304</v>
      </c>
      <c r="E75" s="44">
        <v>0.60416666666666696</v>
      </c>
      <c r="F75" s="45" t="str">
        <f>IF(R75="","",HOUR(INDEX(MATCHER!$C$5:$C$504,R75))&amp;":"&amp;IF(MINUTE(INDEX(MATCHER!$C$5:$C$504,R75))&lt;10,"0","")&amp;MINUTE(INDEX(MATCHER!$C$5:$C$504,R75))&amp;" "&amp;INDEX(MATCHER!$H$5:$H$504,R75)&amp;" – "&amp;INDEX(MATCHER!$I$5:$I$504,R75))&amp;IF(S75="",""," | "&amp;HOUR(INDEX(MATCHER!$C$5:$C$504,S75))&amp;":"&amp;IF(MINUTE(INDEX(MATCHER!$C$5:$C$504,S75))&lt;10,"0","")&amp;MINUTE(INDEX(MATCHER!$C$5:$C$504,S75))&amp;" "&amp;INDEX(MATCHER!$H$5:$H$504,S75)&amp;" – "&amp;INDEX(MATCHER!$I$5:$I$504,S75))&amp;IF(T75="",""," | "&amp;HOUR(INDEX(MATCHER!$C$5:$C$504,T75))&amp;":"&amp;IF(MINUTE(INDEX(MATCHER!$C$5:$C$504,T75))&lt;10,"0","")&amp;MINUTE(INDEX(MATCHER!$C$5:$C$504,T75))&amp;" "&amp;INDEX(MATCHER!$H$5:$H$504,T75)&amp;" – "&amp;INDEX(MATCHER!$I$5:$I$504,T75))&amp;IF(AF75="",""," | "&amp;HOUR(INDEX(MATCHER!$C$5:$C$504,AF75))&amp;":"&amp;IF(MINUTE(INDEX(MATCHER!$C$5:$C$504,AF75))&lt;10,"0","")&amp;MINUTE(INDEX(MATCHER!$C$5:$C$504,AF75))&amp;" "&amp;INDEX(MATCHER!$H$5:$H$504,AF75)&amp;" – "&amp;INDEX(MATCHER!$I$5:$I$504,AF75))</f>
        <v>13:30 AIK – Djurgårdens HF</v>
      </c>
      <c r="G75" s="45" t="str">
        <f>MID(IF(R75="","",IF(OR(INDEX(MATCHER!$J$5:$J$504,R75)=""),""," / "&amp;INDEX(MATCHER!$J$5:$J$504,R75)))&amp;IF(S75="","",IF(OR(INDEX(MATCHER!$J$5:$J$504,S75)="",INDEX(MATCHER!$J$5:$J$504,S75)=IFERROR(INDEX(MATCHER!$J$5:$J$504,R75),"")),""," / "&amp;INDEX(MATCHER!$J$5:$J$504,S75)))&amp;IF(T75="","",IF(OR(INDEX(MATCHER!$J$5:$J$504,T75)="",INDEX(MATCHER!$J$5:$J$504,T75)=IFERROR(INDEX(MATCHER!$J$5:$J$504,R75),""),INDEX(MATCHER!$J$5:$J$504,T75)=IFERROR(INDEX(MATCHER!$J$5:$J$504,S75),"")),""," / "&amp;INDEX(MATCHER!$J$5:$J$504,T75)))&amp;IF(AF75="","",IF(OR(INDEX(MATCHER!$J$5:$J$504,AF75)="",INDEX(MATCHER!$J$5:$J$504,AF75)=IFERROR(INDEX(MATCHER!$J$5:$J$504,R75),""),INDEX(MATCHER!$J$5:$J$504,AF75)=IFERROR(INDEX(MATCHER!$J$5:$J$504,S75),""),INDEX(MATCHER!$J$5:$J$504,AF75)=IFERROR(INDEX(MATCHER!$J$5:$J$504,T75),"")),""," / "&amp;INDEX(MATCHER!$J$5:$J$504,AF75))),4,1000)</f>
        <v>Herr</v>
      </c>
      <c r="H75" s="45" t="str">
        <f>H74</f>
        <v>Herr</v>
      </c>
      <c r="I75" s="46" t="s">
        <v>87</v>
      </c>
      <c r="J75" s="47"/>
      <c r="K75" s="48"/>
      <c r="L75" s="49"/>
      <c r="M75" s="50" t="str">
        <f>IF(O75&lt;&gt;O74,MAX(1,MIN(AA75,ROUNDUP(SUMPRODUCT(($O$5:$O$546=O75)*($I$5:$I$546="Ja")*($E$5:$E$546-$D$5:$D$546))*24/REGLER!$B$8,0))),"")</f>
        <v/>
      </c>
      <c r="N75" s="50" t="str">
        <f t="shared" si="15"/>
        <v>Ej öppet</v>
      </c>
      <c r="O75" s="15" t="s">
        <v>107</v>
      </c>
      <c r="P75" s="16">
        <v>0.52083333333333304</v>
      </c>
      <c r="Q75" s="16">
        <v>0.625</v>
      </c>
      <c r="R75" s="15">
        <f>IFERROR(MATCH(1,INDEX((MATCHER!$B$5:$B$504=A75)*(MATCHER!$D$5:$D$504=C75)*(MATCHER!$K$5:$K$504="Ja")*(MATCHER!$C$5:$C$504&lt;E75)*(MATCHER!$M$5:$M$504&gt;D75),0),0),"")</f>
        <v>20</v>
      </c>
      <c r="S75" s="15" t="str">
        <f>IF(R75="","",IFERROR(MATCH(1,INDEX((MATCHER!$B$5:$B$504=A75)*(MATCHER!$D$5:$D$504=C75)*(MATCHER!$K$5:$K$504="Ja")*(MATCHER!$C$5:$C$504&lt;E75)*(MATCHER!$M$5:$M$504&gt;D75)*(ROW(MATCHER!$A$5:$A$504)-ROW(MATCHER!$A$5)+1&gt;R75),0),0),""))</f>
        <v/>
      </c>
      <c r="T75" s="15" t="str">
        <f>IF(S75="","",IFERROR(MATCH(1,INDEX((MATCHER!$B$5:$B$504=A75)*(MATCHER!$D$5:$D$504=C75)*(MATCHER!$K$5:$K$504="Ja")*(MATCHER!$C$5:$C$504&lt;E75)*(MATCHER!$M$5:$M$504&gt;D75)*(ROW(MATCHER!$A$5:$A$504)-ROW(MATCHER!$A$5)+1&gt;S75),0),0),""))</f>
        <v/>
      </c>
      <c r="U75" s="15" t="str">
        <f t="shared" si="16"/>
        <v/>
      </c>
      <c r="V75" s="15" t="str">
        <f>IF(OR(I75&lt;&gt;"Ja",J75=""),"",COUNTIFS($O$5:O75,O75,$U$5:U75,1))</f>
        <v/>
      </c>
      <c r="W75" s="15" t="str">
        <f t="shared" si="17"/>
        <v/>
      </c>
      <c r="X75" s="16" t="str">
        <f t="shared" si="18"/>
        <v/>
      </c>
      <c r="Y75" s="15">
        <f>IF(OR(I75&lt;&gt;"Ja",J75=""),0,IF(COUNTIFS($O$5:O75,O75,$I$5:I75,"Ja",$J$5:J75,"&lt;&gt;")=1,1,0))</f>
        <v>0</v>
      </c>
      <c r="Z75" s="15">
        <f>IF(OR(I75&lt;&gt;"Ja",J75=""),0,IF(COUNTIFS(O75:$O$546,O75,I75:$I$546,"Ja",J75:$J$546,"&lt;&gt;")=1,1,0))</f>
        <v>0</v>
      </c>
      <c r="AA75" s="15">
        <f>AA74</f>
        <v>1</v>
      </c>
      <c r="AB75" s="15" t="str">
        <f>IF(U75&lt;&gt;1,"",COUNTIF($U$5:U75,1))</f>
        <v/>
      </c>
      <c r="AC75" s="15" t="str">
        <f t="shared" si="19"/>
        <v/>
      </c>
      <c r="AD75" s="15" t="str">
        <f t="shared" si="20"/>
        <v>Minicafé</v>
      </c>
      <c r="AE75" s="15" t="str">
        <f t="shared" si="21"/>
        <v/>
      </c>
      <c r="AF75" t="str">
        <f>IF(T75="","",IFERROR(MATCH(1,INDEX((MATCHER!$B$5:$B$504=A75)*(MATCHER!$D$5:$D$504=C75)*(MATCHER!$K$5:$K$504="Ja")*(MATCHER!$C$5:$C$504&lt;E75)*(MATCHER!$M$5:$M$504&gt;D75)*(ROW(MATCHER!$A$5:$A$504)-ROW(MATCHER!$A$5)+1&gt;T75),0),0),""))</f>
        <v/>
      </c>
    </row>
    <row r="76" spans="1:32" ht="13.5" thickBot="1">
      <c r="A76" s="52">
        <v>46305</v>
      </c>
      <c r="B76" s="53" t="s">
        <v>85</v>
      </c>
      <c r="C76" s="53" t="s">
        <v>94</v>
      </c>
      <c r="D76" s="54">
        <v>0.60416666666666696</v>
      </c>
      <c r="E76" s="54">
        <v>0.625</v>
      </c>
      <c r="F76" s="55" t="str">
        <f>IF(R76="","",HOUR(INDEX(MATCHER!$C$5:$C$504,R76))&amp;":"&amp;IF(MINUTE(INDEX(MATCHER!$C$5:$C$504,R76))&lt;10,"0","")&amp;MINUTE(INDEX(MATCHER!$C$5:$C$504,R76))&amp;" "&amp;INDEX(MATCHER!$H$5:$H$504,R76)&amp;" – "&amp;INDEX(MATCHER!$I$5:$I$504,R76))&amp;IF(S76="",""," | "&amp;HOUR(INDEX(MATCHER!$C$5:$C$504,S76))&amp;":"&amp;IF(MINUTE(INDEX(MATCHER!$C$5:$C$504,S76))&lt;10,"0","")&amp;MINUTE(INDEX(MATCHER!$C$5:$C$504,S76))&amp;" "&amp;INDEX(MATCHER!$H$5:$H$504,S76)&amp;" – "&amp;INDEX(MATCHER!$I$5:$I$504,S76))&amp;IF(T76="",""," | "&amp;HOUR(INDEX(MATCHER!$C$5:$C$504,T76))&amp;":"&amp;IF(MINUTE(INDEX(MATCHER!$C$5:$C$504,T76))&lt;10,"0","")&amp;MINUTE(INDEX(MATCHER!$C$5:$C$504,T76))&amp;" "&amp;INDEX(MATCHER!$H$5:$H$504,T76)&amp;" – "&amp;INDEX(MATCHER!$I$5:$I$504,T76))&amp;IF(AF76="",""," | "&amp;HOUR(INDEX(MATCHER!$C$5:$C$504,AF76))&amp;":"&amp;IF(MINUTE(INDEX(MATCHER!$C$5:$C$504,AF76))&lt;10,"0","")&amp;MINUTE(INDEX(MATCHER!$C$5:$C$504,AF76))&amp;" "&amp;INDEX(MATCHER!$H$5:$H$504,AF76)&amp;" – "&amp;INDEX(MATCHER!$I$5:$I$504,AF76))</f>
        <v>13:30 AIK – Djurgårdens HF</v>
      </c>
      <c r="G76" s="55" t="str">
        <f>MID(IF(R76="","",IF(OR(INDEX(MATCHER!$J$5:$J$504,R76)=""),""," / "&amp;INDEX(MATCHER!$J$5:$J$504,R76)))&amp;IF(S76="","",IF(OR(INDEX(MATCHER!$J$5:$J$504,S76)="",INDEX(MATCHER!$J$5:$J$504,S76)=IFERROR(INDEX(MATCHER!$J$5:$J$504,R76),"")),""," / "&amp;INDEX(MATCHER!$J$5:$J$504,S76)))&amp;IF(T76="","",IF(OR(INDEX(MATCHER!$J$5:$J$504,T76)="",INDEX(MATCHER!$J$5:$J$504,T76)=IFERROR(INDEX(MATCHER!$J$5:$J$504,R76),""),INDEX(MATCHER!$J$5:$J$504,T76)=IFERROR(INDEX(MATCHER!$J$5:$J$504,S76),"")),""," / "&amp;INDEX(MATCHER!$J$5:$J$504,T76)))&amp;IF(AF76="","",IF(OR(INDEX(MATCHER!$J$5:$J$504,AF76)="",INDEX(MATCHER!$J$5:$J$504,AF76)=IFERROR(INDEX(MATCHER!$J$5:$J$504,R76),""),INDEX(MATCHER!$J$5:$J$504,AF76)=IFERROR(INDEX(MATCHER!$J$5:$J$504,S76),""),INDEX(MATCHER!$J$5:$J$504,AF76)=IFERROR(INDEX(MATCHER!$J$5:$J$504,T76),"")),""," / "&amp;INDEX(MATCHER!$J$5:$J$504,AF76))),4,1000)</f>
        <v>Herr</v>
      </c>
      <c r="H76" s="55" t="str">
        <f>H75</f>
        <v>Herr</v>
      </c>
      <c r="I76" s="56" t="s">
        <v>87</v>
      </c>
      <c r="J76" s="57"/>
      <c r="K76" s="58"/>
      <c r="L76" s="59"/>
      <c r="M76" s="60" t="str">
        <f>IF(O76&lt;&gt;O75,MAX(1,MIN(AA76,ROUNDUP(SUMPRODUCT(($O$5:$O$546=O76)*($I$5:$I$546="Ja")*($E$5:$E$546-$D$5:$D$546))*24/REGLER!$B$8,0))),"")</f>
        <v/>
      </c>
      <c r="N76" s="60" t="str">
        <f t="shared" si="15"/>
        <v>Ej öppet</v>
      </c>
      <c r="O76" s="15" t="s">
        <v>107</v>
      </c>
      <c r="P76" s="16">
        <v>0.52083333333333304</v>
      </c>
      <c r="Q76" s="16">
        <v>0.625</v>
      </c>
      <c r="R76" s="15">
        <f>IFERROR(MATCH(1,INDEX((MATCHER!$B$5:$B$504=A76)*(MATCHER!$D$5:$D$504=C76)*(MATCHER!$K$5:$K$504="Ja")*(MATCHER!$C$5:$C$504&lt;E76)*(MATCHER!$M$5:$M$504&gt;D76),0),0),"")</f>
        <v>20</v>
      </c>
      <c r="S76" s="15" t="str">
        <f>IF(R76="","",IFERROR(MATCH(1,INDEX((MATCHER!$B$5:$B$504=A76)*(MATCHER!$D$5:$D$504=C76)*(MATCHER!$K$5:$K$504="Ja")*(MATCHER!$C$5:$C$504&lt;E76)*(MATCHER!$M$5:$M$504&gt;D76)*(ROW(MATCHER!$A$5:$A$504)-ROW(MATCHER!$A$5)+1&gt;R76),0),0),""))</f>
        <v/>
      </c>
      <c r="T76" s="15" t="str">
        <f>IF(S76="","",IFERROR(MATCH(1,INDEX((MATCHER!$B$5:$B$504=A76)*(MATCHER!$D$5:$D$504=C76)*(MATCHER!$K$5:$K$504="Ja")*(MATCHER!$C$5:$C$504&lt;E76)*(MATCHER!$M$5:$M$504&gt;D76)*(ROW(MATCHER!$A$5:$A$504)-ROW(MATCHER!$A$5)+1&gt;S76),0),0),""))</f>
        <v/>
      </c>
      <c r="U76" s="15" t="str">
        <f t="shared" si="16"/>
        <v/>
      </c>
      <c r="V76" s="15" t="str">
        <f>IF(OR(I76&lt;&gt;"Ja",J76=""),"",COUNTIFS($O$5:O76,O76,$U$5:U76,1))</f>
        <v/>
      </c>
      <c r="W76" s="15" t="str">
        <f t="shared" si="17"/>
        <v/>
      </c>
      <c r="X76" s="16" t="str">
        <f t="shared" si="18"/>
        <v/>
      </c>
      <c r="Y76" s="15">
        <f>IF(OR(I76&lt;&gt;"Ja",J76=""),0,IF(COUNTIFS($O$5:O76,O76,$I$5:I76,"Ja",$J$5:J76,"&lt;&gt;")=1,1,0))</f>
        <v>0</v>
      </c>
      <c r="Z76" s="15">
        <f>IF(OR(I76&lt;&gt;"Ja",J76=""),0,IF(COUNTIFS(O76:$O$546,O76,I76:$I$546,"Ja",J76:$J$546,"&lt;&gt;")=1,1,0))</f>
        <v>0</v>
      </c>
      <c r="AA76" s="15">
        <f>AA75</f>
        <v>1</v>
      </c>
      <c r="AB76" s="15" t="str">
        <f>IF(U76&lt;&gt;1,"",COUNTIF($U$5:U76,1))</f>
        <v/>
      </c>
      <c r="AC76" s="15" t="str">
        <f t="shared" si="19"/>
        <v/>
      </c>
      <c r="AD76" s="15" t="str">
        <f t="shared" si="20"/>
        <v>Minicafé</v>
      </c>
      <c r="AE76" s="15" t="str">
        <f t="shared" si="21"/>
        <v/>
      </c>
      <c r="AF76" t="str">
        <f>IF(T76="","",IFERROR(MATCH(1,INDEX((MATCHER!$B$5:$B$504=A76)*(MATCHER!$D$5:$D$504=C76)*(MATCHER!$K$5:$K$504="Ja")*(MATCHER!$C$5:$C$504&lt;E76)*(MATCHER!$M$5:$M$504&gt;D76)*(ROW(MATCHER!$A$5:$A$504)-ROW(MATCHER!$A$5)+1&gt;T76),0),0),""))</f>
        <v/>
      </c>
    </row>
    <row r="77" spans="1:32" ht="26">
      <c r="A77" s="42">
        <v>46305</v>
      </c>
      <c r="B77" s="43" t="s">
        <v>85</v>
      </c>
      <c r="C77" s="43" t="s">
        <v>86</v>
      </c>
      <c r="D77" s="44">
        <v>0.42708333333333298</v>
      </c>
      <c r="E77" s="44">
        <v>0.4375</v>
      </c>
      <c r="F77" s="45" t="str">
        <f>IF(R77="","",HOUR(INDEX(MATCHER!$C$5:$C$504,R77))&amp;":"&amp;IF(MINUTE(INDEX(MATCHER!$C$5:$C$504,R77))&lt;10,"0","")&amp;MINUTE(INDEX(MATCHER!$C$5:$C$504,R77))&amp;" "&amp;INDEX(MATCHER!$H$5:$H$504,R77)&amp;" – "&amp;INDEX(MATCHER!$I$5:$I$504,R77))&amp;IF(S77="",""," | "&amp;HOUR(INDEX(MATCHER!$C$5:$C$504,S77))&amp;":"&amp;IF(MINUTE(INDEX(MATCHER!$C$5:$C$504,S77))&lt;10,"0","")&amp;MINUTE(INDEX(MATCHER!$C$5:$C$504,S77))&amp;" "&amp;INDEX(MATCHER!$H$5:$H$504,S77)&amp;" – "&amp;INDEX(MATCHER!$I$5:$I$504,S77))&amp;IF(T77="",""," | "&amp;HOUR(INDEX(MATCHER!$C$5:$C$504,T77))&amp;":"&amp;IF(MINUTE(INDEX(MATCHER!$C$5:$C$504,T77))&lt;10,"0","")&amp;MINUTE(INDEX(MATCHER!$C$5:$C$504,T77))&amp;" "&amp;INDEX(MATCHER!$H$5:$H$504,T77)&amp;" – "&amp;INDEX(MATCHER!$I$5:$I$504,T77))&amp;IF(AF77="",""," | "&amp;HOUR(INDEX(MATCHER!$C$5:$C$504,AF77))&amp;":"&amp;IF(MINUTE(INDEX(MATCHER!$C$5:$C$504,AF77))&lt;10,"0","")&amp;MINUTE(INDEX(MATCHER!$C$5:$C$504,AF77))&amp;" "&amp;INDEX(MATCHER!$H$5:$H$504,AF77)&amp;" – "&amp;INDEX(MATCHER!$I$5:$I$504,AF77))</f>
        <v/>
      </c>
      <c r="G77" s="45" t="str">
        <f>MID(IF(R77="","",IF(OR(INDEX(MATCHER!$J$5:$J$504,R77)=""),""," / "&amp;INDEX(MATCHER!$J$5:$J$504,R77)))&amp;IF(S77="","",IF(OR(INDEX(MATCHER!$J$5:$J$504,S77)="",INDEX(MATCHER!$J$5:$J$504,S77)=IFERROR(INDEX(MATCHER!$J$5:$J$504,R77),"")),""," / "&amp;INDEX(MATCHER!$J$5:$J$504,S77)))&amp;IF(T77="","",IF(OR(INDEX(MATCHER!$J$5:$J$504,T77)="",INDEX(MATCHER!$J$5:$J$504,T77)=IFERROR(INDEX(MATCHER!$J$5:$J$504,R77),""),INDEX(MATCHER!$J$5:$J$504,T77)=IFERROR(INDEX(MATCHER!$J$5:$J$504,S77),"")),""," / "&amp;INDEX(MATCHER!$J$5:$J$504,T77)))&amp;IF(AF77="","",IF(OR(INDEX(MATCHER!$J$5:$J$504,AF77)="",INDEX(MATCHER!$J$5:$J$504,AF77)=IFERROR(INDEX(MATCHER!$J$5:$J$504,R77),""),INDEX(MATCHER!$J$5:$J$504,AF77)=IFERROR(INDEX(MATCHER!$J$5:$J$504,S77),""),INDEX(MATCHER!$J$5:$J$504,AF77)=IFERROR(INDEX(MATCHER!$J$5:$J$504,T77),"")),""," / "&amp;INDEX(MATCHER!$J$5:$J$504,AF77))),4,1000)</f>
        <v/>
      </c>
      <c r="H77" s="45" t="str">
        <f>MID(IF(COUNTIFS(MATCHER!$B$5:$B$504,A77,MATCHER!$D$5:$D$504,C77,MATCHER!$J$5:$J$504,REGLER!$I$6,MATCHER!$K$5:$K$504,"Ja")+COUNTIFS(MATCHER!$B$5:$B$504,A77,MATCHER!$D$5:$D$504,C77,MATCHER!$J$5:$J$504,REGLER!$I$6&amp;" 2",MATCHER!$K$5:$K$504,"Ja")&gt;0,", "&amp;REGLER!$I$6,"")&amp;IF(COUNTIFS(MATCHER!$B$5:$B$504,A77,MATCHER!$D$5:$D$504,C77,MATCHER!$J$5:$J$504,REGLER!$I$7,MATCHER!$K$5:$K$504,"Ja")+COUNTIFS(MATCHER!$B$5:$B$504,A77,MATCHER!$D$5:$D$504,C77,MATCHER!$J$5:$J$504,REGLER!$I$7&amp;" 2",MATCHER!$K$5:$K$504,"Ja")&gt;0,", "&amp;REGLER!$I$7,"")&amp;IF(COUNTIFS(MATCHER!$B$5:$B$504,A77,MATCHER!$D$5:$D$504,C77,MATCHER!$J$5:$J$504,REGLER!$I$8,MATCHER!$K$5:$K$504,"Ja")+COUNTIFS(MATCHER!$B$5:$B$504,A77,MATCHER!$D$5:$D$504,C77,MATCHER!$J$5:$J$504,REGLER!$I$8&amp;" 2",MATCHER!$K$5:$K$504,"Ja")&gt;0,", "&amp;REGLER!$I$8,"")&amp;IF(COUNTIFS(MATCHER!$B$5:$B$504,A77,MATCHER!$D$5:$D$504,C77,MATCHER!$J$5:$J$504,REGLER!$I$9,MATCHER!$K$5:$K$504,"Ja")+COUNTIFS(MATCHER!$B$5:$B$504,A77,MATCHER!$D$5:$D$504,C77,MATCHER!$J$5:$J$504,REGLER!$I$9&amp;" 2",MATCHER!$K$5:$K$504,"Ja")&gt;0,", "&amp;REGLER!$I$9,"")&amp;IF(COUNTIFS(MATCHER!$B$5:$B$504,A77,MATCHER!$D$5:$D$504,C77,MATCHER!$J$5:$J$504,REGLER!$I$10,MATCHER!$K$5:$K$504,"Ja")+COUNTIFS(MATCHER!$B$5:$B$504,A77,MATCHER!$D$5:$D$504,C77,MATCHER!$J$5:$J$504,REGLER!$I$10&amp;" 2",MATCHER!$K$5:$K$504,"Ja")&gt;0,", "&amp;REGLER!$I$10,"")&amp;IF(COUNTIFS(MATCHER!$B$5:$B$504,A77,MATCHER!$D$5:$D$504,C77,MATCHER!$J$5:$J$504,REGLER!$I$11,MATCHER!$K$5:$K$504,"Ja")+COUNTIFS(MATCHER!$B$5:$B$504,A77,MATCHER!$D$5:$D$504,C77,MATCHER!$J$5:$J$504,REGLER!$I$11&amp;" 2",MATCHER!$K$5:$K$504,"Ja")&gt;0,", "&amp;REGLER!$I$11,"")&amp;IF(COUNTIFS(MATCHER!$B$5:$B$504,A77,MATCHER!$D$5:$D$504,C77,MATCHER!$J$5:$J$504,REGLER!$I$12,MATCHER!$K$5:$K$504,"Ja")+COUNTIFS(MATCHER!$B$5:$B$504,A77,MATCHER!$D$5:$D$504,C77,MATCHER!$J$5:$J$504,REGLER!$I$12&amp;" 2",MATCHER!$K$5:$K$504,"Ja")&gt;0,", "&amp;REGLER!$I$12,"")&amp;IF(COUNTIFS(MATCHER!$B$5:$B$504,A77,MATCHER!$D$5:$D$504,C77,MATCHER!$J$5:$J$504,REGLER!$I$13,MATCHER!$K$5:$K$504,"Ja")+COUNTIFS(MATCHER!$B$5:$B$504,A77,MATCHER!$D$5:$D$504,C77,MATCHER!$J$5:$J$504,REGLER!$I$13&amp;" 2",MATCHER!$K$5:$K$504,"Ja")&gt;0,", "&amp;REGLER!$I$13,"")&amp;IF(COUNTIFS(MATCHER!$B$5:$B$504,A77,MATCHER!$D$5:$D$504,C77,MATCHER!$J$5:$J$504,REGLER!$I$14,MATCHER!$K$5:$K$504,"Ja")+COUNTIFS(MATCHER!$B$5:$B$504,A77,MATCHER!$D$5:$D$504,C77,MATCHER!$J$5:$J$504,REGLER!$I$14&amp;" 2",MATCHER!$K$5:$K$504,"Ja")&gt;0,", "&amp;REGLER!$I$14,"")&amp;IF(COUNTIFS(MATCHER!$B$5:$B$504,A77,MATCHER!$D$5:$D$504,C77,MATCHER!$J$5:$J$504,REGLER!$I$15,MATCHER!$K$5:$K$504,"Ja")+COUNTIFS(MATCHER!$B$5:$B$504,A77,MATCHER!$D$5:$D$504,C77,MATCHER!$J$5:$J$504,REGLER!$I$15&amp;" 2",MATCHER!$K$5:$K$504,"Ja")&gt;0,", "&amp;REGLER!$I$15,"")&amp;IF(COUNTIFS(MATCHER!$B$5:$B$504,A77,MATCHER!$D$5:$D$504,C77,MATCHER!$J$5:$J$504,REGLER!$I$16,MATCHER!$K$5:$K$504,"Ja")+COUNTIFS(MATCHER!$B$5:$B$504,A77,MATCHER!$D$5:$D$504,C77,MATCHER!$J$5:$J$504,REGLER!$I$16&amp;" 2",MATCHER!$K$5:$K$504,"Ja")&gt;0,", "&amp;REGLER!$I$16,"")&amp;IF(COUNTIFS(MATCHER!$B$5:$B$504,A77,MATCHER!$D$5:$D$504,C77,MATCHER!$J$5:$J$504,REGLER!$I$17,MATCHER!$K$5:$K$504,"Ja")+COUNTIFS(MATCHER!$B$5:$B$504,A77,MATCHER!$D$5:$D$504,C77,MATCHER!$J$5:$J$504,REGLER!$I$17&amp;" 2",MATCHER!$K$5:$K$504,"Ja")&gt;0,", "&amp;REGLER!$I$17,"")&amp;IF(COUNTIFS(MATCHER!$B$5:$B$504,A77,MATCHER!$D$5:$D$504,C77,MATCHER!$J$5:$J$504,REGLER!$I$18,MATCHER!$K$5:$K$504,"Ja")+COUNTIFS(MATCHER!$B$5:$B$504,A77,MATCHER!$D$5:$D$504,C77,MATCHER!$J$5:$J$504,REGLER!$I$18&amp;" 2",MATCHER!$K$5:$K$504,"Ja")&gt;0,", "&amp;REGLER!$I$18,"")&amp;IF(COUNTIFS(MATCHER!$B$5:$B$504,A77,MATCHER!$D$5:$D$504,C77,MATCHER!$J$5:$J$504,REGLER!$I$19,MATCHER!$K$5:$K$504,"Ja")+COUNTIFS(MATCHER!$B$5:$B$504,A77,MATCHER!$D$5:$D$504,C77,MATCHER!$J$5:$J$504,REGLER!$I$19&amp;" 2",MATCHER!$K$5:$K$504,"Ja")&gt;0,", "&amp;REGLER!$I$19,"")&amp;IF(COUNTIFS(MATCHER!$B$5:$B$504,A77,MATCHER!$D$5:$D$504,C77,MATCHER!$J$5:$J$504,REGLER!$I$20,MATCHER!$K$5:$K$504,"Ja")+COUNTIFS(MATCHER!$B$5:$B$504,A77,MATCHER!$D$5:$D$504,C77,MATCHER!$J$5:$J$504,REGLER!$I$20&amp;" 2",MATCHER!$K$5:$K$504,"Ja")&gt;0,", "&amp;REGLER!$I$20,"")&amp;IF(COUNTIFS(MATCHER!$B$5:$B$504,A77,MATCHER!$D$5:$D$504,C77,MATCHER!$J$5:$J$504,REGLER!$I$21,MATCHER!$K$5:$K$504,"Ja")+COUNTIFS(MATCHER!$B$5:$B$504,A77,MATCHER!$D$5:$D$504,C77,MATCHER!$J$5:$J$504,REGLER!$I$21&amp;" 2",MATCHER!$K$5:$K$504,"Ja")&gt;0,", "&amp;REGLER!$I$21,"")&amp;IF(COUNTIFS(MATCHER!$B$5:$B$504,A77,MATCHER!$D$5:$D$504,C77,MATCHER!$J$5:$J$504,REGLER!$I$22,MATCHER!$K$5:$K$504,"Ja")+COUNTIFS(MATCHER!$B$5:$B$504,A77,MATCHER!$D$5:$D$504,C77,MATCHER!$J$5:$J$504,REGLER!$I$22&amp;" 2",MATCHER!$K$5:$K$504,"Ja")&gt;0,", "&amp;REGLER!$I$22,"")&amp;IF(COUNTIFS(MATCHER!$B$5:$B$504,A77,MATCHER!$D$5:$D$504,C77,MATCHER!$J$5:$J$504,REGLER!$I$23,MATCHER!$K$5:$K$504,"Ja")+COUNTIFS(MATCHER!$B$5:$B$504,A77,MATCHER!$D$5:$D$504,C77,MATCHER!$J$5:$J$504,REGLER!$I$23&amp;" 2",MATCHER!$K$5:$K$504,"Ja")&gt;0,", "&amp;REGLER!$I$23,"")&amp;IF(COUNTIFS(MATCHER!$B$5:$B$504,A77,MATCHER!$D$5:$D$504,C77,MATCHER!$J$5:$J$504,REGLER!$I$24,MATCHER!$K$5:$K$504,"Ja")+COUNTIFS(MATCHER!$B$5:$B$504,A77,MATCHER!$D$5:$D$504,C77,MATCHER!$J$5:$J$504,REGLER!$I$24&amp;" 2",MATCHER!$K$5:$K$504,"Ja")&gt;0,", "&amp;REGLER!$I$24,"")&amp;IF(COUNTIFS(MATCHER!$B$5:$B$504,A77,MATCHER!$D$5:$D$504,C77,MATCHER!$J$5:$J$504,REGLER!$I$25,MATCHER!$K$5:$K$504,"Ja")+COUNTIFS(MATCHER!$B$5:$B$504,A77,MATCHER!$D$5:$D$504,C77,MATCHER!$J$5:$J$504,REGLER!$I$25&amp;" 2",MATCHER!$K$5:$K$504,"Ja")&gt;0,", "&amp;REGLER!$I$25,"")&amp;IF(COUNTIFS(MATCHER!$B$5:$B$504,A77,MATCHER!$D$5:$D$504,C77,MATCHER!$J$5:$J$504,REGLER!$I$26,MATCHER!$K$5:$K$504,"Ja")+COUNTIFS(MATCHER!$B$5:$B$504,A77,MATCHER!$D$5:$D$504,C77,MATCHER!$J$5:$J$504,REGLER!$I$26&amp;" 2",MATCHER!$K$5:$K$504,"Ja")&gt;0,", "&amp;REGLER!$I$26,""),3,1000)</f>
        <v>F10</v>
      </c>
      <c r="I77" s="46" t="s">
        <v>90</v>
      </c>
      <c r="J77" s="47" t="s">
        <v>434</v>
      </c>
      <c r="K77" s="48" t="s">
        <v>88</v>
      </c>
      <c r="L77" s="49"/>
      <c r="M77" s="50">
        <f>IF(O77&lt;&gt;O76,MAX(1,MIN(AA77,ROUNDUP(SUMPRODUCT(($O$5:$O$546=O77)*($I$5:$I$546="Ja")*($E$5:$E$546-$D$5:$D$546))*24/REGLER!$B$8,0))),"")</f>
        <v>1</v>
      </c>
      <c r="N77" s="50" t="str">
        <f t="shared" si="15"/>
        <v>Klar</v>
      </c>
      <c r="O77" s="15" t="s">
        <v>108</v>
      </c>
      <c r="P77" s="16">
        <v>0.42708333333333298</v>
      </c>
      <c r="Q77" s="16">
        <v>0.71875</v>
      </c>
      <c r="R77" s="15" t="str">
        <f>IFERROR(MATCH(1,INDEX((MATCHER!$B$5:$B$504=A77)*(MATCHER!$D$5:$D$504=C77)*(MATCHER!$K$5:$K$504="Ja")*(MATCHER!$C$5:$C$504&lt;E77)*(MATCHER!$M$5:$M$504&gt;D77),0),0),"")</f>
        <v/>
      </c>
      <c r="S77" s="15" t="str">
        <f>IF(R77="","",IFERROR(MATCH(1,INDEX((MATCHER!$B$5:$B$504=A77)*(MATCHER!$D$5:$D$504=C77)*(MATCHER!$K$5:$K$504="Ja")*(MATCHER!$C$5:$C$504&lt;E77)*(MATCHER!$M$5:$M$504&gt;D77)*(ROW(MATCHER!$A$5:$A$504)-ROW(MATCHER!$A$5)+1&gt;R77),0),0),""))</f>
        <v/>
      </c>
      <c r="T77" s="15" t="str">
        <f>IF(S77="","",IFERROR(MATCH(1,INDEX((MATCHER!$B$5:$B$504=A77)*(MATCHER!$D$5:$D$504=C77)*(MATCHER!$K$5:$K$504="Ja")*(MATCHER!$C$5:$C$504&lt;E77)*(MATCHER!$M$5:$M$504&gt;D77)*(ROW(MATCHER!$A$5:$A$504)-ROW(MATCHER!$A$5)+1&gt;S77),0),0),""))</f>
        <v/>
      </c>
      <c r="U77" s="15">
        <f t="shared" si="16"/>
        <v>1</v>
      </c>
      <c r="V77" s="15">
        <f>IF(OR(I77&lt;&gt;"Ja",J77=""),"",COUNTIFS($O$5:O77,O77,$U$5:U77,1))</f>
        <v>1</v>
      </c>
      <c r="W77" s="15" t="str">
        <f t="shared" si="17"/>
        <v>2026-10-10 | Ulriksdalshallen|1</v>
      </c>
      <c r="X77" s="16" t="str">
        <f t="shared" si="18"/>
        <v/>
      </c>
      <c r="Y77" s="15">
        <f>IF(OR(I77&lt;&gt;"Ja",J77=""),0,IF(COUNTIFS($O$5:O77,O77,$I$5:I77,"Ja",$J$5:J77,"&lt;&gt;")=1,1,0))</f>
        <v>1</v>
      </c>
      <c r="Z77" s="15">
        <f>IF(OR(I77&lt;&gt;"Ja",J77=""),0,IF(COUNTIFS(O77:$O$546,O77,I77:$I$546,"Ja",J77:$J$546,"&lt;&gt;")=1,1,0))</f>
        <v>0</v>
      </c>
      <c r="AA77" s="15">
        <f>IF(COUNTIFS(MATCHER!$B$5:$B$504,A77,MATCHER!$D$5:$D$504,C77,MATCHER!$J$5:$J$504,REGLER!$I$6,MATCHER!$K$5:$K$504,"Ja")+COUNTIFS(MATCHER!$B$5:$B$504,A77,MATCHER!$D$5:$D$504,C77,MATCHER!$J$5:$J$504,REGLER!$I$6&amp;" 2",MATCHER!$K$5:$K$504,"Ja")&gt;0,1,0)+IF(COUNTIFS(MATCHER!$B$5:$B$504,A77,MATCHER!$D$5:$D$504,C77,MATCHER!$J$5:$J$504,REGLER!$I$7,MATCHER!$K$5:$K$504,"Ja")+COUNTIFS(MATCHER!$B$5:$B$504,A77,MATCHER!$D$5:$D$504,C77,MATCHER!$J$5:$J$504,REGLER!$I$7&amp;" 2",MATCHER!$K$5:$K$504,"Ja")&gt;0,1,0)+IF(COUNTIFS(MATCHER!$B$5:$B$504,A77,MATCHER!$D$5:$D$504,C77,MATCHER!$J$5:$J$504,REGLER!$I$8,MATCHER!$K$5:$K$504,"Ja")+COUNTIFS(MATCHER!$B$5:$B$504,A77,MATCHER!$D$5:$D$504,C77,MATCHER!$J$5:$J$504,REGLER!$I$8&amp;" 2",MATCHER!$K$5:$K$504,"Ja")&gt;0,1,0)+IF(COUNTIFS(MATCHER!$B$5:$B$504,A77,MATCHER!$D$5:$D$504,C77,MATCHER!$J$5:$J$504,REGLER!$I$9,MATCHER!$K$5:$K$504,"Ja")+COUNTIFS(MATCHER!$B$5:$B$504,A77,MATCHER!$D$5:$D$504,C77,MATCHER!$J$5:$J$504,REGLER!$I$9&amp;" 2",MATCHER!$K$5:$K$504,"Ja")&gt;0,1,0)+IF(COUNTIFS(MATCHER!$B$5:$B$504,A77,MATCHER!$D$5:$D$504,C77,MATCHER!$J$5:$J$504,REGLER!$I$10,MATCHER!$K$5:$K$504,"Ja")+COUNTIFS(MATCHER!$B$5:$B$504,A77,MATCHER!$D$5:$D$504,C77,MATCHER!$J$5:$J$504,REGLER!$I$10&amp;" 2",MATCHER!$K$5:$K$504,"Ja")&gt;0,1,0)+IF(COUNTIFS(MATCHER!$B$5:$B$504,A77,MATCHER!$D$5:$D$504,C77,MATCHER!$J$5:$J$504,REGLER!$I$11,MATCHER!$K$5:$K$504,"Ja")+COUNTIFS(MATCHER!$B$5:$B$504,A77,MATCHER!$D$5:$D$504,C77,MATCHER!$J$5:$J$504,REGLER!$I$11&amp;" 2",MATCHER!$K$5:$K$504,"Ja")&gt;0,1,0)+IF(COUNTIFS(MATCHER!$B$5:$B$504,A77,MATCHER!$D$5:$D$504,C77,MATCHER!$J$5:$J$504,REGLER!$I$12,MATCHER!$K$5:$K$504,"Ja")+COUNTIFS(MATCHER!$B$5:$B$504,A77,MATCHER!$D$5:$D$504,C77,MATCHER!$J$5:$J$504,REGLER!$I$12&amp;" 2",MATCHER!$K$5:$K$504,"Ja")&gt;0,1,0)+IF(COUNTIFS(MATCHER!$B$5:$B$504,A77,MATCHER!$D$5:$D$504,C77,MATCHER!$J$5:$J$504,REGLER!$I$13,MATCHER!$K$5:$K$504,"Ja")+COUNTIFS(MATCHER!$B$5:$B$504,A77,MATCHER!$D$5:$D$504,C77,MATCHER!$J$5:$J$504,REGLER!$I$13&amp;" 2",MATCHER!$K$5:$K$504,"Ja")&gt;0,1,0)+IF(COUNTIFS(MATCHER!$B$5:$B$504,A77,MATCHER!$D$5:$D$504,C77,MATCHER!$J$5:$J$504,REGLER!$I$14,MATCHER!$K$5:$K$504,"Ja")+COUNTIFS(MATCHER!$B$5:$B$504,A77,MATCHER!$D$5:$D$504,C77,MATCHER!$J$5:$J$504,REGLER!$I$14&amp;" 2",MATCHER!$K$5:$K$504,"Ja")&gt;0,1,0)+IF(COUNTIFS(MATCHER!$B$5:$B$504,A77,MATCHER!$D$5:$D$504,C77,MATCHER!$J$5:$J$504,REGLER!$I$15,MATCHER!$K$5:$K$504,"Ja")+COUNTIFS(MATCHER!$B$5:$B$504,A77,MATCHER!$D$5:$D$504,C77,MATCHER!$J$5:$J$504,REGLER!$I$15&amp;" 2",MATCHER!$K$5:$K$504,"Ja")&gt;0,1,0)+IF(COUNTIFS(MATCHER!$B$5:$B$504,A77,MATCHER!$D$5:$D$504,C77,MATCHER!$J$5:$J$504,REGLER!$I$16,MATCHER!$K$5:$K$504,"Ja")+COUNTIFS(MATCHER!$B$5:$B$504,A77,MATCHER!$D$5:$D$504,C77,MATCHER!$J$5:$J$504,REGLER!$I$16&amp;" 2",MATCHER!$K$5:$K$504,"Ja")&gt;0,1,0)+IF(COUNTIFS(MATCHER!$B$5:$B$504,A77,MATCHER!$D$5:$D$504,C77,MATCHER!$J$5:$J$504,REGLER!$I$17,MATCHER!$K$5:$K$504,"Ja")+COUNTIFS(MATCHER!$B$5:$B$504,A77,MATCHER!$D$5:$D$504,C77,MATCHER!$J$5:$J$504,REGLER!$I$17&amp;" 2",MATCHER!$K$5:$K$504,"Ja")&gt;0,1,0)+IF(COUNTIFS(MATCHER!$B$5:$B$504,A77,MATCHER!$D$5:$D$504,C77,MATCHER!$J$5:$J$504,REGLER!$I$18,MATCHER!$K$5:$K$504,"Ja")+COUNTIFS(MATCHER!$B$5:$B$504,A77,MATCHER!$D$5:$D$504,C77,MATCHER!$J$5:$J$504,REGLER!$I$18&amp;" 2",MATCHER!$K$5:$K$504,"Ja")&gt;0,1,0)+IF(COUNTIFS(MATCHER!$B$5:$B$504,A77,MATCHER!$D$5:$D$504,C77,MATCHER!$J$5:$J$504,REGLER!$I$19,MATCHER!$K$5:$K$504,"Ja")+COUNTIFS(MATCHER!$B$5:$B$504,A77,MATCHER!$D$5:$D$504,C77,MATCHER!$J$5:$J$504,REGLER!$I$19&amp;" 2",MATCHER!$K$5:$K$504,"Ja")&gt;0,1,0)+IF(COUNTIFS(MATCHER!$B$5:$B$504,A77,MATCHER!$D$5:$D$504,C77,MATCHER!$J$5:$J$504,REGLER!$I$20,MATCHER!$K$5:$K$504,"Ja")+COUNTIFS(MATCHER!$B$5:$B$504,A77,MATCHER!$D$5:$D$504,C77,MATCHER!$J$5:$J$504,REGLER!$I$20&amp;" 2",MATCHER!$K$5:$K$504,"Ja")&gt;0,1,0)+IF(COUNTIFS(MATCHER!$B$5:$B$504,A77,MATCHER!$D$5:$D$504,C77,MATCHER!$J$5:$J$504,REGLER!$I$21,MATCHER!$K$5:$K$504,"Ja")+COUNTIFS(MATCHER!$B$5:$B$504,A77,MATCHER!$D$5:$D$504,C77,MATCHER!$J$5:$J$504,REGLER!$I$21&amp;" 2",MATCHER!$K$5:$K$504,"Ja")&gt;0,1,0)+IF(COUNTIFS(MATCHER!$B$5:$B$504,A77,MATCHER!$D$5:$D$504,C77,MATCHER!$J$5:$J$504,REGLER!$I$22,MATCHER!$K$5:$K$504,"Ja")+COUNTIFS(MATCHER!$B$5:$B$504,A77,MATCHER!$D$5:$D$504,C77,MATCHER!$J$5:$J$504,REGLER!$I$22&amp;" 2",MATCHER!$K$5:$K$504,"Ja")&gt;0,1,0)+IF(COUNTIFS(MATCHER!$B$5:$B$504,A77,MATCHER!$D$5:$D$504,C77,MATCHER!$J$5:$J$504,REGLER!$I$23,MATCHER!$K$5:$K$504,"Ja")+COUNTIFS(MATCHER!$B$5:$B$504,A77,MATCHER!$D$5:$D$504,C77,MATCHER!$J$5:$J$504,REGLER!$I$23&amp;" 2",MATCHER!$K$5:$K$504,"Ja")&gt;0,1,0)+IF(COUNTIFS(MATCHER!$B$5:$B$504,A77,MATCHER!$D$5:$D$504,C77,MATCHER!$J$5:$J$504,REGLER!$I$24,MATCHER!$K$5:$K$504,"Ja")+COUNTIFS(MATCHER!$B$5:$B$504,A77,MATCHER!$D$5:$D$504,C77,MATCHER!$J$5:$J$504,REGLER!$I$24&amp;" 2",MATCHER!$K$5:$K$504,"Ja")&gt;0,1,0)+IF(COUNTIFS(MATCHER!$B$5:$B$504,A77,MATCHER!$D$5:$D$504,C77,MATCHER!$J$5:$J$504,REGLER!$I$25,MATCHER!$K$5:$K$504,"Ja")+COUNTIFS(MATCHER!$B$5:$B$504,A77,MATCHER!$D$5:$D$504,C77,MATCHER!$J$5:$J$504,REGLER!$I$25&amp;" 2",MATCHER!$K$5:$K$504,"Ja")&gt;0,1,0)+IF(COUNTIFS(MATCHER!$B$5:$B$504,A77,MATCHER!$D$5:$D$504,C77,MATCHER!$J$5:$J$504,REGLER!$I$26,MATCHER!$K$5:$K$504,"Ja")+COUNTIFS(MATCHER!$B$5:$B$504,A77,MATCHER!$D$5:$D$504,C77,MATCHER!$J$5:$J$504,REGLER!$I$26&amp;" 2",MATCHER!$K$5:$K$504,"Ja")&gt;0,1,0)</f>
        <v>1</v>
      </c>
      <c r="AB77" s="15">
        <f>IF(U77&lt;&gt;1,"",COUNTIF($U$5:U77,1))</f>
        <v>9</v>
      </c>
      <c r="AC77" s="15" t="str">
        <f t="shared" si="19"/>
        <v/>
      </c>
      <c r="AD77" s="15" t="str">
        <f t="shared" si="20"/>
        <v>Vanligt café</v>
      </c>
      <c r="AE77" s="15">
        <f t="shared" si="21"/>
        <v>5.2500000000000018</v>
      </c>
      <c r="AF77" t="str">
        <f>IF(T77="","",IFERROR(MATCH(1,INDEX((MATCHER!$B$5:$B$504=A77)*(MATCHER!$D$5:$D$504=C77)*(MATCHER!$K$5:$K$504="Ja")*(MATCHER!$C$5:$C$504&lt;E77)*(MATCHER!$M$5:$M$504&gt;D77)*(ROW(MATCHER!$A$5:$A$504)-ROW(MATCHER!$A$5)+1&gt;T77),0),0),""))</f>
        <v/>
      </c>
    </row>
    <row r="78" spans="1:32" ht="26">
      <c r="A78" s="42">
        <v>46305</v>
      </c>
      <c r="B78" s="43" t="s">
        <v>85</v>
      </c>
      <c r="C78" s="43" t="s">
        <v>86</v>
      </c>
      <c r="D78" s="44">
        <v>0.4375</v>
      </c>
      <c r="E78" s="44">
        <v>0.45833333333333298</v>
      </c>
      <c r="F78" s="45" t="str">
        <f>IF(R78="","",HOUR(INDEX(MATCHER!$C$5:$C$504,R78))&amp;":"&amp;IF(MINUTE(INDEX(MATCHER!$C$5:$C$504,R78))&lt;10,"0","")&amp;MINUTE(INDEX(MATCHER!$C$5:$C$504,R78))&amp;" "&amp;INDEX(MATCHER!$H$5:$H$504,R78)&amp;" – "&amp;INDEX(MATCHER!$I$5:$I$504,R78))&amp;IF(S78="",""," | "&amp;HOUR(INDEX(MATCHER!$C$5:$C$504,S78))&amp;":"&amp;IF(MINUTE(INDEX(MATCHER!$C$5:$C$504,S78))&lt;10,"0","")&amp;MINUTE(INDEX(MATCHER!$C$5:$C$504,S78))&amp;" "&amp;INDEX(MATCHER!$H$5:$H$504,S78)&amp;" – "&amp;INDEX(MATCHER!$I$5:$I$504,S78))&amp;IF(T78="",""," | "&amp;HOUR(INDEX(MATCHER!$C$5:$C$504,T78))&amp;":"&amp;IF(MINUTE(INDEX(MATCHER!$C$5:$C$504,T78))&lt;10,"0","")&amp;MINUTE(INDEX(MATCHER!$C$5:$C$504,T78))&amp;" "&amp;INDEX(MATCHER!$H$5:$H$504,T78)&amp;" – "&amp;INDEX(MATCHER!$I$5:$I$504,T78))&amp;IF(AF78="",""," | "&amp;HOUR(INDEX(MATCHER!$C$5:$C$504,AF78))&amp;":"&amp;IF(MINUTE(INDEX(MATCHER!$C$5:$C$504,AF78))&lt;10,"0","")&amp;MINUTE(INDEX(MATCHER!$C$5:$C$504,AF78))&amp;" "&amp;INDEX(MATCHER!$H$5:$H$504,AF78)&amp;" – "&amp;INDEX(MATCHER!$I$5:$I$504,AF78))</f>
        <v/>
      </c>
      <c r="G78" s="45" t="str">
        <f>MID(IF(R78="","",IF(OR(INDEX(MATCHER!$J$5:$J$504,R78)=""),""," / "&amp;INDEX(MATCHER!$J$5:$J$504,R78)))&amp;IF(S78="","",IF(OR(INDEX(MATCHER!$J$5:$J$504,S78)="",INDEX(MATCHER!$J$5:$J$504,S78)=IFERROR(INDEX(MATCHER!$J$5:$J$504,R78),"")),""," / "&amp;INDEX(MATCHER!$J$5:$J$504,S78)))&amp;IF(T78="","",IF(OR(INDEX(MATCHER!$J$5:$J$504,T78)="",INDEX(MATCHER!$J$5:$J$504,T78)=IFERROR(INDEX(MATCHER!$J$5:$J$504,R78),""),INDEX(MATCHER!$J$5:$J$504,T78)=IFERROR(INDEX(MATCHER!$J$5:$J$504,S78),"")),""," / "&amp;INDEX(MATCHER!$J$5:$J$504,T78)))&amp;IF(AF78="","",IF(OR(INDEX(MATCHER!$J$5:$J$504,AF78)="",INDEX(MATCHER!$J$5:$J$504,AF78)=IFERROR(INDEX(MATCHER!$J$5:$J$504,R78),""),INDEX(MATCHER!$J$5:$J$504,AF78)=IFERROR(INDEX(MATCHER!$J$5:$J$504,S78),""),INDEX(MATCHER!$J$5:$J$504,AF78)=IFERROR(INDEX(MATCHER!$J$5:$J$504,T78),"")),""," / "&amp;INDEX(MATCHER!$J$5:$J$504,AF78))),4,1000)</f>
        <v/>
      </c>
      <c r="H78" s="45" t="str">
        <f t="shared" ref="H78:H91" si="22">H77</f>
        <v>F10</v>
      </c>
      <c r="I78" s="46" t="s">
        <v>90</v>
      </c>
      <c r="J78" s="47" t="s">
        <v>434</v>
      </c>
      <c r="K78" s="48"/>
      <c r="L78" s="49"/>
      <c r="M78" s="50" t="str">
        <f>IF(O78&lt;&gt;O77,MAX(1,MIN(AA78,ROUNDUP(SUMPRODUCT(($O$5:$O$546=O78)*($I$5:$I$546="Ja")*($E$5:$E$546-$D$5:$D$546))*24/REGLER!$B$8,0))),"")</f>
        <v/>
      </c>
      <c r="N78" s="50" t="str">
        <f t="shared" si="15"/>
        <v>Klar</v>
      </c>
      <c r="O78" s="15" t="s">
        <v>108</v>
      </c>
      <c r="P78" s="16">
        <v>0.42708333333333298</v>
      </c>
      <c r="Q78" s="16">
        <v>0.71875</v>
      </c>
      <c r="R78" s="15" t="str">
        <f>IFERROR(MATCH(1,INDEX((MATCHER!$B$5:$B$504=A78)*(MATCHER!$D$5:$D$504=C78)*(MATCHER!$K$5:$K$504="Ja")*(MATCHER!$C$5:$C$504&lt;E78)*(MATCHER!$M$5:$M$504&gt;D78),0),0),"")</f>
        <v/>
      </c>
      <c r="S78" s="15" t="str">
        <f>IF(R78="","",IFERROR(MATCH(1,INDEX((MATCHER!$B$5:$B$504=A78)*(MATCHER!$D$5:$D$504=C78)*(MATCHER!$K$5:$K$504="Ja")*(MATCHER!$C$5:$C$504&lt;E78)*(MATCHER!$M$5:$M$504&gt;D78)*(ROW(MATCHER!$A$5:$A$504)-ROW(MATCHER!$A$5)+1&gt;R78),0),0),""))</f>
        <v/>
      </c>
      <c r="T78" s="15" t="str">
        <f>IF(S78="","",IFERROR(MATCH(1,INDEX((MATCHER!$B$5:$B$504=A78)*(MATCHER!$D$5:$D$504=C78)*(MATCHER!$K$5:$K$504="Ja")*(MATCHER!$C$5:$C$504&lt;E78)*(MATCHER!$M$5:$M$504&gt;D78)*(ROW(MATCHER!$A$5:$A$504)-ROW(MATCHER!$A$5)+1&gt;S78),0),0),""))</f>
        <v/>
      </c>
      <c r="U78" s="15">
        <f t="shared" si="16"/>
        <v>0</v>
      </c>
      <c r="V78" s="15">
        <f>IF(OR(I78&lt;&gt;"Ja",J78=""),"",COUNTIFS($O$5:O78,O78,$U$5:U78,1))</f>
        <v>1</v>
      </c>
      <c r="W78" s="15" t="str">
        <f t="shared" si="17"/>
        <v>2026-10-10 | Ulriksdalshallen|1</v>
      </c>
      <c r="X78" s="16" t="str">
        <f t="shared" si="18"/>
        <v/>
      </c>
      <c r="Y78" s="15">
        <f>IF(OR(I78&lt;&gt;"Ja",J78=""),0,IF(COUNTIFS($O$5:O78,O78,$I$5:I78,"Ja",$J$5:J78,"&lt;&gt;")=1,1,0))</f>
        <v>0</v>
      </c>
      <c r="Z78" s="15">
        <f>IF(OR(I78&lt;&gt;"Ja",J78=""),0,IF(COUNTIFS(O78:$O$546,O78,I78:$I$546,"Ja",J78:$J$546,"&lt;&gt;")=1,1,0))</f>
        <v>0</v>
      </c>
      <c r="AA78" s="15">
        <f t="shared" ref="AA78:AA91" si="23">AA77</f>
        <v>1</v>
      </c>
      <c r="AB78" s="15" t="str">
        <f>IF(U78&lt;&gt;1,"",COUNTIF($U$5:U78,1))</f>
        <v/>
      </c>
      <c r="AC78" s="15" t="str">
        <f t="shared" si="19"/>
        <v/>
      </c>
      <c r="AD78" s="15" t="str">
        <f t="shared" si="20"/>
        <v>Vanligt café</v>
      </c>
      <c r="AE78" s="15" t="str">
        <f t="shared" si="21"/>
        <v/>
      </c>
      <c r="AF78" t="str">
        <f>IF(T78="","",IFERROR(MATCH(1,INDEX((MATCHER!$B$5:$B$504=A78)*(MATCHER!$D$5:$D$504=C78)*(MATCHER!$K$5:$K$504="Ja")*(MATCHER!$C$5:$C$504&lt;E78)*(MATCHER!$M$5:$M$504&gt;D78)*(ROW(MATCHER!$A$5:$A$504)-ROW(MATCHER!$A$5)+1&gt;T78),0),0),""))</f>
        <v/>
      </c>
    </row>
    <row r="79" spans="1:32" ht="26">
      <c r="A79" s="42">
        <v>46305</v>
      </c>
      <c r="B79" s="43" t="s">
        <v>85</v>
      </c>
      <c r="C79" s="43" t="s">
        <v>86</v>
      </c>
      <c r="D79" s="44">
        <v>0.45833333333333298</v>
      </c>
      <c r="E79" s="44">
        <v>0.47916666666666702</v>
      </c>
      <c r="F79" s="45" t="str">
        <f>IF(R79="","",HOUR(INDEX(MATCHER!$C$5:$C$504,R79))&amp;":"&amp;IF(MINUTE(INDEX(MATCHER!$C$5:$C$504,R79))&lt;10,"0","")&amp;MINUTE(INDEX(MATCHER!$C$5:$C$504,R79))&amp;" "&amp;INDEX(MATCHER!$H$5:$H$504,R79)&amp;" – "&amp;INDEX(MATCHER!$I$5:$I$504,R79))&amp;IF(S79="",""," | "&amp;HOUR(INDEX(MATCHER!$C$5:$C$504,S79))&amp;":"&amp;IF(MINUTE(INDEX(MATCHER!$C$5:$C$504,S79))&lt;10,"0","")&amp;MINUTE(INDEX(MATCHER!$C$5:$C$504,S79))&amp;" "&amp;INDEX(MATCHER!$H$5:$H$504,S79)&amp;" – "&amp;INDEX(MATCHER!$I$5:$I$504,S79))&amp;IF(T79="",""," | "&amp;HOUR(INDEX(MATCHER!$C$5:$C$504,T79))&amp;":"&amp;IF(MINUTE(INDEX(MATCHER!$C$5:$C$504,T79))&lt;10,"0","")&amp;MINUTE(INDEX(MATCHER!$C$5:$C$504,T79))&amp;" "&amp;INDEX(MATCHER!$H$5:$H$504,T79)&amp;" – "&amp;INDEX(MATCHER!$I$5:$I$504,T79))&amp;IF(AF79="",""," | "&amp;HOUR(INDEX(MATCHER!$C$5:$C$504,AF79))&amp;":"&amp;IF(MINUTE(INDEX(MATCHER!$C$5:$C$504,AF79))&lt;10,"0","")&amp;MINUTE(INDEX(MATCHER!$C$5:$C$504,AF79))&amp;" "&amp;INDEX(MATCHER!$H$5:$H$504,AF79)&amp;" – "&amp;INDEX(MATCHER!$I$5:$I$504,AF79))</f>
        <v>11:15 Skå IK Grön – Täby HBK F10 - 4</v>
      </c>
      <c r="G79" s="45" t="str">
        <f>MID(IF(R79="","",IF(OR(INDEX(MATCHER!$J$5:$J$504,R79)=""),""," / "&amp;INDEX(MATCHER!$J$5:$J$504,R79)))&amp;IF(S79="","",IF(OR(INDEX(MATCHER!$J$5:$J$504,S79)="",INDEX(MATCHER!$J$5:$J$504,S79)=IFERROR(INDEX(MATCHER!$J$5:$J$504,R79),"")),""," / "&amp;INDEX(MATCHER!$J$5:$J$504,S79)))&amp;IF(T79="","",IF(OR(INDEX(MATCHER!$J$5:$J$504,T79)="",INDEX(MATCHER!$J$5:$J$504,T79)=IFERROR(INDEX(MATCHER!$J$5:$J$504,R79),""),INDEX(MATCHER!$J$5:$J$504,T79)=IFERROR(INDEX(MATCHER!$J$5:$J$504,S79),"")),""," / "&amp;INDEX(MATCHER!$J$5:$J$504,T79)))&amp;IF(AF79="","",IF(OR(INDEX(MATCHER!$J$5:$J$504,AF79)="",INDEX(MATCHER!$J$5:$J$504,AF79)=IFERROR(INDEX(MATCHER!$J$5:$J$504,R79),""),INDEX(MATCHER!$J$5:$J$504,AF79)=IFERROR(INDEX(MATCHER!$J$5:$J$504,S79),""),INDEX(MATCHER!$J$5:$J$504,AF79)=IFERROR(INDEX(MATCHER!$J$5:$J$504,T79),"")),""," / "&amp;INDEX(MATCHER!$J$5:$J$504,AF79))),4,1000)</f>
        <v/>
      </c>
      <c r="H79" s="45" t="str">
        <f t="shared" si="22"/>
        <v>F10</v>
      </c>
      <c r="I79" s="46" t="s">
        <v>90</v>
      </c>
      <c r="J79" s="47" t="s">
        <v>434</v>
      </c>
      <c r="K79" s="48"/>
      <c r="L79" s="49"/>
      <c r="M79" s="50" t="str">
        <f>IF(O79&lt;&gt;O78,MAX(1,MIN(AA79,ROUNDUP(SUMPRODUCT(($O$5:$O$546=O79)*($I$5:$I$546="Ja")*($E$5:$E$546-$D$5:$D$546))*24/REGLER!$B$8,0))),"")</f>
        <v/>
      </c>
      <c r="N79" s="50" t="str">
        <f t="shared" si="15"/>
        <v>Klar</v>
      </c>
      <c r="O79" s="15" t="s">
        <v>108</v>
      </c>
      <c r="P79" s="16">
        <v>0.42708333333333298</v>
      </c>
      <c r="Q79" s="16">
        <v>0.71875</v>
      </c>
      <c r="R79" s="15">
        <f>IFERROR(MATCH(1,INDEX((MATCHER!$B$5:$B$504=A79)*(MATCHER!$D$5:$D$504=C79)*(MATCHER!$K$5:$K$504="Ja")*(MATCHER!$C$5:$C$504&lt;E79)*(MATCHER!$M$5:$M$504&gt;D79),0),0),"")</f>
        <v>21</v>
      </c>
      <c r="S79" s="15" t="str">
        <f>IF(R79="","",IFERROR(MATCH(1,INDEX((MATCHER!$B$5:$B$504=A79)*(MATCHER!$D$5:$D$504=C79)*(MATCHER!$K$5:$K$504="Ja")*(MATCHER!$C$5:$C$504&lt;E79)*(MATCHER!$M$5:$M$504&gt;D79)*(ROW(MATCHER!$A$5:$A$504)-ROW(MATCHER!$A$5)+1&gt;R79),0),0),""))</f>
        <v/>
      </c>
      <c r="T79" s="15" t="str">
        <f>IF(S79="","",IFERROR(MATCH(1,INDEX((MATCHER!$B$5:$B$504=A79)*(MATCHER!$D$5:$D$504=C79)*(MATCHER!$K$5:$K$504="Ja")*(MATCHER!$C$5:$C$504&lt;E79)*(MATCHER!$M$5:$M$504&gt;D79)*(ROW(MATCHER!$A$5:$A$504)-ROW(MATCHER!$A$5)+1&gt;S79),0),0),""))</f>
        <v/>
      </c>
      <c r="U79" s="15">
        <f t="shared" si="16"/>
        <v>0</v>
      </c>
      <c r="V79" s="15">
        <f>IF(OR(I79&lt;&gt;"Ja",J79=""),"",COUNTIFS($O$5:O79,O79,$U$5:U79,1))</f>
        <v>1</v>
      </c>
      <c r="W79" s="15" t="str">
        <f t="shared" si="17"/>
        <v>2026-10-10 | Ulriksdalshallen|1</v>
      </c>
      <c r="X79" s="16" t="str">
        <f t="shared" si="18"/>
        <v/>
      </c>
      <c r="Y79" s="15">
        <f>IF(OR(I79&lt;&gt;"Ja",J79=""),0,IF(COUNTIFS($O$5:O79,O79,$I$5:I79,"Ja",$J$5:J79,"&lt;&gt;")=1,1,0))</f>
        <v>0</v>
      </c>
      <c r="Z79" s="15">
        <f>IF(OR(I79&lt;&gt;"Ja",J79=""),0,IF(COUNTIFS(O79:$O$546,O79,I79:$I$546,"Ja",J79:$J$546,"&lt;&gt;")=1,1,0))</f>
        <v>0</v>
      </c>
      <c r="AA79" s="15">
        <f t="shared" si="23"/>
        <v>1</v>
      </c>
      <c r="AB79" s="15" t="str">
        <f>IF(U79&lt;&gt;1,"",COUNTIF($U$5:U79,1))</f>
        <v/>
      </c>
      <c r="AC79" s="15" t="str">
        <f t="shared" si="19"/>
        <v/>
      </c>
      <c r="AD79" s="15" t="str">
        <f t="shared" si="20"/>
        <v>Vanligt café</v>
      </c>
      <c r="AE79" s="15" t="str">
        <f t="shared" si="21"/>
        <v/>
      </c>
      <c r="AF79" t="str">
        <f>IF(T79="","",IFERROR(MATCH(1,INDEX((MATCHER!$B$5:$B$504=A79)*(MATCHER!$D$5:$D$504=C79)*(MATCHER!$K$5:$K$504="Ja")*(MATCHER!$C$5:$C$504&lt;E79)*(MATCHER!$M$5:$M$504&gt;D79)*(ROW(MATCHER!$A$5:$A$504)-ROW(MATCHER!$A$5)+1&gt;T79),0),0),""))</f>
        <v/>
      </c>
    </row>
    <row r="80" spans="1:32" ht="26">
      <c r="A80" s="42">
        <v>46305</v>
      </c>
      <c r="B80" s="43" t="s">
        <v>85</v>
      </c>
      <c r="C80" s="43" t="s">
        <v>86</v>
      </c>
      <c r="D80" s="44">
        <v>0.47916666666666702</v>
      </c>
      <c r="E80" s="44">
        <v>0.5</v>
      </c>
      <c r="F80" s="45" t="str">
        <f>IF(R80="","",HOUR(INDEX(MATCHER!$C$5:$C$504,R80))&amp;":"&amp;IF(MINUTE(INDEX(MATCHER!$C$5:$C$504,R80))&lt;10,"0","")&amp;MINUTE(INDEX(MATCHER!$C$5:$C$504,R80))&amp;" "&amp;INDEX(MATCHER!$H$5:$H$504,R80)&amp;" – "&amp;INDEX(MATCHER!$I$5:$I$504,R80))&amp;IF(S80="",""," | "&amp;HOUR(INDEX(MATCHER!$C$5:$C$504,S80))&amp;":"&amp;IF(MINUTE(INDEX(MATCHER!$C$5:$C$504,S80))&lt;10,"0","")&amp;MINUTE(INDEX(MATCHER!$C$5:$C$504,S80))&amp;" "&amp;INDEX(MATCHER!$H$5:$H$504,S80)&amp;" – "&amp;INDEX(MATCHER!$I$5:$I$504,S80))&amp;IF(T80="",""," | "&amp;HOUR(INDEX(MATCHER!$C$5:$C$504,T80))&amp;":"&amp;IF(MINUTE(INDEX(MATCHER!$C$5:$C$504,T80))&lt;10,"0","")&amp;MINUTE(INDEX(MATCHER!$C$5:$C$504,T80))&amp;" "&amp;INDEX(MATCHER!$H$5:$H$504,T80)&amp;" – "&amp;INDEX(MATCHER!$I$5:$I$504,T80))&amp;IF(AF80="",""," | "&amp;HOUR(INDEX(MATCHER!$C$5:$C$504,AF80))&amp;":"&amp;IF(MINUTE(INDEX(MATCHER!$C$5:$C$504,AF80))&lt;10,"0","")&amp;MINUTE(INDEX(MATCHER!$C$5:$C$504,AF80))&amp;" "&amp;INDEX(MATCHER!$H$5:$H$504,AF80)&amp;" – "&amp;INDEX(MATCHER!$I$5:$I$504,AF80))</f>
        <v>11:15 Skå IK Grön – Täby HBK F10 - 4</v>
      </c>
      <c r="G80" s="45" t="str">
        <f>MID(IF(R80="","",IF(OR(INDEX(MATCHER!$J$5:$J$504,R80)=""),""," / "&amp;INDEX(MATCHER!$J$5:$J$504,R80)))&amp;IF(S80="","",IF(OR(INDEX(MATCHER!$J$5:$J$504,S80)="",INDEX(MATCHER!$J$5:$J$504,S80)=IFERROR(INDEX(MATCHER!$J$5:$J$504,R80),"")),""," / "&amp;INDEX(MATCHER!$J$5:$J$504,S80)))&amp;IF(T80="","",IF(OR(INDEX(MATCHER!$J$5:$J$504,T80)="",INDEX(MATCHER!$J$5:$J$504,T80)=IFERROR(INDEX(MATCHER!$J$5:$J$504,R80),""),INDEX(MATCHER!$J$5:$J$504,T80)=IFERROR(INDEX(MATCHER!$J$5:$J$504,S80),"")),""," / "&amp;INDEX(MATCHER!$J$5:$J$504,T80)))&amp;IF(AF80="","",IF(OR(INDEX(MATCHER!$J$5:$J$504,AF80)="",INDEX(MATCHER!$J$5:$J$504,AF80)=IFERROR(INDEX(MATCHER!$J$5:$J$504,R80),""),INDEX(MATCHER!$J$5:$J$504,AF80)=IFERROR(INDEX(MATCHER!$J$5:$J$504,S80),""),INDEX(MATCHER!$J$5:$J$504,AF80)=IFERROR(INDEX(MATCHER!$J$5:$J$504,T80),"")),""," / "&amp;INDEX(MATCHER!$J$5:$J$504,AF80))),4,1000)</f>
        <v/>
      </c>
      <c r="H80" s="45" t="str">
        <f t="shared" si="22"/>
        <v>F10</v>
      </c>
      <c r="I80" s="46" t="s">
        <v>90</v>
      </c>
      <c r="J80" s="47" t="s">
        <v>434</v>
      </c>
      <c r="K80" s="48"/>
      <c r="L80" s="49"/>
      <c r="M80" s="50" t="str">
        <f>IF(O80&lt;&gt;O79,MAX(1,MIN(AA80,ROUNDUP(SUMPRODUCT(($O$5:$O$546=O80)*($I$5:$I$546="Ja")*($E$5:$E$546-$D$5:$D$546))*24/REGLER!$B$8,0))),"")</f>
        <v/>
      </c>
      <c r="N80" s="50" t="str">
        <f t="shared" si="15"/>
        <v>Klar</v>
      </c>
      <c r="O80" s="15" t="s">
        <v>108</v>
      </c>
      <c r="P80" s="16">
        <v>0.42708333333333298</v>
      </c>
      <c r="Q80" s="16">
        <v>0.71875</v>
      </c>
      <c r="R80" s="15">
        <f>IFERROR(MATCH(1,INDEX((MATCHER!$B$5:$B$504=A80)*(MATCHER!$D$5:$D$504=C80)*(MATCHER!$K$5:$K$504="Ja")*(MATCHER!$C$5:$C$504&lt;E80)*(MATCHER!$M$5:$M$504&gt;D80),0),0),"")</f>
        <v>21</v>
      </c>
      <c r="S80" s="15" t="str">
        <f>IF(R80="","",IFERROR(MATCH(1,INDEX((MATCHER!$B$5:$B$504=A80)*(MATCHER!$D$5:$D$504=C80)*(MATCHER!$K$5:$K$504="Ja")*(MATCHER!$C$5:$C$504&lt;E80)*(MATCHER!$M$5:$M$504&gt;D80)*(ROW(MATCHER!$A$5:$A$504)-ROW(MATCHER!$A$5)+1&gt;R80),0),0),""))</f>
        <v/>
      </c>
      <c r="T80" s="15" t="str">
        <f>IF(S80="","",IFERROR(MATCH(1,INDEX((MATCHER!$B$5:$B$504=A80)*(MATCHER!$D$5:$D$504=C80)*(MATCHER!$K$5:$K$504="Ja")*(MATCHER!$C$5:$C$504&lt;E80)*(MATCHER!$M$5:$M$504&gt;D80)*(ROW(MATCHER!$A$5:$A$504)-ROW(MATCHER!$A$5)+1&gt;S80),0),0),""))</f>
        <v/>
      </c>
      <c r="U80" s="15">
        <f t="shared" si="16"/>
        <v>0</v>
      </c>
      <c r="V80" s="15">
        <f>IF(OR(I80&lt;&gt;"Ja",J80=""),"",COUNTIFS($O$5:O80,O80,$U$5:U80,1))</f>
        <v>1</v>
      </c>
      <c r="W80" s="15" t="str">
        <f t="shared" si="17"/>
        <v>2026-10-10 | Ulriksdalshallen|1</v>
      </c>
      <c r="X80" s="16" t="str">
        <f t="shared" si="18"/>
        <v/>
      </c>
      <c r="Y80" s="15">
        <f>IF(OR(I80&lt;&gt;"Ja",J80=""),0,IF(COUNTIFS($O$5:O80,O80,$I$5:I80,"Ja",$J$5:J80,"&lt;&gt;")=1,1,0))</f>
        <v>0</v>
      </c>
      <c r="Z80" s="15">
        <f>IF(OR(I80&lt;&gt;"Ja",J80=""),0,IF(COUNTIFS(O80:$O$546,O80,I80:$I$546,"Ja",J80:$J$546,"&lt;&gt;")=1,1,0))</f>
        <v>0</v>
      </c>
      <c r="AA80" s="15">
        <f t="shared" si="23"/>
        <v>1</v>
      </c>
      <c r="AB80" s="15" t="str">
        <f>IF(U80&lt;&gt;1,"",COUNTIF($U$5:U80,1))</f>
        <v/>
      </c>
      <c r="AC80" s="15" t="str">
        <f t="shared" si="19"/>
        <v/>
      </c>
      <c r="AD80" s="15" t="str">
        <f t="shared" si="20"/>
        <v>Vanligt café</v>
      </c>
      <c r="AE80" s="15" t="str">
        <f t="shared" si="21"/>
        <v/>
      </c>
      <c r="AF80" t="str">
        <f>IF(T80="","",IFERROR(MATCH(1,INDEX((MATCHER!$B$5:$B$504=A80)*(MATCHER!$D$5:$D$504=C80)*(MATCHER!$K$5:$K$504="Ja")*(MATCHER!$C$5:$C$504&lt;E80)*(MATCHER!$M$5:$M$504&gt;D80)*(ROW(MATCHER!$A$5:$A$504)-ROW(MATCHER!$A$5)+1&gt;T80),0),0),""))</f>
        <v/>
      </c>
    </row>
    <row r="81" spans="1:32" ht="26">
      <c r="A81" s="42">
        <v>46305</v>
      </c>
      <c r="B81" s="43" t="s">
        <v>85</v>
      </c>
      <c r="C81" s="43" t="s">
        <v>86</v>
      </c>
      <c r="D81" s="44">
        <v>0.5</v>
      </c>
      <c r="E81" s="44">
        <v>0.52083333333333304</v>
      </c>
      <c r="F81" s="45" t="str">
        <f>IF(R81="","",HOUR(INDEX(MATCHER!$C$5:$C$504,R81))&amp;":"&amp;IF(MINUTE(INDEX(MATCHER!$C$5:$C$504,R81))&lt;10,"0","")&amp;MINUTE(INDEX(MATCHER!$C$5:$C$504,R81))&amp;" "&amp;INDEX(MATCHER!$H$5:$H$504,R81)&amp;" – "&amp;INDEX(MATCHER!$I$5:$I$504,R81))&amp;IF(S81="",""," | "&amp;HOUR(INDEX(MATCHER!$C$5:$C$504,S81))&amp;":"&amp;IF(MINUTE(INDEX(MATCHER!$C$5:$C$504,S81))&lt;10,"0","")&amp;MINUTE(INDEX(MATCHER!$C$5:$C$504,S81))&amp;" "&amp;INDEX(MATCHER!$H$5:$H$504,S81)&amp;" – "&amp;INDEX(MATCHER!$I$5:$I$504,S81))&amp;IF(T81="",""," | "&amp;HOUR(INDEX(MATCHER!$C$5:$C$504,T81))&amp;":"&amp;IF(MINUTE(INDEX(MATCHER!$C$5:$C$504,T81))&lt;10,"0","")&amp;MINUTE(INDEX(MATCHER!$C$5:$C$504,T81))&amp;" "&amp;INDEX(MATCHER!$H$5:$H$504,T81)&amp;" – "&amp;INDEX(MATCHER!$I$5:$I$504,T81))&amp;IF(AF81="",""," | "&amp;HOUR(INDEX(MATCHER!$C$5:$C$504,AF81))&amp;":"&amp;IF(MINUTE(INDEX(MATCHER!$C$5:$C$504,AF81))&lt;10,"0","")&amp;MINUTE(INDEX(MATCHER!$C$5:$C$504,AF81))&amp;" "&amp;INDEX(MATCHER!$H$5:$H$504,AF81)&amp;" – "&amp;INDEX(MATCHER!$I$5:$I$504,AF81))</f>
        <v>12:00 Skå IK Gul – Täby HBK F10-3</v>
      </c>
      <c r="G81" s="45" t="str">
        <f>MID(IF(R81="","",IF(OR(INDEX(MATCHER!$J$5:$J$504,R81)=""),""," / "&amp;INDEX(MATCHER!$J$5:$J$504,R81)))&amp;IF(S81="","",IF(OR(INDEX(MATCHER!$J$5:$J$504,S81)="",INDEX(MATCHER!$J$5:$J$504,S81)=IFERROR(INDEX(MATCHER!$J$5:$J$504,R81),"")),""," / "&amp;INDEX(MATCHER!$J$5:$J$504,S81)))&amp;IF(T81="","",IF(OR(INDEX(MATCHER!$J$5:$J$504,T81)="",INDEX(MATCHER!$J$5:$J$504,T81)=IFERROR(INDEX(MATCHER!$J$5:$J$504,R81),""),INDEX(MATCHER!$J$5:$J$504,T81)=IFERROR(INDEX(MATCHER!$J$5:$J$504,S81),"")),""," / "&amp;INDEX(MATCHER!$J$5:$J$504,T81)))&amp;IF(AF81="","",IF(OR(INDEX(MATCHER!$J$5:$J$504,AF81)="",INDEX(MATCHER!$J$5:$J$504,AF81)=IFERROR(INDEX(MATCHER!$J$5:$J$504,R81),""),INDEX(MATCHER!$J$5:$J$504,AF81)=IFERROR(INDEX(MATCHER!$J$5:$J$504,S81),""),INDEX(MATCHER!$J$5:$J$504,AF81)=IFERROR(INDEX(MATCHER!$J$5:$J$504,T81),"")),""," / "&amp;INDEX(MATCHER!$J$5:$J$504,AF81))),4,1000)</f>
        <v/>
      </c>
      <c r="H81" s="45" t="str">
        <f t="shared" si="22"/>
        <v>F10</v>
      </c>
      <c r="I81" s="46" t="s">
        <v>90</v>
      </c>
      <c r="J81" s="47" t="s">
        <v>434</v>
      </c>
      <c r="K81" s="48"/>
      <c r="L81" s="49"/>
      <c r="M81" s="50" t="str">
        <f>IF(O81&lt;&gt;O80,MAX(1,MIN(AA81,ROUNDUP(SUMPRODUCT(($O$5:$O$546=O81)*($I$5:$I$546="Ja")*($E$5:$E$546-$D$5:$D$546))*24/REGLER!$B$8,0))),"")</f>
        <v/>
      </c>
      <c r="N81" s="50" t="str">
        <f t="shared" si="15"/>
        <v>Klar</v>
      </c>
      <c r="O81" s="15" t="s">
        <v>108</v>
      </c>
      <c r="P81" s="16">
        <v>0.42708333333333298</v>
      </c>
      <c r="Q81" s="16">
        <v>0.71875</v>
      </c>
      <c r="R81" s="15">
        <f>IFERROR(MATCH(1,INDEX((MATCHER!$B$5:$B$504=A81)*(MATCHER!$D$5:$D$504=C81)*(MATCHER!$K$5:$K$504="Ja")*(MATCHER!$C$5:$C$504&lt;E81)*(MATCHER!$M$5:$M$504&gt;D81),0),0),"")</f>
        <v>22</v>
      </c>
      <c r="S81" s="15" t="str">
        <f>IF(R81="","",IFERROR(MATCH(1,INDEX((MATCHER!$B$5:$B$504=A81)*(MATCHER!$D$5:$D$504=C81)*(MATCHER!$K$5:$K$504="Ja")*(MATCHER!$C$5:$C$504&lt;E81)*(MATCHER!$M$5:$M$504&gt;D81)*(ROW(MATCHER!$A$5:$A$504)-ROW(MATCHER!$A$5)+1&gt;R81),0),0),""))</f>
        <v/>
      </c>
      <c r="T81" s="15" t="str">
        <f>IF(S81="","",IFERROR(MATCH(1,INDEX((MATCHER!$B$5:$B$504=A81)*(MATCHER!$D$5:$D$504=C81)*(MATCHER!$K$5:$K$504="Ja")*(MATCHER!$C$5:$C$504&lt;E81)*(MATCHER!$M$5:$M$504&gt;D81)*(ROW(MATCHER!$A$5:$A$504)-ROW(MATCHER!$A$5)+1&gt;S81),0),0),""))</f>
        <v/>
      </c>
      <c r="U81" s="15">
        <f t="shared" si="16"/>
        <v>0</v>
      </c>
      <c r="V81" s="15">
        <f>IF(OR(I81&lt;&gt;"Ja",J81=""),"",COUNTIFS($O$5:O81,O81,$U$5:U81,1))</f>
        <v>1</v>
      </c>
      <c r="W81" s="15" t="str">
        <f t="shared" si="17"/>
        <v>2026-10-10 | Ulriksdalshallen|1</v>
      </c>
      <c r="X81" s="16" t="str">
        <f t="shared" si="18"/>
        <v/>
      </c>
      <c r="Y81" s="15">
        <f>IF(OR(I81&lt;&gt;"Ja",J81=""),0,IF(COUNTIFS($O$5:O81,O81,$I$5:I81,"Ja",$J$5:J81,"&lt;&gt;")=1,1,0))</f>
        <v>0</v>
      </c>
      <c r="Z81" s="15">
        <f>IF(OR(I81&lt;&gt;"Ja",J81=""),0,IF(COUNTIFS(O81:$O$546,O81,I81:$I$546,"Ja",J81:$J$546,"&lt;&gt;")=1,1,0))</f>
        <v>0</v>
      </c>
      <c r="AA81" s="15">
        <f t="shared" si="23"/>
        <v>1</v>
      </c>
      <c r="AB81" s="15" t="str">
        <f>IF(U81&lt;&gt;1,"",COUNTIF($U$5:U81,1))</f>
        <v/>
      </c>
      <c r="AC81" s="15" t="str">
        <f t="shared" si="19"/>
        <v/>
      </c>
      <c r="AD81" s="15" t="str">
        <f t="shared" si="20"/>
        <v>Vanligt café</v>
      </c>
      <c r="AE81" s="15" t="str">
        <f t="shared" si="21"/>
        <v/>
      </c>
      <c r="AF81" t="str">
        <f>IF(T81="","",IFERROR(MATCH(1,INDEX((MATCHER!$B$5:$B$504=A81)*(MATCHER!$D$5:$D$504=C81)*(MATCHER!$K$5:$K$504="Ja")*(MATCHER!$C$5:$C$504&lt;E81)*(MATCHER!$M$5:$M$504&gt;D81)*(ROW(MATCHER!$A$5:$A$504)-ROW(MATCHER!$A$5)+1&gt;T81),0),0),""))</f>
        <v/>
      </c>
    </row>
    <row r="82" spans="1:32" ht="26">
      <c r="A82" s="42">
        <v>46305</v>
      </c>
      <c r="B82" s="43" t="s">
        <v>85</v>
      </c>
      <c r="C82" s="43" t="s">
        <v>86</v>
      </c>
      <c r="D82" s="44">
        <v>0.52083333333333304</v>
      </c>
      <c r="E82" s="44">
        <v>0.54166666666666696</v>
      </c>
      <c r="F82" s="45" t="str">
        <f>IF(R82="","",HOUR(INDEX(MATCHER!$C$5:$C$504,R82))&amp;":"&amp;IF(MINUTE(INDEX(MATCHER!$C$5:$C$504,R82))&lt;10,"0","")&amp;MINUTE(INDEX(MATCHER!$C$5:$C$504,R82))&amp;" "&amp;INDEX(MATCHER!$H$5:$H$504,R82)&amp;" – "&amp;INDEX(MATCHER!$I$5:$I$504,R82))&amp;IF(S82="",""," | "&amp;HOUR(INDEX(MATCHER!$C$5:$C$504,S82))&amp;":"&amp;IF(MINUTE(INDEX(MATCHER!$C$5:$C$504,S82))&lt;10,"0","")&amp;MINUTE(INDEX(MATCHER!$C$5:$C$504,S82))&amp;" "&amp;INDEX(MATCHER!$H$5:$H$504,S82)&amp;" – "&amp;INDEX(MATCHER!$I$5:$I$504,S82))&amp;IF(T82="",""," | "&amp;HOUR(INDEX(MATCHER!$C$5:$C$504,T82))&amp;":"&amp;IF(MINUTE(INDEX(MATCHER!$C$5:$C$504,T82))&lt;10,"0","")&amp;MINUTE(INDEX(MATCHER!$C$5:$C$504,T82))&amp;" "&amp;INDEX(MATCHER!$H$5:$H$504,T82)&amp;" – "&amp;INDEX(MATCHER!$I$5:$I$504,T82))&amp;IF(AF82="",""," | "&amp;HOUR(INDEX(MATCHER!$C$5:$C$504,AF82))&amp;":"&amp;IF(MINUTE(INDEX(MATCHER!$C$5:$C$504,AF82))&lt;10,"0","")&amp;MINUTE(INDEX(MATCHER!$C$5:$C$504,AF82))&amp;" "&amp;INDEX(MATCHER!$H$5:$H$504,AF82)&amp;" – "&amp;INDEX(MATCHER!$I$5:$I$504,AF82))</f>
        <v>12:45 AIK – Täby HBK F10 - 4</v>
      </c>
      <c r="G82" s="45" t="str">
        <f>MID(IF(R82="","",IF(OR(INDEX(MATCHER!$J$5:$J$504,R82)=""),""," / "&amp;INDEX(MATCHER!$J$5:$J$504,R82)))&amp;IF(S82="","",IF(OR(INDEX(MATCHER!$J$5:$J$504,S82)="",INDEX(MATCHER!$J$5:$J$504,S82)=IFERROR(INDEX(MATCHER!$J$5:$J$504,R82),"")),""," / "&amp;INDEX(MATCHER!$J$5:$J$504,S82)))&amp;IF(T82="","",IF(OR(INDEX(MATCHER!$J$5:$J$504,T82)="",INDEX(MATCHER!$J$5:$J$504,T82)=IFERROR(INDEX(MATCHER!$J$5:$J$504,R82),""),INDEX(MATCHER!$J$5:$J$504,T82)=IFERROR(INDEX(MATCHER!$J$5:$J$504,S82),"")),""," / "&amp;INDEX(MATCHER!$J$5:$J$504,T82)))&amp;IF(AF82="","",IF(OR(INDEX(MATCHER!$J$5:$J$504,AF82)="",INDEX(MATCHER!$J$5:$J$504,AF82)=IFERROR(INDEX(MATCHER!$J$5:$J$504,R82),""),INDEX(MATCHER!$J$5:$J$504,AF82)=IFERROR(INDEX(MATCHER!$J$5:$J$504,S82),""),INDEX(MATCHER!$J$5:$J$504,AF82)=IFERROR(INDEX(MATCHER!$J$5:$J$504,T82),"")),""," / "&amp;INDEX(MATCHER!$J$5:$J$504,AF82))),4,1000)</f>
        <v>F10</v>
      </c>
      <c r="H82" s="45" t="str">
        <f t="shared" si="22"/>
        <v>F10</v>
      </c>
      <c r="I82" s="46" t="s">
        <v>90</v>
      </c>
      <c r="J82" s="47" t="s">
        <v>434</v>
      </c>
      <c r="K82" s="48"/>
      <c r="L82" s="49"/>
      <c r="M82" s="50" t="str">
        <f>IF(O82&lt;&gt;O81,MAX(1,MIN(AA82,ROUNDUP(SUMPRODUCT(($O$5:$O$546=O82)*($I$5:$I$546="Ja")*($E$5:$E$546-$D$5:$D$546))*24/REGLER!$B$8,0))),"")</f>
        <v/>
      </c>
      <c r="N82" s="50" t="str">
        <f t="shared" si="15"/>
        <v>Klar</v>
      </c>
      <c r="O82" s="15" t="s">
        <v>108</v>
      </c>
      <c r="P82" s="16">
        <v>0.42708333333333298</v>
      </c>
      <c r="Q82" s="16">
        <v>0.71875</v>
      </c>
      <c r="R82" s="15">
        <f>IFERROR(MATCH(1,INDEX((MATCHER!$B$5:$B$504=A82)*(MATCHER!$D$5:$D$504=C82)*(MATCHER!$K$5:$K$504="Ja")*(MATCHER!$C$5:$C$504&lt;E82)*(MATCHER!$M$5:$M$504&gt;D82),0),0),"")</f>
        <v>23</v>
      </c>
      <c r="S82" s="15" t="str">
        <f>IF(R82="","",IFERROR(MATCH(1,INDEX((MATCHER!$B$5:$B$504=A82)*(MATCHER!$D$5:$D$504=C82)*(MATCHER!$K$5:$K$504="Ja")*(MATCHER!$C$5:$C$504&lt;E82)*(MATCHER!$M$5:$M$504&gt;D82)*(ROW(MATCHER!$A$5:$A$504)-ROW(MATCHER!$A$5)+1&gt;R82),0),0),""))</f>
        <v/>
      </c>
      <c r="T82" s="15" t="str">
        <f>IF(S82="","",IFERROR(MATCH(1,INDEX((MATCHER!$B$5:$B$504=A82)*(MATCHER!$D$5:$D$504=C82)*(MATCHER!$K$5:$K$504="Ja")*(MATCHER!$C$5:$C$504&lt;E82)*(MATCHER!$M$5:$M$504&gt;D82)*(ROW(MATCHER!$A$5:$A$504)-ROW(MATCHER!$A$5)+1&gt;S82),0),0),""))</f>
        <v/>
      </c>
      <c r="U82" s="15">
        <f t="shared" si="16"/>
        <v>0</v>
      </c>
      <c r="V82" s="15">
        <f>IF(OR(I82&lt;&gt;"Ja",J82=""),"",COUNTIFS($O$5:O82,O82,$U$5:U82,1))</f>
        <v>1</v>
      </c>
      <c r="W82" s="15" t="str">
        <f t="shared" si="17"/>
        <v>2026-10-10 | Ulriksdalshallen|1</v>
      </c>
      <c r="X82" s="16" t="str">
        <f t="shared" si="18"/>
        <v/>
      </c>
      <c r="Y82" s="15">
        <f>IF(OR(I82&lt;&gt;"Ja",J82=""),0,IF(COUNTIFS($O$5:O82,O82,$I$5:I82,"Ja",$J$5:J82,"&lt;&gt;")=1,1,0))</f>
        <v>0</v>
      </c>
      <c r="Z82" s="15">
        <f>IF(OR(I82&lt;&gt;"Ja",J82=""),0,IF(COUNTIFS(O82:$O$546,O82,I82:$I$546,"Ja",J82:$J$546,"&lt;&gt;")=1,1,0))</f>
        <v>0</v>
      </c>
      <c r="AA82" s="15">
        <f t="shared" si="23"/>
        <v>1</v>
      </c>
      <c r="AB82" s="15" t="str">
        <f>IF(U82&lt;&gt;1,"",COUNTIF($U$5:U82,1))</f>
        <v/>
      </c>
      <c r="AC82" s="15" t="str">
        <f t="shared" si="19"/>
        <v/>
      </c>
      <c r="AD82" s="15" t="str">
        <f t="shared" si="20"/>
        <v>Vanligt café</v>
      </c>
      <c r="AE82" s="15" t="str">
        <f t="shared" si="21"/>
        <v/>
      </c>
      <c r="AF82" t="str">
        <f>IF(T82="","",IFERROR(MATCH(1,INDEX((MATCHER!$B$5:$B$504=A82)*(MATCHER!$D$5:$D$504=C82)*(MATCHER!$K$5:$K$504="Ja")*(MATCHER!$C$5:$C$504&lt;E82)*(MATCHER!$M$5:$M$504&gt;D82)*(ROW(MATCHER!$A$5:$A$504)-ROW(MATCHER!$A$5)+1&gt;T82),0),0),""))</f>
        <v/>
      </c>
    </row>
    <row r="83" spans="1:32" ht="26">
      <c r="A83" s="42">
        <v>46305</v>
      </c>
      <c r="B83" s="43" t="s">
        <v>85</v>
      </c>
      <c r="C83" s="43" t="s">
        <v>86</v>
      </c>
      <c r="D83" s="44">
        <v>0.54166666666666696</v>
      </c>
      <c r="E83" s="44">
        <v>0.5625</v>
      </c>
      <c r="F83" s="45" t="str">
        <f>IF(R83="","",HOUR(INDEX(MATCHER!$C$5:$C$504,R83))&amp;":"&amp;IF(MINUTE(INDEX(MATCHER!$C$5:$C$504,R83))&lt;10,"0","")&amp;MINUTE(INDEX(MATCHER!$C$5:$C$504,R83))&amp;" "&amp;INDEX(MATCHER!$H$5:$H$504,R83)&amp;" – "&amp;INDEX(MATCHER!$I$5:$I$504,R83))&amp;IF(S83="",""," | "&amp;HOUR(INDEX(MATCHER!$C$5:$C$504,S83))&amp;":"&amp;IF(MINUTE(INDEX(MATCHER!$C$5:$C$504,S83))&lt;10,"0","")&amp;MINUTE(INDEX(MATCHER!$C$5:$C$504,S83))&amp;" "&amp;INDEX(MATCHER!$H$5:$H$504,S83)&amp;" – "&amp;INDEX(MATCHER!$I$5:$I$504,S83))&amp;IF(T83="",""," | "&amp;HOUR(INDEX(MATCHER!$C$5:$C$504,T83))&amp;":"&amp;IF(MINUTE(INDEX(MATCHER!$C$5:$C$504,T83))&lt;10,"0","")&amp;MINUTE(INDEX(MATCHER!$C$5:$C$504,T83))&amp;" "&amp;INDEX(MATCHER!$H$5:$H$504,T83)&amp;" – "&amp;INDEX(MATCHER!$I$5:$I$504,T83))&amp;IF(AF83="",""," | "&amp;HOUR(INDEX(MATCHER!$C$5:$C$504,AF83))&amp;":"&amp;IF(MINUTE(INDEX(MATCHER!$C$5:$C$504,AF83))&lt;10,"0","")&amp;MINUTE(INDEX(MATCHER!$C$5:$C$504,AF83))&amp;" "&amp;INDEX(MATCHER!$H$5:$H$504,AF83)&amp;" – "&amp;INDEX(MATCHER!$I$5:$I$504,AF83))</f>
        <v>12:45 AIK – Täby HBK F10 - 4</v>
      </c>
      <c r="G83" s="45" t="str">
        <f>MID(IF(R83="","",IF(OR(INDEX(MATCHER!$J$5:$J$504,R83)=""),""," / "&amp;INDEX(MATCHER!$J$5:$J$504,R83)))&amp;IF(S83="","",IF(OR(INDEX(MATCHER!$J$5:$J$504,S83)="",INDEX(MATCHER!$J$5:$J$504,S83)=IFERROR(INDEX(MATCHER!$J$5:$J$504,R83),"")),""," / "&amp;INDEX(MATCHER!$J$5:$J$504,S83)))&amp;IF(T83="","",IF(OR(INDEX(MATCHER!$J$5:$J$504,T83)="",INDEX(MATCHER!$J$5:$J$504,T83)=IFERROR(INDEX(MATCHER!$J$5:$J$504,R83),""),INDEX(MATCHER!$J$5:$J$504,T83)=IFERROR(INDEX(MATCHER!$J$5:$J$504,S83),"")),""," / "&amp;INDEX(MATCHER!$J$5:$J$504,T83)))&amp;IF(AF83="","",IF(OR(INDEX(MATCHER!$J$5:$J$504,AF83)="",INDEX(MATCHER!$J$5:$J$504,AF83)=IFERROR(INDEX(MATCHER!$J$5:$J$504,R83),""),INDEX(MATCHER!$J$5:$J$504,AF83)=IFERROR(INDEX(MATCHER!$J$5:$J$504,S83),""),INDEX(MATCHER!$J$5:$J$504,AF83)=IFERROR(INDEX(MATCHER!$J$5:$J$504,T83),"")),""," / "&amp;INDEX(MATCHER!$J$5:$J$504,AF83))),4,1000)</f>
        <v>F10</v>
      </c>
      <c r="H83" s="45" t="str">
        <f t="shared" si="22"/>
        <v>F10</v>
      </c>
      <c r="I83" s="46" t="s">
        <v>90</v>
      </c>
      <c r="J83" s="47" t="s">
        <v>434</v>
      </c>
      <c r="K83" s="48"/>
      <c r="L83" s="49"/>
      <c r="M83" s="50" t="str">
        <f>IF(O83&lt;&gt;O82,MAX(1,MIN(AA83,ROUNDUP(SUMPRODUCT(($O$5:$O$546=O83)*($I$5:$I$546="Ja")*($E$5:$E$546-$D$5:$D$546))*24/REGLER!$B$8,0))),"")</f>
        <v/>
      </c>
      <c r="N83" s="50" t="str">
        <f t="shared" si="15"/>
        <v>Klar</v>
      </c>
      <c r="O83" s="15" t="s">
        <v>108</v>
      </c>
      <c r="P83" s="16">
        <v>0.42708333333333298</v>
      </c>
      <c r="Q83" s="16">
        <v>0.71875</v>
      </c>
      <c r="R83" s="15">
        <f>IFERROR(MATCH(1,INDEX((MATCHER!$B$5:$B$504=A83)*(MATCHER!$D$5:$D$504=C83)*(MATCHER!$K$5:$K$504="Ja")*(MATCHER!$C$5:$C$504&lt;E83)*(MATCHER!$M$5:$M$504&gt;D83),0),0),"")</f>
        <v>23</v>
      </c>
      <c r="S83" s="15" t="str">
        <f>IF(R83="","",IFERROR(MATCH(1,INDEX((MATCHER!$B$5:$B$504=A83)*(MATCHER!$D$5:$D$504=C83)*(MATCHER!$K$5:$K$504="Ja")*(MATCHER!$C$5:$C$504&lt;E83)*(MATCHER!$M$5:$M$504&gt;D83)*(ROW(MATCHER!$A$5:$A$504)-ROW(MATCHER!$A$5)+1&gt;R83),0),0),""))</f>
        <v/>
      </c>
      <c r="T83" s="15" t="str">
        <f>IF(S83="","",IFERROR(MATCH(1,INDEX((MATCHER!$B$5:$B$504=A83)*(MATCHER!$D$5:$D$504=C83)*(MATCHER!$K$5:$K$504="Ja")*(MATCHER!$C$5:$C$504&lt;E83)*(MATCHER!$M$5:$M$504&gt;D83)*(ROW(MATCHER!$A$5:$A$504)-ROW(MATCHER!$A$5)+1&gt;S83),0),0),""))</f>
        <v/>
      </c>
      <c r="U83" s="15">
        <f t="shared" si="16"/>
        <v>0</v>
      </c>
      <c r="V83" s="15">
        <f>IF(OR(I83&lt;&gt;"Ja",J83=""),"",COUNTIFS($O$5:O83,O83,$U$5:U83,1))</f>
        <v>1</v>
      </c>
      <c r="W83" s="15" t="str">
        <f t="shared" si="17"/>
        <v>2026-10-10 | Ulriksdalshallen|1</v>
      </c>
      <c r="X83" s="16" t="str">
        <f t="shared" si="18"/>
        <v/>
      </c>
      <c r="Y83" s="15">
        <f>IF(OR(I83&lt;&gt;"Ja",J83=""),0,IF(COUNTIFS($O$5:O83,O83,$I$5:I83,"Ja",$J$5:J83,"&lt;&gt;")=1,1,0))</f>
        <v>0</v>
      </c>
      <c r="Z83" s="15">
        <f>IF(OR(I83&lt;&gt;"Ja",J83=""),0,IF(COUNTIFS(O83:$O$546,O83,I83:$I$546,"Ja",J83:$J$546,"&lt;&gt;")=1,1,0))</f>
        <v>0</v>
      </c>
      <c r="AA83" s="15">
        <f t="shared" si="23"/>
        <v>1</v>
      </c>
      <c r="AB83" s="15" t="str">
        <f>IF(U83&lt;&gt;1,"",COUNTIF($U$5:U83,1))</f>
        <v/>
      </c>
      <c r="AC83" s="15" t="str">
        <f t="shared" si="19"/>
        <v/>
      </c>
      <c r="AD83" s="15" t="str">
        <f t="shared" si="20"/>
        <v>Vanligt café</v>
      </c>
      <c r="AE83" s="15" t="str">
        <f t="shared" si="21"/>
        <v/>
      </c>
      <c r="AF83" t="str">
        <f>IF(T83="","",IFERROR(MATCH(1,INDEX((MATCHER!$B$5:$B$504=A83)*(MATCHER!$D$5:$D$504=C83)*(MATCHER!$K$5:$K$504="Ja")*(MATCHER!$C$5:$C$504&lt;E83)*(MATCHER!$M$5:$M$504&gt;D83)*(ROW(MATCHER!$A$5:$A$504)-ROW(MATCHER!$A$5)+1&gt;T83),0),0),""))</f>
        <v/>
      </c>
    </row>
    <row r="84" spans="1:32" ht="26">
      <c r="A84" s="42">
        <v>46305</v>
      </c>
      <c r="B84" s="43" t="s">
        <v>85</v>
      </c>
      <c r="C84" s="43" t="s">
        <v>86</v>
      </c>
      <c r="D84" s="44">
        <v>0.5625</v>
      </c>
      <c r="E84" s="44">
        <v>0.58333333333333304</v>
      </c>
      <c r="F84" s="45" t="str">
        <f>IF(R84="","",HOUR(INDEX(MATCHER!$C$5:$C$504,R84))&amp;":"&amp;IF(MINUTE(INDEX(MATCHER!$C$5:$C$504,R84))&lt;10,"0","")&amp;MINUTE(INDEX(MATCHER!$C$5:$C$504,R84))&amp;" "&amp;INDEX(MATCHER!$H$5:$H$504,R84)&amp;" – "&amp;INDEX(MATCHER!$I$5:$I$504,R84))&amp;IF(S84="",""," | "&amp;HOUR(INDEX(MATCHER!$C$5:$C$504,S84))&amp;":"&amp;IF(MINUTE(INDEX(MATCHER!$C$5:$C$504,S84))&lt;10,"0","")&amp;MINUTE(INDEX(MATCHER!$C$5:$C$504,S84))&amp;" "&amp;INDEX(MATCHER!$H$5:$H$504,S84)&amp;" – "&amp;INDEX(MATCHER!$I$5:$I$504,S84))&amp;IF(T84="",""," | "&amp;HOUR(INDEX(MATCHER!$C$5:$C$504,T84))&amp;":"&amp;IF(MINUTE(INDEX(MATCHER!$C$5:$C$504,T84))&lt;10,"0","")&amp;MINUTE(INDEX(MATCHER!$C$5:$C$504,T84))&amp;" "&amp;INDEX(MATCHER!$H$5:$H$504,T84)&amp;" – "&amp;INDEX(MATCHER!$I$5:$I$504,T84))&amp;IF(AF84="",""," | "&amp;HOUR(INDEX(MATCHER!$C$5:$C$504,AF84))&amp;":"&amp;IF(MINUTE(INDEX(MATCHER!$C$5:$C$504,AF84))&lt;10,"0","")&amp;MINUTE(INDEX(MATCHER!$C$5:$C$504,AF84))&amp;" "&amp;INDEX(MATCHER!$H$5:$H$504,AF84)&amp;" – "&amp;INDEX(MATCHER!$I$5:$I$504,AF84))</f>
        <v>13:30 Skå IK Grön – Täby HBK F10-3</v>
      </c>
      <c r="G84" s="45" t="str">
        <f>MID(IF(R84="","",IF(OR(INDEX(MATCHER!$J$5:$J$504,R84)=""),""," / "&amp;INDEX(MATCHER!$J$5:$J$504,R84)))&amp;IF(S84="","",IF(OR(INDEX(MATCHER!$J$5:$J$504,S84)="",INDEX(MATCHER!$J$5:$J$504,S84)=IFERROR(INDEX(MATCHER!$J$5:$J$504,R84),"")),""," / "&amp;INDEX(MATCHER!$J$5:$J$504,S84)))&amp;IF(T84="","",IF(OR(INDEX(MATCHER!$J$5:$J$504,T84)="",INDEX(MATCHER!$J$5:$J$504,T84)=IFERROR(INDEX(MATCHER!$J$5:$J$504,R84),""),INDEX(MATCHER!$J$5:$J$504,T84)=IFERROR(INDEX(MATCHER!$J$5:$J$504,S84),"")),""," / "&amp;INDEX(MATCHER!$J$5:$J$504,T84)))&amp;IF(AF84="","",IF(OR(INDEX(MATCHER!$J$5:$J$504,AF84)="",INDEX(MATCHER!$J$5:$J$504,AF84)=IFERROR(INDEX(MATCHER!$J$5:$J$504,R84),""),INDEX(MATCHER!$J$5:$J$504,AF84)=IFERROR(INDEX(MATCHER!$J$5:$J$504,S84),""),INDEX(MATCHER!$J$5:$J$504,AF84)=IFERROR(INDEX(MATCHER!$J$5:$J$504,T84),"")),""," / "&amp;INDEX(MATCHER!$J$5:$J$504,AF84))),4,1000)</f>
        <v/>
      </c>
      <c r="H84" s="45" t="str">
        <f t="shared" si="22"/>
        <v>F10</v>
      </c>
      <c r="I84" s="46" t="s">
        <v>90</v>
      </c>
      <c r="J84" s="47" t="s">
        <v>434</v>
      </c>
      <c r="K84" s="48"/>
      <c r="L84" s="49"/>
      <c r="M84" s="50" t="str">
        <f>IF(O84&lt;&gt;O83,MAX(1,MIN(AA84,ROUNDUP(SUMPRODUCT(($O$5:$O$546=O84)*($I$5:$I$546="Ja")*($E$5:$E$546-$D$5:$D$546))*24/REGLER!$B$8,0))),"")</f>
        <v/>
      </c>
      <c r="N84" s="50" t="str">
        <f t="shared" si="15"/>
        <v>Klar</v>
      </c>
      <c r="O84" s="15" t="s">
        <v>108</v>
      </c>
      <c r="P84" s="16">
        <v>0.42708333333333298</v>
      </c>
      <c r="Q84" s="16">
        <v>0.71875</v>
      </c>
      <c r="R84" s="15">
        <f>IFERROR(MATCH(1,INDEX((MATCHER!$B$5:$B$504=A84)*(MATCHER!$D$5:$D$504=C84)*(MATCHER!$K$5:$K$504="Ja")*(MATCHER!$C$5:$C$504&lt;E84)*(MATCHER!$M$5:$M$504&gt;D84),0),0),"")</f>
        <v>24</v>
      </c>
      <c r="S84" s="15" t="str">
        <f>IF(R84="","",IFERROR(MATCH(1,INDEX((MATCHER!$B$5:$B$504=A84)*(MATCHER!$D$5:$D$504=C84)*(MATCHER!$K$5:$K$504="Ja")*(MATCHER!$C$5:$C$504&lt;E84)*(MATCHER!$M$5:$M$504&gt;D84)*(ROW(MATCHER!$A$5:$A$504)-ROW(MATCHER!$A$5)+1&gt;R84),0),0),""))</f>
        <v/>
      </c>
      <c r="T84" s="15" t="str">
        <f>IF(S84="","",IFERROR(MATCH(1,INDEX((MATCHER!$B$5:$B$504=A84)*(MATCHER!$D$5:$D$504=C84)*(MATCHER!$K$5:$K$504="Ja")*(MATCHER!$C$5:$C$504&lt;E84)*(MATCHER!$M$5:$M$504&gt;D84)*(ROW(MATCHER!$A$5:$A$504)-ROW(MATCHER!$A$5)+1&gt;S84),0),0),""))</f>
        <v/>
      </c>
      <c r="U84" s="15">
        <f t="shared" si="16"/>
        <v>0</v>
      </c>
      <c r="V84" s="15">
        <f>IF(OR(I84&lt;&gt;"Ja",J84=""),"",COUNTIFS($O$5:O84,O84,$U$5:U84,1))</f>
        <v>1</v>
      </c>
      <c r="W84" s="15" t="str">
        <f t="shared" si="17"/>
        <v>2026-10-10 | Ulriksdalshallen|1</v>
      </c>
      <c r="X84" s="16" t="str">
        <f t="shared" si="18"/>
        <v/>
      </c>
      <c r="Y84" s="15">
        <f>IF(OR(I84&lt;&gt;"Ja",J84=""),0,IF(COUNTIFS($O$5:O84,O84,$I$5:I84,"Ja",$J$5:J84,"&lt;&gt;")=1,1,0))</f>
        <v>0</v>
      </c>
      <c r="Z84" s="15">
        <f>IF(OR(I84&lt;&gt;"Ja",J84=""),0,IF(COUNTIFS(O84:$O$546,O84,I84:$I$546,"Ja",J84:$J$546,"&lt;&gt;")=1,1,0))</f>
        <v>0</v>
      </c>
      <c r="AA84" s="15">
        <f t="shared" si="23"/>
        <v>1</v>
      </c>
      <c r="AB84" s="15" t="str">
        <f>IF(U84&lt;&gt;1,"",COUNTIF($U$5:U84,1))</f>
        <v/>
      </c>
      <c r="AC84" s="15" t="str">
        <f t="shared" si="19"/>
        <v/>
      </c>
      <c r="AD84" s="15" t="str">
        <f t="shared" si="20"/>
        <v>Vanligt café</v>
      </c>
      <c r="AE84" s="15" t="str">
        <f t="shared" si="21"/>
        <v/>
      </c>
      <c r="AF84" t="str">
        <f>IF(T84="","",IFERROR(MATCH(1,INDEX((MATCHER!$B$5:$B$504=A84)*(MATCHER!$D$5:$D$504=C84)*(MATCHER!$K$5:$K$504="Ja")*(MATCHER!$C$5:$C$504&lt;E84)*(MATCHER!$M$5:$M$504&gt;D84)*(ROW(MATCHER!$A$5:$A$504)-ROW(MATCHER!$A$5)+1&gt;T84),0),0),""))</f>
        <v/>
      </c>
    </row>
    <row r="85" spans="1:32" ht="26">
      <c r="A85" s="42">
        <v>46305</v>
      </c>
      <c r="B85" s="43" t="s">
        <v>85</v>
      </c>
      <c r="C85" s="43" t="s">
        <v>86</v>
      </c>
      <c r="D85" s="44">
        <v>0.58333333333333304</v>
      </c>
      <c r="E85" s="44">
        <v>0.60416666666666696</v>
      </c>
      <c r="F85" s="45" t="str">
        <f>IF(R85="","",HOUR(INDEX(MATCHER!$C$5:$C$504,R85))&amp;":"&amp;IF(MINUTE(INDEX(MATCHER!$C$5:$C$504,R85))&lt;10,"0","")&amp;MINUTE(INDEX(MATCHER!$C$5:$C$504,R85))&amp;" "&amp;INDEX(MATCHER!$H$5:$H$504,R85)&amp;" – "&amp;INDEX(MATCHER!$I$5:$I$504,R85))&amp;IF(S85="",""," | "&amp;HOUR(INDEX(MATCHER!$C$5:$C$504,S85))&amp;":"&amp;IF(MINUTE(INDEX(MATCHER!$C$5:$C$504,S85))&lt;10,"0","")&amp;MINUTE(INDEX(MATCHER!$C$5:$C$504,S85))&amp;" "&amp;INDEX(MATCHER!$H$5:$H$504,S85)&amp;" – "&amp;INDEX(MATCHER!$I$5:$I$504,S85))&amp;IF(T85="",""," | "&amp;HOUR(INDEX(MATCHER!$C$5:$C$504,T85))&amp;":"&amp;IF(MINUTE(INDEX(MATCHER!$C$5:$C$504,T85))&lt;10,"0","")&amp;MINUTE(INDEX(MATCHER!$C$5:$C$504,T85))&amp;" "&amp;INDEX(MATCHER!$H$5:$H$504,T85)&amp;" – "&amp;INDEX(MATCHER!$I$5:$I$504,T85))&amp;IF(AF85="",""," | "&amp;HOUR(INDEX(MATCHER!$C$5:$C$504,AF85))&amp;":"&amp;IF(MINUTE(INDEX(MATCHER!$C$5:$C$504,AF85))&lt;10,"0","")&amp;MINUTE(INDEX(MATCHER!$C$5:$C$504,AF85))&amp;" "&amp;INDEX(MATCHER!$H$5:$H$504,AF85)&amp;" – "&amp;INDEX(MATCHER!$I$5:$I$504,AF85))</f>
        <v>14:15 Skå IK Gul – AIK</v>
      </c>
      <c r="G85" s="45" t="str">
        <f>MID(IF(R85="","",IF(OR(INDEX(MATCHER!$J$5:$J$504,R85)=""),""," / "&amp;INDEX(MATCHER!$J$5:$J$504,R85)))&amp;IF(S85="","",IF(OR(INDEX(MATCHER!$J$5:$J$504,S85)="",INDEX(MATCHER!$J$5:$J$504,S85)=IFERROR(INDEX(MATCHER!$J$5:$J$504,R85),"")),""," / "&amp;INDEX(MATCHER!$J$5:$J$504,S85)))&amp;IF(T85="","",IF(OR(INDEX(MATCHER!$J$5:$J$504,T85)="",INDEX(MATCHER!$J$5:$J$504,T85)=IFERROR(INDEX(MATCHER!$J$5:$J$504,R85),""),INDEX(MATCHER!$J$5:$J$504,T85)=IFERROR(INDEX(MATCHER!$J$5:$J$504,S85),"")),""," / "&amp;INDEX(MATCHER!$J$5:$J$504,T85)))&amp;IF(AF85="","",IF(OR(INDEX(MATCHER!$J$5:$J$504,AF85)="",INDEX(MATCHER!$J$5:$J$504,AF85)=IFERROR(INDEX(MATCHER!$J$5:$J$504,R85),""),INDEX(MATCHER!$J$5:$J$504,AF85)=IFERROR(INDEX(MATCHER!$J$5:$J$504,S85),""),INDEX(MATCHER!$J$5:$J$504,AF85)=IFERROR(INDEX(MATCHER!$J$5:$J$504,T85),"")),""," / "&amp;INDEX(MATCHER!$J$5:$J$504,AF85))),4,1000)</f>
        <v>F10</v>
      </c>
      <c r="H85" s="45" t="str">
        <f t="shared" si="22"/>
        <v>F10</v>
      </c>
      <c r="I85" s="46" t="s">
        <v>90</v>
      </c>
      <c r="J85" s="47" t="s">
        <v>434</v>
      </c>
      <c r="K85" s="48"/>
      <c r="L85" s="49"/>
      <c r="M85" s="50" t="str">
        <f>IF(O85&lt;&gt;O84,MAX(1,MIN(AA85,ROUNDUP(SUMPRODUCT(($O$5:$O$546=O85)*($I$5:$I$546="Ja")*($E$5:$E$546-$D$5:$D$546))*24/REGLER!$B$8,0))),"")</f>
        <v/>
      </c>
      <c r="N85" s="50" t="str">
        <f t="shared" si="15"/>
        <v>Klar</v>
      </c>
      <c r="O85" s="15" t="s">
        <v>108</v>
      </c>
      <c r="P85" s="16">
        <v>0.42708333333333298</v>
      </c>
      <c r="Q85" s="16">
        <v>0.71875</v>
      </c>
      <c r="R85" s="15">
        <f>IFERROR(MATCH(1,INDEX((MATCHER!$B$5:$B$504=A85)*(MATCHER!$D$5:$D$504=C85)*(MATCHER!$K$5:$K$504="Ja")*(MATCHER!$C$5:$C$504&lt;E85)*(MATCHER!$M$5:$M$504&gt;D85),0),0),"")</f>
        <v>25</v>
      </c>
      <c r="S85" s="15" t="str">
        <f>IF(R85="","",IFERROR(MATCH(1,INDEX((MATCHER!$B$5:$B$504=A85)*(MATCHER!$D$5:$D$504=C85)*(MATCHER!$K$5:$K$504="Ja")*(MATCHER!$C$5:$C$504&lt;E85)*(MATCHER!$M$5:$M$504&gt;D85)*(ROW(MATCHER!$A$5:$A$504)-ROW(MATCHER!$A$5)+1&gt;R85),0),0),""))</f>
        <v/>
      </c>
      <c r="T85" s="15" t="str">
        <f>IF(S85="","",IFERROR(MATCH(1,INDEX((MATCHER!$B$5:$B$504=A85)*(MATCHER!$D$5:$D$504=C85)*(MATCHER!$K$5:$K$504="Ja")*(MATCHER!$C$5:$C$504&lt;E85)*(MATCHER!$M$5:$M$504&gt;D85)*(ROW(MATCHER!$A$5:$A$504)-ROW(MATCHER!$A$5)+1&gt;S85),0),0),""))</f>
        <v/>
      </c>
      <c r="U85" s="15">
        <f t="shared" si="16"/>
        <v>0</v>
      </c>
      <c r="V85" s="15">
        <f>IF(OR(I85&lt;&gt;"Ja",J85=""),"",COUNTIFS($O$5:O85,O85,$U$5:U85,1))</f>
        <v>1</v>
      </c>
      <c r="W85" s="15" t="str">
        <f t="shared" si="17"/>
        <v>2026-10-10 | Ulriksdalshallen|1</v>
      </c>
      <c r="X85" s="16" t="str">
        <f t="shared" si="18"/>
        <v/>
      </c>
      <c r="Y85" s="15">
        <f>IF(OR(I85&lt;&gt;"Ja",J85=""),0,IF(COUNTIFS($O$5:O85,O85,$I$5:I85,"Ja",$J$5:J85,"&lt;&gt;")=1,1,0))</f>
        <v>0</v>
      </c>
      <c r="Z85" s="15">
        <f>IF(OR(I85&lt;&gt;"Ja",J85=""),0,IF(COUNTIFS(O85:$O$546,O85,I85:$I$546,"Ja",J85:$J$546,"&lt;&gt;")=1,1,0))</f>
        <v>0</v>
      </c>
      <c r="AA85" s="15">
        <f t="shared" si="23"/>
        <v>1</v>
      </c>
      <c r="AB85" s="15" t="str">
        <f>IF(U85&lt;&gt;1,"",COUNTIF($U$5:U85,1))</f>
        <v/>
      </c>
      <c r="AC85" s="15" t="str">
        <f t="shared" si="19"/>
        <v/>
      </c>
      <c r="AD85" s="15" t="str">
        <f t="shared" si="20"/>
        <v>Vanligt café</v>
      </c>
      <c r="AE85" s="15" t="str">
        <f t="shared" si="21"/>
        <v/>
      </c>
      <c r="AF85" t="str">
        <f>IF(T85="","",IFERROR(MATCH(1,INDEX((MATCHER!$B$5:$B$504=A85)*(MATCHER!$D$5:$D$504=C85)*(MATCHER!$K$5:$K$504="Ja")*(MATCHER!$C$5:$C$504&lt;E85)*(MATCHER!$M$5:$M$504&gt;D85)*(ROW(MATCHER!$A$5:$A$504)-ROW(MATCHER!$A$5)+1&gt;T85),0),0),""))</f>
        <v/>
      </c>
    </row>
    <row r="86" spans="1:32" ht="26">
      <c r="A86" s="42">
        <v>46305</v>
      </c>
      <c r="B86" s="43" t="s">
        <v>85</v>
      </c>
      <c r="C86" s="43" t="s">
        <v>86</v>
      </c>
      <c r="D86" s="44">
        <v>0.60416666666666696</v>
      </c>
      <c r="E86" s="44">
        <v>0.625</v>
      </c>
      <c r="F86" s="45" t="str">
        <f>IF(R86="","",HOUR(INDEX(MATCHER!$C$5:$C$504,R86))&amp;":"&amp;IF(MINUTE(INDEX(MATCHER!$C$5:$C$504,R86))&lt;10,"0","")&amp;MINUTE(INDEX(MATCHER!$C$5:$C$504,R86))&amp;" "&amp;INDEX(MATCHER!$H$5:$H$504,R86)&amp;" – "&amp;INDEX(MATCHER!$I$5:$I$504,R86))&amp;IF(S86="",""," | "&amp;HOUR(INDEX(MATCHER!$C$5:$C$504,S86))&amp;":"&amp;IF(MINUTE(INDEX(MATCHER!$C$5:$C$504,S86))&lt;10,"0","")&amp;MINUTE(INDEX(MATCHER!$C$5:$C$504,S86))&amp;" "&amp;INDEX(MATCHER!$H$5:$H$504,S86)&amp;" – "&amp;INDEX(MATCHER!$I$5:$I$504,S86))&amp;IF(T86="",""," | "&amp;HOUR(INDEX(MATCHER!$C$5:$C$504,T86))&amp;":"&amp;IF(MINUTE(INDEX(MATCHER!$C$5:$C$504,T86))&lt;10,"0","")&amp;MINUTE(INDEX(MATCHER!$C$5:$C$504,T86))&amp;" "&amp;INDEX(MATCHER!$H$5:$H$504,T86)&amp;" – "&amp;INDEX(MATCHER!$I$5:$I$504,T86))&amp;IF(AF86="",""," | "&amp;HOUR(INDEX(MATCHER!$C$5:$C$504,AF86))&amp;":"&amp;IF(MINUTE(INDEX(MATCHER!$C$5:$C$504,AF86))&lt;10,"0","")&amp;MINUTE(INDEX(MATCHER!$C$5:$C$504,AF86))&amp;" "&amp;INDEX(MATCHER!$H$5:$H$504,AF86)&amp;" – "&amp;INDEX(MATCHER!$I$5:$I$504,AF86))</f>
        <v>14:15 Skå IK Gul – AIK</v>
      </c>
      <c r="G86" s="45" t="str">
        <f>MID(IF(R86="","",IF(OR(INDEX(MATCHER!$J$5:$J$504,R86)=""),""," / "&amp;INDEX(MATCHER!$J$5:$J$504,R86)))&amp;IF(S86="","",IF(OR(INDEX(MATCHER!$J$5:$J$504,S86)="",INDEX(MATCHER!$J$5:$J$504,S86)=IFERROR(INDEX(MATCHER!$J$5:$J$504,R86),"")),""," / "&amp;INDEX(MATCHER!$J$5:$J$504,S86)))&amp;IF(T86="","",IF(OR(INDEX(MATCHER!$J$5:$J$504,T86)="",INDEX(MATCHER!$J$5:$J$504,T86)=IFERROR(INDEX(MATCHER!$J$5:$J$504,R86),""),INDEX(MATCHER!$J$5:$J$504,T86)=IFERROR(INDEX(MATCHER!$J$5:$J$504,S86),"")),""," / "&amp;INDEX(MATCHER!$J$5:$J$504,T86)))&amp;IF(AF86="","",IF(OR(INDEX(MATCHER!$J$5:$J$504,AF86)="",INDEX(MATCHER!$J$5:$J$504,AF86)=IFERROR(INDEX(MATCHER!$J$5:$J$504,R86),""),INDEX(MATCHER!$J$5:$J$504,AF86)=IFERROR(INDEX(MATCHER!$J$5:$J$504,S86),""),INDEX(MATCHER!$J$5:$J$504,AF86)=IFERROR(INDEX(MATCHER!$J$5:$J$504,T86),"")),""," / "&amp;INDEX(MATCHER!$J$5:$J$504,AF86))),4,1000)</f>
        <v>F10</v>
      </c>
      <c r="H86" s="45" t="str">
        <f t="shared" si="22"/>
        <v>F10</v>
      </c>
      <c r="I86" s="46" t="s">
        <v>90</v>
      </c>
      <c r="J86" s="47" t="s">
        <v>434</v>
      </c>
      <c r="K86" s="48"/>
      <c r="L86" s="49"/>
      <c r="M86" s="50" t="str">
        <f>IF(O86&lt;&gt;O85,MAX(1,MIN(AA86,ROUNDUP(SUMPRODUCT(($O$5:$O$546=O86)*($I$5:$I$546="Ja")*($E$5:$E$546-$D$5:$D$546))*24/REGLER!$B$8,0))),"")</f>
        <v/>
      </c>
      <c r="N86" s="50" t="str">
        <f t="shared" si="15"/>
        <v>Klar</v>
      </c>
      <c r="O86" s="15" t="s">
        <v>108</v>
      </c>
      <c r="P86" s="16">
        <v>0.42708333333333298</v>
      </c>
      <c r="Q86" s="16">
        <v>0.71875</v>
      </c>
      <c r="R86" s="15">
        <f>IFERROR(MATCH(1,INDEX((MATCHER!$B$5:$B$504=A86)*(MATCHER!$D$5:$D$504=C86)*(MATCHER!$K$5:$K$504="Ja")*(MATCHER!$C$5:$C$504&lt;E86)*(MATCHER!$M$5:$M$504&gt;D86),0),0),"")</f>
        <v>25</v>
      </c>
      <c r="S86" s="15" t="str">
        <f>IF(R86="","",IFERROR(MATCH(1,INDEX((MATCHER!$B$5:$B$504=A86)*(MATCHER!$D$5:$D$504=C86)*(MATCHER!$K$5:$K$504="Ja")*(MATCHER!$C$5:$C$504&lt;E86)*(MATCHER!$M$5:$M$504&gt;D86)*(ROW(MATCHER!$A$5:$A$504)-ROW(MATCHER!$A$5)+1&gt;R86),0),0),""))</f>
        <v/>
      </c>
      <c r="T86" s="15" t="str">
        <f>IF(S86="","",IFERROR(MATCH(1,INDEX((MATCHER!$B$5:$B$504=A86)*(MATCHER!$D$5:$D$504=C86)*(MATCHER!$K$5:$K$504="Ja")*(MATCHER!$C$5:$C$504&lt;E86)*(MATCHER!$M$5:$M$504&gt;D86)*(ROW(MATCHER!$A$5:$A$504)-ROW(MATCHER!$A$5)+1&gt;S86),0),0),""))</f>
        <v/>
      </c>
      <c r="U86" s="15">
        <f t="shared" si="16"/>
        <v>0</v>
      </c>
      <c r="V86" s="15">
        <f>IF(OR(I86&lt;&gt;"Ja",J86=""),"",COUNTIFS($O$5:O86,O86,$U$5:U86,1))</f>
        <v>1</v>
      </c>
      <c r="W86" s="15" t="str">
        <f t="shared" si="17"/>
        <v>2026-10-10 | Ulriksdalshallen|1</v>
      </c>
      <c r="X86" s="16" t="str">
        <f t="shared" si="18"/>
        <v/>
      </c>
      <c r="Y86" s="15">
        <f>IF(OR(I86&lt;&gt;"Ja",J86=""),0,IF(COUNTIFS($O$5:O86,O86,$I$5:I86,"Ja",$J$5:J86,"&lt;&gt;")=1,1,0))</f>
        <v>0</v>
      </c>
      <c r="Z86" s="15">
        <f>IF(OR(I86&lt;&gt;"Ja",J86=""),0,IF(COUNTIFS(O86:$O$546,O86,I86:$I$546,"Ja",J86:$J$546,"&lt;&gt;")=1,1,0))</f>
        <v>0</v>
      </c>
      <c r="AA86" s="15">
        <f t="shared" si="23"/>
        <v>1</v>
      </c>
      <c r="AB86" s="15" t="str">
        <f>IF(U86&lt;&gt;1,"",COUNTIF($U$5:U86,1))</f>
        <v/>
      </c>
      <c r="AC86" s="15" t="str">
        <f t="shared" si="19"/>
        <v/>
      </c>
      <c r="AD86" s="15" t="str">
        <f t="shared" si="20"/>
        <v>Vanligt café</v>
      </c>
      <c r="AE86" s="15" t="str">
        <f t="shared" si="21"/>
        <v/>
      </c>
      <c r="AF86" t="str">
        <f>IF(T86="","",IFERROR(MATCH(1,INDEX((MATCHER!$B$5:$B$504=A86)*(MATCHER!$D$5:$D$504=C86)*(MATCHER!$K$5:$K$504="Ja")*(MATCHER!$C$5:$C$504&lt;E86)*(MATCHER!$M$5:$M$504&gt;D86)*(ROW(MATCHER!$A$5:$A$504)-ROW(MATCHER!$A$5)+1&gt;T86),0),0),""))</f>
        <v/>
      </c>
    </row>
    <row r="87" spans="1:32" ht="26">
      <c r="A87" s="42">
        <v>46305</v>
      </c>
      <c r="B87" s="43" t="s">
        <v>85</v>
      </c>
      <c r="C87" s="43" t="s">
        <v>86</v>
      </c>
      <c r="D87" s="44">
        <v>0.625</v>
      </c>
      <c r="E87" s="44">
        <v>0.64583333333333304</v>
      </c>
      <c r="F87" s="45" t="str">
        <f>IF(R87="","",HOUR(INDEX(MATCHER!$C$5:$C$504,R87))&amp;":"&amp;IF(MINUTE(INDEX(MATCHER!$C$5:$C$504,R87))&lt;10,"0","")&amp;MINUTE(INDEX(MATCHER!$C$5:$C$504,R87))&amp;" "&amp;INDEX(MATCHER!$H$5:$H$504,R87)&amp;" – "&amp;INDEX(MATCHER!$I$5:$I$504,R87))&amp;IF(S87="",""," | "&amp;HOUR(INDEX(MATCHER!$C$5:$C$504,S87))&amp;":"&amp;IF(MINUTE(INDEX(MATCHER!$C$5:$C$504,S87))&lt;10,"0","")&amp;MINUTE(INDEX(MATCHER!$C$5:$C$504,S87))&amp;" "&amp;INDEX(MATCHER!$H$5:$H$504,S87)&amp;" – "&amp;INDEX(MATCHER!$I$5:$I$504,S87))&amp;IF(T87="",""," | "&amp;HOUR(INDEX(MATCHER!$C$5:$C$504,T87))&amp;":"&amp;IF(MINUTE(INDEX(MATCHER!$C$5:$C$504,T87))&lt;10,"0","")&amp;MINUTE(INDEX(MATCHER!$C$5:$C$504,T87))&amp;" "&amp;INDEX(MATCHER!$H$5:$H$504,T87)&amp;" – "&amp;INDEX(MATCHER!$I$5:$I$504,T87))&amp;IF(AF87="",""," | "&amp;HOUR(INDEX(MATCHER!$C$5:$C$504,AF87))&amp;":"&amp;IF(MINUTE(INDEX(MATCHER!$C$5:$C$504,AF87))&lt;10,"0","")&amp;MINUTE(INDEX(MATCHER!$C$5:$C$504,AF87))&amp;" "&amp;INDEX(MATCHER!$H$5:$H$504,AF87)&amp;" – "&amp;INDEX(MATCHER!$I$5:$I$504,AF87))</f>
        <v/>
      </c>
      <c r="G87" s="45" t="str">
        <f>MID(IF(R87="","",IF(OR(INDEX(MATCHER!$J$5:$J$504,R87)=""),""," / "&amp;INDEX(MATCHER!$J$5:$J$504,R87)))&amp;IF(S87="","",IF(OR(INDEX(MATCHER!$J$5:$J$504,S87)="",INDEX(MATCHER!$J$5:$J$504,S87)=IFERROR(INDEX(MATCHER!$J$5:$J$504,R87),"")),""," / "&amp;INDEX(MATCHER!$J$5:$J$504,S87)))&amp;IF(T87="","",IF(OR(INDEX(MATCHER!$J$5:$J$504,T87)="",INDEX(MATCHER!$J$5:$J$504,T87)=IFERROR(INDEX(MATCHER!$J$5:$J$504,R87),""),INDEX(MATCHER!$J$5:$J$504,T87)=IFERROR(INDEX(MATCHER!$J$5:$J$504,S87),"")),""," / "&amp;INDEX(MATCHER!$J$5:$J$504,T87)))&amp;IF(AF87="","",IF(OR(INDEX(MATCHER!$J$5:$J$504,AF87)="",INDEX(MATCHER!$J$5:$J$504,AF87)=IFERROR(INDEX(MATCHER!$J$5:$J$504,R87),""),INDEX(MATCHER!$J$5:$J$504,AF87)=IFERROR(INDEX(MATCHER!$J$5:$J$504,S87),""),INDEX(MATCHER!$J$5:$J$504,AF87)=IFERROR(INDEX(MATCHER!$J$5:$J$504,T87),"")),""," / "&amp;INDEX(MATCHER!$J$5:$J$504,AF87))),4,1000)</f>
        <v/>
      </c>
      <c r="H87" s="45" t="str">
        <f t="shared" si="22"/>
        <v>F10</v>
      </c>
      <c r="I87" s="46" t="s">
        <v>90</v>
      </c>
      <c r="J87" s="47" t="s">
        <v>434</v>
      </c>
      <c r="K87" s="48"/>
      <c r="L87" s="49"/>
      <c r="M87" s="50" t="str">
        <f>IF(O87&lt;&gt;O86,MAX(1,MIN(AA87,ROUNDUP(SUMPRODUCT(($O$5:$O$546=O87)*($I$5:$I$546="Ja")*($E$5:$E$546-$D$5:$D$546))*24/REGLER!$B$8,0))),"")</f>
        <v/>
      </c>
      <c r="N87" s="50" t="str">
        <f t="shared" si="15"/>
        <v>Klar</v>
      </c>
      <c r="O87" s="15" t="s">
        <v>108</v>
      </c>
      <c r="P87" s="16">
        <v>0.42708333333333298</v>
      </c>
      <c r="Q87" s="16">
        <v>0.71875</v>
      </c>
      <c r="R87" s="15" t="str">
        <f>IFERROR(MATCH(1,INDEX((MATCHER!$B$5:$B$504=A87)*(MATCHER!$D$5:$D$504=C87)*(MATCHER!$K$5:$K$504="Ja")*(MATCHER!$C$5:$C$504&lt;E87)*(MATCHER!$M$5:$M$504&gt;D87),0),0),"")</f>
        <v/>
      </c>
      <c r="S87" s="15" t="str">
        <f>IF(R87="","",IFERROR(MATCH(1,INDEX((MATCHER!$B$5:$B$504=A87)*(MATCHER!$D$5:$D$504=C87)*(MATCHER!$K$5:$K$504="Ja")*(MATCHER!$C$5:$C$504&lt;E87)*(MATCHER!$M$5:$M$504&gt;D87)*(ROW(MATCHER!$A$5:$A$504)-ROW(MATCHER!$A$5)+1&gt;R87),0),0),""))</f>
        <v/>
      </c>
      <c r="T87" s="15" t="str">
        <f>IF(S87="","",IFERROR(MATCH(1,INDEX((MATCHER!$B$5:$B$504=A87)*(MATCHER!$D$5:$D$504=C87)*(MATCHER!$K$5:$K$504="Ja")*(MATCHER!$C$5:$C$504&lt;E87)*(MATCHER!$M$5:$M$504&gt;D87)*(ROW(MATCHER!$A$5:$A$504)-ROW(MATCHER!$A$5)+1&gt;S87),0),0),""))</f>
        <v/>
      </c>
      <c r="U87" s="15">
        <f t="shared" si="16"/>
        <v>0</v>
      </c>
      <c r="V87" s="15">
        <f>IF(OR(I87&lt;&gt;"Ja",J87=""),"",COUNTIFS($O$5:O87,O87,$U$5:U87,1))</f>
        <v>1</v>
      </c>
      <c r="W87" s="15" t="str">
        <f t="shared" si="17"/>
        <v>2026-10-10 | Ulriksdalshallen|1</v>
      </c>
      <c r="X87" s="16">
        <f t="shared" si="18"/>
        <v>0.64583333333333304</v>
      </c>
      <c r="Y87" s="15">
        <f>IF(OR(I87&lt;&gt;"Ja",J87=""),0,IF(COUNTIFS($O$5:O87,O87,$I$5:I87,"Ja",$J$5:J87,"&lt;&gt;")=1,1,0))</f>
        <v>0</v>
      </c>
      <c r="Z87" s="15">
        <f>IF(OR(I87&lt;&gt;"Ja",J87=""),0,IF(COUNTIFS(O87:$O$546,O87,I87:$I$546,"Ja",J87:$J$546,"&lt;&gt;")=1,1,0))</f>
        <v>0</v>
      </c>
      <c r="AA87" s="15">
        <f t="shared" si="23"/>
        <v>1</v>
      </c>
      <c r="AB87" s="15" t="str">
        <f>IF(U87&lt;&gt;1,"",COUNTIF($U$5:U87,1))</f>
        <v/>
      </c>
      <c r="AC87" s="15" t="str">
        <f t="shared" si="19"/>
        <v>2026-10-10 | Ulriksdalshallen|1</v>
      </c>
      <c r="AD87" s="15" t="str">
        <f t="shared" si="20"/>
        <v>Vanligt café</v>
      </c>
      <c r="AE87" s="15" t="str">
        <f t="shared" si="21"/>
        <v/>
      </c>
      <c r="AF87" t="str">
        <f>IF(T87="","",IFERROR(MATCH(1,INDEX((MATCHER!$B$5:$B$504=A87)*(MATCHER!$D$5:$D$504=C87)*(MATCHER!$K$5:$K$504="Ja")*(MATCHER!$C$5:$C$504&lt;E87)*(MATCHER!$M$5:$M$504&gt;D87)*(ROW(MATCHER!$A$5:$A$504)-ROW(MATCHER!$A$5)+1&gt;T87),0),0),""))</f>
        <v/>
      </c>
    </row>
    <row r="88" spans="1:32" ht="26">
      <c r="A88" s="42">
        <v>46305</v>
      </c>
      <c r="B88" s="43" t="s">
        <v>85</v>
      </c>
      <c r="C88" s="43" t="s">
        <v>86</v>
      </c>
      <c r="D88" s="44">
        <v>0.64583333333333304</v>
      </c>
      <c r="E88" s="44">
        <v>0.66666666666666696</v>
      </c>
      <c r="F88" s="45" t="str">
        <f>IF(R88="","",HOUR(INDEX(MATCHER!$C$5:$C$504,R88))&amp;":"&amp;IF(MINUTE(INDEX(MATCHER!$C$5:$C$504,R88))&lt;10,"0","")&amp;MINUTE(INDEX(MATCHER!$C$5:$C$504,R88))&amp;" "&amp;INDEX(MATCHER!$H$5:$H$504,R88)&amp;" – "&amp;INDEX(MATCHER!$I$5:$I$504,R88))&amp;IF(S88="",""," | "&amp;HOUR(INDEX(MATCHER!$C$5:$C$504,S88))&amp;":"&amp;IF(MINUTE(INDEX(MATCHER!$C$5:$C$504,S88))&lt;10,"0","")&amp;MINUTE(INDEX(MATCHER!$C$5:$C$504,S88))&amp;" "&amp;INDEX(MATCHER!$H$5:$H$504,S88)&amp;" – "&amp;INDEX(MATCHER!$I$5:$I$504,S88))&amp;IF(T88="",""," | "&amp;HOUR(INDEX(MATCHER!$C$5:$C$504,T88))&amp;":"&amp;IF(MINUTE(INDEX(MATCHER!$C$5:$C$504,T88))&lt;10,"0","")&amp;MINUTE(INDEX(MATCHER!$C$5:$C$504,T88))&amp;" "&amp;INDEX(MATCHER!$H$5:$H$504,T88)&amp;" – "&amp;INDEX(MATCHER!$I$5:$I$504,T88))&amp;IF(AF88="",""," | "&amp;HOUR(INDEX(MATCHER!$C$5:$C$504,AF88))&amp;":"&amp;IF(MINUTE(INDEX(MATCHER!$C$5:$C$504,AF88))&lt;10,"0","")&amp;MINUTE(INDEX(MATCHER!$C$5:$C$504,AF88))&amp;" "&amp;INDEX(MATCHER!$H$5:$H$504,AF88)&amp;" – "&amp;INDEX(MATCHER!$I$5:$I$504,AF88))</f>
        <v/>
      </c>
      <c r="G88" s="45" t="str">
        <f>MID(IF(R88="","",IF(OR(INDEX(MATCHER!$J$5:$J$504,R88)=""),""," / "&amp;INDEX(MATCHER!$J$5:$J$504,R88)))&amp;IF(S88="","",IF(OR(INDEX(MATCHER!$J$5:$J$504,S88)="",INDEX(MATCHER!$J$5:$J$504,S88)=IFERROR(INDEX(MATCHER!$J$5:$J$504,R88),"")),""," / "&amp;INDEX(MATCHER!$J$5:$J$504,S88)))&amp;IF(T88="","",IF(OR(INDEX(MATCHER!$J$5:$J$504,T88)="",INDEX(MATCHER!$J$5:$J$504,T88)=IFERROR(INDEX(MATCHER!$J$5:$J$504,R88),""),INDEX(MATCHER!$J$5:$J$504,T88)=IFERROR(INDEX(MATCHER!$J$5:$J$504,S88),"")),""," / "&amp;INDEX(MATCHER!$J$5:$J$504,T88)))&amp;IF(AF88="","",IF(OR(INDEX(MATCHER!$J$5:$J$504,AF88)="",INDEX(MATCHER!$J$5:$J$504,AF88)=IFERROR(INDEX(MATCHER!$J$5:$J$504,R88),""),INDEX(MATCHER!$J$5:$J$504,AF88)=IFERROR(INDEX(MATCHER!$J$5:$J$504,S88),""),INDEX(MATCHER!$J$5:$J$504,AF88)=IFERROR(INDEX(MATCHER!$J$5:$J$504,T88),"")),""," / "&amp;INDEX(MATCHER!$J$5:$J$504,AF88))),4,1000)</f>
        <v/>
      </c>
      <c r="H88" s="45" t="str">
        <f t="shared" si="22"/>
        <v>F10</v>
      </c>
      <c r="I88" s="46" t="s">
        <v>90</v>
      </c>
      <c r="J88" s="47" t="s">
        <v>117</v>
      </c>
      <c r="K88" s="48"/>
      <c r="L88" s="157" t="s">
        <v>861</v>
      </c>
      <c r="M88" s="50" t="str">
        <f>IF(O88&lt;&gt;O87,MAX(1,MIN(AA88,ROUNDUP(SUMPRODUCT(($O$5:$O$546=O88)*($I$5:$I$546="Ja")*($E$5:$E$546-$D$5:$D$546))*24/REGLER!$B$8,0))),"")</f>
        <v/>
      </c>
      <c r="N88" s="50" t="str">
        <f t="shared" si="15"/>
        <v>Kontrollera lag</v>
      </c>
      <c r="O88" s="15" t="s">
        <v>108</v>
      </c>
      <c r="P88" s="16">
        <v>0.42708333333333298</v>
      </c>
      <c r="Q88" s="16">
        <v>0.71875</v>
      </c>
      <c r="R88" s="15" t="str">
        <f>IFERROR(MATCH(1,INDEX((MATCHER!$B$5:$B$504=A88)*(MATCHER!$D$5:$D$504=C88)*(MATCHER!$K$5:$K$504="Ja")*(MATCHER!$C$5:$C$504&lt;E88)*(MATCHER!$M$5:$M$504&gt;D88),0),0),"")</f>
        <v/>
      </c>
      <c r="S88" s="15" t="str">
        <f>IF(R88="","",IFERROR(MATCH(1,INDEX((MATCHER!$B$5:$B$504=A88)*(MATCHER!$D$5:$D$504=C88)*(MATCHER!$K$5:$K$504="Ja")*(MATCHER!$C$5:$C$504&lt;E88)*(MATCHER!$M$5:$M$504&gt;D88)*(ROW(MATCHER!$A$5:$A$504)-ROW(MATCHER!$A$5)+1&gt;R88),0),0),""))</f>
        <v/>
      </c>
      <c r="T88" s="15" t="str">
        <f>IF(S88="","",IFERROR(MATCH(1,INDEX((MATCHER!$B$5:$B$504=A88)*(MATCHER!$D$5:$D$504=C88)*(MATCHER!$K$5:$K$504="Ja")*(MATCHER!$C$5:$C$504&lt;E88)*(MATCHER!$M$5:$M$504&gt;D88)*(ROW(MATCHER!$A$5:$A$504)-ROW(MATCHER!$A$5)+1&gt;S88),0),0),""))</f>
        <v/>
      </c>
      <c r="U88" s="15">
        <f t="shared" si="16"/>
        <v>1</v>
      </c>
      <c r="V88" s="15">
        <f>IF(OR(I88&lt;&gt;"Ja",J88=""),"",COUNTIFS($O$5:O88,O88,$U$5:U88,1))</f>
        <v>2</v>
      </c>
      <c r="W88" s="15" t="str">
        <f t="shared" si="17"/>
        <v>2026-10-10 | Ulriksdalshallen|2</v>
      </c>
      <c r="X88" s="16" t="str">
        <f t="shared" si="18"/>
        <v/>
      </c>
      <c r="Y88" s="15">
        <f>IF(OR(I88&lt;&gt;"Ja",J88=""),0,IF(COUNTIFS($O$5:O88,O88,$I$5:I88,"Ja",$J$5:J88,"&lt;&gt;")=1,1,0))</f>
        <v>0</v>
      </c>
      <c r="Z88" s="15">
        <f>IF(OR(I88&lt;&gt;"Ja",J88=""),0,IF(COUNTIFS(O88:$O$546,O88,I88:$I$546,"Ja",J88:$J$546,"&lt;&gt;")=1,1,0))</f>
        <v>0</v>
      </c>
      <c r="AA88" s="15">
        <f t="shared" si="23"/>
        <v>1</v>
      </c>
      <c r="AB88" s="15">
        <f>IF(U88&lt;&gt;1,"",COUNTIF($U$5:U88,1))</f>
        <v>10</v>
      </c>
      <c r="AC88" s="15" t="str">
        <f t="shared" si="19"/>
        <v/>
      </c>
      <c r="AD88" s="15" t="str">
        <f t="shared" si="20"/>
        <v>Vanligt café</v>
      </c>
      <c r="AE88" s="15">
        <f t="shared" si="21"/>
        <v>1.7500000000000071</v>
      </c>
      <c r="AF88" t="str">
        <f>IF(T88="","",IFERROR(MATCH(1,INDEX((MATCHER!$B$5:$B$504=A88)*(MATCHER!$D$5:$D$504=C88)*(MATCHER!$K$5:$K$504="Ja")*(MATCHER!$C$5:$C$504&lt;E88)*(MATCHER!$M$5:$M$504&gt;D88)*(ROW(MATCHER!$A$5:$A$504)-ROW(MATCHER!$A$5)+1&gt;T88),0),0),""))</f>
        <v/>
      </c>
    </row>
    <row r="89" spans="1:32" ht="26">
      <c r="A89" s="42">
        <v>46305</v>
      </c>
      <c r="B89" s="43" t="s">
        <v>85</v>
      </c>
      <c r="C89" s="43" t="s">
        <v>86</v>
      </c>
      <c r="D89" s="44">
        <v>0.66666666666666696</v>
      </c>
      <c r="E89" s="44">
        <v>0.6875</v>
      </c>
      <c r="F89" s="45" t="str">
        <f>IF(R89="","",HOUR(INDEX(MATCHER!$C$5:$C$504,R89))&amp;":"&amp;IF(MINUTE(INDEX(MATCHER!$C$5:$C$504,R89))&lt;10,"0","")&amp;MINUTE(INDEX(MATCHER!$C$5:$C$504,R89))&amp;" "&amp;INDEX(MATCHER!$H$5:$H$504,R89)&amp;" – "&amp;INDEX(MATCHER!$I$5:$I$504,R89))&amp;IF(S89="",""," | "&amp;HOUR(INDEX(MATCHER!$C$5:$C$504,S89))&amp;":"&amp;IF(MINUTE(INDEX(MATCHER!$C$5:$C$504,S89))&lt;10,"0","")&amp;MINUTE(INDEX(MATCHER!$C$5:$C$504,S89))&amp;" "&amp;INDEX(MATCHER!$H$5:$H$504,S89)&amp;" – "&amp;INDEX(MATCHER!$I$5:$I$504,S89))&amp;IF(T89="",""," | "&amp;HOUR(INDEX(MATCHER!$C$5:$C$504,T89))&amp;":"&amp;IF(MINUTE(INDEX(MATCHER!$C$5:$C$504,T89))&lt;10,"0","")&amp;MINUTE(INDEX(MATCHER!$C$5:$C$504,T89))&amp;" "&amp;INDEX(MATCHER!$H$5:$H$504,T89)&amp;" – "&amp;INDEX(MATCHER!$I$5:$I$504,T89))&amp;IF(AF89="",""," | "&amp;HOUR(INDEX(MATCHER!$C$5:$C$504,AF89))&amp;":"&amp;IF(MINUTE(INDEX(MATCHER!$C$5:$C$504,AF89))&lt;10,"0","")&amp;MINUTE(INDEX(MATCHER!$C$5:$C$504,AF89))&amp;" "&amp;INDEX(MATCHER!$H$5:$H$504,AF89)&amp;" – "&amp;INDEX(MATCHER!$I$5:$I$504,AF89))</f>
        <v>16:15 Uppsala HK Eriksberg – Hammarby IF HF 2</v>
      </c>
      <c r="G89" s="45" t="str">
        <f>MID(IF(R89="","",IF(OR(INDEX(MATCHER!$J$5:$J$504,R89)=""),""," / "&amp;INDEX(MATCHER!$J$5:$J$504,R89)))&amp;IF(S89="","",IF(OR(INDEX(MATCHER!$J$5:$J$504,S89)="",INDEX(MATCHER!$J$5:$J$504,S89)=IFERROR(INDEX(MATCHER!$J$5:$J$504,R89),"")),""," / "&amp;INDEX(MATCHER!$J$5:$J$504,S89)))&amp;IF(T89="","",IF(OR(INDEX(MATCHER!$J$5:$J$504,T89)="",INDEX(MATCHER!$J$5:$J$504,T89)=IFERROR(INDEX(MATCHER!$J$5:$J$504,R89),""),INDEX(MATCHER!$J$5:$J$504,T89)=IFERROR(INDEX(MATCHER!$J$5:$J$504,S89),"")),""," / "&amp;INDEX(MATCHER!$J$5:$J$504,T89)))&amp;IF(AF89="","",IF(OR(INDEX(MATCHER!$J$5:$J$504,AF89)="",INDEX(MATCHER!$J$5:$J$504,AF89)=IFERROR(INDEX(MATCHER!$J$5:$J$504,R89),""),INDEX(MATCHER!$J$5:$J$504,AF89)=IFERROR(INDEX(MATCHER!$J$5:$J$504,S89),""),INDEX(MATCHER!$J$5:$J$504,AF89)=IFERROR(INDEX(MATCHER!$J$5:$J$504,T89),"")),""," / "&amp;INDEX(MATCHER!$J$5:$J$504,AF89))),4,1000)</f>
        <v/>
      </c>
      <c r="H89" s="45" t="str">
        <f t="shared" si="22"/>
        <v>F10</v>
      </c>
      <c r="I89" s="46" t="s">
        <v>90</v>
      </c>
      <c r="J89" s="47" t="s">
        <v>117</v>
      </c>
      <c r="K89" s="48"/>
      <c r="L89" s="71"/>
      <c r="M89" s="50" t="str">
        <f>IF(O89&lt;&gt;O88,MAX(1,MIN(AA89,ROUNDUP(SUMPRODUCT(($O$5:$O$546=O89)*($I$5:$I$546="Ja")*($E$5:$E$546-$D$5:$D$546))*24/REGLER!$B$8,0))),"")</f>
        <v/>
      </c>
      <c r="N89" s="50" t="str">
        <f t="shared" si="15"/>
        <v>Kontrollera lag</v>
      </c>
      <c r="O89" s="15" t="s">
        <v>108</v>
      </c>
      <c r="P89" s="16">
        <v>0.42708333333333298</v>
      </c>
      <c r="Q89" s="16">
        <v>0.71875</v>
      </c>
      <c r="R89" s="15">
        <f>IFERROR(MATCH(1,INDEX((MATCHER!$B$5:$B$504=A89)*(MATCHER!$D$5:$D$504=C89)*(MATCHER!$K$5:$K$504="Ja")*(MATCHER!$C$5:$C$504&lt;E89)*(MATCHER!$M$5:$M$504&gt;D89),0),0),"")</f>
        <v>26</v>
      </c>
      <c r="S89" s="15" t="str">
        <f>IF(R89="","",IFERROR(MATCH(1,INDEX((MATCHER!$B$5:$B$504=A89)*(MATCHER!$D$5:$D$504=C89)*(MATCHER!$K$5:$K$504="Ja")*(MATCHER!$C$5:$C$504&lt;E89)*(MATCHER!$M$5:$M$504&gt;D89)*(ROW(MATCHER!$A$5:$A$504)-ROW(MATCHER!$A$5)+1&gt;R89),0),0),""))</f>
        <v/>
      </c>
      <c r="T89" s="15" t="str">
        <f>IF(S89="","",IFERROR(MATCH(1,INDEX((MATCHER!$B$5:$B$504=A89)*(MATCHER!$D$5:$D$504=C89)*(MATCHER!$K$5:$K$504="Ja")*(MATCHER!$C$5:$C$504&lt;E89)*(MATCHER!$M$5:$M$504&gt;D89)*(ROW(MATCHER!$A$5:$A$504)-ROW(MATCHER!$A$5)+1&gt;S89),0),0),""))</f>
        <v/>
      </c>
      <c r="U89" s="15">
        <f t="shared" si="16"/>
        <v>0</v>
      </c>
      <c r="V89" s="15">
        <f>IF(OR(I89&lt;&gt;"Ja",J89=""),"",COUNTIFS($O$5:O89,O89,$U$5:U89,1))</f>
        <v>2</v>
      </c>
      <c r="W89" s="15" t="str">
        <f t="shared" si="17"/>
        <v>2026-10-10 | Ulriksdalshallen|2</v>
      </c>
      <c r="X89" s="16" t="str">
        <f t="shared" si="18"/>
        <v/>
      </c>
      <c r="Y89" s="15">
        <f>IF(OR(I89&lt;&gt;"Ja",J89=""),0,IF(COUNTIFS($O$5:O89,O89,$I$5:I89,"Ja",$J$5:J89,"&lt;&gt;")=1,1,0))</f>
        <v>0</v>
      </c>
      <c r="Z89" s="15">
        <f>IF(OR(I89&lt;&gt;"Ja",J89=""),0,IF(COUNTIFS(O89:$O$546,O89,I89:$I$546,"Ja",J89:$J$546,"&lt;&gt;")=1,1,0))</f>
        <v>0</v>
      </c>
      <c r="AA89" s="15">
        <f t="shared" si="23"/>
        <v>1</v>
      </c>
      <c r="AB89" s="15" t="str">
        <f>IF(U89&lt;&gt;1,"",COUNTIF($U$5:U89,1))</f>
        <v/>
      </c>
      <c r="AC89" s="15" t="str">
        <f t="shared" si="19"/>
        <v/>
      </c>
      <c r="AD89" s="15" t="str">
        <f t="shared" si="20"/>
        <v>Vanligt café</v>
      </c>
      <c r="AE89" s="15" t="str">
        <f t="shared" si="21"/>
        <v/>
      </c>
      <c r="AF89" t="str">
        <f>IF(T89="","",IFERROR(MATCH(1,INDEX((MATCHER!$B$5:$B$504=A89)*(MATCHER!$D$5:$D$504=C89)*(MATCHER!$K$5:$K$504="Ja")*(MATCHER!$C$5:$C$504&lt;E89)*(MATCHER!$M$5:$M$504&gt;D89)*(ROW(MATCHER!$A$5:$A$504)-ROW(MATCHER!$A$5)+1&gt;T89),0),0),""))</f>
        <v/>
      </c>
    </row>
    <row r="90" spans="1:32" ht="26">
      <c r="A90" s="42">
        <v>46305</v>
      </c>
      <c r="B90" s="43" t="s">
        <v>85</v>
      </c>
      <c r="C90" s="43" t="s">
        <v>86</v>
      </c>
      <c r="D90" s="44">
        <v>0.6875</v>
      </c>
      <c r="E90" s="44">
        <v>0.70833333333333304</v>
      </c>
      <c r="F90" s="45" t="str">
        <f>IF(R90="","",HOUR(INDEX(MATCHER!$C$5:$C$504,R90))&amp;":"&amp;IF(MINUTE(INDEX(MATCHER!$C$5:$C$504,R90))&lt;10,"0","")&amp;MINUTE(INDEX(MATCHER!$C$5:$C$504,R90))&amp;" "&amp;INDEX(MATCHER!$H$5:$H$504,R90)&amp;" – "&amp;INDEX(MATCHER!$I$5:$I$504,R90))&amp;IF(S90="",""," | "&amp;HOUR(INDEX(MATCHER!$C$5:$C$504,S90))&amp;":"&amp;IF(MINUTE(INDEX(MATCHER!$C$5:$C$504,S90))&lt;10,"0","")&amp;MINUTE(INDEX(MATCHER!$C$5:$C$504,S90))&amp;" "&amp;INDEX(MATCHER!$H$5:$H$504,S90)&amp;" – "&amp;INDEX(MATCHER!$I$5:$I$504,S90))&amp;IF(T90="",""," | "&amp;HOUR(INDEX(MATCHER!$C$5:$C$504,T90))&amp;":"&amp;IF(MINUTE(INDEX(MATCHER!$C$5:$C$504,T90))&lt;10,"0","")&amp;MINUTE(INDEX(MATCHER!$C$5:$C$504,T90))&amp;" "&amp;INDEX(MATCHER!$H$5:$H$504,T90)&amp;" – "&amp;INDEX(MATCHER!$I$5:$I$504,T90))&amp;IF(AF90="",""," | "&amp;HOUR(INDEX(MATCHER!$C$5:$C$504,AF90))&amp;":"&amp;IF(MINUTE(INDEX(MATCHER!$C$5:$C$504,AF90))&lt;10,"0","")&amp;MINUTE(INDEX(MATCHER!$C$5:$C$504,AF90))&amp;" "&amp;INDEX(MATCHER!$H$5:$H$504,AF90)&amp;" – "&amp;INDEX(MATCHER!$I$5:$I$504,AF90))</f>
        <v>16:15 Uppsala HK Eriksberg – Hammarby IF HF 2</v>
      </c>
      <c r="G90" s="45" t="str">
        <f>MID(IF(R90="","",IF(OR(INDEX(MATCHER!$J$5:$J$504,R90)=""),""," / "&amp;INDEX(MATCHER!$J$5:$J$504,R90)))&amp;IF(S90="","",IF(OR(INDEX(MATCHER!$J$5:$J$504,S90)="",INDEX(MATCHER!$J$5:$J$504,S90)=IFERROR(INDEX(MATCHER!$J$5:$J$504,R90),"")),""," / "&amp;INDEX(MATCHER!$J$5:$J$504,S90)))&amp;IF(T90="","",IF(OR(INDEX(MATCHER!$J$5:$J$504,T90)="",INDEX(MATCHER!$J$5:$J$504,T90)=IFERROR(INDEX(MATCHER!$J$5:$J$504,R90),""),INDEX(MATCHER!$J$5:$J$504,T90)=IFERROR(INDEX(MATCHER!$J$5:$J$504,S90),"")),""," / "&amp;INDEX(MATCHER!$J$5:$J$504,T90)))&amp;IF(AF90="","",IF(OR(INDEX(MATCHER!$J$5:$J$504,AF90)="",INDEX(MATCHER!$J$5:$J$504,AF90)=IFERROR(INDEX(MATCHER!$J$5:$J$504,R90),""),INDEX(MATCHER!$J$5:$J$504,AF90)=IFERROR(INDEX(MATCHER!$J$5:$J$504,S90),""),INDEX(MATCHER!$J$5:$J$504,AF90)=IFERROR(INDEX(MATCHER!$J$5:$J$504,T90),"")),""," / "&amp;INDEX(MATCHER!$J$5:$J$504,AF90))),4,1000)</f>
        <v/>
      </c>
      <c r="H90" s="45" t="str">
        <f t="shared" si="22"/>
        <v>F10</v>
      </c>
      <c r="I90" s="46" t="s">
        <v>90</v>
      </c>
      <c r="J90" s="47" t="s">
        <v>117</v>
      </c>
      <c r="K90" s="48"/>
      <c r="L90" s="71"/>
      <c r="M90" s="50" t="str">
        <f>IF(O90&lt;&gt;O89,MAX(1,MIN(AA90,ROUNDUP(SUMPRODUCT(($O$5:$O$546=O90)*($I$5:$I$546="Ja")*($E$5:$E$546-$D$5:$D$546))*24/REGLER!$B$8,0))),"")</f>
        <v/>
      </c>
      <c r="N90" s="50" t="str">
        <f t="shared" si="15"/>
        <v>Kontrollera lag</v>
      </c>
      <c r="O90" s="15" t="s">
        <v>108</v>
      </c>
      <c r="P90" s="16">
        <v>0.42708333333333298</v>
      </c>
      <c r="Q90" s="16">
        <v>0.71875</v>
      </c>
      <c r="R90" s="15">
        <f>IFERROR(MATCH(1,INDEX((MATCHER!$B$5:$B$504=A90)*(MATCHER!$D$5:$D$504=C90)*(MATCHER!$K$5:$K$504="Ja")*(MATCHER!$C$5:$C$504&lt;E90)*(MATCHER!$M$5:$M$504&gt;D90),0),0),"")</f>
        <v>26</v>
      </c>
      <c r="S90" s="15" t="str">
        <f>IF(R90="","",IFERROR(MATCH(1,INDEX((MATCHER!$B$5:$B$504=A90)*(MATCHER!$D$5:$D$504=C90)*(MATCHER!$K$5:$K$504="Ja")*(MATCHER!$C$5:$C$504&lt;E90)*(MATCHER!$M$5:$M$504&gt;D90)*(ROW(MATCHER!$A$5:$A$504)-ROW(MATCHER!$A$5)+1&gt;R90),0),0),""))</f>
        <v/>
      </c>
      <c r="T90" s="15" t="str">
        <f>IF(S90="","",IFERROR(MATCH(1,INDEX((MATCHER!$B$5:$B$504=A90)*(MATCHER!$D$5:$D$504=C90)*(MATCHER!$K$5:$K$504="Ja")*(MATCHER!$C$5:$C$504&lt;E90)*(MATCHER!$M$5:$M$504&gt;D90)*(ROW(MATCHER!$A$5:$A$504)-ROW(MATCHER!$A$5)+1&gt;S90),0),0),""))</f>
        <v/>
      </c>
      <c r="U90" s="15">
        <f t="shared" si="16"/>
        <v>0</v>
      </c>
      <c r="V90" s="15">
        <f>IF(OR(I90&lt;&gt;"Ja",J90=""),"",COUNTIFS($O$5:O90,O90,$U$5:U90,1))</f>
        <v>2</v>
      </c>
      <c r="W90" s="15" t="str">
        <f t="shared" si="17"/>
        <v>2026-10-10 | Ulriksdalshallen|2</v>
      </c>
      <c r="X90" s="16" t="str">
        <f t="shared" si="18"/>
        <v/>
      </c>
      <c r="Y90" s="15">
        <f>IF(OR(I90&lt;&gt;"Ja",J90=""),0,IF(COUNTIFS($O$5:O90,O90,$I$5:I90,"Ja",$J$5:J90,"&lt;&gt;")=1,1,0))</f>
        <v>0</v>
      </c>
      <c r="Z90" s="15">
        <f>IF(OR(I90&lt;&gt;"Ja",J90=""),0,IF(COUNTIFS(O90:$O$546,O90,I90:$I$546,"Ja",J90:$J$546,"&lt;&gt;")=1,1,0))</f>
        <v>0</v>
      </c>
      <c r="AA90" s="15">
        <f t="shared" si="23"/>
        <v>1</v>
      </c>
      <c r="AB90" s="15" t="str">
        <f>IF(U90&lt;&gt;1,"",COUNTIF($U$5:U90,1))</f>
        <v/>
      </c>
      <c r="AC90" s="15" t="str">
        <f t="shared" si="19"/>
        <v/>
      </c>
      <c r="AD90" s="15" t="str">
        <f t="shared" si="20"/>
        <v>Vanligt café</v>
      </c>
      <c r="AE90" s="15" t="str">
        <f t="shared" si="21"/>
        <v/>
      </c>
      <c r="AF90" t="str">
        <f>IF(T90="","",IFERROR(MATCH(1,INDEX((MATCHER!$B$5:$B$504=A90)*(MATCHER!$D$5:$D$504=C90)*(MATCHER!$K$5:$K$504="Ja")*(MATCHER!$C$5:$C$504&lt;E90)*(MATCHER!$M$5:$M$504&gt;D90)*(ROW(MATCHER!$A$5:$A$504)-ROW(MATCHER!$A$5)+1&gt;T90),0),0),""))</f>
        <v/>
      </c>
    </row>
    <row r="91" spans="1:32" ht="26.5" thickBot="1">
      <c r="A91" s="52">
        <v>46305</v>
      </c>
      <c r="B91" s="53" t="s">
        <v>85</v>
      </c>
      <c r="C91" s="53" t="s">
        <v>86</v>
      </c>
      <c r="D91" s="54">
        <v>0.70833333333333304</v>
      </c>
      <c r="E91" s="54">
        <v>0.71875</v>
      </c>
      <c r="F91" s="55" t="str">
        <f>IF(R91="","",HOUR(INDEX(MATCHER!$C$5:$C$504,R91))&amp;":"&amp;IF(MINUTE(INDEX(MATCHER!$C$5:$C$504,R91))&lt;10,"0","")&amp;MINUTE(INDEX(MATCHER!$C$5:$C$504,R91))&amp;" "&amp;INDEX(MATCHER!$H$5:$H$504,R91)&amp;" – "&amp;INDEX(MATCHER!$I$5:$I$504,R91))&amp;IF(S91="",""," | "&amp;HOUR(INDEX(MATCHER!$C$5:$C$504,S91))&amp;":"&amp;IF(MINUTE(INDEX(MATCHER!$C$5:$C$504,S91))&lt;10,"0","")&amp;MINUTE(INDEX(MATCHER!$C$5:$C$504,S91))&amp;" "&amp;INDEX(MATCHER!$H$5:$H$504,S91)&amp;" – "&amp;INDEX(MATCHER!$I$5:$I$504,S91))&amp;IF(T91="",""," | "&amp;HOUR(INDEX(MATCHER!$C$5:$C$504,T91))&amp;":"&amp;IF(MINUTE(INDEX(MATCHER!$C$5:$C$504,T91))&lt;10,"0","")&amp;MINUTE(INDEX(MATCHER!$C$5:$C$504,T91))&amp;" "&amp;INDEX(MATCHER!$H$5:$H$504,T91)&amp;" – "&amp;INDEX(MATCHER!$I$5:$I$504,T91))&amp;IF(AF91="",""," | "&amp;HOUR(INDEX(MATCHER!$C$5:$C$504,AF91))&amp;":"&amp;IF(MINUTE(INDEX(MATCHER!$C$5:$C$504,AF91))&lt;10,"0","")&amp;MINUTE(INDEX(MATCHER!$C$5:$C$504,AF91))&amp;" "&amp;INDEX(MATCHER!$H$5:$H$504,AF91)&amp;" – "&amp;INDEX(MATCHER!$I$5:$I$504,AF91))</f>
        <v/>
      </c>
      <c r="G91" s="55" t="str">
        <f>MID(IF(R91="","",IF(OR(INDEX(MATCHER!$J$5:$J$504,R91)=""),""," / "&amp;INDEX(MATCHER!$J$5:$J$504,R91)))&amp;IF(S91="","",IF(OR(INDEX(MATCHER!$J$5:$J$504,S91)="",INDEX(MATCHER!$J$5:$J$504,S91)=IFERROR(INDEX(MATCHER!$J$5:$J$504,R91),"")),""," / "&amp;INDEX(MATCHER!$J$5:$J$504,S91)))&amp;IF(T91="","",IF(OR(INDEX(MATCHER!$J$5:$J$504,T91)="",INDEX(MATCHER!$J$5:$J$504,T91)=IFERROR(INDEX(MATCHER!$J$5:$J$504,R91),""),INDEX(MATCHER!$J$5:$J$504,T91)=IFERROR(INDEX(MATCHER!$J$5:$J$504,S91),"")),""," / "&amp;INDEX(MATCHER!$J$5:$J$504,T91)))&amp;IF(AF91="","",IF(OR(INDEX(MATCHER!$J$5:$J$504,AF91)="",INDEX(MATCHER!$J$5:$J$504,AF91)=IFERROR(INDEX(MATCHER!$J$5:$J$504,R91),""),INDEX(MATCHER!$J$5:$J$504,AF91)=IFERROR(INDEX(MATCHER!$J$5:$J$504,S91),""),INDEX(MATCHER!$J$5:$J$504,AF91)=IFERROR(INDEX(MATCHER!$J$5:$J$504,T91),"")),""," / "&amp;INDEX(MATCHER!$J$5:$J$504,AF91))),4,1000)</f>
        <v/>
      </c>
      <c r="H91" s="55" t="str">
        <f t="shared" si="22"/>
        <v>F10</v>
      </c>
      <c r="I91" s="56" t="s">
        <v>90</v>
      </c>
      <c r="J91" s="57" t="s">
        <v>117</v>
      </c>
      <c r="K91" s="58"/>
      <c r="L91" s="72"/>
      <c r="M91" s="60" t="str">
        <f>IF(O91&lt;&gt;O90,MAX(1,MIN(AA91,ROUNDUP(SUMPRODUCT(($O$5:$O$546=O91)*($I$5:$I$546="Ja")*($E$5:$E$546-$D$5:$D$546))*24/REGLER!$B$8,0))),"")</f>
        <v/>
      </c>
      <c r="N91" s="60" t="str">
        <f t="shared" si="15"/>
        <v>Kontrollera lag</v>
      </c>
      <c r="O91" s="15" t="s">
        <v>108</v>
      </c>
      <c r="P91" s="16">
        <v>0.42708333333333298</v>
      </c>
      <c r="Q91" s="16">
        <v>0.71875</v>
      </c>
      <c r="R91" s="15" t="str">
        <f>IFERROR(MATCH(1,INDEX((MATCHER!$B$5:$B$504=A91)*(MATCHER!$D$5:$D$504=C91)*(MATCHER!$K$5:$K$504="Ja")*(MATCHER!$C$5:$C$504&lt;E91)*(MATCHER!$M$5:$M$504&gt;D91),0),0),"")</f>
        <v/>
      </c>
      <c r="S91" s="15" t="str">
        <f>IF(R91="","",IFERROR(MATCH(1,INDEX((MATCHER!$B$5:$B$504=A91)*(MATCHER!$D$5:$D$504=C91)*(MATCHER!$K$5:$K$504="Ja")*(MATCHER!$C$5:$C$504&lt;E91)*(MATCHER!$M$5:$M$504&gt;D91)*(ROW(MATCHER!$A$5:$A$504)-ROW(MATCHER!$A$5)+1&gt;R91),0),0),""))</f>
        <v/>
      </c>
      <c r="T91" s="15" t="str">
        <f>IF(S91="","",IFERROR(MATCH(1,INDEX((MATCHER!$B$5:$B$504=A91)*(MATCHER!$D$5:$D$504=C91)*(MATCHER!$K$5:$K$504="Ja")*(MATCHER!$C$5:$C$504&lt;E91)*(MATCHER!$M$5:$M$504&gt;D91)*(ROW(MATCHER!$A$5:$A$504)-ROW(MATCHER!$A$5)+1&gt;S91),0),0),""))</f>
        <v/>
      </c>
      <c r="U91" s="15">
        <f t="shared" si="16"/>
        <v>0</v>
      </c>
      <c r="V91" s="15">
        <f>IF(OR(I91&lt;&gt;"Ja",J91=""),"",COUNTIFS($O$5:O91,O91,$U$5:U91,1))</f>
        <v>2</v>
      </c>
      <c r="W91" s="15" t="str">
        <f t="shared" si="17"/>
        <v>2026-10-10 | Ulriksdalshallen|2</v>
      </c>
      <c r="X91" s="16">
        <f t="shared" si="18"/>
        <v>0.71875</v>
      </c>
      <c r="Y91" s="15">
        <f>IF(OR(I91&lt;&gt;"Ja",J91=""),0,IF(COUNTIFS($O$5:O91,O91,$I$5:I91,"Ja",$J$5:J91,"&lt;&gt;")=1,1,0))</f>
        <v>0</v>
      </c>
      <c r="Z91" s="15">
        <f>IF(OR(I91&lt;&gt;"Ja",J91=""),0,IF(COUNTIFS(O91:$O$546,O91,I91:$I$546,"Ja",J91:$J$546,"&lt;&gt;")=1,1,0))</f>
        <v>1</v>
      </c>
      <c r="AA91" s="15">
        <f t="shared" si="23"/>
        <v>1</v>
      </c>
      <c r="AB91" s="15" t="str">
        <f>IF(U91&lt;&gt;1,"",COUNTIF($U$5:U91,1))</f>
        <v/>
      </c>
      <c r="AC91" s="15" t="str">
        <f t="shared" si="19"/>
        <v>2026-10-10 | Ulriksdalshallen|2</v>
      </c>
      <c r="AD91" s="15" t="str">
        <f t="shared" si="20"/>
        <v>Vanligt café</v>
      </c>
      <c r="AE91" s="15" t="str">
        <f t="shared" si="21"/>
        <v/>
      </c>
      <c r="AF91" t="str">
        <f>IF(T91="","",IFERROR(MATCH(1,INDEX((MATCHER!$B$5:$B$504=A91)*(MATCHER!$D$5:$D$504=C91)*(MATCHER!$K$5:$K$504="Ja")*(MATCHER!$C$5:$C$504&lt;E91)*(MATCHER!$M$5:$M$504&gt;D91)*(ROW(MATCHER!$A$5:$A$504)-ROW(MATCHER!$A$5)+1&gt;T91),0),0),""))</f>
        <v/>
      </c>
    </row>
    <row r="92" spans="1:32" ht="13">
      <c r="A92" s="61">
        <v>46312</v>
      </c>
      <c r="B92" s="62" t="s">
        <v>85</v>
      </c>
      <c r="C92" s="62" t="s">
        <v>94</v>
      </c>
      <c r="D92" s="63">
        <v>0.45833333333333298</v>
      </c>
      <c r="E92" s="63">
        <v>0.47916666666666702</v>
      </c>
      <c r="F92" s="64" t="str">
        <f>IF(R92="","",HOUR(INDEX(MATCHER!$C$5:$C$504,R92))&amp;":"&amp;IF(MINUTE(INDEX(MATCHER!$C$5:$C$504,R92))&lt;10,"0","")&amp;MINUTE(INDEX(MATCHER!$C$5:$C$504,R92))&amp;" "&amp;INDEX(MATCHER!$H$5:$H$504,R92)&amp;" – "&amp;INDEX(MATCHER!$I$5:$I$504,R92))&amp;IF(S92="",""," | "&amp;HOUR(INDEX(MATCHER!$C$5:$C$504,S92))&amp;":"&amp;IF(MINUTE(INDEX(MATCHER!$C$5:$C$504,S92))&lt;10,"0","")&amp;MINUTE(INDEX(MATCHER!$C$5:$C$504,S92))&amp;" "&amp;INDEX(MATCHER!$H$5:$H$504,S92)&amp;" – "&amp;INDEX(MATCHER!$I$5:$I$504,S92))&amp;IF(T92="",""," | "&amp;HOUR(INDEX(MATCHER!$C$5:$C$504,T92))&amp;":"&amp;IF(MINUTE(INDEX(MATCHER!$C$5:$C$504,T92))&lt;10,"0","")&amp;MINUTE(INDEX(MATCHER!$C$5:$C$504,T92))&amp;" "&amp;INDEX(MATCHER!$H$5:$H$504,T92)&amp;" – "&amp;INDEX(MATCHER!$I$5:$I$504,T92))&amp;IF(AF92="",""," | "&amp;HOUR(INDEX(MATCHER!$C$5:$C$504,AF92))&amp;":"&amp;IF(MINUTE(INDEX(MATCHER!$C$5:$C$504,AF92))&lt;10,"0","")&amp;MINUTE(INDEX(MATCHER!$C$5:$C$504,AF92))&amp;" "&amp;INDEX(MATCHER!$H$5:$H$504,AF92)&amp;" – "&amp;INDEX(MATCHER!$I$5:$I$504,AF92))</f>
        <v/>
      </c>
      <c r="G92" s="64" t="str">
        <f>MID(IF(R92="","",IF(OR(INDEX(MATCHER!$J$5:$J$504,R92)=""),""," / "&amp;INDEX(MATCHER!$J$5:$J$504,R92)))&amp;IF(S92="","",IF(OR(INDEX(MATCHER!$J$5:$J$504,S92)="",INDEX(MATCHER!$J$5:$J$504,S92)=IFERROR(INDEX(MATCHER!$J$5:$J$504,R92),"")),""," / "&amp;INDEX(MATCHER!$J$5:$J$504,S92)))&amp;IF(T92="","",IF(OR(INDEX(MATCHER!$J$5:$J$504,T92)="",INDEX(MATCHER!$J$5:$J$504,T92)=IFERROR(INDEX(MATCHER!$J$5:$J$504,R92),""),INDEX(MATCHER!$J$5:$J$504,T92)=IFERROR(INDEX(MATCHER!$J$5:$J$504,S92),"")),""," / "&amp;INDEX(MATCHER!$J$5:$J$504,T92)))&amp;IF(AF92="","",IF(OR(INDEX(MATCHER!$J$5:$J$504,AF92)="",INDEX(MATCHER!$J$5:$J$504,AF92)=IFERROR(INDEX(MATCHER!$J$5:$J$504,R92),""),INDEX(MATCHER!$J$5:$J$504,AF92)=IFERROR(INDEX(MATCHER!$J$5:$J$504,S92),""),INDEX(MATCHER!$J$5:$J$504,AF92)=IFERROR(INDEX(MATCHER!$J$5:$J$504,T92),"")),""," / "&amp;INDEX(MATCHER!$J$5:$J$504,AF92))),4,1000)</f>
        <v/>
      </c>
      <c r="H92" s="64" t="str">
        <f>MID(IF(COUNTIFS(MATCHER!$B$5:$B$504,A92,MATCHER!$D$5:$D$504,C92,MATCHER!$J$5:$J$504,REGLER!$I$6,MATCHER!$K$5:$K$504,"Ja")+COUNTIFS(MATCHER!$B$5:$B$504,A92,MATCHER!$D$5:$D$504,C92,MATCHER!$J$5:$J$504,REGLER!$I$6&amp;" 2",MATCHER!$K$5:$K$504,"Ja")&gt;0,", "&amp;REGLER!$I$6,"")&amp;IF(COUNTIFS(MATCHER!$B$5:$B$504,A92,MATCHER!$D$5:$D$504,C92,MATCHER!$J$5:$J$504,REGLER!$I$7,MATCHER!$K$5:$K$504,"Ja")+COUNTIFS(MATCHER!$B$5:$B$504,A92,MATCHER!$D$5:$D$504,C92,MATCHER!$J$5:$J$504,REGLER!$I$7&amp;" 2",MATCHER!$K$5:$K$504,"Ja")&gt;0,", "&amp;REGLER!$I$7,"")&amp;IF(COUNTIFS(MATCHER!$B$5:$B$504,A92,MATCHER!$D$5:$D$504,C92,MATCHER!$J$5:$J$504,REGLER!$I$8,MATCHER!$K$5:$K$504,"Ja")+COUNTIFS(MATCHER!$B$5:$B$504,A92,MATCHER!$D$5:$D$504,C92,MATCHER!$J$5:$J$504,REGLER!$I$8&amp;" 2",MATCHER!$K$5:$K$504,"Ja")&gt;0,", "&amp;REGLER!$I$8,"")&amp;IF(COUNTIFS(MATCHER!$B$5:$B$504,A92,MATCHER!$D$5:$D$504,C92,MATCHER!$J$5:$J$504,REGLER!$I$9,MATCHER!$K$5:$K$504,"Ja")+COUNTIFS(MATCHER!$B$5:$B$504,A92,MATCHER!$D$5:$D$504,C92,MATCHER!$J$5:$J$504,REGLER!$I$9&amp;" 2",MATCHER!$K$5:$K$504,"Ja")&gt;0,", "&amp;REGLER!$I$9,"")&amp;IF(COUNTIFS(MATCHER!$B$5:$B$504,A92,MATCHER!$D$5:$D$504,C92,MATCHER!$J$5:$J$504,REGLER!$I$10,MATCHER!$K$5:$K$504,"Ja")+COUNTIFS(MATCHER!$B$5:$B$504,A92,MATCHER!$D$5:$D$504,C92,MATCHER!$J$5:$J$504,REGLER!$I$10&amp;" 2",MATCHER!$K$5:$K$504,"Ja")&gt;0,", "&amp;REGLER!$I$10,"")&amp;IF(COUNTIFS(MATCHER!$B$5:$B$504,A92,MATCHER!$D$5:$D$504,C92,MATCHER!$J$5:$J$504,REGLER!$I$11,MATCHER!$K$5:$K$504,"Ja")+COUNTIFS(MATCHER!$B$5:$B$504,A92,MATCHER!$D$5:$D$504,C92,MATCHER!$J$5:$J$504,REGLER!$I$11&amp;" 2",MATCHER!$K$5:$K$504,"Ja")&gt;0,", "&amp;REGLER!$I$11,"")&amp;IF(COUNTIFS(MATCHER!$B$5:$B$504,A92,MATCHER!$D$5:$D$504,C92,MATCHER!$J$5:$J$504,REGLER!$I$12,MATCHER!$K$5:$K$504,"Ja")+COUNTIFS(MATCHER!$B$5:$B$504,A92,MATCHER!$D$5:$D$504,C92,MATCHER!$J$5:$J$504,REGLER!$I$12&amp;" 2",MATCHER!$K$5:$K$504,"Ja")&gt;0,", "&amp;REGLER!$I$12,"")&amp;IF(COUNTIFS(MATCHER!$B$5:$B$504,A92,MATCHER!$D$5:$D$504,C92,MATCHER!$J$5:$J$504,REGLER!$I$13,MATCHER!$K$5:$K$504,"Ja")+COUNTIFS(MATCHER!$B$5:$B$504,A92,MATCHER!$D$5:$D$504,C92,MATCHER!$J$5:$J$504,REGLER!$I$13&amp;" 2",MATCHER!$K$5:$K$504,"Ja")&gt;0,", "&amp;REGLER!$I$13,"")&amp;IF(COUNTIFS(MATCHER!$B$5:$B$504,A92,MATCHER!$D$5:$D$504,C92,MATCHER!$J$5:$J$504,REGLER!$I$14,MATCHER!$K$5:$K$504,"Ja")+COUNTIFS(MATCHER!$B$5:$B$504,A92,MATCHER!$D$5:$D$504,C92,MATCHER!$J$5:$J$504,REGLER!$I$14&amp;" 2",MATCHER!$K$5:$K$504,"Ja")&gt;0,", "&amp;REGLER!$I$14,"")&amp;IF(COUNTIFS(MATCHER!$B$5:$B$504,A92,MATCHER!$D$5:$D$504,C92,MATCHER!$J$5:$J$504,REGLER!$I$15,MATCHER!$K$5:$K$504,"Ja")+COUNTIFS(MATCHER!$B$5:$B$504,A92,MATCHER!$D$5:$D$504,C92,MATCHER!$J$5:$J$504,REGLER!$I$15&amp;" 2",MATCHER!$K$5:$K$504,"Ja")&gt;0,", "&amp;REGLER!$I$15,"")&amp;IF(COUNTIFS(MATCHER!$B$5:$B$504,A92,MATCHER!$D$5:$D$504,C92,MATCHER!$J$5:$J$504,REGLER!$I$16,MATCHER!$K$5:$K$504,"Ja")+COUNTIFS(MATCHER!$B$5:$B$504,A92,MATCHER!$D$5:$D$504,C92,MATCHER!$J$5:$J$504,REGLER!$I$16&amp;" 2",MATCHER!$K$5:$K$504,"Ja")&gt;0,", "&amp;REGLER!$I$16,"")&amp;IF(COUNTIFS(MATCHER!$B$5:$B$504,A92,MATCHER!$D$5:$D$504,C92,MATCHER!$J$5:$J$504,REGLER!$I$17,MATCHER!$K$5:$K$504,"Ja")+COUNTIFS(MATCHER!$B$5:$B$504,A92,MATCHER!$D$5:$D$504,C92,MATCHER!$J$5:$J$504,REGLER!$I$17&amp;" 2",MATCHER!$K$5:$K$504,"Ja")&gt;0,", "&amp;REGLER!$I$17,"")&amp;IF(COUNTIFS(MATCHER!$B$5:$B$504,A92,MATCHER!$D$5:$D$504,C92,MATCHER!$J$5:$J$504,REGLER!$I$18,MATCHER!$K$5:$K$504,"Ja")+COUNTIFS(MATCHER!$B$5:$B$504,A92,MATCHER!$D$5:$D$504,C92,MATCHER!$J$5:$J$504,REGLER!$I$18&amp;" 2",MATCHER!$K$5:$K$504,"Ja")&gt;0,", "&amp;REGLER!$I$18,"")&amp;IF(COUNTIFS(MATCHER!$B$5:$B$504,A92,MATCHER!$D$5:$D$504,C92,MATCHER!$J$5:$J$504,REGLER!$I$19,MATCHER!$K$5:$K$504,"Ja")+COUNTIFS(MATCHER!$B$5:$B$504,A92,MATCHER!$D$5:$D$504,C92,MATCHER!$J$5:$J$504,REGLER!$I$19&amp;" 2",MATCHER!$K$5:$K$504,"Ja")&gt;0,", "&amp;REGLER!$I$19,"")&amp;IF(COUNTIFS(MATCHER!$B$5:$B$504,A92,MATCHER!$D$5:$D$504,C92,MATCHER!$J$5:$J$504,REGLER!$I$20,MATCHER!$K$5:$K$504,"Ja")+COUNTIFS(MATCHER!$B$5:$B$504,A92,MATCHER!$D$5:$D$504,C92,MATCHER!$J$5:$J$504,REGLER!$I$20&amp;" 2",MATCHER!$K$5:$K$504,"Ja")&gt;0,", "&amp;REGLER!$I$20,"")&amp;IF(COUNTIFS(MATCHER!$B$5:$B$504,A92,MATCHER!$D$5:$D$504,C92,MATCHER!$J$5:$J$504,REGLER!$I$21,MATCHER!$K$5:$K$504,"Ja")+COUNTIFS(MATCHER!$B$5:$B$504,A92,MATCHER!$D$5:$D$504,C92,MATCHER!$J$5:$J$504,REGLER!$I$21&amp;" 2",MATCHER!$K$5:$K$504,"Ja")&gt;0,", "&amp;REGLER!$I$21,"")&amp;IF(COUNTIFS(MATCHER!$B$5:$B$504,A92,MATCHER!$D$5:$D$504,C92,MATCHER!$J$5:$J$504,REGLER!$I$22,MATCHER!$K$5:$K$504,"Ja")+COUNTIFS(MATCHER!$B$5:$B$504,A92,MATCHER!$D$5:$D$504,C92,MATCHER!$J$5:$J$504,REGLER!$I$22&amp;" 2",MATCHER!$K$5:$K$504,"Ja")&gt;0,", "&amp;REGLER!$I$22,"")&amp;IF(COUNTIFS(MATCHER!$B$5:$B$504,A92,MATCHER!$D$5:$D$504,C92,MATCHER!$J$5:$J$504,REGLER!$I$23,MATCHER!$K$5:$K$504,"Ja")+COUNTIFS(MATCHER!$B$5:$B$504,A92,MATCHER!$D$5:$D$504,C92,MATCHER!$J$5:$J$504,REGLER!$I$23&amp;" 2",MATCHER!$K$5:$K$504,"Ja")&gt;0,", "&amp;REGLER!$I$23,"")&amp;IF(COUNTIFS(MATCHER!$B$5:$B$504,A92,MATCHER!$D$5:$D$504,C92,MATCHER!$J$5:$J$504,REGLER!$I$24,MATCHER!$K$5:$K$504,"Ja")+COUNTIFS(MATCHER!$B$5:$B$504,A92,MATCHER!$D$5:$D$504,C92,MATCHER!$J$5:$J$504,REGLER!$I$24&amp;" 2",MATCHER!$K$5:$K$504,"Ja")&gt;0,", "&amp;REGLER!$I$24,"")&amp;IF(COUNTIFS(MATCHER!$B$5:$B$504,A92,MATCHER!$D$5:$D$504,C92,MATCHER!$J$5:$J$504,REGLER!$I$25,MATCHER!$K$5:$K$504,"Ja")+COUNTIFS(MATCHER!$B$5:$B$504,A92,MATCHER!$D$5:$D$504,C92,MATCHER!$J$5:$J$504,REGLER!$I$25&amp;" 2",MATCHER!$K$5:$K$504,"Ja")&gt;0,", "&amp;REGLER!$I$25,"")&amp;IF(COUNTIFS(MATCHER!$B$5:$B$504,A92,MATCHER!$D$5:$D$504,C92,MATCHER!$J$5:$J$504,REGLER!$I$26,MATCHER!$K$5:$K$504,"Ja")+COUNTIFS(MATCHER!$B$5:$B$504,A92,MATCHER!$D$5:$D$504,C92,MATCHER!$J$5:$J$504,REGLER!$I$26&amp;" 2",MATCHER!$K$5:$K$504,"Ja")&gt;0,", "&amp;REGLER!$I$26,""),3,1000)</f>
        <v>P16, Dam</v>
      </c>
      <c r="I92" s="65" t="s">
        <v>87</v>
      </c>
      <c r="J92" s="66"/>
      <c r="K92" s="67" t="s">
        <v>98</v>
      </c>
      <c r="L92" s="68"/>
      <c r="M92" s="69">
        <f>IF(O92&lt;&gt;O91,MAX(1,MIN(AA92,ROUNDUP(SUMPRODUCT(($O$5:$O$546=O92)*($I$5:$I$546="Ja")*($E$5:$E$546-$D$5:$D$546))*24/REGLER!$B$8,0))),"")</f>
        <v>1</v>
      </c>
      <c r="N92" s="70" t="str">
        <f t="shared" si="15"/>
        <v>Ej öppet</v>
      </c>
      <c r="O92" s="15" t="s">
        <v>109</v>
      </c>
      <c r="P92" s="16">
        <v>0.45833333333333298</v>
      </c>
      <c r="Q92" s="16">
        <v>0.625</v>
      </c>
      <c r="R92" s="15" t="str">
        <f>IFERROR(MATCH(1,INDEX((MATCHER!$B$5:$B$504=A92)*(MATCHER!$D$5:$D$504=C92)*(MATCHER!$K$5:$K$504="Ja")*(MATCHER!$C$5:$C$504&lt;E92)*(MATCHER!$M$5:$M$504&gt;D92),0),0),"")</f>
        <v/>
      </c>
      <c r="S92" s="15" t="str">
        <f>IF(R92="","",IFERROR(MATCH(1,INDEX((MATCHER!$B$5:$B$504=A92)*(MATCHER!$D$5:$D$504=C92)*(MATCHER!$K$5:$K$504="Ja")*(MATCHER!$C$5:$C$504&lt;E92)*(MATCHER!$M$5:$M$504&gt;D92)*(ROW(MATCHER!$A$5:$A$504)-ROW(MATCHER!$A$5)+1&gt;R92),0),0),""))</f>
        <v/>
      </c>
      <c r="T92" s="15" t="str">
        <f>IF(S92="","",IFERROR(MATCH(1,INDEX((MATCHER!$B$5:$B$504=A92)*(MATCHER!$D$5:$D$504=C92)*(MATCHER!$K$5:$K$504="Ja")*(MATCHER!$C$5:$C$504&lt;E92)*(MATCHER!$M$5:$M$504&gt;D92)*(ROW(MATCHER!$A$5:$A$504)-ROW(MATCHER!$A$5)+1&gt;S92),0),0),""))</f>
        <v/>
      </c>
      <c r="U92" s="15" t="str">
        <f t="shared" si="16"/>
        <v/>
      </c>
      <c r="V92" s="15" t="str">
        <f>IF(OR(I92&lt;&gt;"Ja",J92=""),"",COUNTIFS($O$5:O92,O92,$U$5:U92,1))</f>
        <v/>
      </c>
      <c r="W92" s="15" t="str">
        <f t="shared" si="17"/>
        <v/>
      </c>
      <c r="X92" s="16" t="str">
        <f t="shared" si="18"/>
        <v/>
      </c>
      <c r="Y92" s="15">
        <f>IF(OR(I92&lt;&gt;"Ja",J92=""),0,IF(COUNTIFS($O$5:O92,O92,$I$5:I92,"Ja",$J$5:J92,"&lt;&gt;")=1,1,0))</f>
        <v>0</v>
      </c>
      <c r="Z92" s="15">
        <f>IF(OR(I92&lt;&gt;"Ja",J92=""),0,IF(COUNTIFS(O92:$O$546,O92,I92:$I$546,"Ja",J92:$J$546,"&lt;&gt;")=1,1,0))</f>
        <v>0</v>
      </c>
      <c r="AA92" s="15">
        <f>IF(COUNTIFS(MATCHER!$B$5:$B$504,A92,MATCHER!$D$5:$D$504,C92,MATCHER!$J$5:$J$504,REGLER!$I$6,MATCHER!$K$5:$K$504,"Ja")+COUNTIFS(MATCHER!$B$5:$B$504,A92,MATCHER!$D$5:$D$504,C92,MATCHER!$J$5:$J$504,REGLER!$I$6&amp;" 2",MATCHER!$K$5:$K$504,"Ja")&gt;0,1,0)+IF(COUNTIFS(MATCHER!$B$5:$B$504,A92,MATCHER!$D$5:$D$504,C92,MATCHER!$J$5:$J$504,REGLER!$I$7,MATCHER!$K$5:$K$504,"Ja")+COUNTIFS(MATCHER!$B$5:$B$504,A92,MATCHER!$D$5:$D$504,C92,MATCHER!$J$5:$J$504,REGLER!$I$7&amp;" 2",MATCHER!$K$5:$K$504,"Ja")&gt;0,1,0)+IF(COUNTIFS(MATCHER!$B$5:$B$504,A92,MATCHER!$D$5:$D$504,C92,MATCHER!$J$5:$J$504,REGLER!$I$8,MATCHER!$K$5:$K$504,"Ja")+COUNTIFS(MATCHER!$B$5:$B$504,A92,MATCHER!$D$5:$D$504,C92,MATCHER!$J$5:$J$504,REGLER!$I$8&amp;" 2",MATCHER!$K$5:$K$504,"Ja")&gt;0,1,0)+IF(COUNTIFS(MATCHER!$B$5:$B$504,A92,MATCHER!$D$5:$D$504,C92,MATCHER!$J$5:$J$504,REGLER!$I$9,MATCHER!$K$5:$K$504,"Ja")+COUNTIFS(MATCHER!$B$5:$B$504,A92,MATCHER!$D$5:$D$504,C92,MATCHER!$J$5:$J$504,REGLER!$I$9&amp;" 2",MATCHER!$K$5:$K$504,"Ja")&gt;0,1,0)+IF(COUNTIFS(MATCHER!$B$5:$B$504,A92,MATCHER!$D$5:$D$504,C92,MATCHER!$J$5:$J$504,REGLER!$I$10,MATCHER!$K$5:$K$504,"Ja")+COUNTIFS(MATCHER!$B$5:$B$504,A92,MATCHER!$D$5:$D$504,C92,MATCHER!$J$5:$J$504,REGLER!$I$10&amp;" 2",MATCHER!$K$5:$K$504,"Ja")&gt;0,1,0)+IF(COUNTIFS(MATCHER!$B$5:$B$504,A92,MATCHER!$D$5:$D$504,C92,MATCHER!$J$5:$J$504,REGLER!$I$11,MATCHER!$K$5:$K$504,"Ja")+COUNTIFS(MATCHER!$B$5:$B$504,A92,MATCHER!$D$5:$D$504,C92,MATCHER!$J$5:$J$504,REGLER!$I$11&amp;" 2",MATCHER!$K$5:$K$504,"Ja")&gt;0,1,0)+IF(COUNTIFS(MATCHER!$B$5:$B$504,A92,MATCHER!$D$5:$D$504,C92,MATCHER!$J$5:$J$504,REGLER!$I$12,MATCHER!$K$5:$K$504,"Ja")+COUNTIFS(MATCHER!$B$5:$B$504,A92,MATCHER!$D$5:$D$504,C92,MATCHER!$J$5:$J$504,REGLER!$I$12&amp;" 2",MATCHER!$K$5:$K$504,"Ja")&gt;0,1,0)+IF(COUNTIFS(MATCHER!$B$5:$B$504,A92,MATCHER!$D$5:$D$504,C92,MATCHER!$J$5:$J$504,REGLER!$I$13,MATCHER!$K$5:$K$504,"Ja")+COUNTIFS(MATCHER!$B$5:$B$504,A92,MATCHER!$D$5:$D$504,C92,MATCHER!$J$5:$J$504,REGLER!$I$13&amp;" 2",MATCHER!$K$5:$K$504,"Ja")&gt;0,1,0)+IF(COUNTIFS(MATCHER!$B$5:$B$504,A92,MATCHER!$D$5:$D$504,C92,MATCHER!$J$5:$J$504,REGLER!$I$14,MATCHER!$K$5:$K$504,"Ja")+COUNTIFS(MATCHER!$B$5:$B$504,A92,MATCHER!$D$5:$D$504,C92,MATCHER!$J$5:$J$504,REGLER!$I$14&amp;" 2",MATCHER!$K$5:$K$504,"Ja")&gt;0,1,0)+IF(COUNTIFS(MATCHER!$B$5:$B$504,A92,MATCHER!$D$5:$D$504,C92,MATCHER!$J$5:$J$504,REGLER!$I$15,MATCHER!$K$5:$K$504,"Ja")+COUNTIFS(MATCHER!$B$5:$B$504,A92,MATCHER!$D$5:$D$504,C92,MATCHER!$J$5:$J$504,REGLER!$I$15&amp;" 2",MATCHER!$K$5:$K$504,"Ja")&gt;0,1,0)+IF(COUNTIFS(MATCHER!$B$5:$B$504,A92,MATCHER!$D$5:$D$504,C92,MATCHER!$J$5:$J$504,REGLER!$I$16,MATCHER!$K$5:$K$504,"Ja")+COUNTIFS(MATCHER!$B$5:$B$504,A92,MATCHER!$D$5:$D$504,C92,MATCHER!$J$5:$J$504,REGLER!$I$16&amp;" 2",MATCHER!$K$5:$K$504,"Ja")&gt;0,1,0)+IF(COUNTIFS(MATCHER!$B$5:$B$504,A92,MATCHER!$D$5:$D$504,C92,MATCHER!$J$5:$J$504,REGLER!$I$17,MATCHER!$K$5:$K$504,"Ja")+COUNTIFS(MATCHER!$B$5:$B$504,A92,MATCHER!$D$5:$D$504,C92,MATCHER!$J$5:$J$504,REGLER!$I$17&amp;" 2",MATCHER!$K$5:$K$504,"Ja")&gt;0,1,0)+IF(COUNTIFS(MATCHER!$B$5:$B$504,A92,MATCHER!$D$5:$D$504,C92,MATCHER!$J$5:$J$504,REGLER!$I$18,MATCHER!$K$5:$K$504,"Ja")+COUNTIFS(MATCHER!$B$5:$B$504,A92,MATCHER!$D$5:$D$504,C92,MATCHER!$J$5:$J$504,REGLER!$I$18&amp;" 2",MATCHER!$K$5:$K$504,"Ja")&gt;0,1,0)+IF(COUNTIFS(MATCHER!$B$5:$B$504,A92,MATCHER!$D$5:$D$504,C92,MATCHER!$J$5:$J$504,REGLER!$I$19,MATCHER!$K$5:$K$504,"Ja")+COUNTIFS(MATCHER!$B$5:$B$504,A92,MATCHER!$D$5:$D$504,C92,MATCHER!$J$5:$J$504,REGLER!$I$19&amp;" 2",MATCHER!$K$5:$K$504,"Ja")&gt;0,1,0)+IF(COUNTIFS(MATCHER!$B$5:$B$504,A92,MATCHER!$D$5:$D$504,C92,MATCHER!$J$5:$J$504,REGLER!$I$20,MATCHER!$K$5:$K$504,"Ja")+COUNTIFS(MATCHER!$B$5:$B$504,A92,MATCHER!$D$5:$D$504,C92,MATCHER!$J$5:$J$504,REGLER!$I$20&amp;" 2",MATCHER!$K$5:$K$504,"Ja")&gt;0,1,0)+IF(COUNTIFS(MATCHER!$B$5:$B$504,A92,MATCHER!$D$5:$D$504,C92,MATCHER!$J$5:$J$504,REGLER!$I$21,MATCHER!$K$5:$K$504,"Ja")+COUNTIFS(MATCHER!$B$5:$B$504,A92,MATCHER!$D$5:$D$504,C92,MATCHER!$J$5:$J$504,REGLER!$I$21&amp;" 2",MATCHER!$K$5:$K$504,"Ja")&gt;0,1,0)+IF(COUNTIFS(MATCHER!$B$5:$B$504,A92,MATCHER!$D$5:$D$504,C92,MATCHER!$J$5:$J$504,REGLER!$I$22,MATCHER!$K$5:$K$504,"Ja")+COUNTIFS(MATCHER!$B$5:$B$504,A92,MATCHER!$D$5:$D$504,C92,MATCHER!$J$5:$J$504,REGLER!$I$22&amp;" 2",MATCHER!$K$5:$K$504,"Ja")&gt;0,1,0)+IF(COUNTIFS(MATCHER!$B$5:$B$504,A92,MATCHER!$D$5:$D$504,C92,MATCHER!$J$5:$J$504,REGLER!$I$23,MATCHER!$K$5:$K$504,"Ja")+COUNTIFS(MATCHER!$B$5:$B$504,A92,MATCHER!$D$5:$D$504,C92,MATCHER!$J$5:$J$504,REGLER!$I$23&amp;" 2",MATCHER!$K$5:$K$504,"Ja")&gt;0,1,0)+IF(COUNTIFS(MATCHER!$B$5:$B$504,A92,MATCHER!$D$5:$D$504,C92,MATCHER!$J$5:$J$504,REGLER!$I$24,MATCHER!$K$5:$K$504,"Ja")+COUNTIFS(MATCHER!$B$5:$B$504,A92,MATCHER!$D$5:$D$504,C92,MATCHER!$J$5:$J$504,REGLER!$I$24&amp;" 2",MATCHER!$K$5:$K$504,"Ja")&gt;0,1,0)+IF(COUNTIFS(MATCHER!$B$5:$B$504,A92,MATCHER!$D$5:$D$504,C92,MATCHER!$J$5:$J$504,REGLER!$I$25,MATCHER!$K$5:$K$504,"Ja")+COUNTIFS(MATCHER!$B$5:$B$504,A92,MATCHER!$D$5:$D$504,C92,MATCHER!$J$5:$J$504,REGLER!$I$25&amp;" 2",MATCHER!$K$5:$K$504,"Ja")&gt;0,1,0)+IF(COUNTIFS(MATCHER!$B$5:$B$504,A92,MATCHER!$D$5:$D$504,C92,MATCHER!$J$5:$J$504,REGLER!$I$26,MATCHER!$K$5:$K$504,"Ja")+COUNTIFS(MATCHER!$B$5:$B$504,A92,MATCHER!$D$5:$D$504,C92,MATCHER!$J$5:$J$504,REGLER!$I$26&amp;" 2",MATCHER!$K$5:$K$504,"Ja")&gt;0,1,0)</f>
        <v>2</v>
      </c>
      <c r="AB92" s="15" t="str">
        <f>IF(U92&lt;&gt;1,"",COUNTIF($U$5:U92,1))</f>
        <v/>
      </c>
      <c r="AC92" s="15" t="str">
        <f t="shared" si="19"/>
        <v/>
      </c>
      <c r="AD92" s="15" t="str">
        <f t="shared" si="20"/>
        <v>Minicafé</v>
      </c>
      <c r="AE92" s="15" t="str">
        <f t="shared" si="21"/>
        <v/>
      </c>
      <c r="AF92" t="str">
        <f>IF(T92="","",IFERROR(MATCH(1,INDEX((MATCHER!$B$5:$B$504=A92)*(MATCHER!$D$5:$D$504=C92)*(MATCHER!$K$5:$K$504="Ja")*(MATCHER!$C$5:$C$504&lt;E92)*(MATCHER!$M$5:$M$504&gt;D92)*(ROW(MATCHER!$A$5:$A$504)-ROW(MATCHER!$A$5)+1&gt;T92),0),0),""))</f>
        <v/>
      </c>
    </row>
    <row r="93" spans="1:32" ht="13">
      <c r="A93" s="42">
        <v>46312</v>
      </c>
      <c r="B93" s="43" t="s">
        <v>85</v>
      </c>
      <c r="C93" s="43" t="s">
        <v>94</v>
      </c>
      <c r="D93" s="44">
        <v>0.47916666666666702</v>
      </c>
      <c r="E93" s="44">
        <v>0.5</v>
      </c>
      <c r="F93" s="45" t="str">
        <f>IF(R93="","",HOUR(INDEX(MATCHER!$C$5:$C$504,R93))&amp;":"&amp;IF(MINUTE(INDEX(MATCHER!$C$5:$C$504,R93))&lt;10,"0","")&amp;MINUTE(INDEX(MATCHER!$C$5:$C$504,R93))&amp;" "&amp;INDEX(MATCHER!$H$5:$H$504,R93)&amp;" – "&amp;INDEX(MATCHER!$I$5:$I$504,R93))&amp;IF(S93="",""," | "&amp;HOUR(INDEX(MATCHER!$C$5:$C$504,S93))&amp;":"&amp;IF(MINUTE(INDEX(MATCHER!$C$5:$C$504,S93))&lt;10,"0","")&amp;MINUTE(INDEX(MATCHER!$C$5:$C$504,S93))&amp;" "&amp;INDEX(MATCHER!$H$5:$H$504,S93)&amp;" – "&amp;INDEX(MATCHER!$I$5:$I$504,S93))&amp;IF(T93="",""," | "&amp;HOUR(INDEX(MATCHER!$C$5:$C$504,T93))&amp;":"&amp;IF(MINUTE(INDEX(MATCHER!$C$5:$C$504,T93))&lt;10,"0","")&amp;MINUTE(INDEX(MATCHER!$C$5:$C$504,T93))&amp;" "&amp;INDEX(MATCHER!$H$5:$H$504,T93)&amp;" – "&amp;INDEX(MATCHER!$I$5:$I$504,T93))&amp;IF(AF93="",""," | "&amp;HOUR(INDEX(MATCHER!$C$5:$C$504,AF93))&amp;":"&amp;IF(MINUTE(INDEX(MATCHER!$C$5:$C$504,AF93))&lt;10,"0","")&amp;MINUTE(INDEX(MATCHER!$C$5:$C$504,AF93))&amp;" "&amp;INDEX(MATCHER!$H$5:$H$504,AF93)&amp;" – "&amp;INDEX(MATCHER!$I$5:$I$504,AF93))</f>
        <v>11:45 AIK 2 – Kista SC KFUM</v>
      </c>
      <c r="G93" s="45" t="str">
        <f>MID(IF(R93="","",IF(OR(INDEX(MATCHER!$J$5:$J$504,R93)=""),""," / "&amp;INDEX(MATCHER!$J$5:$J$504,R93)))&amp;IF(S93="","",IF(OR(INDEX(MATCHER!$J$5:$J$504,S93)="",INDEX(MATCHER!$J$5:$J$504,S93)=IFERROR(INDEX(MATCHER!$J$5:$J$504,R93),"")),""," / "&amp;INDEX(MATCHER!$J$5:$J$504,S93)))&amp;IF(T93="","",IF(OR(INDEX(MATCHER!$J$5:$J$504,T93)="",INDEX(MATCHER!$J$5:$J$504,T93)=IFERROR(INDEX(MATCHER!$J$5:$J$504,R93),""),INDEX(MATCHER!$J$5:$J$504,T93)=IFERROR(INDEX(MATCHER!$J$5:$J$504,S93),"")),""," / "&amp;INDEX(MATCHER!$J$5:$J$504,T93)))&amp;IF(AF93="","",IF(OR(INDEX(MATCHER!$J$5:$J$504,AF93)="",INDEX(MATCHER!$J$5:$J$504,AF93)=IFERROR(INDEX(MATCHER!$J$5:$J$504,R93),""),INDEX(MATCHER!$J$5:$J$504,AF93)=IFERROR(INDEX(MATCHER!$J$5:$J$504,S93),""),INDEX(MATCHER!$J$5:$J$504,AF93)=IFERROR(INDEX(MATCHER!$J$5:$J$504,T93),"")),""," / "&amp;INDEX(MATCHER!$J$5:$J$504,AF93))),4,1000)</f>
        <v>P16 2</v>
      </c>
      <c r="H93" s="45" t="str">
        <f t="shared" ref="H93:H100" si="24">H92</f>
        <v>P16, Dam</v>
      </c>
      <c r="I93" s="46" t="s">
        <v>90</v>
      </c>
      <c r="J93" s="47" t="s">
        <v>100</v>
      </c>
      <c r="K93" s="48"/>
      <c r="L93" s="157" t="s">
        <v>859</v>
      </c>
      <c r="M93" s="50" t="str">
        <f>IF(O93&lt;&gt;O92,MAX(1,MIN(AA93,ROUNDUP(SUMPRODUCT(($O$5:$O$546=O93)*($I$5:$I$546="Ja")*($E$5:$E$546-$D$5:$D$546))*24/REGLER!$B$8,0))),"")</f>
        <v/>
      </c>
      <c r="N93" s="50" t="str">
        <f t="shared" si="15"/>
        <v>Klar</v>
      </c>
      <c r="O93" s="15" t="s">
        <v>109</v>
      </c>
      <c r="P93" s="16">
        <v>0.45833333333333298</v>
      </c>
      <c r="Q93" s="16">
        <v>0.625</v>
      </c>
      <c r="R93" s="15">
        <f>IFERROR(MATCH(1,INDEX((MATCHER!$B$5:$B$504=A93)*(MATCHER!$D$5:$D$504=C93)*(MATCHER!$K$5:$K$504="Ja")*(MATCHER!$C$5:$C$504&lt;E93)*(MATCHER!$M$5:$M$504&gt;D93),0),0),"")</f>
        <v>28</v>
      </c>
      <c r="S93" s="15" t="str">
        <f>IF(R93="","",IFERROR(MATCH(1,INDEX((MATCHER!$B$5:$B$504=A93)*(MATCHER!$D$5:$D$504=C93)*(MATCHER!$K$5:$K$504="Ja")*(MATCHER!$C$5:$C$504&lt;E93)*(MATCHER!$M$5:$M$504&gt;D93)*(ROW(MATCHER!$A$5:$A$504)-ROW(MATCHER!$A$5)+1&gt;R93),0),0),""))</f>
        <v/>
      </c>
      <c r="T93" s="15" t="str">
        <f>IF(S93="","",IFERROR(MATCH(1,INDEX((MATCHER!$B$5:$B$504=A93)*(MATCHER!$D$5:$D$504=C93)*(MATCHER!$K$5:$K$504="Ja")*(MATCHER!$C$5:$C$504&lt;E93)*(MATCHER!$M$5:$M$504&gt;D93)*(ROW(MATCHER!$A$5:$A$504)-ROW(MATCHER!$A$5)+1&gt;S93),0),0),""))</f>
        <v/>
      </c>
      <c r="U93" s="15">
        <f t="shared" si="16"/>
        <v>1</v>
      </c>
      <c r="V93" s="15">
        <f>IF(OR(I93&lt;&gt;"Ja",J93=""),"",COUNTIFS($O$5:O93,O93,$U$5:U93,1))</f>
        <v>1</v>
      </c>
      <c r="W93" s="15" t="str">
        <f t="shared" si="17"/>
        <v>2026-10-17 | Råsta Park|1</v>
      </c>
      <c r="X93" s="16" t="str">
        <f t="shared" si="18"/>
        <v/>
      </c>
      <c r="Y93" s="15">
        <f>IF(OR(I93&lt;&gt;"Ja",J93=""),0,IF(COUNTIFS($O$5:O93,O93,$I$5:I93,"Ja",$J$5:J93,"&lt;&gt;")=1,1,0))</f>
        <v>1</v>
      </c>
      <c r="Z93" s="15">
        <f>IF(OR(I93&lt;&gt;"Ja",J93=""),0,IF(COUNTIFS(O93:$O$546,O93,I93:$I$546,"Ja",J93:$J$546,"&lt;&gt;")=1,1,0))</f>
        <v>0</v>
      </c>
      <c r="AA93" s="15">
        <f t="shared" ref="AA93:AA100" si="25">AA92</f>
        <v>2</v>
      </c>
      <c r="AB93" s="15">
        <f>IF(U93&lt;&gt;1,"",COUNTIF($U$5:U93,1))</f>
        <v>11</v>
      </c>
      <c r="AC93" s="15" t="str">
        <f t="shared" si="19"/>
        <v/>
      </c>
      <c r="AD93" s="15" t="str">
        <f t="shared" si="20"/>
        <v>Minicafé</v>
      </c>
      <c r="AE93" s="15">
        <f t="shared" si="21"/>
        <v>1.4999999999999987</v>
      </c>
      <c r="AF93" t="str">
        <f>IF(T93="","",IFERROR(MATCH(1,INDEX((MATCHER!$B$5:$B$504=A93)*(MATCHER!$D$5:$D$504=C93)*(MATCHER!$K$5:$K$504="Ja")*(MATCHER!$C$5:$C$504&lt;E93)*(MATCHER!$M$5:$M$504&gt;D93)*(ROW(MATCHER!$A$5:$A$504)-ROW(MATCHER!$A$5)+1&gt;T93),0),0),""))</f>
        <v/>
      </c>
    </row>
    <row r="94" spans="1:32" ht="13">
      <c r="A94" s="42">
        <v>46312</v>
      </c>
      <c r="B94" s="43" t="s">
        <v>85</v>
      </c>
      <c r="C94" s="43" t="s">
        <v>94</v>
      </c>
      <c r="D94" s="44">
        <v>0.5</v>
      </c>
      <c r="E94" s="44">
        <v>0.52083333333333304</v>
      </c>
      <c r="F94" s="45" t="str">
        <f>IF(R94="","",HOUR(INDEX(MATCHER!$C$5:$C$504,R94))&amp;":"&amp;IF(MINUTE(INDEX(MATCHER!$C$5:$C$504,R94))&lt;10,"0","")&amp;MINUTE(INDEX(MATCHER!$C$5:$C$504,R94))&amp;" "&amp;INDEX(MATCHER!$H$5:$H$504,R94)&amp;" – "&amp;INDEX(MATCHER!$I$5:$I$504,R94))&amp;IF(S94="",""," | "&amp;HOUR(INDEX(MATCHER!$C$5:$C$504,S94))&amp;":"&amp;IF(MINUTE(INDEX(MATCHER!$C$5:$C$504,S94))&lt;10,"0","")&amp;MINUTE(INDEX(MATCHER!$C$5:$C$504,S94))&amp;" "&amp;INDEX(MATCHER!$H$5:$H$504,S94)&amp;" – "&amp;INDEX(MATCHER!$I$5:$I$504,S94))&amp;IF(T94="",""," | "&amp;HOUR(INDEX(MATCHER!$C$5:$C$504,T94))&amp;":"&amp;IF(MINUTE(INDEX(MATCHER!$C$5:$C$504,T94))&lt;10,"0","")&amp;MINUTE(INDEX(MATCHER!$C$5:$C$504,T94))&amp;" "&amp;INDEX(MATCHER!$H$5:$H$504,T94)&amp;" – "&amp;INDEX(MATCHER!$I$5:$I$504,T94))&amp;IF(AF94="",""," | "&amp;HOUR(INDEX(MATCHER!$C$5:$C$504,AF94))&amp;":"&amp;IF(MINUTE(INDEX(MATCHER!$C$5:$C$504,AF94))&lt;10,"0","")&amp;MINUTE(INDEX(MATCHER!$C$5:$C$504,AF94))&amp;" "&amp;INDEX(MATCHER!$H$5:$H$504,AF94)&amp;" – "&amp;INDEX(MATCHER!$I$5:$I$504,AF94))</f>
        <v>11:45 AIK 2 – Kista SC KFUM</v>
      </c>
      <c r="G94" s="45" t="str">
        <f>MID(IF(R94="","",IF(OR(INDEX(MATCHER!$J$5:$J$504,R94)=""),""," / "&amp;INDEX(MATCHER!$J$5:$J$504,R94)))&amp;IF(S94="","",IF(OR(INDEX(MATCHER!$J$5:$J$504,S94)="",INDEX(MATCHER!$J$5:$J$504,S94)=IFERROR(INDEX(MATCHER!$J$5:$J$504,R94),"")),""," / "&amp;INDEX(MATCHER!$J$5:$J$504,S94)))&amp;IF(T94="","",IF(OR(INDEX(MATCHER!$J$5:$J$504,T94)="",INDEX(MATCHER!$J$5:$J$504,T94)=IFERROR(INDEX(MATCHER!$J$5:$J$504,R94),""),INDEX(MATCHER!$J$5:$J$504,T94)=IFERROR(INDEX(MATCHER!$J$5:$J$504,S94),"")),""," / "&amp;INDEX(MATCHER!$J$5:$J$504,T94)))&amp;IF(AF94="","",IF(OR(INDEX(MATCHER!$J$5:$J$504,AF94)="",INDEX(MATCHER!$J$5:$J$504,AF94)=IFERROR(INDEX(MATCHER!$J$5:$J$504,R94),""),INDEX(MATCHER!$J$5:$J$504,AF94)=IFERROR(INDEX(MATCHER!$J$5:$J$504,S94),""),INDEX(MATCHER!$J$5:$J$504,AF94)=IFERROR(INDEX(MATCHER!$J$5:$J$504,T94),"")),""," / "&amp;INDEX(MATCHER!$J$5:$J$504,AF94))),4,1000)</f>
        <v>P16 2</v>
      </c>
      <c r="H94" s="45" t="str">
        <f t="shared" si="24"/>
        <v>P16, Dam</v>
      </c>
      <c r="I94" s="46" t="s">
        <v>90</v>
      </c>
      <c r="J94" s="47" t="s">
        <v>100</v>
      </c>
      <c r="K94" s="48"/>
      <c r="L94" s="49"/>
      <c r="M94" s="50" t="str">
        <f>IF(O94&lt;&gt;O93,MAX(1,MIN(AA94,ROUNDUP(SUMPRODUCT(($O$5:$O$546=O94)*($I$5:$I$546="Ja")*($E$5:$E$546-$D$5:$D$546))*24/REGLER!$B$8,0))),"")</f>
        <v/>
      </c>
      <c r="N94" s="50" t="str">
        <f t="shared" si="15"/>
        <v>Klar</v>
      </c>
      <c r="O94" s="15" t="s">
        <v>109</v>
      </c>
      <c r="P94" s="16">
        <v>0.45833333333333298</v>
      </c>
      <c r="Q94" s="16">
        <v>0.625</v>
      </c>
      <c r="R94" s="15">
        <f>IFERROR(MATCH(1,INDEX((MATCHER!$B$5:$B$504=A94)*(MATCHER!$D$5:$D$504=C94)*(MATCHER!$K$5:$K$504="Ja")*(MATCHER!$C$5:$C$504&lt;E94)*(MATCHER!$M$5:$M$504&gt;D94),0),0),"")</f>
        <v>28</v>
      </c>
      <c r="S94" s="15" t="str">
        <f>IF(R94="","",IFERROR(MATCH(1,INDEX((MATCHER!$B$5:$B$504=A94)*(MATCHER!$D$5:$D$504=C94)*(MATCHER!$K$5:$K$504="Ja")*(MATCHER!$C$5:$C$504&lt;E94)*(MATCHER!$M$5:$M$504&gt;D94)*(ROW(MATCHER!$A$5:$A$504)-ROW(MATCHER!$A$5)+1&gt;R94),0),0),""))</f>
        <v/>
      </c>
      <c r="T94" s="15" t="str">
        <f>IF(S94="","",IFERROR(MATCH(1,INDEX((MATCHER!$B$5:$B$504=A94)*(MATCHER!$D$5:$D$504=C94)*(MATCHER!$K$5:$K$504="Ja")*(MATCHER!$C$5:$C$504&lt;E94)*(MATCHER!$M$5:$M$504&gt;D94)*(ROW(MATCHER!$A$5:$A$504)-ROW(MATCHER!$A$5)+1&gt;S94),0),0),""))</f>
        <v/>
      </c>
      <c r="U94" s="15">
        <f t="shared" si="16"/>
        <v>0</v>
      </c>
      <c r="V94" s="15">
        <f>IF(OR(I94&lt;&gt;"Ja",J94=""),"",COUNTIFS($O$5:O94,O94,$U$5:U94,1))</f>
        <v>1</v>
      </c>
      <c r="W94" s="15" t="str">
        <f t="shared" si="17"/>
        <v>2026-10-17 | Råsta Park|1</v>
      </c>
      <c r="X94" s="16" t="str">
        <f t="shared" si="18"/>
        <v/>
      </c>
      <c r="Y94" s="15">
        <f>IF(OR(I94&lt;&gt;"Ja",J94=""),0,IF(COUNTIFS($O$5:O94,O94,$I$5:I94,"Ja",$J$5:J94,"&lt;&gt;")=1,1,0))</f>
        <v>0</v>
      </c>
      <c r="Z94" s="15">
        <f>IF(OR(I94&lt;&gt;"Ja",J94=""),0,IF(COUNTIFS(O94:$O$546,O94,I94:$I$546,"Ja",J94:$J$546,"&lt;&gt;")=1,1,0))</f>
        <v>0</v>
      </c>
      <c r="AA94" s="15">
        <f t="shared" si="25"/>
        <v>2</v>
      </c>
      <c r="AB94" s="15" t="str">
        <f>IF(U94&lt;&gt;1,"",COUNTIF($U$5:U94,1))</f>
        <v/>
      </c>
      <c r="AC94" s="15" t="str">
        <f t="shared" si="19"/>
        <v/>
      </c>
      <c r="AD94" s="15" t="str">
        <f t="shared" si="20"/>
        <v>Minicafé</v>
      </c>
      <c r="AE94" s="15" t="str">
        <f t="shared" si="21"/>
        <v/>
      </c>
      <c r="AF94" t="str">
        <f>IF(T94="","",IFERROR(MATCH(1,INDEX((MATCHER!$B$5:$B$504=A94)*(MATCHER!$D$5:$D$504=C94)*(MATCHER!$K$5:$K$504="Ja")*(MATCHER!$C$5:$C$504&lt;E94)*(MATCHER!$M$5:$M$504&gt;D94)*(ROW(MATCHER!$A$5:$A$504)-ROW(MATCHER!$A$5)+1&gt;T94),0),0),""))</f>
        <v/>
      </c>
    </row>
    <row r="95" spans="1:32" ht="13">
      <c r="A95" s="42">
        <v>46312</v>
      </c>
      <c r="B95" s="43" t="s">
        <v>85</v>
      </c>
      <c r="C95" s="43" t="s">
        <v>94</v>
      </c>
      <c r="D95" s="44">
        <v>0.52083333333333304</v>
      </c>
      <c r="E95" s="44">
        <v>0.54166666666666696</v>
      </c>
      <c r="F95" s="45" t="str">
        <f>IF(R95="","",HOUR(INDEX(MATCHER!$C$5:$C$504,R95))&amp;":"&amp;IF(MINUTE(INDEX(MATCHER!$C$5:$C$504,R95))&lt;10,"0","")&amp;MINUTE(INDEX(MATCHER!$C$5:$C$504,R95))&amp;" "&amp;INDEX(MATCHER!$H$5:$H$504,R95)&amp;" – "&amp;INDEX(MATCHER!$I$5:$I$504,R95))&amp;IF(S95="",""," | "&amp;HOUR(INDEX(MATCHER!$C$5:$C$504,S95))&amp;":"&amp;IF(MINUTE(INDEX(MATCHER!$C$5:$C$504,S95))&lt;10,"0","")&amp;MINUTE(INDEX(MATCHER!$C$5:$C$504,S95))&amp;" "&amp;INDEX(MATCHER!$H$5:$H$504,S95)&amp;" – "&amp;INDEX(MATCHER!$I$5:$I$504,S95))&amp;IF(T95="",""," | "&amp;HOUR(INDEX(MATCHER!$C$5:$C$504,T95))&amp;":"&amp;IF(MINUTE(INDEX(MATCHER!$C$5:$C$504,T95))&lt;10,"0","")&amp;MINUTE(INDEX(MATCHER!$C$5:$C$504,T95))&amp;" "&amp;INDEX(MATCHER!$H$5:$H$504,T95)&amp;" – "&amp;INDEX(MATCHER!$I$5:$I$504,T95))&amp;IF(AF95="",""," | "&amp;HOUR(INDEX(MATCHER!$C$5:$C$504,AF95))&amp;":"&amp;IF(MINUTE(INDEX(MATCHER!$C$5:$C$504,AF95))&lt;10,"0","")&amp;MINUTE(INDEX(MATCHER!$C$5:$C$504,AF95))&amp;" "&amp;INDEX(MATCHER!$H$5:$H$504,AF95)&amp;" – "&amp;INDEX(MATCHER!$I$5:$I$504,AF95))</f>
        <v>11:45 AIK 2 – Kista SC KFUM</v>
      </c>
      <c r="G95" s="45" t="str">
        <f>MID(IF(R95="","",IF(OR(INDEX(MATCHER!$J$5:$J$504,R95)=""),""," / "&amp;INDEX(MATCHER!$J$5:$J$504,R95)))&amp;IF(S95="","",IF(OR(INDEX(MATCHER!$J$5:$J$504,S95)="",INDEX(MATCHER!$J$5:$J$504,S95)=IFERROR(INDEX(MATCHER!$J$5:$J$504,R95),"")),""," / "&amp;INDEX(MATCHER!$J$5:$J$504,S95)))&amp;IF(T95="","",IF(OR(INDEX(MATCHER!$J$5:$J$504,T95)="",INDEX(MATCHER!$J$5:$J$504,T95)=IFERROR(INDEX(MATCHER!$J$5:$J$504,R95),""),INDEX(MATCHER!$J$5:$J$504,T95)=IFERROR(INDEX(MATCHER!$J$5:$J$504,S95),"")),""," / "&amp;INDEX(MATCHER!$J$5:$J$504,T95)))&amp;IF(AF95="","",IF(OR(INDEX(MATCHER!$J$5:$J$504,AF95)="",INDEX(MATCHER!$J$5:$J$504,AF95)=IFERROR(INDEX(MATCHER!$J$5:$J$504,R95),""),INDEX(MATCHER!$J$5:$J$504,AF95)=IFERROR(INDEX(MATCHER!$J$5:$J$504,S95),""),INDEX(MATCHER!$J$5:$J$504,AF95)=IFERROR(INDEX(MATCHER!$J$5:$J$504,T95),"")),""," / "&amp;INDEX(MATCHER!$J$5:$J$504,AF95))),4,1000)</f>
        <v>P16 2</v>
      </c>
      <c r="H95" s="45" t="str">
        <f t="shared" si="24"/>
        <v>P16, Dam</v>
      </c>
      <c r="I95" s="46" t="s">
        <v>90</v>
      </c>
      <c r="J95" s="47" t="s">
        <v>100</v>
      </c>
      <c r="K95" s="48"/>
      <c r="L95" s="49"/>
      <c r="M95" s="50" t="str">
        <f>IF(O95&lt;&gt;O94,MAX(1,MIN(AA95,ROUNDUP(SUMPRODUCT(($O$5:$O$546=O95)*($I$5:$I$546="Ja")*($E$5:$E$546-$D$5:$D$546))*24/REGLER!$B$8,0))),"")</f>
        <v/>
      </c>
      <c r="N95" s="50" t="str">
        <f t="shared" si="15"/>
        <v>Klar</v>
      </c>
      <c r="O95" s="15" t="s">
        <v>109</v>
      </c>
      <c r="P95" s="16">
        <v>0.45833333333333298</v>
      </c>
      <c r="Q95" s="16">
        <v>0.625</v>
      </c>
      <c r="R95" s="15">
        <f>IFERROR(MATCH(1,INDEX((MATCHER!$B$5:$B$504=A95)*(MATCHER!$D$5:$D$504=C95)*(MATCHER!$K$5:$K$504="Ja")*(MATCHER!$C$5:$C$504&lt;E95)*(MATCHER!$M$5:$M$504&gt;D95),0),0),"")</f>
        <v>28</v>
      </c>
      <c r="S95" s="15" t="str">
        <f>IF(R95="","",IFERROR(MATCH(1,INDEX((MATCHER!$B$5:$B$504=A95)*(MATCHER!$D$5:$D$504=C95)*(MATCHER!$K$5:$K$504="Ja")*(MATCHER!$C$5:$C$504&lt;E95)*(MATCHER!$M$5:$M$504&gt;D95)*(ROW(MATCHER!$A$5:$A$504)-ROW(MATCHER!$A$5)+1&gt;R95),0),0),""))</f>
        <v/>
      </c>
      <c r="T95" s="15" t="str">
        <f>IF(S95="","",IFERROR(MATCH(1,INDEX((MATCHER!$B$5:$B$504=A95)*(MATCHER!$D$5:$D$504=C95)*(MATCHER!$K$5:$K$504="Ja")*(MATCHER!$C$5:$C$504&lt;E95)*(MATCHER!$M$5:$M$504&gt;D95)*(ROW(MATCHER!$A$5:$A$504)-ROW(MATCHER!$A$5)+1&gt;S95),0),0),""))</f>
        <v/>
      </c>
      <c r="U95" s="15">
        <f t="shared" si="16"/>
        <v>0</v>
      </c>
      <c r="V95" s="15">
        <f>IF(OR(I95&lt;&gt;"Ja",J95=""),"",COUNTIFS($O$5:O95,O95,$U$5:U95,1))</f>
        <v>1</v>
      </c>
      <c r="W95" s="15" t="str">
        <f t="shared" si="17"/>
        <v>2026-10-17 | Råsta Park|1</v>
      </c>
      <c r="X95" s="16">
        <f t="shared" si="18"/>
        <v>0.54166666666666696</v>
      </c>
      <c r="Y95" s="15">
        <f>IF(OR(I95&lt;&gt;"Ja",J95=""),0,IF(COUNTIFS($O$5:O95,O95,$I$5:I95,"Ja",$J$5:J95,"&lt;&gt;")=1,1,0))</f>
        <v>0</v>
      </c>
      <c r="Z95" s="15">
        <f>IF(OR(I95&lt;&gt;"Ja",J95=""),0,IF(COUNTIFS(O95:$O$546,O95,I95:$I$546,"Ja",J95:$J$546,"&lt;&gt;")=1,1,0))</f>
        <v>1</v>
      </c>
      <c r="AA95" s="15">
        <f t="shared" si="25"/>
        <v>2</v>
      </c>
      <c r="AB95" s="15" t="str">
        <f>IF(U95&lt;&gt;1,"",COUNTIF($U$5:U95,1))</f>
        <v/>
      </c>
      <c r="AC95" s="15" t="str">
        <f t="shared" si="19"/>
        <v>2026-10-17 | Råsta Park|1</v>
      </c>
      <c r="AD95" s="15" t="str">
        <f t="shared" si="20"/>
        <v>Minicafé</v>
      </c>
      <c r="AE95" s="15" t="str">
        <f t="shared" si="21"/>
        <v/>
      </c>
      <c r="AF95" t="str">
        <f>IF(T95="","",IFERROR(MATCH(1,INDEX((MATCHER!$B$5:$B$504=A95)*(MATCHER!$D$5:$D$504=C95)*(MATCHER!$K$5:$K$504="Ja")*(MATCHER!$C$5:$C$504&lt;E95)*(MATCHER!$M$5:$M$504&gt;D95)*(ROW(MATCHER!$A$5:$A$504)-ROW(MATCHER!$A$5)+1&gt;T95),0),0),""))</f>
        <v/>
      </c>
    </row>
    <row r="96" spans="1:32" ht="13">
      <c r="A96" s="42">
        <v>46312</v>
      </c>
      <c r="B96" s="43" t="s">
        <v>85</v>
      </c>
      <c r="C96" s="43" t="s">
        <v>94</v>
      </c>
      <c r="D96" s="44">
        <v>0.54166666666666696</v>
      </c>
      <c r="E96" s="44">
        <v>0.5625</v>
      </c>
      <c r="F96" s="45" t="str">
        <f>IF(R96="","",HOUR(INDEX(MATCHER!$C$5:$C$504,R96))&amp;":"&amp;IF(MINUTE(INDEX(MATCHER!$C$5:$C$504,R96))&lt;10,"0","")&amp;MINUTE(INDEX(MATCHER!$C$5:$C$504,R96))&amp;" "&amp;INDEX(MATCHER!$H$5:$H$504,R96)&amp;" – "&amp;INDEX(MATCHER!$I$5:$I$504,R96))&amp;IF(S96="",""," | "&amp;HOUR(INDEX(MATCHER!$C$5:$C$504,S96))&amp;":"&amp;IF(MINUTE(INDEX(MATCHER!$C$5:$C$504,S96))&lt;10,"0","")&amp;MINUTE(INDEX(MATCHER!$C$5:$C$504,S96))&amp;" "&amp;INDEX(MATCHER!$H$5:$H$504,S96)&amp;" – "&amp;INDEX(MATCHER!$I$5:$I$504,S96))&amp;IF(T96="",""," | "&amp;HOUR(INDEX(MATCHER!$C$5:$C$504,T96))&amp;":"&amp;IF(MINUTE(INDEX(MATCHER!$C$5:$C$504,T96))&lt;10,"0","")&amp;MINUTE(INDEX(MATCHER!$C$5:$C$504,T96))&amp;" "&amp;INDEX(MATCHER!$H$5:$H$504,T96)&amp;" – "&amp;INDEX(MATCHER!$I$5:$I$504,T96))&amp;IF(AF96="",""," | "&amp;HOUR(INDEX(MATCHER!$C$5:$C$504,AF96))&amp;":"&amp;IF(MINUTE(INDEX(MATCHER!$C$5:$C$504,AF96))&lt;10,"0","")&amp;MINUTE(INDEX(MATCHER!$C$5:$C$504,AF96))&amp;" "&amp;INDEX(MATCHER!$H$5:$H$504,AF96)&amp;" – "&amp;INDEX(MATCHER!$I$5:$I$504,AF96))</f>
        <v/>
      </c>
      <c r="G96" s="45" t="str">
        <f>MID(IF(R96="","",IF(OR(INDEX(MATCHER!$J$5:$J$504,R96)=""),""," / "&amp;INDEX(MATCHER!$J$5:$J$504,R96)))&amp;IF(S96="","",IF(OR(INDEX(MATCHER!$J$5:$J$504,S96)="",INDEX(MATCHER!$J$5:$J$504,S96)=IFERROR(INDEX(MATCHER!$J$5:$J$504,R96),"")),""," / "&amp;INDEX(MATCHER!$J$5:$J$504,S96)))&amp;IF(T96="","",IF(OR(INDEX(MATCHER!$J$5:$J$504,T96)="",INDEX(MATCHER!$J$5:$J$504,T96)=IFERROR(INDEX(MATCHER!$J$5:$J$504,R96),""),INDEX(MATCHER!$J$5:$J$504,T96)=IFERROR(INDEX(MATCHER!$J$5:$J$504,S96),"")),""," / "&amp;INDEX(MATCHER!$J$5:$J$504,T96)))&amp;IF(AF96="","",IF(OR(INDEX(MATCHER!$J$5:$J$504,AF96)="",INDEX(MATCHER!$J$5:$J$504,AF96)=IFERROR(INDEX(MATCHER!$J$5:$J$504,R96),""),INDEX(MATCHER!$J$5:$J$504,AF96)=IFERROR(INDEX(MATCHER!$J$5:$J$504,S96),""),INDEX(MATCHER!$J$5:$J$504,AF96)=IFERROR(INDEX(MATCHER!$J$5:$J$504,T96),"")),""," / "&amp;INDEX(MATCHER!$J$5:$J$504,AF96))),4,1000)</f>
        <v/>
      </c>
      <c r="H96" s="45" t="str">
        <f t="shared" si="24"/>
        <v>P16, Dam</v>
      </c>
      <c r="I96" s="46" t="s">
        <v>87</v>
      </c>
      <c r="J96" s="47"/>
      <c r="K96" s="48"/>
      <c r="L96" s="49"/>
      <c r="M96" s="50" t="str">
        <f>IF(O96&lt;&gt;O95,MAX(1,MIN(AA96,ROUNDUP(SUMPRODUCT(($O$5:$O$546=O96)*($I$5:$I$546="Ja")*($E$5:$E$546-$D$5:$D$546))*24/REGLER!$B$8,0))),"")</f>
        <v/>
      </c>
      <c r="N96" s="50" t="str">
        <f t="shared" si="15"/>
        <v>Ej öppet</v>
      </c>
      <c r="O96" s="15" t="s">
        <v>109</v>
      </c>
      <c r="P96" s="16">
        <v>0.45833333333333298</v>
      </c>
      <c r="Q96" s="16">
        <v>0.625</v>
      </c>
      <c r="R96" s="15" t="str">
        <f>IFERROR(MATCH(1,INDEX((MATCHER!$B$5:$B$504=A96)*(MATCHER!$D$5:$D$504=C96)*(MATCHER!$K$5:$K$504="Ja")*(MATCHER!$C$5:$C$504&lt;E96)*(MATCHER!$M$5:$M$504&gt;D96),0),0),"")</f>
        <v/>
      </c>
      <c r="S96" s="15" t="str">
        <f>IF(R96="","",IFERROR(MATCH(1,INDEX((MATCHER!$B$5:$B$504=A96)*(MATCHER!$D$5:$D$504=C96)*(MATCHER!$K$5:$K$504="Ja")*(MATCHER!$C$5:$C$504&lt;E96)*(MATCHER!$M$5:$M$504&gt;D96)*(ROW(MATCHER!$A$5:$A$504)-ROW(MATCHER!$A$5)+1&gt;R96),0),0),""))</f>
        <v/>
      </c>
      <c r="T96" s="15" t="str">
        <f>IF(S96="","",IFERROR(MATCH(1,INDEX((MATCHER!$B$5:$B$504=A96)*(MATCHER!$D$5:$D$504=C96)*(MATCHER!$K$5:$K$504="Ja")*(MATCHER!$C$5:$C$504&lt;E96)*(MATCHER!$M$5:$M$504&gt;D96)*(ROW(MATCHER!$A$5:$A$504)-ROW(MATCHER!$A$5)+1&gt;S96),0),0),""))</f>
        <v/>
      </c>
      <c r="U96" s="15" t="str">
        <f t="shared" si="16"/>
        <v/>
      </c>
      <c r="V96" s="15" t="str">
        <f>IF(OR(I96&lt;&gt;"Ja",J96=""),"",COUNTIFS($O$5:O96,O96,$U$5:U96,1))</f>
        <v/>
      </c>
      <c r="W96" s="15" t="str">
        <f t="shared" si="17"/>
        <v/>
      </c>
      <c r="X96" s="16" t="str">
        <f t="shared" si="18"/>
        <v/>
      </c>
      <c r="Y96" s="15">
        <f>IF(OR(I96&lt;&gt;"Ja",J96=""),0,IF(COUNTIFS($O$5:O96,O96,$I$5:I96,"Ja",$J$5:J96,"&lt;&gt;")=1,1,0))</f>
        <v>0</v>
      </c>
      <c r="Z96" s="15">
        <f>IF(OR(I96&lt;&gt;"Ja",J96=""),0,IF(COUNTIFS(O96:$O$546,O96,I96:$I$546,"Ja",J96:$J$546,"&lt;&gt;")=1,1,0))</f>
        <v>0</v>
      </c>
      <c r="AA96" s="15">
        <f t="shared" si="25"/>
        <v>2</v>
      </c>
      <c r="AB96" s="15" t="str">
        <f>IF(U96&lt;&gt;1,"",COUNTIF($U$5:U96,1))</f>
        <v/>
      </c>
      <c r="AC96" s="15" t="str">
        <f t="shared" si="19"/>
        <v/>
      </c>
      <c r="AD96" s="15" t="str">
        <f t="shared" si="20"/>
        <v>Minicafé</v>
      </c>
      <c r="AE96" s="15" t="str">
        <f t="shared" si="21"/>
        <v/>
      </c>
      <c r="AF96" t="str">
        <f>IF(T96="","",IFERROR(MATCH(1,INDEX((MATCHER!$B$5:$B$504=A96)*(MATCHER!$D$5:$D$504=C96)*(MATCHER!$K$5:$K$504="Ja")*(MATCHER!$C$5:$C$504&lt;E96)*(MATCHER!$M$5:$M$504&gt;D96)*(ROW(MATCHER!$A$5:$A$504)-ROW(MATCHER!$A$5)+1&gt;T96),0),0),""))</f>
        <v/>
      </c>
    </row>
    <row r="97" spans="1:32" ht="13">
      <c r="A97" s="42">
        <v>46312</v>
      </c>
      <c r="B97" s="43" t="s">
        <v>85</v>
      </c>
      <c r="C97" s="43" t="s">
        <v>94</v>
      </c>
      <c r="D97" s="44">
        <v>0.5625</v>
      </c>
      <c r="E97" s="44">
        <v>0.58333333333333304</v>
      </c>
      <c r="F97" s="45" t="str">
        <f>IF(R97="","",HOUR(INDEX(MATCHER!$C$5:$C$504,R97))&amp;":"&amp;IF(MINUTE(INDEX(MATCHER!$C$5:$C$504,R97))&lt;10,"0","")&amp;MINUTE(INDEX(MATCHER!$C$5:$C$504,R97))&amp;" "&amp;INDEX(MATCHER!$H$5:$H$504,R97)&amp;" – "&amp;INDEX(MATCHER!$I$5:$I$504,R97))&amp;IF(S97="",""," | "&amp;HOUR(INDEX(MATCHER!$C$5:$C$504,S97))&amp;":"&amp;IF(MINUTE(INDEX(MATCHER!$C$5:$C$504,S97))&lt;10,"0","")&amp;MINUTE(INDEX(MATCHER!$C$5:$C$504,S97))&amp;" "&amp;INDEX(MATCHER!$H$5:$H$504,S97)&amp;" – "&amp;INDEX(MATCHER!$I$5:$I$504,S97))&amp;IF(T97="",""," | "&amp;HOUR(INDEX(MATCHER!$C$5:$C$504,T97))&amp;":"&amp;IF(MINUTE(INDEX(MATCHER!$C$5:$C$504,T97))&lt;10,"0","")&amp;MINUTE(INDEX(MATCHER!$C$5:$C$504,T97))&amp;" "&amp;INDEX(MATCHER!$H$5:$H$504,T97)&amp;" – "&amp;INDEX(MATCHER!$I$5:$I$504,T97))&amp;IF(AF97="",""," | "&amp;HOUR(INDEX(MATCHER!$C$5:$C$504,AF97))&amp;":"&amp;IF(MINUTE(INDEX(MATCHER!$C$5:$C$504,AF97))&lt;10,"0","")&amp;MINUTE(INDEX(MATCHER!$C$5:$C$504,AF97))&amp;" "&amp;INDEX(MATCHER!$H$5:$H$504,AF97)&amp;" – "&amp;INDEX(MATCHER!$I$5:$I$504,AF97))</f>
        <v>13:30 AIK 2 – HK Ceres Norrtälje</v>
      </c>
      <c r="G97" s="45" t="str">
        <f>MID(IF(R97="","",IF(OR(INDEX(MATCHER!$J$5:$J$504,R97)=""),""," / "&amp;INDEX(MATCHER!$J$5:$J$504,R97)))&amp;IF(S97="","",IF(OR(INDEX(MATCHER!$J$5:$J$504,S97)="",INDEX(MATCHER!$J$5:$J$504,S97)=IFERROR(INDEX(MATCHER!$J$5:$J$504,R97),"")),""," / "&amp;INDEX(MATCHER!$J$5:$J$504,S97)))&amp;IF(T97="","",IF(OR(INDEX(MATCHER!$J$5:$J$504,T97)="",INDEX(MATCHER!$J$5:$J$504,T97)=IFERROR(INDEX(MATCHER!$J$5:$J$504,R97),""),INDEX(MATCHER!$J$5:$J$504,T97)=IFERROR(INDEX(MATCHER!$J$5:$J$504,S97),"")),""," / "&amp;INDEX(MATCHER!$J$5:$J$504,T97)))&amp;IF(AF97="","",IF(OR(INDEX(MATCHER!$J$5:$J$504,AF97)="",INDEX(MATCHER!$J$5:$J$504,AF97)=IFERROR(INDEX(MATCHER!$J$5:$J$504,R97),""),INDEX(MATCHER!$J$5:$J$504,AF97)=IFERROR(INDEX(MATCHER!$J$5:$J$504,S97),""),INDEX(MATCHER!$J$5:$J$504,AF97)=IFERROR(INDEX(MATCHER!$J$5:$J$504,T97),"")),""," / "&amp;INDEX(MATCHER!$J$5:$J$504,AF97))),4,1000)</f>
        <v>Dam 2</v>
      </c>
      <c r="H97" s="45" t="str">
        <f t="shared" si="24"/>
        <v>P16, Dam</v>
      </c>
      <c r="I97" s="46" t="s">
        <v>87</v>
      </c>
      <c r="J97" s="47"/>
      <c r="K97" s="48"/>
      <c r="L97" s="49"/>
      <c r="M97" s="50" t="str">
        <f>IF(O97&lt;&gt;O96,MAX(1,MIN(AA97,ROUNDUP(SUMPRODUCT(($O$5:$O$546=O97)*($I$5:$I$546="Ja")*($E$5:$E$546-$D$5:$D$546))*24/REGLER!$B$8,0))),"")</f>
        <v/>
      </c>
      <c r="N97" s="50" t="str">
        <f t="shared" si="15"/>
        <v>Ej öppet</v>
      </c>
      <c r="O97" s="15" t="s">
        <v>109</v>
      </c>
      <c r="P97" s="16">
        <v>0.45833333333333298</v>
      </c>
      <c r="Q97" s="16">
        <v>0.625</v>
      </c>
      <c r="R97" s="15">
        <f>IFERROR(MATCH(1,INDEX((MATCHER!$B$5:$B$504=A97)*(MATCHER!$D$5:$D$504=C97)*(MATCHER!$K$5:$K$504="Ja")*(MATCHER!$C$5:$C$504&lt;E97)*(MATCHER!$M$5:$M$504&gt;D97),0),0),"")</f>
        <v>29</v>
      </c>
      <c r="S97" s="15" t="str">
        <f>IF(R97="","",IFERROR(MATCH(1,INDEX((MATCHER!$B$5:$B$504=A97)*(MATCHER!$D$5:$D$504=C97)*(MATCHER!$K$5:$K$504="Ja")*(MATCHER!$C$5:$C$504&lt;E97)*(MATCHER!$M$5:$M$504&gt;D97)*(ROW(MATCHER!$A$5:$A$504)-ROW(MATCHER!$A$5)+1&gt;R97),0),0),""))</f>
        <v/>
      </c>
      <c r="T97" s="15" t="str">
        <f>IF(S97="","",IFERROR(MATCH(1,INDEX((MATCHER!$B$5:$B$504=A97)*(MATCHER!$D$5:$D$504=C97)*(MATCHER!$K$5:$K$504="Ja")*(MATCHER!$C$5:$C$504&lt;E97)*(MATCHER!$M$5:$M$504&gt;D97)*(ROW(MATCHER!$A$5:$A$504)-ROW(MATCHER!$A$5)+1&gt;S97),0),0),""))</f>
        <v/>
      </c>
      <c r="U97" s="15" t="str">
        <f t="shared" si="16"/>
        <v/>
      </c>
      <c r="V97" s="15" t="str">
        <f>IF(OR(I97&lt;&gt;"Ja",J97=""),"",COUNTIFS($O$5:O97,O97,$U$5:U97,1))</f>
        <v/>
      </c>
      <c r="W97" s="15" t="str">
        <f t="shared" si="17"/>
        <v/>
      </c>
      <c r="X97" s="16" t="str">
        <f t="shared" si="18"/>
        <v/>
      </c>
      <c r="Y97" s="15">
        <f>IF(OR(I97&lt;&gt;"Ja",J97=""),0,IF(COUNTIFS($O$5:O97,O97,$I$5:I97,"Ja",$J$5:J97,"&lt;&gt;")=1,1,0))</f>
        <v>0</v>
      </c>
      <c r="Z97" s="15">
        <f>IF(OR(I97&lt;&gt;"Ja",J97=""),0,IF(COUNTIFS(O97:$O$546,O97,I97:$I$546,"Ja",J97:$J$546,"&lt;&gt;")=1,1,0))</f>
        <v>0</v>
      </c>
      <c r="AA97" s="15">
        <f t="shared" si="25"/>
        <v>2</v>
      </c>
      <c r="AB97" s="15" t="str">
        <f>IF(U97&lt;&gt;1,"",COUNTIF($U$5:U97,1))</f>
        <v/>
      </c>
      <c r="AC97" s="15" t="str">
        <f t="shared" si="19"/>
        <v/>
      </c>
      <c r="AD97" s="15" t="str">
        <f t="shared" si="20"/>
        <v>Minicafé</v>
      </c>
      <c r="AE97" s="15" t="str">
        <f t="shared" si="21"/>
        <v/>
      </c>
      <c r="AF97" t="str">
        <f>IF(T97="","",IFERROR(MATCH(1,INDEX((MATCHER!$B$5:$B$504=A97)*(MATCHER!$D$5:$D$504=C97)*(MATCHER!$K$5:$K$504="Ja")*(MATCHER!$C$5:$C$504&lt;E97)*(MATCHER!$M$5:$M$504&gt;D97)*(ROW(MATCHER!$A$5:$A$504)-ROW(MATCHER!$A$5)+1&gt;T97),0),0),""))</f>
        <v/>
      </c>
    </row>
    <row r="98" spans="1:32" ht="13">
      <c r="A98" s="42">
        <v>46312</v>
      </c>
      <c r="B98" s="43" t="s">
        <v>85</v>
      </c>
      <c r="C98" s="43" t="s">
        <v>94</v>
      </c>
      <c r="D98" s="44">
        <v>0.58333333333333304</v>
      </c>
      <c r="E98" s="44">
        <v>0.60416666666666696</v>
      </c>
      <c r="F98" s="45" t="str">
        <f>IF(R98="","",HOUR(INDEX(MATCHER!$C$5:$C$504,R98))&amp;":"&amp;IF(MINUTE(INDEX(MATCHER!$C$5:$C$504,R98))&lt;10,"0","")&amp;MINUTE(INDEX(MATCHER!$C$5:$C$504,R98))&amp;" "&amp;INDEX(MATCHER!$H$5:$H$504,R98)&amp;" – "&amp;INDEX(MATCHER!$I$5:$I$504,R98))&amp;IF(S98="",""," | "&amp;HOUR(INDEX(MATCHER!$C$5:$C$504,S98))&amp;":"&amp;IF(MINUTE(INDEX(MATCHER!$C$5:$C$504,S98))&lt;10,"0","")&amp;MINUTE(INDEX(MATCHER!$C$5:$C$504,S98))&amp;" "&amp;INDEX(MATCHER!$H$5:$H$504,S98)&amp;" – "&amp;INDEX(MATCHER!$I$5:$I$504,S98))&amp;IF(T98="",""," | "&amp;HOUR(INDEX(MATCHER!$C$5:$C$504,T98))&amp;":"&amp;IF(MINUTE(INDEX(MATCHER!$C$5:$C$504,T98))&lt;10,"0","")&amp;MINUTE(INDEX(MATCHER!$C$5:$C$504,T98))&amp;" "&amp;INDEX(MATCHER!$H$5:$H$504,T98)&amp;" – "&amp;INDEX(MATCHER!$I$5:$I$504,T98))&amp;IF(AF98="",""," | "&amp;HOUR(INDEX(MATCHER!$C$5:$C$504,AF98))&amp;":"&amp;IF(MINUTE(INDEX(MATCHER!$C$5:$C$504,AF98))&lt;10,"0","")&amp;MINUTE(INDEX(MATCHER!$C$5:$C$504,AF98))&amp;" "&amp;INDEX(MATCHER!$H$5:$H$504,AF98)&amp;" – "&amp;INDEX(MATCHER!$I$5:$I$504,AF98))</f>
        <v>13:30 AIK 2 – HK Ceres Norrtälje</v>
      </c>
      <c r="G98" s="45" t="str">
        <f>MID(IF(R98="","",IF(OR(INDEX(MATCHER!$J$5:$J$504,R98)=""),""," / "&amp;INDEX(MATCHER!$J$5:$J$504,R98)))&amp;IF(S98="","",IF(OR(INDEX(MATCHER!$J$5:$J$504,S98)="",INDEX(MATCHER!$J$5:$J$504,S98)=IFERROR(INDEX(MATCHER!$J$5:$J$504,R98),"")),""," / "&amp;INDEX(MATCHER!$J$5:$J$504,S98)))&amp;IF(T98="","",IF(OR(INDEX(MATCHER!$J$5:$J$504,T98)="",INDEX(MATCHER!$J$5:$J$504,T98)=IFERROR(INDEX(MATCHER!$J$5:$J$504,R98),""),INDEX(MATCHER!$J$5:$J$504,T98)=IFERROR(INDEX(MATCHER!$J$5:$J$504,S98),"")),""," / "&amp;INDEX(MATCHER!$J$5:$J$504,T98)))&amp;IF(AF98="","",IF(OR(INDEX(MATCHER!$J$5:$J$504,AF98)="",INDEX(MATCHER!$J$5:$J$504,AF98)=IFERROR(INDEX(MATCHER!$J$5:$J$504,R98),""),INDEX(MATCHER!$J$5:$J$504,AF98)=IFERROR(INDEX(MATCHER!$J$5:$J$504,S98),""),INDEX(MATCHER!$J$5:$J$504,AF98)=IFERROR(INDEX(MATCHER!$J$5:$J$504,T98),"")),""," / "&amp;INDEX(MATCHER!$J$5:$J$504,AF98))),4,1000)</f>
        <v>Dam 2</v>
      </c>
      <c r="H98" s="45" t="str">
        <f t="shared" si="24"/>
        <v>P16, Dam</v>
      </c>
      <c r="I98" s="46" t="s">
        <v>87</v>
      </c>
      <c r="J98" s="47"/>
      <c r="K98" s="48"/>
      <c r="L98" s="49"/>
      <c r="M98" s="50" t="str">
        <f>IF(O98&lt;&gt;O97,MAX(1,MIN(AA98,ROUNDUP(SUMPRODUCT(($O$5:$O$546=O98)*($I$5:$I$546="Ja")*($E$5:$E$546-$D$5:$D$546))*24/REGLER!$B$8,0))),"")</f>
        <v/>
      </c>
      <c r="N98" s="50" t="str">
        <f t="shared" si="15"/>
        <v>Ej öppet</v>
      </c>
      <c r="O98" s="15" t="s">
        <v>109</v>
      </c>
      <c r="P98" s="16">
        <v>0.45833333333333298</v>
      </c>
      <c r="Q98" s="16">
        <v>0.625</v>
      </c>
      <c r="R98" s="15">
        <f>IFERROR(MATCH(1,INDEX((MATCHER!$B$5:$B$504=A98)*(MATCHER!$D$5:$D$504=C98)*(MATCHER!$K$5:$K$504="Ja")*(MATCHER!$C$5:$C$504&lt;E98)*(MATCHER!$M$5:$M$504&gt;D98),0),0),"")</f>
        <v>29</v>
      </c>
      <c r="S98" s="15" t="str">
        <f>IF(R98="","",IFERROR(MATCH(1,INDEX((MATCHER!$B$5:$B$504=A98)*(MATCHER!$D$5:$D$504=C98)*(MATCHER!$K$5:$K$504="Ja")*(MATCHER!$C$5:$C$504&lt;E98)*(MATCHER!$M$5:$M$504&gt;D98)*(ROW(MATCHER!$A$5:$A$504)-ROW(MATCHER!$A$5)+1&gt;R98),0),0),""))</f>
        <v/>
      </c>
      <c r="T98" s="15" t="str">
        <f>IF(S98="","",IFERROR(MATCH(1,INDEX((MATCHER!$B$5:$B$504=A98)*(MATCHER!$D$5:$D$504=C98)*(MATCHER!$K$5:$K$504="Ja")*(MATCHER!$C$5:$C$504&lt;E98)*(MATCHER!$M$5:$M$504&gt;D98)*(ROW(MATCHER!$A$5:$A$504)-ROW(MATCHER!$A$5)+1&gt;S98),0),0),""))</f>
        <v/>
      </c>
      <c r="U98" s="15" t="str">
        <f t="shared" si="16"/>
        <v/>
      </c>
      <c r="V98" s="15" t="str">
        <f>IF(OR(I98&lt;&gt;"Ja",J98=""),"",COUNTIFS($O$5:O98,O98,$U$5:U98,1))</f>
        <v/>
      </c>
      <c r="W98" s="15" t="str">
        <f t="shared" si="17"/>
        <v/>
      </c>
      <c r="X98" s="16" t="str">
        <f t="shared" si="18"/>
        <v/>
      </c>
      <c r="Y98" s="15">
        <f>IF(OR(I98&lt;&gt;"Ja",J98=""),0,IF(COUNTIFS($O$5:O98,O98,$I$5:I98,"Ja",$J$5:J98,"&lt;&gt;")=1,1,0))</f>
        <v>0</v>
      </c>
      <c r="Z98" s="15">
        <f>IF(OR(I98&lt;&gt;"Ja",J98=""),0,IF(COUNTIFS(O98:$O$546,O98,I98:$I$546,"Ja",J98:$J$546,"&lt;&gt;")=1,1,0))</f>
        <v>0</v>
      </c>
      <c r="AA98" s="15">
        <f t="shared" si="25"/>
        <v>2</v>
      </c>
      <c r="AB98" s="15" t="str">
        <f>IF(U98&lt;&gt;1,"",COUNTIF($U$5:U98,1))</f>
        <v/>
      </c>
      <c r="AC98" s="15" t="str">
        <f t="shared" si="19"/>
        <v/>
      </c>
      <c r="AD98" s="15" t="str">
        <f t="shared" si="20"/>
        <v>Minicafé</v>
      </c>
      <c r="AE98" s="15" t="str">
        <f t="shared" si="21"/>
        <v/>
      </c>
      <c r="AF98" t="str">
        <f>IF(T98="","",IFERROR(MATCH(1,INDEX((MATCHER!$B$5:$B$504=A98)*(MATCHER!$D$5:$D$504=C98)*(MATCHER!$K$5:$K$504="Ja")*(MATCHER!$C$5:$C$504&lt;E98)*(MATCHER!$M$5:$M$504&gt;D98)*(ROW(MATCHER!$A$5:$A$504)-ROW(MATCHER!$A$5)+1&gt;T98),0),0),""))</f>
        <v/>
      </c>
    </row>
    <row r="99" spans="1:32" ht="13">
      <c r="A99" s="42">
        <v>46312</v>
      </c>
      <c r="B99" s="43" t="s">
        <v>85</v>
      </c>
      <c r="C99" s="43" t="s">
        <v>94</v>
      </c>
      <c r="D99" s="44">
        <v>0.60416666666666696</v>
      </c>
      <c r="E99" s="44">
        <v>0.61111111111111105</v>
      </c>
      <c r="F99" s="45" t="str">
        <f>IF(R99="","",HOUR(INDEX(MATCHER!$C$5:$C$504,R99))&amp;":"&amp;IF(MINUTE(INDEX(MATCHER!$C$5:$C$504,R99))&lt;10,"0","")&amp;MINUTE(INDEX(MATCHER!$C$5:$C$504,R99))&amp;" "&amp;INDEX(MATCHER!$H$5:$H$504,R99)&amp;" – "&amp;INDEX(MATCHER!$I$5:$I$504,R99))&amp;IF(S99="",""," | "&amp;HOUR(INDEX(MATCHER!$C$5:$C$504,S99))&amp;":"&amp;IF(MINUTE(INDEX(MATCHER!$C$5:$C$504,S99))&lt;10,"0","")&amp;MINUTE(INDEX(MATCHER!$C$5:$C$504,S99))&amp;" "&amp;INDEX(MATCHER!$H$5:$H$504,S99)&amp;" – "&amp;INDEX(MATCHER!$I$5:$I$504,S99))&amp;IF(T99="",""," | "&amp;HOUR(INDEX(MATCHER!$C$5:$C$504,T99))&amp;":"&amp;IF(MINUTE(INDEX(MATCHER!$C$5:$C$504,T99))&lt;10,"0","")&amp;MINUTE(INDEX(MATCHER!$C$5:$C$504,T99))&amp;" "&amp;INDEX(MATCHER!$H$5:$H$504,T99)&amp;" – "&amp;INDEX(MATCHER!$I$5:$I$504,T99))&amp;IF(AF99="",""," | "&amp;HOUR(INDEX(MATCHER!$C$5:$C$504,AF99))&amp;":"&amp;IF(MINUTE(INDEX(MATCHER!$C$5:$C$504,AF99))&lt;10,"0","")&amp;MINUTE(INDEX(MATCHER!$C$5:$C$504,AF99))&amp;" "&amp;INDEX(MATCHER!$H$5:$H$504,AF99)&amp;" – "&amp;INDEX(MATCHER!$I$5:$I$504,AF99))</f>
        <v>13:30 AIK 2 – HK Ceres Norrtälje</v>
      </c>
      <c r="G99" s="45" t="str">
        <f>MID(IF(R99="","",IF(OR(INDEX(MATCHER!$J$5:$J$504,R99)=""),""," / "&amp;INDEX(MATCHER!$J$5:$J$504,R99)))&amp;IF(S99="","",IF(OR(INDEX(MATCHER!$J$5:$J$504,S99)="",INDEX(MATCHER!$J$5:$J$504,S99)=IFERROR(INDEX(MATCHER!$J$5:$J$504,R99),"")),""," / "&amp;INDEX(MATCHER!$J$5:$J$504,S99)))&amp;IF(T99="","",IF(OR(INDEX(MATCHER!$J$5:$J$504,T99)="",INDEX(MATCHER!$J$5:$J$504,T99)=IFERROR(INDEX(MATCHER!$J$5:$J$504,R99),""),INDEX(MATCHER!$J$5:$J$504,T99)=IFERROR(INDEX(MATCHER!$J$5:$J$504,S99),"")),""," / "&amp;INDEX(MATCHER!$J$5:$J$504,T99)))&amp;IF(AF99="","",IF(OR(INDEX(MATCHER!$J$5:$J$504,AF99)="",INDEX(MATCHER!$J$5:$J$504,AF99)=IFERROR(INDEX(MATCHER!$J$5:$J$504,R99),""),INDEX(MATCHER!$J$5:$J$504,AF99)=IFERROR(INDEX(MATCHER!$J$5:$J$504,S99),""),INDEX(MATCHER!$J$5:$J$504,AF99)=IFERROR(INDEX(MATCHER!$J$5:$J$504,T99),"")),""," / "&amp;INDEX(MATCHER!$J$5:$J$504,AF99))),4,1000)</f>
        <v>Dam 2</v>
      </c>
      <c r="H99" s="45" t="str">
        <f t="shared" si="24"/>
        <v>P16, Dam</v>
      </c>
      <c r="I99" s="46" t="s">
        <v>87</v>
      </c>
      <c r="J99" s="47"/>
      <c r="K99" s="48"/>
      <c r="L99" s="49"/>
      <c r="M99" s="50" t="str">
        <f>IF(O99&lt;&gt;O98,MAX(1,MIN(AA99,ROUNDUP(SUMPRODUCT(($O$5:$O$546=O99)*($I$5:$I$546="Ja")*($E$5:$E$546-$D$5:$D$546))*24/REGLER!$B$8,0))),"")</f>
        <v/>
      </c>
      <c r="N99" s="50" t="str">
        <f t="shared" si="15"/>
        <v>Ej öppet</v>
      </c>
      <c r="O99" s="15" t="s">
        <v>109</v>
      </c>
      <c r="P99" s="16">
        <v>0.45833333333333298</v>
      </c>
      <c r="Q99" s="16">
        <v>0.625</v>
      </c>
      <c r="R99" s="15">
        <f>IFERROR(MATCH(1,INDEX((MATCHER!$B$5:$B$504=A99)*(MATCHER!$D$5:$D$504=C99)*(MATCHER!$K$5:$K$504="Ja")*(MATCHER!$C$5:$C$504&lt;E99)*(MATCHER!$M$5:$M$504&gt;D99),0),0),"")</f>
        <v>29</v>
      </c>
      <c r="S99" s="15" t="str">
        <f>IF(R99="","",IFERROR(MATCH(1,INDEX((MATCHER!$B$5:$B$504=A99)*(MATCHER!$D$5:$D$504=C99)*(MATCHER!$K$5:$K$504="Ja")*(MATCHER!$C$5:$C$504&lt;E99)*(MATCHER!$M$5:$M$504&gt;D99)*(ROW(MATCHER!$A$5:$A$504)-ROW(MATCHER!$A$5)+1&gt;R99),0),0),""))</f>
        <v/>
      </c>
      <c r="T99" s="15" t="str">
        <f>IF(S99="","",IFERROR(MATCH(1,INDEX((MATCHER!$B$5:$B$504=A99)*(MATCHER!$D$5:$D$504=C99)*(MATCHER!$K$5:$K$504="Ja")*(MATCHER!$C$5:$C$504&lt;E99)*(MATCHER!$M$5:$M$504&gt;D99)*(ROW(MATCHER!$A$5:$A$504)-ROW(MATCHER!$A$5)+1&gt;S99),0),0),""))</f>
        <v/>
      </c>
      <c r="U99" s="15" t="str">
        <f t="shared" si="16"/>
        <v/>
      </c>
      <c r="V99" s="15" t="str">
        <f>IF(OR(I99&lt;&gt;"Ja",J99=""),"",COUNTIFS($O$5:O99,O99,$U$5:U99,1))</f>
        <v/>
      </c>
      <c r="W99" s="15" t="str">
        <f t="shared" si="17"/>
        <v/>
      </c>
      <c r="X99" s="16" t="str">
        <f t="shared" si="18"/>
        <v/>
      </c>
      <c r="Y99" s="15">
        <f>IF(OR(I99&lt;&gt;"Ja",J99=""),0,IF(COUNTIFS($O$5:O99,O99,$I$5:I99,"Ja",$J$5:J99,"&lt;&gt;")=1,1,0))</f>
        <v>0</v>
      </c>
      <c r="Z99" s="15">
        <f>IF(OR(I99&lt;&gt;"Ja",J99=""),0,IF(COUNTIFS(O99:$O$546,O99,I99:$I$546,"Ja",J99:$J$546,"&lt;&gt;")=1,1,0))</f>
        <v>0</v>
      </c>
      <c r="AA99" s="15">
        <f t="shared" si="25"/>
        <v>2</v>
      </c>
      <c r="AB99" s="15" t="str">
        <f>IF(U99&lt;&gt;1,"",COUNTIF($U$5:U99,1))</f>
        <v/>
      </c>
      <c r="AC99" s="15" t="str">
        <f t="shared" si="19"/>
        <v/>
      </c>
      <c r="AD99" s="15" t="str">
        <f t="shared" si="20"/>
        <v>Minicafé</v>
      </c>
      <c r="AE99" s="15" t="str">
        <f t="shared" si="21"/>
        <v/>
      </c>
      <c r="AF99" t="str">
        <f>IF(T99="","",IFERROR(MATCH(1,INDEX((MATCHER!$B$5:$B$504=A99)*(MATCHER!$D$5:$D$504=C99)*(MATCHER!$K$5:$K$504="Ja")*(MATCHER!$C$5:$C$504&lt;E99)*(MATCHER!$M$5:$M$504&gt;D99)*(ROW(MATCHER!$A$5:$A$504)-ROW(MATCHER!$A$5)+1&gt;T99),0),0),""))</f>
        <v/>
      </c>
    </row>
    <row r="100" spans="1:32" ht="13.5" thickBot="1">
      <c r="A100" s="52">
        <v>46312</v>
      </c>
      <c r="B100" s="53" t="s">
        <v>85</v>
      </c>
      <c r="C100" s="53" t="s">
        <v>94</v>
      </c>
      <c r="D100" s="54">
        <v>0.61111111111111105</v>
      </c>
      <c r="E100" s="54">
        <v>0.625</v>
      </c>
      <c r="F100" s="55" t="str">
        <f>IF(R100="","",HOUR(INDEX(MATCHER!$C$5:$C$504,R100))&amp;":"&amp;IF(MINUTE(INDEX(MATCHER!$C$5:$C$504,R100))&lt;10,"0","")&amp;MINUTE(INDEX(MATCHER!$C$5:$C$504,R100))&amp;" "&amp;INDEX(MATCHER!$H$5:$H$504,R100)&amp;" – "&amp;INDEX(MATCHER!$I$5:$I$504,R100))&amp;IF(S100="",""," | "&amp;HOUR(INDEX(MATCHER!$C$5:$C$504,S100))&amp;":"&amp;IF(MINUTE(INDEX(MATCHER!$C$5:$C$504,S100))&lt;10,"0","")&amp;MINUTE(INDEX(MATCHER!$C$5:$C$504,S100))&amp;" "&amp;INDEX(MATCHER!$H$5:$H$504,S100)&amp;" – "&amp;INDEX(MATCHER!$I$5:$I$504,S100))&amp;IF(T100="",""," | "&amp;HOUR(INDEX(MATCHER!$C$5:$C$504,T100))&amp;":"&amp;IF(MINUTE(INDEX(MATCHER!$C$5:$C$504,T100))&lt;10,"0","")&amp;MINUTE(INDEX(MATCHER!$C$5:$C$504,T100))&amp;" "&amp;INDEX(MATCHER!$H$5:$H$504,T100)&amp;" – "&amp;INDEX(MATCHER!$I$5:$I$504,T100))&amp;IF(AF100="",""," | "&amp;HOUR(INDEX(MATCHER!$C$5:$C$504,AF100))&amp;":"&amp;IF(MINUTE(INDEX(MATCHER!$C$5:$C$504,AF100))&lt;10,"0","")&amp;MINUTE(INDEX(MATCHER!$C$5:$C$504,AF100))&amp;" "&amp;INDEX(MATCHER!$H$5:$H$504,AF100)&amp;" – "&amp;INDEX(MATCHER!$I$5:$I$504,AF100))</f>
        <v/>
      </c>
      <c r="G100" s="55" t="str">
        <f>MID(IF(R100="","",IF(OR(INDEX(MATCHER!$J$5:$J$504,R100)=""),""," / "&amp;INDEX(MATCHER!$J$5:$J$504,R100)))&amp;IF(S100="","",IF(OR(INDEX(MATCHER!$J$5:$J$504,S100)="",INDEX(MATCHER!$J$5:$J$504,S100)=IFERROR(INDEX(MATCHER!$J$5:$J$504,R100),"")),""," / "&amp;INDEX(MATCHER!$J$5:$J$504,S100)))&amp;IF(T100="","",IF(OR(INDEX(MATCHER!$J$5:$J$504,T100)="",INDEX(MATCHER!$J$5:$J$504,T100)=IFERROR(INDEX(MATCHER!$J$5:$J$504,R100),""),INDEX(MATCHER!$J$5:$J$504,T100)=IFERROR(INDEX(MATCHER!$J$5:$J$504,S100),"")),""," / "&amp;INDEX(MATCHER!$J$5:$J$504,T100)))&amp;IF(AF100="","",IF(OR(INDEX(MATCHER!$J$5:$J$504,AF100)="",INDEX(MATCHER!$J$5:$J$504,AF100)=IFERROR(INDEX(MATCHER!$J$5:$J$504,R100),""),INDEX(MATCHER!$J$5:$J$504,AF100)=IFERROR(INDEX(MATCHER!$J$5:$J$504,S100),""),INDEX(MATCHER!$J$5:$J$504,AF100)=IFERROR(INDEX(MATCHER!$J$5:$J$504,T100),"")),""," / "&amp;INDEX(MATCHER!$J$5:$J$504,AF100))),4,1000)</f>
        <v/>
      </c>
      <c r="H100" s="55" t="str">
        <f t="shared" si="24"/>
        <v>P16, Dam</v>
      </c>
      <c r="I100" s="56" t="s">
        <v>87</v>
      </c>
      <c r="J100" s="57"/>
      <c r="K100" s="58"/>
      <c r="L100" s="59"/>
      <c r="M100" s="60" t="str">
        <f>IF(O100&lt;&gt;O99,MAX(1,MIN(AA100,ROUNDUP(SUMPRODUCT(($O$5:$O$546=O100)*($I$5:$I$546="Ja")*($E$5:$E$546-$D$5:$D$546))*24/REGLER!$B$8,0))),"")</f>
        <v/>
      </c>
      <c r="N100" s="60" t="str">
        <f t="shared" si="15"/>
        <v>Ej öppet</v>
      </c>
      <c r="O100" s="15" t="s">
        <v>109</v>
      </c>
      <c r="P100" s="16">
        <v>0.45833333333333298</v>
      </c>
      <c r="Q100" s="16">
        <v>0.625</v>
      </c>
      <c r="R100" s="15" t="str">
        <f>IFERROR(MATCH(1,INDEX((MATCHER!$B$5:$B$504=A100)*(MATCHER!$D$5:$D$504=C100)*(MATCHER!$K$5:$K$504="Ja")*(MATCHER!$C$5:$C$504&lt;E100)*(MATCHER!$M$5:$M$504&gt;D100),0),0),"")</f>
        <v/>
      </c>
      <c r="S100" s="15" t="str">
        <f>IF(R100="","",IFERROR(MATCH(1,INDEX((MATCHER!$B$5:$B$504=A100)*(MATCHER!$D$5:$D$504=C100)*(MATCHER!$K$5:$K$504="Ja")*(MATCHER!$C$5:$C$504&lt;E100)*(MATCHER!$M$5:$M$504&gt;D100)*(ROW(MATCHER!$A$5:$A$504)-ROW(MATCHER!$A$5)+1&gt;R100),0),0),""))</f>
        <v/>
      </c>
      <c r="T100" s="15" t="str">
        <f>IF(S100="","",IFERROR(MATCH(1,INDEX((MATCHER!$B$5:$B$504=A100)*(MATCHER!$D$5:$D$504=C100)*(MATCHER!$K$5:$K$504="Ja")*(MATCHER!$C$5:$C$504&lt;E100)*(MATCHER!$M$5:$M$504&gt;D100)*(ROW(MATCHER!$A$5:$A$504)-ROW(MATCHER!$A$5)+1&gt;S100),0),0),""))</f>
        <v/>
      </c>
      <c r="U100" s="15" t="str">
        <f t="shared" si="16"/>
        <v/>
      </c>
      <c r="V100" s="15" t="str">
        <f>IF(OR(I100&lt;&gt;"Ja",J100=""),"",COUNTIFS($O$5:O100,O100,$U$5:U100,1))</f>
        <v/>
      </c>
      <c r="W100" s="15" t="str">
        <f t="shared" si="17"/>
        <v/>
      </c>
      <c r="X100" s="16" t="str">
        <f t="shared" si="18"/>
        <v/>
      </c>
      <c r="Y100" s="15">
        <f>IF(OR(I100&lt;&gt;"Ja",J100=""),0,IF(COUNTIFS($O$5:O100,O100,$I$5:I100,"Ja",$J$5:J100,"&lt;&gt;")=1,1,0))</f>
        <v>0</v>
      </c>
      <c r="Z100" s="15">
        <f>IF(OR(I100&lt;&gt;"Ja",J100=""),0,IF(COUNTIFS(O100:$O$546,O100,I100:$I$546,"Ja",J100:$J$546,"&lt;&gt;")=1,1,0))</f>
        <v>0</v>
      </c>
      <c r="AA100" s="15">
        <f t="shared" si="25"/>
        <v>2</v>
      </c>
      <c r="AB100" s="15" t="str">
        <f>IF(U100&lt;&gt;1,"",COUNTIF($U$5:U100,1))</f>
        <v/>
      </c>
      <c r="AC100" s="15" t="str">
        <f t="shared" si="19"/>
        <v/>
      </c>
      <c r="AD100" s="15" t="str">
        <f t="shared" si="20"/>
        <v>Minicafé</v>
      </c>
      <c r="AE100" s="15" t="str">
        <f t="shared" si="21"/>
        <v/>
      </c>
      <c r="AF100" t="str">
        <f>IF(T100="","",IFERROR(MATCH(1,INDEX((MATCHER!$B$5:$B$504=A100)*(MATCHER!$D$5:$D$504=C100)*(MATCHER!$K$5:$K$504="Ja")*(MATCHER!$C$5:$C$504&lt;E100)*(MATCHER!$M$5:$M$504&gt;D100)*(ROW(MATCHER!$A$5:$A$504)-ROW(MATCHER!$A$5)+1&gt;T100),0),0),""))</f>
        <v/>
      </c>
    </row>
    <row r="101" spans="1:32" ht="26">
      <c r="A101" s="42">
        <v>46312</v>
      </c>
      <c r="B101" s="43" t="s">
        <v>85</v>
      </c>
      <c r="C101" s="43" t="s">
        <v>110</v>
      </c>
      <c r="D101" s="44">
        <v>0.33333333333333298</v>
      </c>
      <c r="E101" s="44">
        <v>0.35416666666666702</v>
      </c>
      <c r="F101" s="45" t="str">
        <f>IF(R101="","",HOUR(INDEX(MATCHER!$C$5:$C$504,R101))&amp;":"&amp;IF(MINUTE(INDEX(MATCHER!$C$5:$C$504,R101))&lt;10,"0","")&amp;MINUTE(INDEX(MATCHER!$C$5:$C$504,R101))&amp;" "&amp;INDEX(MATCHER!$H$5:$H$504,R101)&amp;" – "&amp;INDEX(MATCHER!$I$5:$I$504,R101))&amp;IF(S101="",""," | "&amp;HOUR(INDEX(MATCHER!$C$5:$C$504,S101))&amp;":"&amp;IF(MINUTE(INDEX(MATCHER!$C$5:$C$504,S101))&lt;10,"0","")&amp;MINUTE(INDEX(MATCHER!$C$5:$C$504,S101))&amp;" "&amp;INDEX(MATCHER!$H$5:$H$504,S101)&amp;" – "&amp;INDEX(MATCHER!$I$5:$I$504,S101))&amp;IF(T101="",""," | "&amp;HOUR(INDEX(MATCHER!$C$5:$C$504,T101))&amp;":"&amp;IF(MINUTE(INDEX(MATCHER!$C$5:$C$504,T101))&lt;10,"0","")&amp;MINUTE(INDEX(MATCHER!$C$5:$C$504,T101))&amp;" "&amp;INDEX(MATCHER!$H$5:$H$504,T101)&amp;" – "&amp;INDEX(MATCHER!$I$5:$I$504,T101))&amp;IF(AF101="",""," | "&amp;HOUR(INDEX(MATCHER!$C$5:$C$504,AF101))&amp;":"&amp;IF(MINUTE(INDEX(MATCHER!$C$5:$C$504,AF101))&lt;10,"0","")&amp;MINUTE(INDEX(MATCHER!$C$5:$C$504,AF101))&amp;" "&amp;INDEX(MATCHER!$H$5:$H$504,AF101)&amp;" – "&amp;INDEX(MATCHER!$I$5:$I$504,AF101))</f>
        <v/>
      </c>
      <c r="G101" s="45" t="str">
        <f>MID(IF(R101="","",IF(OR(INDEX(MATCHER!$J$5:$J$504,R101)=""),""," / "&amp;INDEX(MATCHER!$J$5:$J$504,R101)))&amp;IF(S101="","",IF(OR(INDEX(MATCHER!$J$5:$J$504,S101)="",INDEX(MATCHER!$J$5:$J$504,S101)=IFERROR(INDEX(MATCHER!$J$5:$J$504,R101),"")),""," / "&amp;INDEX(MATCHER!$J$5:$J$504,S101)))&amp;IF(T101="","",IF(OR(INDEX(MATCHER!$J$5:$J$504,T101)="",INDEX(MATCHER!$J$5:$J$504,T101)=IFERROR(INDEX(MATCHER!$J$5:$J$504,R101),""),INDEX(MATCHER!$J$5:$J$504,T101)=IFERROR(INDEX(MATCHER!$J$5:$J$504,S101),"")),""," / "&amp;INDEX(MATCHER!$J$5:$J$504,T101)))&amp;IF(AF101="","",IF(OR(INDEX(MATCHER!$J$5:$J$504,AF101)="",INDEX(MATCHER!$J$5:$J$504,AF101)=IFERROR(INDEX(MATCHER!$J$5:$J$504,R101),""),INDEX(MATCHER!$J$5:$J$504,AF101)=IFERROR(INDEX(MATCHER!$J$5:$J$504,S101),""),INDEX(MATCHER!$J$5:$J$504,AF101)=IFERROR(INDEX(MATCHER!$J$5:$J$504,T101),"")),""," / "&amp;INDEX(MATCHER!$J$5:$J$504,AF101))),4,1000)</f>
        <v/>
      </c>
      <c r="H101" s="45" t="str">
        <f>MID(IF(COUNTIFS(MATCHER!$B$5:$B$504,A101,MATCHER!$D$5:$D$504,C101,MATCHER!$J$5:$J$504,REGLER!$I$6,MATCHER!$K$5:$K$504,"Ja")+COUNTIFS(MATCHER!$B$5:$B$504,A101,MATCHER!$D$5:$D$504,C101,MATCHER!$J$5:$J$504,REGLER!$I$6&amp;" 2",MATCHER!$K$5:$K$504,"Ja")&gt;0,", "&amp;REGLER!$I$6,"")&amp;IF(COUNTIFS(MATCHER!$B$5:$B$504,A101,MATCHER!$D$5:$D$504,C101,MATCHER!$J$5:$J$504,REGLER!$I$7,MATCHER!$K$5:$K$504,"Ja")+COUNTIFS(MATCHER!$B$5:$B$504,A101,MATCHER!$D$5:$D$504,C101,MATCHER!$J$5:$J$504,REGLER!$I$7&amp;" 2",MATCHER!$K$5:$K$504,"Ja")&gt;0,", "&amp;REGLER!$I$7,"")&amp;IF(COUNTIFS(MATCHER!$B$5:$B$504,A101,MATCHER!$D$5:$D$504,C101,MATCHER!$J$5:$J$504,REGLER!$I$8,MATCHER!$K$5:$K$504,"Ja")+COUNTIFS(MATCHER!$B$5:$B$504,A101,MATCHER!$D$5:$D$504,C101,MATCHER!$J$5:$J$504,REGLER!$I$8&amp;" 2",MATCHER!$K$5:$K$504,"Ja")&gt;0,", "&amp;REGLER!$I$8,"")&amp;IF(COUNTIFS(MATCHER!$B$5:$B$504,A101,MATCHER!$D$5:$D$504,C101,MATCHER!$J$5:$J$504,REGLER!$I$9,MATCHER!$K$5:$K$504,"Ja")+COUNTIFS(MATCHER!$B$5:$B$504,A101,MATCHER!$D$5:$D$504,C101,MATCHER!$J$5:$J$504,REGLER!$I$9&amp;" 2",MATCHER!$K$5:$K$504,"Ja")&gt;0,", "&amp;REGLER!$I$9,"")&amp;IF(COUNTIFS(MATCHER!$B$5:$B$504,A101,MATCHER!$D$5:$D$504,C101,MATCHER!$J$5:$J$504,REGLER!$I$10,MATCHER!$K$5:$K$504,"Ja")+COUNTIFS(MATCHER!$B$5:$B$504,A101,MATCHER!$D$5:$D$504,C101,MATCHER!$J$5:$J$504,REGLER!$I$10&amp;" 2",MATCHER!$K$5:$K$504,"Ja")&gt;0,", "&amp;REGLER!$I$10,"")&amp;IF(COUNTIFS(MATCHER!$B$5:$B$504,A101,MATCHER!$D$5:$D$504,C101,MATCHER!$J$5:$J$504,REGLER!$I$11,MATCHER!$K$5:$K$504,"Ja")+COUNTIFS(MATCHER!$B$5:$B$504,A101,MATCHER!$D$5:$D$504,C101,MATCHER!$J$5:$J$504,REGLER!$I$11&amp;" 2",MATCHER!$K$5:$K$504,"Ja")&gt;0,", "&amp;REGLER!$I$11,"")&amp;IF(COUNTIFS(MATCHER!$B$5:$B$504,A101,MATCHER!$D$5:$D$504,C101,MATCHER!$J$5:$J$504,REGLER!$I$12,MATCHER!$K$5:$K$504,"Ja")+COUNTIFS(MATCHER!$B$5:$B$504,A101,MATCHER!$D$5:$D$504,C101,MATCHER!$J$5:$J$504,REGLER!$I$12&amp;" 2",MATCHER!$K$5:$K$504,"Ja")&gt;0,", "&amp;REGLER!$I$12,"")&amp;IF(COUNTIFS(MATCHER!$B$5:$B$504,A101,MATCHER!$D$5:$D$504,C101,MATCHER!$J$5:$J$504,REGLER!$I$13,MATCHER!$K$5:$K$504,"Ja")+COUNTIFS(MATCHER!$B$5:$B$504,A101,MATCHER!$D$5:$D$504,C101,MATCHER!$J$5:$J$504,REGLER!$I$13&amp;" 2",MATCHER!$K$5:$K$504,"Ja")&gt;0,", "&amp;REGLER!$I$13,"")&amp;IF(COUNTIFS(MATCHER!$B$5:$B$504,A101,MATCHER!$D$5:$D$504,C101,MATCHER!$J$5:$J$504,REGLER!$I$14,MATCHER!$K$5:$K$504,"Ja")+COUNTIFS(MATCHER!$B$5:$B$504,A101,MATCHER!$D$5:$D$504,C101,MATCHER!$J$5:$J$504,REGLER!$I$14&amp;" 2",MATCHER!$K$5:$K$504,"Ja")&gt;0,", "&amp;REGLER!$I$14,"")&amp;IF(COUNTIFS(MATCHER!$B$5:$B$504,A101,MATCHER!$D$5:$D$504,C101,MATCHER!$J$5:$J$504,REGLER!$I$15,MATCHER!$K$5:$K$504,"Ja")+COUNTIFS(MATCHER!$B$5:$B$504,A101,MATCHER!$D$5:$D$504,C101,MATCHER!$J$5:$J$504,REGLER!$I$15&amp;" 2",MATCHER!$K$5:$K$504,"Ja")&gt;0,", "&amp;REGLER!$I$15,"")&amp;IF(COUNTIFS(MATCHER!$B$5:$B$504,A101,MATCHER!$D$5:$D$504,C101,MATCHER!$J$5:$J$504,REGLER!$I$16,MATCHER!$K$5:$K$504,"Ja")+COUNTIFS(MATCHER!$B$5:$B$504,A101,MATCHER!$D$5:$D$504,C101,MATCHER!$J$5:$J$504,REGLER!$I$16&amp;" 2",MATCHER!$K$5:$K$504,"Ja")&gt;0,", "&amp;REGLER!$I$16,"")&amp;IF(COUNTIFS(MATCHER!$B$5:$B$504,A101,MATCHER!$D$5:$D$504,C101,MATCHER!$J$5:$J$504,REGLER!$I$17,MATCHER!$K$5:$K$504,"Ja")+COUNTIFS(MATCHER!$B$5:$B$504,A101,MATCHER!$D$5:$D$504,C101,MATCHER!$J$5:$J$504,REGLER!$I$17&amp;" 2",MATCHER!$K$5:$K$504,"Ja")&gt;0,", "&amp;REGLER!$I$17,"")&amp;IF(COUNTIFS(MATCHER!$B$5:$B$504,A101,MATCHER!$D$5:$D$504,C101,MATCHER!$J$5:$J$504,REGLER!$I$18,MATCHER!$K$5:$K$504,"Ja")+COUNTIFS(MATCHER!$B$5:$B$504,A101,MATCHER!$D$5:$D$504,C101,MATCHER!$J$5:$J$504,REGLER!$I$18&amp;" 2",MATCHER!$K$5:$K$504,"Ja")&gt;0,", "&amp;REGLER!$I$18,"")&amp;IF(COUNTIFS(MATCHER!$B$5:$B$504,A101,MATCHER!$D$5:$D$504,C101,MATCHER!$J$5:$J$504,REGLER!$I$19,MATCHER!$K$5:$K$504,"Ja")+COUNTIFS(MATCHER!$B$5:$B$504,A101,MATCHER!$D$5:$D$504,C101,MATCHER!$J$5:$J$504,REGLER!$I$19&amp;" 2",MATCHER!$K$5:$K$504,"Ja")&gt;0,", "&amp;REGLER!$I$19,"")&amp;IF(COUNTIFS(MATCHER!$B$5:$B$504,A101,MATCHER!$D$5:$D$504,C101,MATCHER!$J$5:$J$504,REGLER!$I$20,MATCHER!$K$5:$K$504,"Ja")+COUNTIFS(MATCHER!$B$5:$B$504,A101,MATCHER!$D$5:$D$504,C101,MATCHER!$J$5:$J$504,REGLER!$I$20&amp;" 2",MATCHER!$K$5:$K$504,"Ja")&gt;0,", "&amp;REGLER!$I$20,"")&amp;IF(COUNTIFS(MATCHER!$B$5:$B$504,A101,MATCHER!$D$5:$D$504,C101,MATCHER!$J$5:$J$504,REGLER!$I$21,MATCHER!$K$5:$K$504,"Ja")+COUNTIFS(MATCHER!$B$5:$B$504,A101,MATCHER!$D$5:$D$504,C101,MATCHER!$J$5:$J$504,REGLER!$I$21&amp;" 2",MATCHER!$K$5:$K$504,"Ja")&gt;0,", "&amp;REGLER!$I$21,"")&amp;IF(COUNTIFS(MATCHER!$B$5:$B$504,A101,MATCHER!$D$5:$D$504,C101,MATCHER!$J$5:$J$504,REGLER!$I$22,MATCHER!$K$5:$K$504,"Ja")+COUNTIFS(MATCHER!$B$5:$B$504,A101,MATCHER!$D$5:$D$504,C101,MATCHER!$J$5:$J$504,REGLER!$I$22&amp;" 2",MATCHER!$K$5:$K$504,"Ja")&gt;0,", "&amp;REGLER!$I$22,"")&amp;IF(COUNTIFS(MATCHER!$B$5:$B$504,A101,MATCHER!$D$5:$D$504,C101,MATCHER!$J$5:$J$504,REGLER!$I$23,MATCHER!$K$5:$K$504,"Ja")+COUNTIFS(MATCHER!$B$5:$B$504,A101,MATCHER!$D$5:$D$504,C101,MATCHER!$J$5:$J$504,REGLER!$I$23&amp;" 2",MATCHER!$K$5:$K$504,"Ja")&gt;0,", "&amp;REGLER!$I$23,"")&amp;IF(COUNTIFS(MATCHER!$B$5:$B$504,A101,MATCHER!$D$5:$D$504,C101,MATCHER!$J$5:$J$504,REGLER!$I$24,MATCHER!$K$5:$K$504,"Ja")+COUNTIFS(MATCHER!$B$5:$B$504,A101,MATCHER!$D$5:$D$504,C101,MATCHER!$J$5:$J$504,REGLER!$I$24&amp;" 2",MATCHER!$K$5:$K$504,"Ja")&gt;0,", "&amp;REGLER!$I$24,"")&amp;IF(COUNTIFS(MATCHER!$B$5:$B$504,A101,MATCHER!$D$5:$D$504,C101,MATCHER!$J$5:$J$504,REGLER!$I$25,MATCHER!$K$5:$K$504,"Ja")+COUNTIFS(MATCHER!$B$5:$B$504,A101,MATCHER!$D$5:$D$504,C101,MATCHER!$J$5:$J$504,REGLER!$I$25&amp;" 2",MATCHER!$K$5:$K$504,"Ja")&gt;0,", "&amp;REGLER!$I$25,"")&amp;IF(COUNTIFS(MATCHER!$B$5:$B$504,A101,MATCHER!$D$5:$D$504,C101,MATCHER!$J$5:$J$504,REGLER!$I$26,MATCHER!$K$5:$K$504,"Ja")+COUNTIFS(MATCHER!$B$5:$B$504,A101,MATCHER!$D$5:$D$504,C101,MATCHER!$J$5:$J$504,REGLER!$I$26&amp;" 2",MATCHER!$K$5:$K$504,"Ja")&gt;0,", "&amp;REGLER!$I$26,""),3,1000)</f>
        <v>P10</v>
      </c>
      <c r="I101" s="46" t="s">
        <v>90</v>
      </c>
      <c r="J101" s="47" t="s">
        <v>111</v>
      </c>
      <c r="K101" s="48" t="s">
        <v>88</v>
      </c>
      <c r="L101" s="49"/>
      <c r="M101" s="50">
        <f>IF(O101&lt;&gt;O100,MAX(1,MIN(AA101,ROUNDUP(SUMPRODUCT(($O$5:$O$546=O101)*($I$5:$I$546="Ja")*($E$5:$E$546-$D$5:$D$546))*24/REGLER!$B$8,0))),"")</f>
        <v>1</v>
      </c>
      <c r="N101" s="50" t="str">
        <f t="shared" si="15"/>
        <v>Klar</v>
      </c>
      <c r="O101" s="15" t="s">
        <v>112</v>
      </c>
      <c r="P101" s="16">
        <v>0.33333333333333298</v>
      </c>
      <c r="Q101" s="16">
        <v>0.53125</v>
      </c>
      <c r="R101" s="15" t="str">
        <f>IFERROR(MATCH(1,INDEX((MATCHER!$B$5:$B$504=A101)*(MATCHER!$D$5:$D$504=C101)*(MATCHER!$K$5:$K$504="Ja")*(MATCHER!$C$5:$C$504&lt;E101)*(MATCHER!$M$5:$M$504&gt;D101),0),0),"")</f>
        <v/>
      </c>
      <c r="S101" s="15" t="str">
        <f>IF(R101="","",IFERROR(MATCH(1,INDEX((MATCHER!$B$5:$B$504=A101)*(MATCHER!$D$5:$D$504=C101)*(MATCHER!$K$5:$K$504="Ja")*(MATCHER!$C$5:$C$504&lt;E101)*(MATCHER!$M$5:$M$504&gt;D101)*(ROW(MATCHER!$A$5:$A$504)-ROW(MATCHER!$A$5)+1&gt;R101),0),0),""))</f>
        <v/>
      </c>
      <c r="T101" s="15" t="str">
        <f>IF(S101="","",IFERROR(MATCH(1,INDEX((MATCHER!$B$5:$B$504=A101)*(MATCHER!$D$5:$D$504=C101)*(MATCHER!$K$5:$K$504="Ja")*(MATCHER!$C$5:$C$504&lt;E101)*(MATCHER!$M$5:$M$504&gt;D101)*(ROW(MATCHER!$A$5:$A$504)-ROW(MATCHER!$A$5)+1&gt;S101),0),0),""))</f>
        <v/>
      </c>
      <c r="U101" s="15">
        <f t="shared" si="16"/>
        <v>1</v>
      </c>
      <c r="V101" s="15">
        <f>IF(OR(I101&lt;&gt;"Ja",J101=""),"",COUNTIFS($O$5:O101,O101,$U$5:U101,1))</f>
        <v>1</v>
      </c>
      <c r="W101" s="15" t="str">
        <f t="shared" si="17"/>
        <v>2026-10-17 | Tallbackaskolan|1</v>
      </c>
      <c r="X101" s="16" t="str">
        <f t="shared" si="18"/>
        <v/>
      </c>
      <c r="Y101" s="15">
        <f>IF(OR(I101&lt;&gt;"Ja",J101=""),0,IF(COUNTIFS($O$5:O101,O101,$I$5:I101,"Ja",$J$5:J101,"&lt;&gt;")=1,1,0))</f>
        <v>1</v>
      </c>
      <c r="Z101" s="15">
        <f>IF(OR(I101&lt;&gt;"Ja",J101=""),0,IF(COUNTIFS(O101:$O$546,O101,I101:$I$546,"Ja",J101:$J$546,"&lt;&gt;")=1,1,0))</f>
        <v>0</v>
      </c>
      <c r="AA101" s="15">
        <f>IF(COUNTIFS(MATCHER!$B$5:$B$504,A101,MATCHER!$D$5:$D$504,C101,MATCHER!$J$5:$J$504,REGLER!$I$6,MATCHER!$K$5:$K$504,"Ja")+COUNTIFS(MATCHER!$B$5:$B$504,A101,MATCHER!$D$5:$D$504,C101,MATCHER!$J$5:$J$504,REGLER!$I$6&amp;" 2",MATCHER!$K$5:$K$504,"Ja")&gt;0,1,0)+IF(COUNTIFS(MATCHER!$B$5:$B$504,A101,MATCHER!$D$5:$D$504,C101,MATCHER!$J$5:$J$504,REGLER!$I$7,MATCHER!$K$5:$K$504,"Ja")+COUNTIFS(MATCHER!$B$5:$B$504,A101,MATCHER!$D$5:$D$504,C101,MATCHER!$J$5:$J$504,REGLER!$I$7&amp;" 2",MATCHER!$K$5:$K$504,"Ja")&gt;0,1,0)+IF(COUNTIFS(MATCHER!$B$5:$B$504,A101,MATCHER!$D$5:$D$504,C101,MATCHER!$J$5:$J$504,REGLER!$I$8,MATCHER!$K$5:$K$504,"Ja")+COUNTIFS(MATCHER!$B$5:$B$504,A101,MATCHER!$D$5:$D$504,C101,MATCHER!$J$5:$J$504,REGLER!$I$8&amp;" 2",MATCHER!$K$5:$K$504,"Ja")&gt;0,1,0)+IF(COUNTIFS(MATCHER!$B$5:$B$504,A101,MATCHER!$D$5:$D$504,C101,MATCHER!$J$5:$J$504,REGLER!$I$9,MATCHER!$K$5:$K$504,"Ja")+COUNTIFS(MATCHER!$B$5:$B$504,A101,MATCHER!$D$5:$D$504,C101,MATCHER!$J$5:$J$504,REGLER!$I$9&amp;" 2",MATCHER!$K$5:$K$504,"Ja")&gt;0,1,0)+IF(COUNTIFS(MATCHER!$B$5:$B$504,A101,MATCHER!$D$5:$D$504,C101,MATCHER!$J$5:$J$504,REGLER!$I$10,MATCHER!$K$5:$K$504,"Ja")+COUNTIFS(MATCHER!$B$5:$B$504,A101,MATCHER!$D$5:$D$504,C101,MATCHER!$J$5:$J$504,REGLER!$I$10&amp;" 2",MATCHER!$K$5:$K$504,"Ja")&gt;0,1,0)+IF(COUNTIFS(MATCHER!$B$5:$B$504,A101,MATCHER!$D$5:$D$504,C101,MATCHER!$J$5:$J$504,REGLER!$I$11,MATCHER!$K$5:$K$504,"Ja")+COUNTIFS(MATCHER!$B$5:$B$504,A101,MATCHER!$D$5:$D$504,C101,MATCHER!$J$5:$J$504,REGLER!$I$11&amp;" 2",MATCHER!$K$5:$K$504,"Ja")&gt;0,1,0)+IF(COUNTIFS(MATCHER!$B$5:$B$504,A101,MATCHER!$D$5:$D$504,C101,MATCHER!$J$5:$J$504,REGLER!$I$12,MATCHER!$K$5:$K$504,"Ja")+COUNTIFS(MATCHER!$B$5:$B$504,A101,MATCHER!$D$5:$D$504,C101,MATCHER!$J$5:$J$504,REGLER!$I$12&amp;" 2",MATCHER!$K$5:$K$504,"Ja")&gt;0,1,0)+IF(COUNTIFS(MATCHER!$B$5:$B$504,A101,MATCHER!$D$5:$D$504,C101,MATCHER!$J$5:$J$504,REGLER!$I$13,MATCHER!$K$5:$K$504,"Ja")+COUNTIFS(MATCHER!$B$5:$B$504,A101,MATCHER!$D$5:$D$504,C101,MATCHER!$J$5:$J$504,REGLER!$I$13&amp;" 2",MATCHER!$K$5:$K$504,"Ja")&gt;0,1,0)+IF(COUNTIFS(MATCHER!$B$5:$B$504,A101,MATCHER!$D$5:$D$504,C101,MATCHER!$J$5:$J$504,REGLER!$I$14,MATCHER!$K$5:$K$504,"Ja")+COUNTIFS(MATCHER!$B$5:$B$504,A101,MATCHER!$D$5:$D$504,C101,MATCHER!$J$5:$J$504,REGLER!$I$14&amp;" 2",MATCHER!$K$5:$K$504,"Ja")&gt;0,1,0)+IF(COUNTIFS(MATCHER!$B$5:$B$504,A101,MATCHER!$D$5:$D$504,C101,MATCHER!$J$5:$J$504,REGLER!$I$15,MATCHER!$K$5:$K$504,"Ja")+COUNTIFS(MATCHER!$B$5:$B$504,A101,MATCHER!$D$5:$D$504,C101,MATCHER!$J$5:$J$504,REGLER!$I$15&amp;" 2",MATCHER!$K$5:$K$504,"Ja")&gt;0,1,0)+IF(COUNTIFS(MATCHER!$B$5:$B$504,A101,MATCHER!$D$5:$D$504,C101,MATCHER!$J$5:$J$504,REGLER!$I$16,MATCHER!$K$5:$K$504,"Ja")+COUNTIFS(MATCHER!$B$5:$B$504,A101,MATCHER!$D$5:$D$504,C101,MATCHER!$J$5:$J$504,REGLER!$I$16&amp;" 2",MATCHER!$K$5:$K$504,"Ja")&gt;0,1,0)+IF(COUNTIFS(MATCHER!$B$5:$B$504,A101,MATCHER!$D$5:$D$504,C101,MATCHER!$J$5:$J$504,REGLER!$I$17,MATCHER!$K$5:$K$504,"Ja")+COUNTIFS(MATCHER!$B$5:$B$504,A101,MATCHER!$D$5:$D$504,C101,MATCHER!$J$5:$J$504,REGLER!$I$17&amp;" 2",MATCHER!$K$5:$K$504,"Ja")&gt;0,1,0)+IF(COUNTIFS(MATCHER!$B$5:$B$504,A101,MATCHER!$D$5:$D$504,C101,MATCHER!$J$5:$J$504,REGLER!$I$18,MATCHER!$K$5:$K$504,"Ja")+COUNTIFS(MATCHER!$B$5:$B$504,A101,MATCHER!$D$5:$D$504,C101,MATCHER!$J$5:$J$504,REGLER!$I$18&amp;" 2",MATCHER!$K$5:$K$504,"Ja")&gt;0,1,0)+IF(COUNTIFS(MATCHER!$B$5:$B$504,A101,MATCHER!$D$5:$D$504,C101,MATCHER!$J$5:$J$504,REGLER!$I$19,MATCHER!$K$5:$K$504,"Ja")+COUNTIFS(MATCHER!$B$5:$B$504,A101,MATCHER!$D$5:$D$504,C101,MATCHER!$J$5:$J$504,REGLER!$I$19&amp;" 2",MATCHER!$K$5:$K$504,"Ja")&gt;0,1,0)+IF(COUNTIFS(MATCHER!$B$5:$B$504,A101,MATCHER!$D$5:$D$504,C101,MATCHER!$J$5:$J$504,REGLER!$I$20,MATCHER!$K$5:$K$504,"Ja")+COUNTIFS(MATCHER!$B$5:$B$504,A101,MATCHER!$D$5:$D$504,C101,MATCHER!$J$5:$J$504,REGLER!$I$20&amp;" 2",MATCHER!$K$5:$K$504,"Ja")&gt;0,1,0)+IF(COUNTIFS(MATCHER!$B$5:$B$504,A101,MATCHER!$D$5:$D$504,C101,MATCHER!$J$5:$J$504,REGLER!$I$21,MATCHER!$K$5:$K$504,"Ja")+COUNTIFS(MATCHER!$B$5:$B$504,A101,MATCHER!$D$5:$D$504,C101,MATCHER!$J$5:$J$504,REGLER!$I$21&amp;" 2",MATCHER!$K$5:$K$504,"Ja")&gt;0,1,0)+IF(COUNTIFS(MATCHER!$B$5:$B$504,A101,MATCHER!$D$5:$D$504,C101,MATCHER!$J$5:$J$504,REGLER!$I$22,MATCHER!$K$5:$K$504,"Ja")+COUNTIFS(MATCHER!$B$5:$B$504,A101,MATCHER!$D$5:$D$504,C101,MATCHER!$J$5:$J$504,REGLER!$I$22&amp;" 2",MATCHER!$K$5:$K$504,"Ja")&gt;0,1,0)+IF(COUNTIFS(MATCHER!$B$5:$B$504,A101,MATCHER!$D$5:$D$504,C101,MATCHER!$J$5:$J$504,REGLER!$I$23,MATCHER!$K$5:$K$504,"Ja")+COUNTIFS(MATCHER!$B$5:$B$504,A101,MATCHER!$D$5:$D$504,C101,MATCHER!$J$5:$J$504,REGLER!$I$23&amp;" 2",MATCHER!$K$5:$K$504,"Ja")&gt;0,1,0)+IF(COUNTIFS(MATCHER!$B$5:$B$504,A101,MATCHER!$D$5:$D$504,C101,MATCHER!$J$5:$J$504,REGLER!$I$24,MATCHER!$K$5:$K$504,"Ja")+COUNTIFS(MATCHER!$B$5:$B$504,A101,MATCHER!$D$5:$D$504,C101,MATCHER!$J$5:$J$504,REGLER!$I$24&amp;" 2",MATCHER!$K$5:$K$504,"Ja")&gt;0,1,0)+IF(COUNTIFS(MATCHER!$B$5:$B$504,A101,MATCHER!$D$5:$D$504,C101,MATCHER!$J$5:$J$504,REGLER!$I$25,MATCHER!$K$5:$K$504,"Ja")+COUNTIFS(MATCHER!$B$5:$B$504,A101,MATCHER!$D$5:$D$504,C101,MATCHER!$J$5:$J$504,REGLER!$I$25&amp;" 2",MATCHER!$K$5:$K$504,"Ja")&gt;0,1,0)+IF(COUNTIFS(MATCHER!$B$5:$B$504,A101,MATCHER!$D$5:$D$504,C101,MATCHER!$J$5:$J$504,REGLER!$I$26,MATCHER!$K$5:$K$504,"Ja")+COUNTIFS(MATCHER!$B$5:$B$504,A101,MATCHER!$D$5:$D$504,C101,MATCHER!$J$5:$J$504,REGLER!$I$26&amp;" 2",MATCHER!$K$5:$K$504,"Ja")&gt;0,1,0)</f>
        <v>1</v>
      </c>
      <c r="AB101" s="15">
        <f>IF(U101&lt;&gt;1,"",COUNTIF($U$5:U101,1))</f>
        <v>12</v>
      </c>
      <c r="AC101" s="15" t="str">
        <f t="shared" si="19"/>
        <v/>
      </c>
      <c r="AD101" s="15" t="str">
        <f t="shared" si="20"/>
        <v>Vanligt café</v>
      </c>
      <c r="AE101" s="15">
        <f t="shared" si="21"/>
        <v>4.7500000000000089</v>
      </c>
      <c r="AF101" t="str">
        <f>IF(T101="","",IFERROR(MATCH(1,INDEX((MATCHER!$B$5:$B$504=A101)*(MATCHER!$D$5:$D$504=C101)*(MATCHER!$K$5:$K$504="Ja")*(MATCHER!$C$5:$C$504&lt;E101)*(MATCHER!$M$5:$M$504&gt;D101)*(ROW(MATCHER!$A$5:$A$504)-ROW(MATCHER!$A$5)+1&gt;T101),0),0),""))</f>
        <v/>
      </c>
    </row>
    <row r="102" spans="1:32" ht="26">
      <c r="A102" s="42">
        <v>46312</v>
      </c>
      <c r="B102" s="43" t="s">
        <v>85</v>
      </c>
      <c r="C102" s="43" t="s">
        <v>110</v>
      </c>
      <c r="D102" s="44">
        <v>0.35416666666666702</v>
      </c>
      <c r="E102" s="44">
        <v>0.375</v>
      </c>
      <c r="F102" s="45" t="str">
        <f>IF(R102="","",HOUR(INDEX(MATCHER!$C$5:$C$504,R102))&amp;":"&amp;IF(MINUTE(INDEX(MATCHER!$C$5:$C$504,R102))&lt;10,"0","")&amp;MINUTE(INDEX(MATCHER!$C$5:$C$504,R102))&amp;" "&amp;INDEX(MATCHER!$H$5:$H$504,R102)&amp;" – "&amp;INDEX(MATCHER!$I$5:$I$504,R102))&amp;IF(S102="",""," | "&amp;HOUR(INDEX(MATCHER!$C$5:$C$504,S102))&amp;":"&amp;IF(MINUTE(INDEX(MATCHER!$C$5:$C$504,S102))&lt;10,"0","")&amp;MINUTE(INDEX(MATCHER!$C$5:$C$504,S102))&amp;" "&amp;INDEX(MATCHER!$H$5:$H$504,S102)&amp;" – "&amp;INDEX(MATCHER!$I$5:$I$504,S102))&amp;IF(T102="",""," | "&amp;HOUR(INDEX(MATCHER!$C$5:$C$504,T102))&amp;":"&amp;IF(MINUTE(INDEX(MATCHER!$C$5:$C$504,T102))&lt;10,"0","")&amp;MINUTE(INDEX(MATCHER!$C$5:$C$504,T102))&amp;" "&amp;INDEX(MATCHER!$H$5:$H$504,T102)&amp;" – "&amp;INDEX(MATCHER!$I$5:$I$504,T102))&amp;IF(AF102="",""," | "&amp;HOUR(INDEX(MATCHER!$C$5:$C$504,AF102))&amp;":"&amp;IF(MINUTE(INDEX(MATCHER!$C$5:$C$504,AF102))&lt;10,"0","")&amp;MINUTE(INDEX(MATCHER!$C$5:$C$504,AF102))&amp;" "&amp;INDEX(MATCHER!$H$5:$H$504,AF102)&amp;" – "&amp;INDEX(MATCHER!$I$5:$I$504,AF102))</f>
        <v/>
      </c>
      <c r="G102" s="45" t="str">
        <f>MID(IF(R102="","",IF(OR(INDEX(MATCHER!$J$5:$J$504,R102)=""),""," / "&amp;INDEX(MATCHER!$J$5:$J$504,R102)))&amp;IF(S102="","",IF(OR(INDEX(MATCHER!$J$5:$J$504,S102)="",INDEX(MATCHER!$J$5:$J$504,S102)=IFERROR(INDEX(MATCHER!$J$5:$J$504,R102),"")),""," / "&amp;INDEX(MATCHER!$J$5:$J$504,S102)))&amp;IF(T102="","",IF(OR(INDEX(MATCHER!$J$5:$J$504,T102)="",INDEX(MATCHER!$J$5:$J$504,T102)=IFERROR(INDEX(MATCHER!$J$5:$J$504,R102),""),INDEX(MATCHER!$J$5:$J$504,T102)=IFERROR(INDEX(MATCHER!$J$5:$J$504,S102),"")),""," / "&amp;INDEX(MATCHER!$J$5:$J$504,T102)))&amp;IF(AF102="","",IF(OR(INDEX(MATCHER!$J$5:$J$504,AF102)="",INDEX(MATCHER!$J$5:$J$504,AF102)=IFERROR(INDEX(MATCHER!$J$5:$J$504,R102),""),INDEX(MATCHER!$J$5:$J$504,AF102)=IFERROR(INDEX(MATCHER!$J$5:$J$504,S102),""),INDEX(MATCHER!$J$5:$J$504,AF102)=IFERROR(INDEX(MATCHER!$J$5:$J$504,T102),"")),""," / "&amp;INDEX(MATCHER!$J$5:$J$504,AF102))),4,1000)</f>
        <v/>
      </c>
      <c r="H102" s="45" t="str">
        <f t="shared" ref="H102:H110" si="26">H101</f>
        <v>P10</v>
      </c>
      <c r="I102" s="46" t="s">
        <v>90</v>
      </c>
      <c r="J102" s="47" t="s">
        <v>111</v>
      </c>
      <c r="K102" s="48"/>
      <c r="L102" s="49"/>
      <c r="M102" s="50" t="str">
        <f>IF(O102&lt;&gt;O101,MAX(1,MIN(AA102,ROUNDUP(SUMPRODUCT(($O$5:$O$546=O102)*($I$5:$I$546="Ja")*($E$5:$E$546-$D$5:$D$546))*24/REGLER!$B$8,0))),"")</f>
        <v/>
      </c>
      <c r="N102" s="50" t="str">
        <f t="shared" si="15"/>
        <v>Klar</v>
      </c>
      <c r="O102" s="15" t="s">
        <v>112</v>
      </c>
      <c r="P102" s="16">
        <v>0.33333333333333298</v>
      </c>
      <c r="Q102" s="16">
        <v>0.53125</v>
      </c>
      <c r="R102" s="15" t="str">
        <f>IFERROR(MATCH(1,INDEX((MATCHER!$B$5:$B$504=A102)*(MATCHER!$D$5:$D$504=C102)*(MATCHER!$K$5:$K$504="Ja")*(MATCHER!$C$5:$C$504&lt;E102)*(MATCHER!$M$5:$M$504&gt;D102),0),0),"")</f>
        <v/>
      </c>
      <c r="S102" s="15" t="str">
        <f>IF(R102="","",IFERROR(MATCH(1,INDEX((MATCHER!$B$5:$B$504=A102)*(MATCHER!$D$5:$D$504=C102)*(MATCHER!$K$5:$K$504="Ja")*(MATCHER!$C$5:$C$504&lt;E102)*(MATCHER!$M$5:$M$504&gt;D102)*(ROW(MATCHER!$A$5:$A$504)-ROW(MATCHER!$A$5)+1&gt;R102),0),0),""))</f>
        <v/>
      </c>
      <c r="T102" s="15" t="str">
        <f>IF(S102="","",IFERROR(MATCH(1,INDEX((MATCHER!$B$5:$B$504=A102)*(MATCHER!$D$5:$D$504=C102)*(MATCHER!$K$5:$K$504="Ja")*(MATCHER!$C$5:$C$504&lt;E102)*(MATCHER!$M$5:$M$504&gt;D102)*(ROW(MATCHER!$A$5:$A$504)-ROW(MATCHER!$A$5)+1&gt;S102),0),0),""))</f>
        <v/>
      </c>
      <c r="U102" s="15">
        <f t="shared" si="16"/>
        <v>0</v>
      </c>
      <c r="V102" s="15">
        <f>IF(OR(I102&lt;&gt;"Ja",J102=""),"",COUNTIFS($O$5:O102,O102,$U$5:U102,1))</f>
        <v>1</v>
      </c>
      <c r="W102" s="15" t="str">
        <f t="shared" si="17"/>
        <v>2026-10-17 | Tallbackaskolan|1</v>
      </c>
      <c r="X102" s="16" t="str">
        <f t="shared" si="18"/>
        <v/>
      </c>
      <c r="Y102" s="15">
        <f>IF(OR(I102&lt;&gt;"Ja",J102=""),0,IF(COUNTIFS($O$5:O102,O102,$I$5:I102,"Ja",$J$5:J102,"&lt;&gt;")=1,1,0))</f>
        <v>0</v>
      </c>
      <c r="Z102" s="15">
        <f>IF(OR(I102&lt;&gt;"Ja",J102=""),0,IF(COUNTIFS(O102:$O$546,O102,I102:$I$546,"Ja",J102:$J$546,"&lt;&gt;")=1,1,0))</f>
        <v>0</v>
      </c>
      <c r="AA102" s="15">
        <f t="shared" ref="AA102:AA110" si="27">AA101</f>
        <v>1</v>
      </c>
      <c r="AB102" s="15" t="str">
        <f>IF(U102&lt;&gt;1,"",COUNTIF($U$5:U102,1))</f>
        <v/>
      </c>
      <c r="AC102" s="15" t="str">
        <f t="shared" si="19"/>
        <v/>
      </c>
      <c r="AD102" s="15" t="str">
        <f t="shared" si="20"/>
        <v>Vanligt café</v>
      </c>
      <c r="AE102" s="15" t="str">
        <f t="shared" si="21"/>
        <v/>
      </c>
      <c r="AF102" t="str">
        <f>IF(T102="","",IFERROR(MATCH(1,INDEX((MATCHER!$B$5:$B$504=A102)*(MATCHER!$D$5:$D$504=C102)*(MATCHER!$K$5:$K$504="Ja")*(MATCHER!$C$5:$C$504&lt;E102)*(MATCHER!$M$5:$M$504&gt;D102)*(ROW(MATCHER!$A$5:$A$504)-ROW(MATCHER!$A$5)+1&gt;T102),0),0),""))</f>
        <v/>
      </c>
    </row>
    <row r="103" spans="1:32" ht="26">
      <c r="A103" s="42">
        <v>46312</v>
      </c>
      <c r="B103" s="43" t="s">
        <v>85</v>
      </c>
      <c r="C103" s="43" t="s">
        <v>110</v>
      </c>
      <c r="D103" s="44">
        <v>0.375</v>
      </c>
      <c r="E103" s="44">
        <v>0.39583333333333298</v>
      </c>
      <c r="F103" s="45" t="str">
        <f>IF(R103="","",HOUR(INDEX(MATCHER!$C$5:$C$504,R103))&amp;":"&amp;IF(MINUTE(INDEX(MATCHER!$C$5:$C$504,R103))&lt;10,"0","")&amp;MINUTE(INDEX(MATCHER!$C$5:$C$504,R103))&amp;" "&amp;INDEX(MATCHER!$H$5:$H$504,R103)&amp;" – "&amp;INDEX(MATCHER!$I$5:$I$504,R103))&amp;IF(S103="",""," | "&amp;HOUR(INDEX(MATCHER!$C$5:$C$504,S103))&amp;":"&amp;IF(MINUTE(INDEX(MATCHER!$C$5:$C$504,S103))&lt;10,"0","")&amp;MINUTE(INDEX(MATCHER!$C$5:$C$504,S103))&amp;" "&amp;INDEX(MATCHER!$H$5:$H$504,S103)&amp;" – "&amp;INDEX(MATCHER!$I$5:$I$504,S103))&amp;IF(T103="",""," | "&amp;HOUR(INDEX(MATCHER!$C$5:$C$504,T103))&amp;":"&amp;IF(MINUTE(INDEX(MATCHER!$C$5:$C$504,T103))&lt;10,"0","")&amp;MINUTE(INDEX(MATCHER!$C$5:$C$504,T103))&amp;" "&amp;INDEX(MATCHER!$H$5:$H$504,T103)&amp;" – "&amp;INDEX(MATCHER!$I$5:$I$504,T103))&amp;IF(AF103="",""," | "&amp;HOUR(INDEX(MATCHER!$C$5:$C$504,AF103))&amp;":"&amp;IF(MINUTE(INDEX(MATCHER!$C$5:$C$504,AF103))&lt;10,"0","")&amp;MINUTE(INDEX(MATCHER!$C$5:$C$504,AF103))&amp;" "&amp;INDEX(MATCHER!$H$5:$H$504,AF103)&amp;" – "&amp;INDEX(MATCHER!$I$5:$I$504,AF103))</f>
        <v>9:00 HK Cliff Blå – Spånga HK 1</v>
      </c>
      <c r="G103" s="45" t="str">
        <f>MID(IF(R103="","",IF(OR(INDEX(MATCHER!$J$5:$J$504,R103)=""),""," / "&amp;INDEX(MATCHER!$J$5:$J$504,R103)))&amp;IF(S103="","",IF(OR(INDEX(MATCHER!$J$5:$J$504,S103)="",INDEX(MATCHER!$J$5:$J$504,S103)=IFERROR(INDEX(MATCHER!$J$5:$J$504,R103),"")),""," / "&amp;INDEX(MATCHER!$J$5:$J$504,S103)))&amp;IF(T103="","",IF(OR(INDEX(MATCHER!$J$5:$J$504,T103)="",INDEX(MATCHER!$J$5:$J$504,T103)=IFERROR(INDEX(MATCHER!$J$5:$J$504,R103),""),INDEX(MATCHER!$J$5:$J$504,T103)=IFERROR(INDEX(MATCHER!$J$5:$J$504,S103),"")),""," / "&amp;INDEX(MATCHER!$J$5:$J$504,T103)))&amp;IF(AF103="","",IF(OR(INDEX(MATCHER!$J$5:$J$504,AF103)="",INDEX(MATCHER!$J$5:$J$504,AF103)=IFERROR(INDEX(MATCHER!$J$5:$J$504,R103),""),INDEX(MATCHER!$J$5:$J$504,AF103)=IFERROR(INDEX(MATCHER!$J$5:$J$504,S103),""),INDEX(MATCHER!$J$5:$J$504,AF103)=IFERROR(INDEX(MATCHER!$J$5:$J$504,T103),"")),""," / "&amp;INDEX(MATCHER!$J$5:$J$504,AF103))),4,1000)</f>
        <v/>
      </c>
      <c r="H103" s="45" t="str">
        <f t="shared" si="26"/>
        <v>P10</v>
      </c>
      <c r="I103" s="46" t="s">
        <v>90</v>
      </c>
      <c r="J103" s="47" t="s">
        <v>111</v>
      </c>
      <c r="K103" s="48"/>
      <c r="L103" s="49"/>
      <c r="M103" s="50" t="str">
        <f>IF(O103&lt;&gt;O102,MAX(1,MIN(AA103,ROUNDUP(SUMPRODUCT(($O$5:$O$546=O103)*($I$5:$I$546="Ja")*($E$5:$E$546-$D$5:$D$546))*24/REGLER!$B$8,0))),"")</f>
        <v/>
      </c>
      <c r="N103" s="50" t="str">
        <f t="shared" si="15"/>
        <v>Klar</v>
      </c>
      <c r="O103" s="15" t="s">
        <v>112</v>
      </c>
      <c r="P103" s="16">
        <v>0.33333333333333298</v>
      </c>
      <c r="Q103" s="16">
        <v>0.53125</v>
      </c>
      <c r="R103" s="15">
        <f>IFERROR(MATCH(1,INDEX((MATCHER!$B$5:$B$504=A103)*(MATCHER!$D$5:$D$504=C103)*(MATCHER!$K$5:$K$504="Ja")*(MATCHER!$C$5:$C$504&lt;E103)*(MATCHER!$M$5:$M$504&gt;D103),0),0),"")</f>
        <v>30</v>
      </c>
      <c r="S103" s="15" t="str">
        <f>IF(R103="","",IFERROR(MATCH(1,INDEX((MATCHER!$B$5:$B$504=A103)*(MATCHER!$D$5:$D$504=C103)*(MATCHER!$K$5:$K$504="Ja")*(MATCHER!$C$5:$C$504&lt;E103)*(MATCHER!$M$5:$M$504&gt;D103)*(ROW(MATCHER!$A$5:$A$504)-ROW(MATCHER!$A$5)+1&gt;R103),0),0),""))</f>
        <v/>
      </c>
      <c r="T103" s="15" t="str">
        <f>IF(S103="","",IFERROR(MATCH(1,INDEX((MATCHER!$B$5:$B$504=A103)*(MATCHER!$D$5:$D$504=C103)*(MATCHER!$K$5:$K$504="Ja")*(MATCHER!$C$5:$C$504&lt;E103)*(MATCHER!$M$5:$M$504&gt;D103)*(ROW(MATCHER!$A$5:$A$504)-ROW(MATCHER!$A$5)+1&gt;S103),0),0),""))</f>
        <v/>
      </c>
      <c r="U103" s="15">
        <f t="shared" si="16"/>
        <v>0</v>
      </c>
      <c r="V103" s="15">
        <f>IF(OR(I103&lt;&gt;"Ja",J103=""),"",COUNTIFS($O$5:O103,O103,$U$5:U103,1))</f>
        <v>1</v>
      </c>
      <c r="W103" s="15" t="str">
        <f t="shared" si="17"/>
        <v>2026-10-17 | Tallbackaskolan|1</v>
      </c>
      <c r="X103" s="16" t="str">
        <f t="shared" si="18"/>
        <v/>
      </c>
      <c r="Y103" s="15">
        <f>IF(OR(I103&lt;&gt;"Ja",J103=""),0,IF(COUNTIFS($O$5:O103,O103,$I$5:I103,"Ja",$J$5:J103,"&lt;&gt;")=1,1,0))</f>
        <v>0</v>
      </c>
      <c r="Z103" s="15">
        <f>IF(OR(I103&lt;&gt;"Ja",J103=""),0,IF(COUNTIFS(O103:$O$546,O103,I103:$I$546,"Ja",J103:$J$546,"&lt;&gt;")=1,1,0))</f>
        <v>0</v>
      </c>
      <c r="AA103" s="15">
        <f t="shared" si="27"/>
        <v>1</v>
      </c>
      <c r="AB103" s="15" t="str">
        <f>IF(U103&lt;&gt;1,"",COUNTIF($U$5:U103,1))</f>
        <v/>
      </c>
      <c r="AC103" s="15" t="str">
        <f t="shared" si="19"/>
        <v/>
      </c>
      <c r="AD103" s="15" t="str">
        <f t="shared" si="20"/>
        <v>Vanligt café</v>
      </c>
      <c r="AE103" s="15" t="str">
        <f t="shared" si="21"/>
        <v/>
      </c>
      <c r="AF103" t="str">
        <f>IF(T103="","",IFERROR(MATCH(1,INDEX((MATCHER!$B$5:$B$504=A103)*(MATCHER!$D$5:$D$504=C103)*(MATCHER!$K$5:$K$504="Ja")*(MATCHER!$C$5:$C$504&lt;E103)*(MATCHER!$M$5:$M$504&gt;D103)*(ROW(MATCHER!$A$5:$A$504)-ROW(MATCHER!$A$5)+1&gt;T103),0),0),""))</f>
        <v/>
      </c>
    </row>
    <row r="104" spans="1:32" ht="26">
      <c r="A104" s="42">
        <v>46312</v>
      </c>
      <c r="B104" s="43" t="s">
        <v>85</v>
      </c>
      <c r="C104" s="43" t="s">
        <v>110</v>
      </c>
      <c r="D104" s="44">
        <v>0.39583333333333298</v>
      </c>
      <c r="E104" s="44">
        <v>0.41666666666666702</v>
      </c>
      <c r="F104" s="45" t="str">
        <f>IF(R104="","",HOUR(INDEX(MATCHER!$C$5:$C$504,R104))&amp;":"&amp;IF(MINUTE(INDEX(MATCHER!$C$5:$C$504,R104))&lt;10,"0","")&amp;MINUTE(INDEX(MATCHER!$C$5:$C$504,R104))&amp;" "&amp;INDEX(MATCHER!$H$5:$H$504,R104)&amp;" – "&amp;INDEX(MATCHER!$I$5:$I$504,R104))&amp;IF(S104="",""," | "&amp;HOUR(INDEX(MATCHER!$C$5:$C$504,S104))&amp;":"&amp;IF(MINUTE(INDEX(MATCHER!$C$5:$C$504,S104))&lt;10,"0","")&amp;MINUTE(INDEX(MATCHER!$C$5:$C$504,S104))&amp;" "&amp;INDEX(MATCHER!$H$5:$H$504,S104)&amp;" – "&amp;INDEX(MATCHER!$I$5:$I$504,S104))&amp;IF(T104="",""," | "&amp;HOUR(INDEX(MATCHER!$C$5:$C$504,T104))&amp;":"&amp;IF(MINUTE(INDEX(MATCHER!$C$5:$C$504,T104))&lt;10,"0","")&amp;MINUTE(INDEX(MATCHER!$C$5:$C$504,T104))&amp;" "&amp;INDEX(MATCHER!$H$5:$H$504,T104)&amp;" – "&amp;INDEX(MATCHER!$I$5:$I$504,T104))&amp;IF(AF104="",""," | "&amp;HOUR(INDEX(MATCHER!$C$5:$C$504,AF104))&amp;":"&amp;IF(MINUTE(INDEX(MATCHER!$C$5:$C$504,AF104))&lt;10,"0","")&amp;MINUTE(INDEX(MATCHER!$C$5:$C$504,AF104))&amp;" "&amp;INDEX(MATCHER!$H$5:$H$504,AF104)&amp;" – "&amp;INDEX(MATCHER!$I$5:$I$504,AF104))</f>
        <v>9:45 HK Cliff Gul – Spånga HK 2</v>
      </c>
      <c r="G104" s="45" t="str">
        <f>MID(IF(R104="","",IF(OR(INDEX(MATCHER!$J$5:$J$504,R104)=""),""," / "&amp;INDEX(MATCHER!$J$5:$J$504,R104)))&amp;IF(S104="","",IF(OR(INDEX(MATCHER!$J$5:$J$504,S104)="",INDEX(MATCHER!$J$5:$J$504,S104)=IFERROR(INDEX(MATCHER!$J$5:$J$504,R104),"")),""," / "&amp;INDEX(MATCHER!$J$5:$J$504,S104)))&amp;IF(T104="","",IF(OR(INDEX(MATCHER!$J$5:$J$504,T104)="",INDEX(MATCHER!$J$5:$J$504,T104)=IFERROR(INDEX(MATCHER!$J$5:$J$504,R104),""),INDEX(MATCHER!$J$5:$J$504,T104)=IFERROR(INDEX(MATCHER!$J$5:$J$504,S104),"")),""," / "&amp;INDEX(MATCHER!$J$5:$J$504,T104)))&amp;IF(AF104="","",IF(OR(INDEX(MATCHER!$J$5:$J$504,AF104)="",INDEX(MATCHER!$J$5:$J$504,AF104)=IFERROR(INDEX(MATCHER!$J$5:$J$504,R104),""),INDEX(MATCHER!$J$5:$J$504,AF104)=IFERROR(INDEX(MATCHER!$J$5:$J$504,S104),""),INDEX(MATCHER!$J$5:$J$504,AF104)=IFERROR(INDEX(MATCHER!$J$5:$J$504,T104),"")),""," / "&amp;INDEX(MATCHER!$J$5:$J$504,AF104))),4,1000)</f>
        <v/>
      </c>
      <c r="H104" s="45" t="str">
        <f t="shared" si="26"/>
        <v>P10</v>
      </c>
      <c r="I104" s="46" t="s">
        <v>90</v>
      </c>
      <c r="J104" s="47" t="s">
        <v>111</v>
      </c>
      <c r="K104" s="48"/>
      <c r="L104" s="49"/>
      <c r="M104" s="50" t="str">
        <f>IF(O104&lt;&gt;O103,MAX(1,MIN(AA104,ROUNDUP(SUMPRODUCT(($O$5:$O$546=O104)*($I$5:$I$546="Ja")*($E$5:$E$546-$D$5:$D$546))*24/REGLER!$B$8,0))),"")</f>
        <v/>
      </c>
      <c r="N104" s="50" t="str">
        <f t="shared" si="15"/>
        <v>Klar</v>
      </c>
      <c r="O104" s="15" t="s">
        <v>112</v>
      </c>
      <c r="P104" s="16">
        <v>0.33333333333333298</v>
      </c>
      <c r="Q104" s="16">
        <v>0.53125</v>
      </c>
      <c r="R104" s="15">
        <f>IFERROR(MATCH(1,INDEX((MATCHER!$B$5:$B$504=A104)*(MATCHER!$D$5:$D$504=C104)*(MATCHER!$K$5:$K$504="Ja")*(MATCHER!$C$5:$C$504&lt;E104)*(MATCHER!$M$5:$M$504&gt;D104),0),0),"")</f>
        <v>31</v>
      </c>
      <c r="S104" s="15" t="str">
        <f>IF(R104="","",IFERROR(MATCH(1,INDEX((MATCHER!$B$5:$B$504=A104)*(MATCHER!$D$5:$D$504=C104)*(MATCHER!$K$5:$K$504="Ja")*(MATCHER!$C$5:$C$504&lt;E104)*(MATCHER!$M$5:$M$504&gt;D104)*(ROW(MATCHER!$A$5:$A$504)-ROW(MATCHER!$A$5)+1&gt;R104),0),0),""))</f>
        <v/>
      </c>
      <c r="T104" s="15" t="str">
        <f>IF(S104="","",IFERROR(MATCH(1,INDEX((MATCHER!$B$5:$B$504=A104)*(MATCHER!$D$5:$D$504=C104)*(MATCHER!$K$5:$K$504="Ja")*(MATCHER!$C$5:$C$504&lt;E104)*(MATCHER!$M$5:$M$504&gt;D104)*(ROW(MATCHER!$A$5:$A$504)-ROW(MATCHER!$A$5)+1&gt;S104),0),0),""))</f>
        <v/>
      </c>
      <c r="U104" s="15">
        <f t="shared" si="16"/>
        <v>0</v>
      </c>
      <c r="V104" s="15">
        <f>IF(OR(I104&lt;&gt;"Ja",J104=""),"",COUNTIFS($O$5:O104,O104,$U$5:U104,1))</f>
        <v>1</v>
      </c>
      <c r="W104" s="15" t="str">
        <f t="shared" si="17"/>
        <v>2026-10-17 | Tallbackaskolan|1</v>
      </c>
      <c r="X104" s="16" t="str">
        <f t="shared" si="18"/>
        <v/>
      </c>
      <c r="Y104" s="15">
        <f>IF(OR(I104&lt;&gt;"Ja",J104=""),0,IF(COUNTIFS($O$5:O104,O104,$I$5:I104,"Ja",$J$5:J104,"&lt;&gt;")=1,1,0))</f>
        <v>0</v>
      </c>
      <c r="Z104" s="15">
        <f>IF(OR(I104&lt;&gt;"Ja",J104=""),0,IF(COUNTIFS(O104:$O$546,O104,I104:$I$546,"Ja",J104:$J$546,"&lt;&gt;")=1,1,0))</f>
        <v>0</v>
      </c>
      <c r="AA104" s="15">
        <f t="shared" si="27"/>
        <v>1</v>
      </c>
      <c r="AB104" s="15" t="str">
        <f>IF(U104&lt;&gt;1,"",COUNTIF($U$5:U104,1))</f>
        <v/>
      </c>
      <c r="AC104" s="15" t="str">
        <f t="shared" si="19"/>
        <v/>
      </c>
      <c r="AD104" s="15" t="str">
        <f t="shared" si="20"/>
        <v>Vanligt café</v>
      </c>
      <c r="AE104" s="15" t="str">
        <f t="shared" si="21"/>
        <v/>
      </c>
      <c r="AF104" t="str">
        <f>IF(T104="","",IFERROR(MATCH(1,INDEX((MATCHER!$B$5:$B$504=A104)*(MATCHER!$D$5:$D$504=C104)*(MATCHER!$K$5:$K$504="Ja")*(MATCHER!$C$5:$C$504&lt;E104)*(MATCHER!$M$5:$M$504&gt;D104)*(ROW(MATCHER!$A$5:$A$504)-ROW(MATCHER!$A$5)+1&gt;T104),0),0),""))</f>
        <v/>
      </c>
    </row>
    <row r="105" spans="1:32" ht="26">
      <c r="A105" s="42">
        <v>46312</v>
      </c>
      <c r="B105" s="43" t="s">
        <v>85</v>
      </c>
      <c r="C105" s="43" t="s">
        <v>110</v>
      </c>
      <c r="D105" s="44">
        <v>0.41666666666666702</v>
      </c>
      <c r="E105" s="44">
        <v>0.4375</v>
      </c>
      <c r="F105" s="45" t="str">
        <f>IF(R105="","",HOUR(INDEX(MATCHER!$C$5:$C$504,R105))&amp;":"&amp;IF(MINUTE(INDEX(MATCHER!$C$5:$C$504,R105))&lt;10,"0","")&amp;MINUTE(INDEX(MATCHER!$C$5:$C$504,R105))&amp;" "&amp;INDEX(MATCHER!$H$5:$H$504,R105)&amp;" – "&amp;INDEX(MATCHER!$I$5:$I$504,R105))&amp;IF(S105="",""," | "&amp;HOUR(INDEX(MATCHER!$C$5:$C$504,S105))&amp;":"&amp;IF(MINUTE(INDEX(MATCHER!$C$5:$C$504,S105))&lt;10,"0","")&amp;MINUTE(INDEX(MATCHER!$C$5:$C$504,S105))&amp;" "&amp;INDEX(MATCHER!$H$5:$H$504,S105)&amp;" – "&amp;INDEX(MATCHER!$I$5:$I$504,S105))&amp;IF(T105="",""," | "&amp;HOUR(INDEX(MATCHER!$C$5:$C$504,T105))&amp;":"&amp;IF(MINUTE(INDEX(MATCHER!$C$5:$C$504,T105))&lt;10,"0","")&amp;MINUTE(INDEX(MATCHER!$C$5:$C$504,T105))&amp;" "&amp;INDEX(MATCHER!$H$5:$H$504,T105)&amp;" – "&amp;INDEX(MATCHER!$I$5:$I$504,T105))&amp;IF(AF105="",""," | "&amp;HOUR(INDEX(MATCHER!$C$5:$C$504,AF105))&amp;":"&amp;IF(MINUTE(INDEX(MATCHER!$C$5:$C$504,AF105))&lt;10,"0","")&amp;MINUTE(INDEX(MATCHER!$C$5:$C$504,AF105))&amp;" "&amp;INDEX(MATCHER!$H$5:$H$504,AF105)&amp;" – "&amp;INDEX(MATCHER!$I$5:$I$504,AF105))</f>
        <v>9:45 HK Cliff Gul – Spånga HK 2</v>
      </c>
      <c r="G105" s="45" t="str">
        <f>MID(IF(R105="","",IF(OR(INDEX(MATCHER!$J$5:$J$504,R105)=""),""," / "&amp;INDEX(MATCHER!$J$5:$J$504,R105)))&amp;IF(S105="","",IF(OR(INDEX(MATCHER!$J$5:$J$504,S105)="",INDEX(MATCHER!$J$5:$J$504,S105)=IFERROR(INDEX(MATCHER!$J$5:$J$504,R105),"")),""," / "&amp;INDEX(MATCHER!$J$5:$J$504,S105)))&amp;IF(T105="","",IF(OR(INDEX(MATCHER!$J$5:$J$504,T105)="",INDEX(MATCHER!$J$5:$J$504,T105)=IFERROR(INDEX(MATCHER!$J$5:$J$504,R105),""),INDEX(MATCHER!$J$5:$J$504,T105)=IFERROR(INDEX(MATCHER!$J$5:$J$504,S105),"")),""," / "&amp;INDEX(MATCHER!$J$5:$J$504,T105)))&amp;IF(AF105="","",IF(OR(INDEX(MATCHER!$J$5:$J$504,AF105)="",INDEX(MATCHER!$J$5:$J$504,AF105)=IFERROR(INDEX(MATCHER!$J$5:$J$504,R105),""),INDEX(MATCHER!$J$5:$J$504,AF105)=IFERROR(INDEX(MATCHER!$J$5:$J$504,S105),""),INDEX(MATCHER!$J$5:$J$504,AF105)=IFERROR(INDEX(MATCHER!$J$5:$J$504,T105),"")),""," / "&amp;INDEX(MATCHER!$J$5:$J$504,AF105))),4,1000)</f>
        <v/>
      </c>
      <c r="H105" s="45" t="str">
        <f t="shared" si="26"/>
        <v>P10</v>
      </c>
      <c r="I105" s="46" t="s">
        <v>90</v>
      </c>
      <c r="J105" s="47" t="s">
        <v>111</v>
      </c>
      <c r="K105" s="48"/>
      <c r="L105" s="49"/>
      <c r="M105" s="50" t="str">
        <f>IF(O105&lt;&gt;O104,MAX(1,MIN(AA105,ROUNDUP(SUMPRODUCT(($O$5:$O$546=O105)*($I$5:$I$546="Ja")*($E$5:$E$546-$D$5:$D$546))*24/REGLER!$B$8,0))),"")</f>
        <v/>
      </c>
      <c r="N105" s="50" t="str">
        <f t="shared" si="15"/>
        <v>Klar</v>
      </c>
      <c r="O105" s="15" t="s">
        <v>112</v>
      </c>
      <c r="P105" s="16">
        <v>0.33333333333333298</v>
      </c>
      <c r="Q105" s="16">
        <v>0.53125</v>
      </c>
      <c r="R105" s="15">
        <f>IFERROR(MATCH(1,INDEX((MATCHER!$B$5:$B$504=A105)*(MATCHER!$D$5:$D$504=C105)*(MATCHER!$K$5:$K$504="Ja")*(MATCHER!$C$5:$C$504&lt;E105)*(MATCHER!$M$5:$M$504&gt;D105),0),0),"")</f>
        <v>31</v>
      </c>
      <c r="S105" s="15" t="str">
        <f>IF(R105="","",IFERROR(MATCH(1,INDEX((MATCHER!$B$5:$B$504=A105)*(MATCHER!$D$5:$D$504=C105)*(MATCHER!$K$5:$K$504="Ja")*(MATCHER!$C$5:$C$504&lt;E105)*(MATCHER!$M$5:$M$504&gt;D105)*(ROW(MATCHER!$A$5:$A$504)-ROW(MATCHER!$A$5)+1&gt;R105),0),0),""))</f>
        <v/>
      </c>
      <c r="T105" s="15" t="str">
        <f>IF(S105="","",IFERROR(MATCH(1,INDEX((MATCHER!$B$5:$B$504=A105)*(MATCHER!$D$5:$D$504=C105)*(MATCHER!$K$5:$K$504="Ja")*(MATCHER!$C$5:$C$504&lt;E105)*(MATCHER!$M$5:$M$504&gt;D105)*(ROW(MATCHER!$A$5:$A$504)-ROW(MATCHER!$A$5)+1&gt;S105),0),0),""))</f>
        <v/>
      </c>
      <c r="U105" s="15">
        <f t="shared" si="16"/>
        <v>0</v>
      </c>
      <c r="V105" s="15">
        <f>IF(OR(I105&lt;&gt;"Ja",J105=""),"",COUNTIFS($O$5:O105,O105,$U$5:U105,1))</f>
        <v>1</v>
      </c>
      <c r="W105" s="15" t="str">
        <f t="shared" si="17"/>
        <v>2026-10-17 | Tallbackaskolan|1</v>
      </c>
      <c r="X105" s="16" t="str">
        <f t="shared" si="18"/>
        <v/>
      </c>
      <c r="Y105" s="15">
        <f>IF(OR(I105&lt;&gt;"Ja",J105=""),0,IF(COUNTIFS($O$5:O105,O105,$I$5:I105,"Ja",$J$5:J105,"&lt;&gt;")=1,1,0))</f>
        <v>0</v>
      </c>
      <c r="Z105" s="15">
        <f>IF(OR(I105&lt;&gt;"Ja",J105=""),0,IF(COUNTIFS(O105:$O$546,O105,I105:$I$546,"Ja",J105:$J$546,"&lt;&gt;")=1,1,0))</f>
        <v>0</v>
      </c>
      <c r="AA105" s="15">
        <f t="shared" si="27"/>
        <v>1</v>
      </c>
      <c r="AB105" s="15" t="str">
        <f>IF(U105&lt;&gt;1,"",COUNTIF($U$5:U105,1))</f>
        <v/>
      </c>
      <c r="AC105" s="15" t="str">
        <f t="shared" si="19"/>
        <v/>
      </c>
      <c r="AD105" s="15" t="str">
        <f t="shared" si="20"/>
        <v>Vanligt café</v>
      </c>
      <c r="AE105" s="15" t="str">
        <f t="shared" si="21"/>
        <v/>
      </c>
      <c r="AF105" t="str">
        <f>IF(T105="","",IFERROR(MATCH(1,INDEX((MATCHER!$B$5:$B$504=A105)*(MATCHER!$D$5:$D$504=C105)*(MATCHER!$K$5:$K$504="Ja")*(MATCHER!$C$5:$C$504&lt;E105)*(MATCHER!$M$5:$M$504&gt;D105)*(ROW(MATCHER!$A$5:$A$504)-ROW(MATCHER!$A$5)+1&gt;T105),0),0),""))</f>
        <v/>
      </c>
    </row>
    <row r="106" spans="1:32" ht="26">
      <c r="A106" s="42">
        <v>46312</v>
      </c>
      <c r="B106" s="43" t="s">
        <v>85</v>
      </c>
      <c r="C106" s="43" t="s">
        <v>110</v>
      </c>
      <c r="D106" s="44">
        <v>0.4375</v>
      </c>
      <c r="E106" s="44">
        <v>0.45833333333333298</v>
      </c>
      <c r="F106" s="45" t="str">
        <f>IF(R106="","",HOUR(INDEX(MATCHER!$C$5:$C$504,R106))&amp;":"&amp;IF(MINUTE(INDEX(MATCHER!$C$5:$C$504,R106))&lt;10,"0","")&amp;MINUTE(INDEX(MATCHER!$C$5:$C$504,R106))&amp;" "&amp;INDEX(MATCHER!$H$5:$H$504,R106)&amp;" – "&amp;INDEX(MATCHER!$I$5:$I$504,R106))&amp;IF(S106="",""," | "&amp;HOUR(INDEX(MATCHER!$C$5:$C$504,S106))&amp;":"&amp;IF(MINUTE(INDEX(MATCHER!$C$5:$C$504,S106))&lt;10,"0","")&amp;MINUTE(INDEX(MATCHER!$C$5:$C$504,S106))&amp;" "&amp;INDEX(MATCHER!$H$5:$H$504,S106)&amp;" – "&amp;INDEX(MATCHER!$I$5:$I$504,S106))&amp;IF(T106="",""," | "&amp;HOUR(INDEX(MATCHER!$C$5:$C$504,T106))&amp;":"&amp;IF(MINUTE(INDEX(MATCHER!$C$5:$C$504,T106))&lt;10,"0","")&amp;MINUTE(INDEX(MATCHER!$C$5:$C$504,T106))&amp;" "&amp;INDEX(MATCHER!$H$5:$H$504,T106)&amp;" – "&amp;INDEX(MATCHER!$I$5:$I$504,T106))&amp;IF(AF106="",""," | "&amp;HOUR(INDEX(MATCHER!$C$5:$C$504,AF106))&amp;":"&amp;IF(MINUTE(INDEX(MATCHER!$C$5:$C$504,AF106))&lt;10,"0","")&amp;MINUTE(INDEX(MATCHER!$C$5:$C$504,AF106))&amp;" "&amp;INDEX(MATCHER!$H$5:$H$504,AF106)&amp;" – "&amp;INDEX(MATCHER!$I$5:$I$504,AF106))</f>
        <v>10:30 AIK – Spånga HK 1</v>
      </c>
      <c r="G106" s="45" t="str">
        <f>MID(IF(R106="","",IF(OR(INDEX(MATCHER!$J$5:$J$504,R106)=""),""," / "&amp;INDEX(MATCHER!$J$5:$J$504,R106)))&amp;IF(S106="","",IF(OR(INDEX(MATCHER!$J$5:$J$504,S106)="",INDEX(MATCHER!$J$5:$J$504,S106)=IFERROR(INDEX(MATCHER!$J$5:$J$504,R106),"")),""," / "&amp;INDEX(MATCHER!$J$5:$J$504,S106)))&amp;IF(T106="","",IF(OR(INDEX(MATCHER!$J$5:$J$504,T106)="",INDEX(MATCHER!$J$5:$J$504,T106)=IFERROR(INDEX(MATCHER!$J$5:$J$504,R106),""),INDEX(MATCHER!$J$5:$J$504,T106)=IFERROR(INDEX(MATCHER!$J$5:$J$504,S106),"")),""," / "&amp;INDEX(MATCHER!$J$5:$J$504,T106)))&amp;IF(AF106="","",IF(OR(INDEX(MATCHER!$J$5:$J$504,AF106)="",INDEX(MATCHER!$J$5:$J$504,AF106)=IFERROR(INDEX(MATCHER!$J$5:$J$504,R106),""),INDEX(MATCHER!$J$5:$J$504,AF106)=IFERROR(INDEX(MATCHER!$J$5:$J$504,S106),""),INDEX(MATCHER!$J$5:$J$504,AF106)=IFERROR(INDEX(MATCHER!$J$5:$J$504,T106),"")),""," / "&amp;INDEX(MATCHER!$J$5:$J$504,AF106))),4,1000)</f>
        <v>P10</v>
      </c>
      <c r="H106" s="45" t="str">
        <f t="shared" si="26"/>
        <v>P10</v>
      </c>
      <c r="I106" s="46" t="s">
        <v>90</v>
      </c>
      <c r="J106" s="47" t="s">
        <v>111</v>
      </c>
      <c r="K106" s="48"/>
      <c r="L106" s="49"/>
      <c r="M106" s="50" t="str">
        <f>IF(O106&lt;&gt;O105,MAX(1,MIN(AA106,ROUNDUP(SUMPRODUCT(($O$5:$O$546=O106)*($I$5:$I$546="Ja")*($E$5:$E$546-$D$5:$D$546))*24/REGLER!$B$8,0))),"")</f>
        <v/>
      </c>
      <c r="N106" s="50" t="str">
        <f t="shared" si="15"/>
        <v>Klar</v>
      </c>
      <c r="O106" s="15" t="s">
        <v>112</v>
      </c>
      <c r="P106" s="16">
        <v>0.33333333333333298</v>
      </c>
      <c r="Q106" s="16">
        <v>0.53125</v>
      </c>
      <c r="R106" s="15">
        <f>IFERROR(MATCH(1,INDEX((MATCHER!$B$5:$B$504=A106)*(MATCHER!$D$5:$D$504=C106)*(MATCHER!$K$5:$K$504="Ja")*(MATCHER!$C$5:$C$504&lt;E106)*(MATCHER!$M$5:$M$504&gt;D106),0),0),"")</f>
        <v>32</v>
      </c>
      <c r="S106" s="15" t="str">
        <f>IF(R106="","",IFERROR(MATCH(1,INDEX((MATCHER!$B$5:$B$504=A106)*(MATCHER!$D$5:$D$504=C106)*(MATCHER!$K$5:$K$504="Ja")*(MATCHER!$C$5:$C$504&lt;E106)*(MATCHER!$M$5:$M$504&gt;D106)*(ROW(MATCHER!$A$5:$A$504)-ROW(MATCHER!$A$5)+1&gt;R106),0),0),""))</f>
        <v/>
      </c>
      <c r="T106" s="15" t="str">
        <f>IF(S106="","",IFERROR(MATCH(1,INDEX((MATCHER!$B$5:$B$504=A106)*(MATCHER!$D$5:$D$504=C106)*(MATCHER!$K$5:$K$504="Ja")*(MATCHER!$C$5:$C$504&lt;E106)*(MATCHER!$M$5:$M$504&gt;D106)*(ROW(MATCHER!$A$5:$A$504)-ROW(MATCHER!$A$5)+1&gt;S106),0),0),""))</f>
        <v/>
      </c>
      <c r="U106" s="15">
        <f t="shared" si="16"/>
        <v>0</v>
      </c>
      <c r="V106" s="15">
        <f>IF(OR(I106&lt;&gt;"Ja",J106=""),"",COUNTIFS($O$5:O106,O106,$U$5:U106,1))</f>
        <v>1</v>
      </c>
      <c r="W106" s="15" t="str">
        <f t="shared" si="17"/>
        <v>2026-10-17 | Tallbackaskolan|1</v>
      </c>
      <c r="X106" s="16" t="str">
        <f t="shared" si="18"/>
        <v/>
      </c>
      <c r="Y106" s="15">
        <f>IF(OR(I106&lt;&gt;"Ja",J106=""),0,IF(COUNTIFS($O$5:O106,O106,$I$5:I106,"Ja",$J$5:J106,"&lt;&gt;")=1,1,0))</f>
        <v>0</v>
      </c>
      <c r="Z106" s="15">
        <f>IF(OR(I106&lt;&gt;"Ja",J106=""),0,IF(COUNTIFS(O106:$O$546,O106,I106:$I$546,"Ja",J106:$J$546,"&lt;&gt;")=1,1,0))</f>
        <v>0</v>
      </c>
      <c r="AA106" s="15">
        <f t="shared" si="27"/>
        <v>1</v>
      </c>
      <c r="AB106" s="15" t="str">
        <f>IF(U106&lt;&gt;1,"",COUNTIF($U$5:U106,1))</f>
        <v/>
      </c>
      <c r="AC106" s="15" t="str">
        <f t="shared" si="19"/>
        <v/>
      </c>
      <c r="AD106" s="15" t="str">
        <f t="shared" si="20"/>
        <v>Vanligt café</v>
      </c>
      <c r="AE106" s="15" t="str">
        <f t="shared" si="21"/>
        <v/>
      </c>
      <c r="AF106" t="str">
        <f>IF(T106="","",IFERROR(MATCH(1,INDEX((MATCHER!$B$5:$B$504=A106)*(MATCHER!$D$5:$D$504=C106)*(MATCHER!$K$5:$K$504="Ja")*(MATCHER!$C$5:$C$504&lt;E106)*(MATCHER!$M$5:$M$504&gt;D106)*(ROW(MATCHER!$A$5:$A$504)-ROW(MATCHER!$A$5)+1&gt;T106),0),0),""))</f>
        <v/>
      </c>
    </row>
    <row r="107" spans="1:32" ht="26">
      <c r="A107" s="42">
        <v>46312</v>
      </c>
      <c r="B107" s="43" t="s">
        <v>85</v>
      </c>
      <c r="C107" s="43" t="s">
        <v>110</v>
      </c>
      <c r="D107" s="44">
        <v>0.45833333333333298</v>
      </c>
      <c r="E107" s="44">
        <v>0.47916666666666702</v>
      </c>
      <c r="F107" s="45" t="str">
        <f>IF(R107="","",HOUR(INDEX(MATCHER!$C$5:$C$504,R107))&amp;":"&amp;IF(MINUTE(INDEX(MATCHER!$C$5:$C$504,R107))&lt;10,"0","")&amp;MINUTE(INDEX(MATCHER!$C$5:$C$504,R107))&amp;" "&amp;INDEX(MATCHER!$H$5:$H$504,R107)&amp;" – "&amp;INDEX(MATCHER!$I$5:$I$504,R107))&amp;IF(S107="",""," | "&amp;HOUR(INDEX(MATCHER!$C$5:$C$504,S107))&amp;":"&amp;IF(MINUTE(INDEX(MATCHER!$C$5:$C$504,S107))&lt;10,"0","")&amp;MINUTE(INDEX(MATCHER!$C$5:$C$504,S107))&amp;" "&amp;INDEX(MATCHER!$H$5:$H$504,S107)&amp;" – "&amp;INDEX(MATCHER!$I$5:$I$504,S107))&amp;IF(T107="",""," | "&amp;HOUR(INDEX(MATCHER!$C$5:$C$504,T107))&amp;":"&amp;IF(MINUTE(INDEX(MATCHER!$C$5:$C$504,T107))&lt;10,"0","")&amp;MINUTE(INDEX(MATCHER!$C$5:$C$504,T107))&amp;" "&amp;INDEX(MATCHER!$H$5:$H$504,T107)&amp;" – "&amp;INDEX(MATCHER!$I$5:$I$504,T107))&amp;IF(AF107="",""," | "&amp;HOUR(INDEX(MATCHER!$C$5:$C$504,AF107))&amp;":"&amp;IF(MINUTE(INDEX(MATCHER!$C$5:$C$504,AF107))&lt;10,"0","")&amp;MINUTE(INDEX(MATCHER!$C$5:$C$504,AF107))&amp;" "&amp;INDEX(MATCHER!$H$5:$H$504,AF107)&amp;" – "&amp;INDEX(MATCHER!$I$5:$I$504,AF107))</f>
        <v>11:15 HK Cliff Blå – Spånga HK 2</v>
      </c>
      <c r="G107" s="45" t="str">
        <f>MID(IF(R107="","",IF(OR(INDEX(MATCHER!$J$5:$J$504,R107)=""),""," / "&amp;INDEX(MATCHER!$J$5:$J$504,R107)))&amp;IF(S107="","",IF(OR(INDEX(MATCHER!$J$5:$J$504,S107)="",INDEX(MATCHER!$J$5:$J$504,S107)=IFERROR(INDEX(MATCHER!$J$5:$J$504,R107),"")),""," / "&amp;INDEX(MATCHER!$J$5:$J$504,S107)))&amp;IF(T107="","",IF(OR(INDEX(MATCHER!$J$5:$J$504,T107)="",INDEX(MATCHER!$J$5:$J$504,T107)=IFERROR(INDEX(MATCHER!$J$5:$J$504,R107),""),INDEX(MATCHER!$J$5:$J$504,T107)=IFERROR(INDEX(MATCHER!$J$5:$J$504,S107),"")),""," / "&amp;INDEX(MATCHER!$J$5:$J$504,T107)))&amp;IF(AF107="","",IF(OR(INDEX(MATCHER!$J$5:$J$504,AF107)="",INDEX(MATCHER!$J$5:$J$504,AF107)=IFERROR(INDEX(MATCHER!$J$5:$J$504,R107),""),INDEX(MATCHER!$J$5:$J$504,AF107)=IFERROR(INDEX(MATCHER!$J$5:$J$504,S107),""),INDEX(MATCHER!$J$5:$J$504,AF107)=IFERROR(INDEX(MATCHER!$J$5:$J$504,T107),"")),""," / "&amp;INDEX(MATCHER!$J$5:$J$504,AF107))),4,1000)</f>
        <v/>
      </c>
      <c r="H107" s="45" t="str">
        <f t="shared" si="26"/>
        <v>P10</v>
      </c>
      <c r="I107" s="46" t="s">
        <v>90</v>
      </c>
      <c r="J107" s="47" t="s">
        <v>111</v>
      </c>
      <c r="K107" s="48"/>
      <c r="L107" s="49"/>
      <c r="M107" s="50" t="str">
        <f>IF(O107&lt;&gt;O106,MAX(1,MIN(AA107,ROUNDUP(SUMPRODUCT(($O$5:$O$546=O107)*($I$5:$I$546="Ja")*($E$5:$E$546-$D$5:$D$546))*24/REGLER!$B$8,0))),"")</f>
        <v/>
      </c>
      <c r="N107" s="50" t="str">
        <f t="shared" si="15"/>
        <v>Klar</v>
      </c>
      <c r="O107" s="15" t="s">
        <v>112</v>
      </c>
      <c r="P107" s="16">
        <v>0.33333333333333298</v>
      </c>
      <c r="Q107" s="16">
        <v>0.53125</v>
      </c>
      <c r="R107" s="15">
        <f>IFERROR(MATCH(1,INDEX((MATCHER!$B$5:$B$504=A107)*(MATCHER!$D$5:$D$504=C107)*(MATCHER!$K$5:$K$504="Ja")*(MATCHER!$C$5:$C$504&lt;E107)*(MATCHER!$M$5:$M$504&gt;D107),0),0),"")</f>
        <v>33</v>
      </c>
      <c r="S107" s="15" t="str">
        <f>IF(R107="","",IFERROR(MATCH(1,INDEX((MATCHER!$B$5:$B$504=A107)*(MATCHER!$D$5:$D$504=C107)*(MATCHER!$K$5:$K$504="Ja")*(MATCHER!$C$5:$C$504&lt;E107)*(MATCHER!$M$5:$M$504&gt;D107)*(ROW(MATCHER!$A$5:$A$504)-ROW(MATCHER!$A$5)+1&gt;R107),0),0),""))</f>
        <v/>
      </c>
      <c r="T107" s="15" t="str">
        <f>IF(S107="","",IFERROR(MATCH(1,INDEX((MATCHER!$B$5:$B$504=A107)*(MATCHER!$D$5:$D$504=C107)*(MATCHER!$K$5:$K$504="Ja")*(MATCHER!$C$5:$C$504&lt;E107)*(MATCHER!$M$5:$M$504&gt;D107)*(ROW(MATCHER!$A$5:$A$504)-ROW(MATCHER!$A$5)+1&gt;S107),0),0),""))</f>
        <v/>
      </c>
      <c r="U107" s="15">
        <f t="shared" si="16"/>
        <v>0</v>
      </c>
      <c r="V107" s="15">
        <f>IF(OR(I107&lt;&gt;"Ja",J107=""),"",COUNTIFS($O$5:O107,O107,$U$5:U107,1))</f>
        <v>1</v>
      </c>
      <c r="W107" s="15" t="str">
        <f t="shared" si="17"/>
        <v>2026-10-17 | Tallbackaskolan|1</v>
      </c>
      <c r="X107" s="16" t="str">
        <f t="shared" si="18"/>
        <v/>
      </c>
      <c r="Y107" s="15">
        <f>IF(OR(I107&lt;&gt;"Ja",J107=""),0,IF(COUNTIFS($O$5:O107,O107,$I$5:I107,"Ja",$J$5:J107,"&lt;&gt;")=1,1,0))</f>
        <v>0</v>
      </c>
      <c r="Z107" s="15">
        <f>IF(OR(I107&lt;&gt;"Ja",J107=""),0,IF(COUNTIFS(O107:$O$546,O107,I107:$I$546,"Ja",J107:$J$546,"&lt;&gt;")=1,1,0))</f>
        <v>0</v>
      </c>
      <c r="AA107" s="15">
        <f t="shared" si="27"/>
        <v>1</v>
      </c>
      <c r="AB107" s="15" t="str">
        <f>IF(U107&lt;&gt;1,"",COUNTIF($U$5:U107,1))</f>
        <v/>
      </c>
      <c r="AC107" s="15" t="str">
        <f t="shared" si="19"/>
        <v/>
      </c>
      <c r="AD107" s="15" t="str">
        <f t="shared" si="20"/>
        <v>Vanligt café</v>
      </c>
      <c r="AE107" s="15" t="str">
        <f t="shared" si="21"/>
        <v/>
      </c>
      <c r="AF107" t="str">
        <f>IF(T107="","",IFERROR(MATCH(1,INDEX((MATCHER!$B$5:$B$504=A107)*(MATCHER!$D$5:$D$504=C107)*(MATCHER!$K$5:$K$504="Ja")*(MATCHER!$C$5:$C$504&lt;E107)*(MATCHER!$M$5:$M$504&gt;D107)*(ROW(MATCHER!$A$5:$A$504)-ROW(MATCHER!$A$5)+1&gt;T107),0),0),""))</f>
        <v/>
      </c>
    </row>
    <row r="108" spans="1:32" ht="26">
      <c r="A108" s="42">
        <v>46312</v>
      </c>
      <c r="B108" s="43" t="s">
        <v>85</v>
      </c>
      <c r="C108" s="43" t="s">
        <v>110</v>
      </c>
      <c r="D108" s="44">
        <v>0.47916666666666702</v>
      </c>
      <c r="E108" s="44">
        <v>0.5</v>
      </c>
      <c r="F108" s="45" t="str">
        <f>IF(R108="","",HOUR(INDEX(MATCHER!$C$5:$C$504,R108))&amp;":"&amp;IF(MINUTE(INDEX(MATCHER!$C$5:$C$504,R108))&lt;10,"0","")&amp;MINUTE(INDEX(MATCHER!$C$5:$C$504,R108))&amp;" "&amp;INDEX(MATCHER!$H$5:$H$504,R108)&amp;" – "&amp;INDEX(MATCHER!$I$5:$I$504,R108))&amp;IF(S108="",""," | "&amp;HOUR(INDEX(MATCHER!$C$5:$C$504,S108))&amp;":"&amp;IF(MINUTE(INDEX(MATCHER!$C$5:$C$504,S108))&lt;10,"0","")&amp;MINUTE(INDEX(MATCHER!$C$5:$C$504,S108))&amp;" "&amp;INDEX(MATCHER!$H$5:$H$504,S108)&amp;" – "&amp;INDEX(MATCHER!$I$5:$I$504,S108))&amp;IF(T108="",""," | "&amp;HOUR(INDEX(MATCHER!$C$5:$C$504,T108))&amp;":"&amp;IF(MINUTE(INDEX(MATCHER!$C$5:$C$504,T108))&lt;10,"0","")&amp;MINUTE(INDEX(MATCHER!$C$5:$C$504,T108))&amp;" "&amp;INDEX(MATCHER!$H$5:$H$504,T108)&amp;" – "&amp;INDEX(MATCHER!$I$5:$I$504,T108))&amp;IF(AF108="",""," | "&amp;HOUR(INDEX(MATCHER!$C$5:$C$504,AF108))&amp;":"&amp;IF(MINUTE(INDEX(MATCHER!$C$5:$C$504,AF108))&lt;10,"0","")&amp;MINUTE(INDEX(MATCHER!$C$5:$C$504,AF108))&amp;" "&amp;INDEX(MATCHER!$H$5:$H$504,AF108)&amp;" – "&amp;INDEX(MATCHER!$I$5:$I$504,AF108))</f>
        <v>11:15 HK Cliff Blå – Spånga HK 2</v>
      </c>
      <c r="G108" s="45" t="str">
        <f>MID(IF(R108="","",IF(OR(INDEX(MATCHER!$J$5:$J$504,R108)=""),""," / "&amp;INDEX(MATCHER!$J$5:$J$504,R108)))&amp;IF(S108="","",IF(OR(INDEX(MATCHER!$J$5:$J$504,S108)="",INDEX(MATCHER!$J$5:$J$504,S108)=IFERROR(INDEX(MATCHER!$J$5:$J$504,R108),"")),""," / "&amp;INDEX(MATCHER!$J$5:$J$504,S108)))&amp;IF(T108="","",IF(OR(INDEX(MATCHER!$J$5:$J$504,T108)="",INDEX(MATCHER!$J$5:$J$504,T108)=IFERROR(INDEX(MATCHER!$J$5:$J$504,R108),""),INDEX(MATCHER!$J$5:$J$504,T108)=IFERROR(INDEX(MATCHER!$J$5:$J$504,S108),"")),""," / "&amp;INDEX(MATCHER!$J$5:$J$504,T108)))&amp;IF(AF108="","",IF(OR(INDEX(MATCHER!$J$5:$J$504,AF108)="",INDEX(MATCHER!$J$5:$J$504,AF108)=IFERROR(INDEX(MATCHER!$J$5:$J$504,R108),""),INDEX(MATCHER!$J$5:$J$504,AF108)=IFERROR(INDEX(MATCHER!$J$5:$J$504,S108),""),INDEX(MATCHER!$J$5:$J$504,AF108)=IFERROR(INDEX(MATCHER!$J$5:$J$504,T108),"")),""," / "&amp;INDEX(MATCHER!$J$5:$J$504,AF108))),4,1000)</f>
        <v/>
      </c>
      <c r="H108" s="45" t="str">
        <f t="shared" si="26"/>
        <v>P10</v>
      </c>
      <c r="I108" s="46" t="s">
        <v>90</v>
      </c>
      <c r="J108" s="47" t="s">
        <v>111</v>
      </c>
      <c r="K108" s="48"/>
      <c r="L108" s="49"/>
      <c r="M108" s="50" t="str">
        <f>IF(O108&lt;&gt;O107,MAX(1,MIN(AA108,ROUNDUP(SUMPRODUCT(($O$5:$O$546=O108)*($I$5:$I$546="Ja")*($E$5:$E$546-$D$5:$D$546))*24/REGLER!$B$8,0))),"")</f>
        <v/>
      </c>
      <c r="N108" s="50" t="str">
        <f t="shared" si="15"/>
        <v>Klar</v>
      </c>
      <c r="O108" s="15" t="s">
        <v>112</v>
      </c>
      <c r="P108" s="16">
        <v>0.33333333333333298</v>
      </c>
      <c r="Q108" s="16">
        <v>0.53125</v>
      </c>
      <c r="R108" s="15">
        <f>IFERROR(MATCH(1,INDEX((MATCHER!$B$5:$B$504=A108)*(MATCHER!$D$5:$D$504=C108)*(MATCHER!$K$5:$K$504="Ja")*(MATCHER!$C$5:$C$504&lt;E108)*(MATCHER!$M$5:$M$504&gt;D108),0),0),"")</f>
        <v>33</v>
      </c>
      <c r="S108" s="15" t="str">
        <f>IF(R108="","",IFERROR(MATCH(1,INDEX((MATCHER!$B$5:$B$504=A108)*(MATCHER!$D$5:$D$504=C108)*(MATCHER!$K$5:$K$504="Ja")*(MATCHER!$C$5:$C$504&lt;E108)*(MATCHER!$M$5:$M$504&gt;D108)*(ROW(MATCHER!$A$5:$A$504)-ROW(MATCHER!$A$5)+1&gt;R108),0),0),""))</f>
        <v/>
      </c>
      <c r="T108" s="15" t="str">
        <f>IF(S108="","",IFERROR(MATCH(1,INDEX((MATCHER!$B$5:$B$504=A108)*(MATCHER!$D$5:$D$504=C108)*(MATCHER!$K$5:$K$504="Ja")*(MATCHER!$C$5:$C$504&lt;E108)*(MATCHER!$M$5:$M$504&gt;D108)*(ROW(MATCHER!$A$5:$A$504)-ROW(MATCHER!$A$5)+1&gt;S108),0),0),""))</f>
        <v/>
      </c>
      <c r="U108" s="15">
        <f t="shared" si="16"/>
        <v>0</v>
      </c>
      <c r="V108" s="15">
        <f>IF(OR(I108&lt;&gt;"Ja",J108=""),"",COUNTIFS($O$5:O108,O108,$U$5:U108,1))</f>
        <v>1</v>
      </c>
      <c r="W108" s="15" t="str">
        <f t="shared" si="17"/>
        <v>2026-10-17 | Tallbackaskolan|1</v>
      </c>
      <c r="X108" s="16" t="str">
        <f t="shared" si="18"/>
        <v/>
      </c>
      <c r="Y108" s="15">
        <f>IF(OR(I108&lt;&gt;"Ja",J108=""),0,IF(COUNTIFS($O$5:O108,O108,$I$5:I108,"Ja",$J$5:J108,"&lt;&gt;")=1,1,0))</f>
        <v>0</v>
      </c>
      <c r="Z108" s="15">
        <f>IF(OR(I108&lt;&gt;"Ja",J108=""),0,IF(COUNTIFS(O108:$O$546,O108,I108:$I$546,"Ja",J108:$J$546,"&lt;&gt;")=1,1,0))</f>
        <v>0</v>
      </c>
      <c r="AA108" s="15">
        <f t="shared" si="27"/>
        <v>1</v>
      </c>
      <c r="AB108" s="15" t="str">
        <f>IF(U108&lt;&gt;1,"",COUNTIF($U$5:U108,1))</f>
        <v/>
      </c>
      <c r="AC108" s="15" t="str">
        <f t="shared" si="19"/>
        <v/>
      </c>
      <c r="AD108" s="15" t="str">
        <f t="shared" si="20"/>
        <v>Vanligt café</v>
      </c>
      <c r="AE108" s="15" t="str">
        <f t="shared" si="21"/>
        <v/>
      </c>
      <c r="AF108" t="str">
        <f>IF(T108="","",IFERROR(MATCH(1,INDEX((MATCHER!$B$5:$B$504=A108)*(MATCHER!$D$5:$D$504=C108)*(MATCHER!$K$5:$K$504="Ja")*(MATCHER!$C$5:$C$504&lt;E108)*(MATCHER!$M$5:$M$504&gt;D108)*(ROW(MATCHER!$A$5:$A$504)-ROW(MATCHER!$A$5)+1&gt;T108),0),0),""))</f>
        <v/>
      </c>
    </row>
    <row r="109" spans="1:32" ht="26">
      <c r="A109" s="42">
        <v>46312</v>
      </c>
      <c r="B109" s="43" t="s">
        <v>85</v>
      </c>
      <c r="C109" s="43" t="s">
        <v>110</v>
      </c>
      <c r="D109" s="44">
        <v>0.5</v>
      </c>
      <c r="E109" s="44">
        <v>0.52083333333333304</v>
      </c>
      <c r="F109" s="45" t="str">
        <f>IF(R109="","",HOUR(INDEX(MATCHER!$C$5:$C$504,R109))&amp;":"&amp;IF(MINUTE(INDEX(MATCHER!$C$5:$C$504,R109))&lt;10,"0","")&amp;MINUTE(INDEX(MATCHER!$C$5:$C$504,R109))&amp;" "&amp;INDEX(MATCHER!$H$5:$H$504,R109)&amp;" – "&amp;INDEX(MATCHER!$I$5:$I$504,R109))&amp;IF(S109="",""," | "&amp;HOUR(INDEX(MATCHER!$C$5:$C$504,S109))&amp;":"&amp;IF(MINUTE(INDEX(MATCHER!$C$5:$C$504,S109))&lt;10,"0","")&amp;MINUTE(INDEX(MATCHER!$C$5:$C$504,S109))&amp;" "&amp;INDEX(MATCHER!$H$5:$H$504,S109)&amp;" – "&amp;INDEX(MATCHER!$I$5:$I$504,S109))&amp;IF(T109="",""," | "&amp;HOUR(INDEX(MATCHER!$C$5:$C$504,T109))&amp;":"&amp;IF(MINUTE(INDEX(MATCHER!$C$5:$C$504,T109))&lt;10,"0","")&amp;MINUTE(INDEX(MATCHER!$C$5:$C$504,T109))&amp;" "&amp;INDEX(MATCHER!$H$5:$H$504,T109)&amp;" – "&amp;INDEX(MATCHER!$I$5:$I$504,T109))&amp;IF(AF109="",""," | "&amp;HOUR(INDEX(MATCHER!$C$5:$C$504,AF109))&amp;":"&amp;IF(MINUTE(INDEX(MATCHER!$C$5:$C$504,AF109))&lt;10,"0","")&amp;MINUTE(INDEX(MATCHER!$C$5:$C$504,AF109))&amp;" "&amp;INDEX(MATCHER!$H$5:$H$504,AF109)&amp;" – "&amp;INDEX(MATCHER!$I$5:$I$504,AF109))</f>
        <v>12:00 HK Cliff Gul – AIK</v>
      </c>
      <c r="G109" s="45" t="str">
        <f>MID(IF(R109="","",IF(OR(INDEX(MATCHER!$J$5:$J$504,R109)=""),""," / "&amp;INDEX(MATCHER!$J$5:$J$504,R109)))&amp;IF(S109="","",IF(OR(INDEX(MATCHER!$J$5:$J$504,S109)="",INDEX(MATCHER!$J$5:$J$504,S109)=IFERROR(INDEX(MATCHER!$J$5:$J$504,R109),"")),""," / "&amp;INDEX(MATCHER!$J$5:$J$504,S109)))&amp;IF(T109="","",IF(OR(INDEX(MATCHER!$J$5:$J$504,T109)="",INDEX(MATCHER!$J$5:$J$504,T109)=IFERROR(INDEX(MATCHER!$J$5:$J$504,R109),""),INDEX(MATCHER!$J$5:$J$504,T109)=IFERROR(INDEX(MATCHER!$J$5:$J$504,S109),"")),""," / "&amp;INDEX(MATCHER!$J$5:$J$504,T109)))&amp;IF(AF109="","",IF(OR(INDEX(MATCHER!$J$5:$J$504,AF109)="",INDEX(MATCHER!$J$5:$J$504,AF109)=IFERROR(INDEX(MATCHER!$J$5:$J$504,R109),""),INDEX(MATCHER!$J$5:$J$504,AF109)=IFERROR(INDEX(MATCHER!$J$5:$J$504,S109),""),INDEX(MATCHER!$J$5:$J$504,AF109)=IFERROR(INDEX(MATCHER!$J$5:$J$504,T109),"")),""," / "&amp;INDEX(MATCHER!$J$5:$J$504,AF109))),4,1000)</f>
        <v>P10</v>
      </c>
      <c r="H109" s="45" t="str">
        <f t="shared" si="26"/>
        <v>P10</v>
      </c>
      <c r="I109" s="46" t="s">
        <v>90</v>
      </c>
      <c r="J109" s="47" t="s">
        <v>111</v>
      </c>
      <c r="K109" s="48"/>
      <c r="L109" s="49"/>
      <c r="M109" s="50" t="str">
        <f>IF(O109&lt;&gt;O108,MAX(1,MIN(AA109,ROUNDUP(SUMPRODUCT(($O$5:$O$546=O109)*($I$5:$I$546="Ja")*($E$5:$E$546-$D$5:$D$546))*24/REGLER!$B$8,0))),"")</f>
        <v/>
      </c>
      <c r="N109" s="50" t="str">
        <f t="shared" si="15"/>
        <v>Klar</v>
      </c>
      <c r="O109" s="15" t="s">
        <v>112</v>
      </c>
      <c r="P109" s="16">
        <v>0.33333333333333298</v>
      </c>
      <c r="Q109" s="16">
        <v>0.53125</v>
      </c>
      <c r="R109" s="15">
        <f>IFERROR(MATCH(1,INDEX((MATCHER!$B$5:$B$504=A109)*(MATCHER!$D$5:$D$504=C109)*(MATCHER!$K$5:$K$504="Ja")*(MATCHER!$C$5:$C$504&lt;E109)*(MATCHER!$M$5:$M$504&gt;D109),0),0),"")</f>
        <v>34</v>
      </c>
      <c r="S109" s="15" t="str">
        <f>IF(R109="","",IFERROR(MATCH(1,INDEX((MATCHER!$B$5:$B$504=A109)*(MATCHER!$D$5:$D$504=C109)*(MATCHER!$K$5:$K$504="Ja")*(MATCHER!$C$5:$C$504&lt;E109)*(MATCHER!$M$5:$M$504&gt;D109)*(ROW(MATCHER!$A$5:$A$504)-ROW(MATCHER!$A$5)+1&gt;R109),0),0),""))</f>
        <v/>
      </c>
      <c r="T109" s="15" t="str">
        <f>IF(S109="","",IFERROR(MATCH(1,INDEX((MATCHER!$B$5:$B$504=A109)*(MATCHER!$D$5:$D$504=C109)*(MATCHER!$K$5:$K$504="Ja")*(MATCHER!$C$5:$C$504&lt;E109)*(MATCHER!$M$5:$M$504&gt;D109)*(ROW(MATCHER!$A$5:$A$504)-ROW(MATCHER!$A$5)+1&gt;S109),0),0),""))</f>
        <v/>
      </c>
      <c r="U109" s="15">
        <f t="shared" si="16"/>
        <v>0</v>
      </c>
      <c r="V109" s="15">
        <f>IF(OR(I109&lt;&gt;"Ja",J109=""),"",COUNTIFS($O$5:O109,O109,$U$5:U109,1))</f>
        <v>1</v>
      </c>
      <c r="W109" s="15" t="str">
        <f t="shared" si="17"/>
        <v>2026-10-17 | Tallbackaskolan|1</v>
      </c>
      <c r="X109" s="16" t="str">
        <f t="shared" si="18"/>
        <v/>
      </c>
      <c r="Y109" s="15">
        <f>IF(OR(I109&lt;&gt;"Ja",J109=""),0,IF(COUNTIFS($O$5:O109,O109,$I$5:I109,"Ja",$J$5:J109,"&lt;&gt;")=1,1,0))</f>
        <v>0</v>
      </c>
      <c r="Z109" s="15">
        <f>IF(OR(I109&lt;&gt;"Ja",J109=""),0,IF(COUNTIFS(O109:$O$546,O109,I109:$I$546,"Ja",J109:$J$546,"&lt;&gt;")=1,1,0))</f>
        <v>0</v>
      </c>
      <c r="AA109" s="15">
        <f t="shared" si="27"/>
        <v>1</v>
      </c>
      <c r="AB109" s="15" t="str">
        <f>IF(U109&lt;&gt;1,"",COUNTIF($U$5:U109,1))</f>
        <v/>
      </c>
      <c r="AC109" s="15" t="str">
        <f t="shared" si="19"/>
        <v/>
      </c>
      <c r="AD109" s="15" t="str">
        <f t="shared" si="20"/>
        <v>Vanligt café</v>
      </c>
      <c r="AE109" s="15" t="str">
        <f t="shared" si="21"/>
        <v/>
      </c>
      <c r="AF109" t="str">
        <f>IF(T109="","",IFERROR(MATCH(1,INDEX((MATCHER!$B$5:$B$504=A109)*(MATCHER!$D$5:$D$504=C109)*(MATCHER!$K$5:$K$504="Ja")*(MATCHER!$C$5:$C$504&lt;E109)*(MATCHER!$M$5:$M$504&gt;D109)*(ROW(MATCHER!$A$5:$A$504)-ROW(MATCHER!$A$5)+1&gt;T109),0),0),""))</f>
        <v/>
      </c>
    </row>
    <row r="110" spans="1:32" ht="26.5" thickBot="1">
      <c r="A110" s="52">
        <v>46312</v>
      </c>
      <c r="B110" s="53" t="s">
        <v>85</v>
      </c>
      <c r="C110" s="53" t="s">
        <v>110</v>
      </c>
      <c r="D110" s="54">
        <v>0.52083333333333304</v>
      </c>
      <c r="E110" s="54">
        <v>0.53125</v>
      </c>
      <c r="F110" s="55" t="str">
        <f>IF(R110="","",HOUR(INDEX(MATCHER!$C$5:$C$504,R110))&amp;":"&amp;IF(MINUTE(INDEX(MATCHER!$C$5:$C$504,R110))&lt;10,"0","")&amp;MINUTE(INDEX(MATCHER!$C$5:$C$504,R110))&amp;" "&amp;INDEX(MATCHER!$H$5:$H$504,R110)&amp;" – "&amp;INDEX(MATCHER!$I$5:$I$504,R110))&amp;IF(S110="",""," | "&amp;HOUR(INDEX(MATCHER!$C$5:$C$504,S110))&amp;":"&amp;IF(MINUTE(INDEX(MATCHER!$C$5:$C$504,S110))&lt;10,"0","")&amp;MINUTE(INDEX(MATCHER!$C$5:$C$504,S110))&amp;" "&amp;INDEX(MATCHER!$H$5:$H$504,S110)&amp;" – "&amp;INDEX(MATCHER!$I$5:$I$504,S110))&amp;IF(T110="",""," | "&amp;HOUR(INDEX(MATCHER!$C$5:$C$504,T110))&amp;":"&amp;IF(MINUTE(INDEX(MATCHER!$C$5:$C$504,T110))&lt;10,"0","")&amp;MINUTE(INDEX(MATCHER!$C$5:$C$504,T110))&amp;" "&amp;INDEX(MATCHER!$H$5:$H$504,T110)&amp;" – "&amp;INDEX(MATCHER!$I$5:$I$504,T110))&amp;IF(AF110="",""," | "&amp;HOUR(INDEX(MATCHER!$C$5:$C$504,AF110))&amp;":"&amp;IF(MINUTE(INDEX(MATCHER!$C$5:$C$504,AF110))&lt;10,"0","")&amp;MINUTE(INDEX(MATCHER!$C$5:$C$504,AF110))&amp;" "&amp;INDEX(MATCHER!$H$5:$H$504,AF110)&amp;" – "&amp;INDEX(MATCHER!$I$5:$I$504,AF110))</f>
        <v/>
      </c>
      <c r="G110" s="55" t="str">
        <f>MID(IF(R110="","",IF(OR(INDEX(MATCHER!$J$5:$J$504,R110)=""),""," / "&amp;INDEX(MATCHER!$J$5:$J$504,R110)))&amp;IF(S110="","",IF(OR(INDEX(MATCHER!$J$5:$J$504,S110)="",INDEX(MATCHER!$J$5:$J$504,S110)=IFERROR(INDEX(MATCHER!$J$5:$J$504,R110),"")),""," / "&amp;INDEX(MATCHER!$J$5:$J$504,S110)))&amp;IF(T110="","",IF(OR(INDEX(MATCHER!$J$5:$J$504,T110)="",INDEX(MATCHER!$J$5:$J$504,T110)=IFERROR(INDEX(MATCHER!$J$5:$J$504,R110),""),INDEX(MATCHER!$J$5:$J$504,T110)=IFERROR(INDEX(MATCHER!$J$5:$J$504,S110),"")),""," / "&amp;INDEX(MATCHER!$J$5:$J$504,T110)))&amp;IF(AF110="","",IF(OR(INDEX(MATCHER!$J$5:$J$504,AF110)="",INDEX(MATCHER!$J$5:$J$504,AF110)=IFERROR(INDEX(MATCHER!$J$5:$J$504,R110),""),INDEX(MATCHER!$J$5:$J$504,AF110)=IFERROR(INDEX(MATCHER!$J$5:$J$504,S110),""),INDEX(MATCHER!$J$5:$J$504,AF110)=IFERROR(INDEX(MATCHER!$J$5:$J$504,T110),"")),""," / "&amp;INDEX(MATCHER!$J$5:$J$504,AF110))),4,1000)</f>
        <v/>
      </c>
      <c r="H110" s="55" t="str">
        <f t="shared" si="26"/>
        <v>P10</v>
      </c>
      <c r="I110" s="56" t="s">
        <v>90</v>
      </c>
      <c r="J110" s="57" t="s">
        <v>111</v>
      </c>
      <c r="K110" s="58"/>
      <c r="L110" s="59"/>
      <c r="M110" s="60" t="str">
        <f>IF(O110&lt;&gt;O109,MAX(1,MIN(AA110,ROUNDUP(SUMPRODUCT(($O$5:$O$546=O110)*($I$5:$I$546="Ja")*($E$5:$E$546-$D$5:$D$546))*24/REGLER!$B$8,0))),"")</f>
        <v/>
      </c>
      <c r="N110" s="60" t="str">
        <f t="shared" si="15"/>
        <v>Klar</v>
      </c>
      <c r="O110" s="15" t="s">
        <v>112</v>
      </c>
      <c r="P110" s="16">
        <v>0.33333333333333298</v>
      </c>
      <c r="Q110" s="16">
        <v>0.53125</v>
      </c>
      <c r="R110" s="15" t="str">
        <f>IFERROR(MATCH(1,INDEX((MATCHER!$B$5:$B$504=A110)*(MATCHER!$D$5:$D$504=C110)*(MATCHER!$K$5:$K$504="Ja")*(MATCHER!$C$5:$C$504&lt;E110)*(MATCHER!$M$5:$M$504&gt;D110),0),0),"")</f>
        <v/>
      </c>
      <c r="S110" s="15" t="str">
        <f>IF(R110="","",IFERROR(MATCH(1,INDEX((MATCHER!$B$5:$B$504=A110)*(MATCHER!$D$5:$D$504=C110)*(MATCHER!$K$5:$K$504="Ja")*(MATCHER!$C$5:$C$504&lt;E110)*(MATCHER!$M$5:$M$504&gt;D110)*(ROW(MATCHER!$A$5:$A$504)-ROW(MATCHER!$A$5)+1&gt;R110),0),0),""))</f>
        <v/>
      </c>
      <c r="T110" s="15" t="str">
        <f>IF(S110="","",IFERROR(MATCH(1,INDEX((MATCHER!$B$5:$B$504=A110)*(MATCHER!$D$5:$D$504=C110)*(MATCHER!$K$5:$K$504="Ja")*(MATCHER!$C$5:$C$504&lt;E110)*(MATCHER!$M$5:$M$504&gt;D110)*(ROW(MATCHER!$A$5:$A$504)-ROW(MATCHER!$A$5)+1&gt;S110),0),0),""))</f>
        <v/>
      </c>
      <c r="U110" s="15">
        <f t="shared" si="16"/>
        <v>0</v>
      </c>
      <c r="V110" s="15">
        <f>IF(OR(I110&lt;&gt;"Ja",J110=""),"",COUNTIFS($O$5:O110,O110,$U$5:U110,1))</f>
        <v>1</v>
      </c>
      <c r="W110" s="15" t="str">
        <f t="shared" si="17"/>
        <v>2026-10-17 | Tallbackaskolan|1</v>
      </c>
      <c r="X110" s="16">
        <f t="shared" si="18"/>
        <v>0.53125</v>
      </c>
      <c r="Y110" s="15">
        <f>IF(OR(I110&lt;&gt;"Ja",J110=""),0,IF(COUNTIFS($O$5:O110,O110,$I$5:I110,"Ja",$J$5:J110,"&lt;&gt;")=1,1,0))</f>
        <v>0</v>
      </c>
      <c r="Z110" s="15">
        <f>IF(OR(I110&lt;&gt;"Ja",J110=""),0,IF(COUNTIFS(O110:$O$546,O110,I110:$I$546,"Ja",J110:$J$546,"&lt;&gt;")=1,1,0))</f>
        <v>1</v>
      </c>
      <c r="AA110" s="15">
        <f t="shared" si="27"/>
        <v>1</v>
      </c>
      <c r="AB110" s="15" t="str">
        <f>IF(U110&lt;&gt;1,"",COUNTIF($U$5:U110,1))</f>
        <v/>
      </c>
      <c r="AC110" s="15" t="str">
        <f t="shared" si="19"/>
        <v>2026-10-17 | Tallbackaskolan|1</v>
      </c>
      <c r="AD110" s="15" t="str">
        <f t="shared" si="20"/>
        <v>Vanligt café</v>
      </c>
      <c r="AE110" s="15" t="str">
        <f t="shared" si="21"/>
        <v/>
      </c>
      <c r="AF110" t="str">
        <f>IF(T110="","",IFERROR(MATCH(1,INDEX((MATCHER!$B$5:$B$504=A110)*(MATCHER!$D$5:$D$504=C110)*(MATCHER!$K$5:$K$504="Ja")*(MATCHER!$C$5:$C$504&lt;E110)*(MATCHER!$M$5:$M$504&gt;D110)*(ROW(MATCHER!$A$5:$A$504)-ROW(MATCHER!$A$5)+1&gt;T110),0),0),""))</f>
        <v/>
      </c>
    </row>
    <row r="111" spans="1:32" ht="26">
      <c r="A111" s="42">
        <v>46312</v>
      </c>
      <c r="B111" s="43" t="s">
        <v>85</v>
      </c>
      <c r="C111" s="43" t="s">
        <v>86</v>
      </c>
      <c r="D111" s="44">
        <v>0.33333333333333298</v>
      </c>
      <c r="E111" s="44">
        <v>0.35416666666666702</v>
      </c>
      <c r="F111" s="45" t="str">
        <f>IF(R111="","",HOUR(INDEX(MATCHER!$C$5:$C$504,R111))&amp;":"&amp;IF(MINUTE(INDEX(MATCHER!$C$5:$C$504,R111))&lt;10,"0","")&amp;MINUTE(INDEX(MATCHER!$C$5:$C$504,R111))&amp;" "&amp;INDEX(MATCHER!$H$5:$H$504,R111)&amp;" – "&amp;INDEX(MATCHER!$I$5:$I$504,R111))&amp;IF(S111="",""," | "&amp;HOUR(INDEX(MATCHER!$C$5:$C$504,S111))&amp;":"&amp;IF(MINUTE(INDEX(MATCHER!$C$5:$C$504,S111))&lt;10,"0","")&amp;MINUTE(INDEX(MATCHER!$C$5:$C$504,S111))&amp;" "&amp;INDEX(MATCHER!$H$5:$H$504,S111)&amp;" – "&amp;INDEX(MATCHER!$I$5:$I$504,S111))&amp;IF(T111="",""," | "&amp;HOUR(INDEX(MATCHER!$C$5:$C$504,T111))&amp;":"&amp;IF(MINUTE(INDEX(MATCHER!$C$5:$C$504,T111))&lt;10,"0","")&amp;MINUTE(INDEX(MATCHER!$C$5:$C$504,T111))&amp;" "&amp;INDEX(MATCHER!$H$5:$H$504,T111)&amp;" – "&amp;INDEX(MATCHER!$I$5:$I$504,T111))&amp;IF(AF111="",""," | "&amp;HOUR(INDEX(MATCHER!$C$5:$C$504,AF111))&amp;":"&amp;IF(MINUTE(INDEX(MATCHER!$C$5:$C$504,AF111))&lt;10,"0","")&amp;MINUTE(INDEX(MATCHER!$C$5:$C$504,AF111))&amp;" "&amp;INDEX(MATCHER!$H$5:$H$504,AF111)&amp;" – "&amp;INDEX(MATCHER!$I$5:$I$504,AF111))</f>
        <v/>
      </c>
      <c r="G111" s="45" t="str">
        <f>MID(IF(R111="","",IF(OR(INDEX(MATCHER!$J$5:$J$504,R111)=""),""," / "&amp;INDEX(MATCHER!$J$5:$J$504,R111)))&amp;IF(S111="","",IF(OR(INDEX(MATCHER!$J$5:$J$504,S111)="",INDEX(MATCHER!$J$5:$J$504,S111)=IFERROR(INDEX(MATCHER!$J$5:$J$504,R111),"")),""," / "&amp;INDEX(MATCHER!$J$5:$J$504,S111)))&amp;IF(T111="","",IF(OR(INDEX(MATCHER!$J$5:$J$504,T111)="",INDEX(MATCHER!$J$5:$J$504,T111)=IFERROR(INDEX(MATCHER!$J$5:$J$504,R111),""),INDEX(MATCHER!$J$5:$J$504,T111)=IFERROR(INDEX(MATCHER!$J$5:$J$504,S111),"")),""," / "&amp;INDEX(MATCHER!$J$5:$J$504,T111)))&amp;IF(AF111="","",IF(OR(INDEX(MATCHER!$J$5:$J$504,AF111)="",INDEX(MATCHER!$J$5:$J$504,AF111)=IFERROR(INDEX(MATCHER!$J$5:$J$504,R111),""),INDEX(MATCHER!$J$5:$J$504,AF111)=IFERROR(INDEX(MATCHER!$J$5:$J$504,S111),""),INDEX(MATCHER!$J$5:$J$504,AF111)=IFERROR(INDEX(MATCHER!$J$5:$J$504,T111),"")),""," / "&amp;INDEX(MATCHER!$J$5:$J$504,AF111))),4,1000)</f>
        <v/>
      </c>
      <c r="H111" s="45" t="str">
        <f>MID(IF(COUNTIFS(MATCHER!$B$5:$B$504,A111,MATCHER!$D$5:$D$504,C111,MATCHER!$J$5:$J$504,REGLER!$I$6,MATCHER!$K$5:$K$504,"Ja")+COUNTIFS(MATCHER!$B$5:$B$504,A111,MATCHER!$D$5:$D$504,C111,MATCHER!$J$5:$J$504,REGLER!$I$6&amp;" 2",MATCHER!$K$5:$K$504,"Ja")&gt;0,", "&amp;REGLER!$I$6,"")&amp;IF(COUNTIFS(MATCHER!$B$5:$B$504,A111,MATCHER!$D$5:$D$504,C111,MATCHER!$J$5:$J$504,REGLER!$I$7,MATCHER!$K$5:$K$504,"Ja")+COUNTIFS(MATCHER!$B$5:$B$504,A111,MATCHER!$D$5:$D$504,C111,MATCHER!$J$5:$J$504,REGLER!$I$7&amp;" 2",MATCHER!$K$5:$K$504,"Ja")&gt;0,", "&amp;REGLER!$I$7,"")&amp;IF(COUNTIFS(MATCHER!$B$5:$B$504,A111,MATCHER!$D$5:$D$504,C111,MATCHER!$J$5:$J$504,REGLER!$I$8,MATCHER!$K$5:$K$504,"Ja")+COUNTIFS(MATCHER!$B$5:$B$504,A111,MATCHER!$D$5:$D$504,C111,MATCHER!$J$5:$J$504,REGLER!$I$8&amp;" 2",MATCHER!$K$5:$K$504,"Ja")&gt;0,", "&amp;REGLER!$I$8,"")&amp;IF(COUNTIFS(MATCHER!$B$5:$B$504,A111,MATCHER!$D$5:$D$504,C111,MATCHER!$J$5:$J$504,REGLER!$I$9,MATCHER!$K$5:$K$504,"Ja")+COUNTIFS(MATCHER!$B$5:$B$504,A111,MATCHER!$D$5:$D$504,C111,MATCHER!$J$5:$J$504,REGLER!$I$9&amp;" 2",MATCHER!$K$5:$K$504,"Ja")&gt;0,", "&amp;REGLER!$I$9,"")&amp;IF(COUNTIFS(MATCHER!$B$5:$B$504,A111,MATCHER!$D$5:$D$504,C111,MATCHER!$J$5:$J$504,REGLER!$I$10,MATCHER!$K$5:$K$504,"Ja")+COUNTIFS(MATCHER!$B$5:$B$504,A111,MATCHER!$D$5:$D$504,C111,MATCHER!$J$5:$J$504,REGLER!$I$10&amp;" 2",MATCHER!$K$5:$K$504,"Ja")&gt;0,", "&amp;REGLER!$I$10,"")&amp;IF(COUNTIFS(MATCHER!$B$5:$B$504,A111,MATCHER!$D$5:$D$504,C111,MATCHER!$J$5:$J$504,REGLER!$I$11,MATCHER!$K$5:$K$504,"Ja")+COUNTIFS(MATCHER!$B$5:$B$504,A111,MATCHER!$D$5:$D$504,C111,MATCHER!$J$5:$J$504,REGLER!$I$11&amp;" 2",MATCHER!$K$5:$K$504,"Ja")&gt;0,", "&amp;REGLER!$I$11,"")&amp;IF(COUNTIFS(MATCHER!$B$5:$B$504,A111,MATCHER!$D$5:$D$504,C111,MATCHER!$J$5:$J$504,REGLER!$I$12,MATCHER!$K$5:$K$504,"Ja")+COUNTIFS(MATCHER!$B$5:$B$504,A111,MATCHER!$D$5:$D$504,C111,MATCHER!$J$5:$J$504,REGLER!$I$12&amp;" 2",MATCHER!$K$5:$K$504,"Ja")&gt;0,", "&amp;REGLER!$I$12,"")&amp;IF(COUNTIFS(MATCHER!$B$5:$B$504,A111,MATCHER!$D$5:$D$504,C111,MATCHER!$J$5:$J$504,REGLER!$I$13,MATCHER!$K$5:$K$504,"Ja")+COUNTIFS(MATCHER!$B$5:$B$504,A111,MATCHER!$D$5:$D$504,C111,MATCHER!$J$5:$J$504,REGLER!$I$13&amp;" 2",MATCHER!$K$5:$K$504,"Ja")&gt;0,", "&amp;REGLER!$I$13,"")&amp;IF(COUNTIFS(MATCHER!$B$5:$B$504,A111,MATCHER!$D$5:$D$504,C111,MATCHER!$J$5:$J$504,REGLER!$I$14,MATCHER!$K$5:$K$504,"Ja")+COUNTIFS(MATCHER!$B$5:$B$504,A111,MATCHER!$D$5:$D$504,C111,MATCHER!$J$5:$J$504,REGLER!$I$14&amp;" 2",MATCHER!$K$5:$K$504,"Ja")&gt;0,", "&amp;REGLER!$I$14,"")&amp;IF(COUNTIFS(MATCHER!$B$5:$B$504,A111,MATCHER!$D$5:$D$504,C111,MATCHER!$J$5:$J$504,REGLER!$I$15,MATCHER!$K$5:$K$504,"Ja")+COUNTIFS(MATCHER!$B$5:$B$504,A111,MATCHER!$D$5:$D$504,C111,MATCHER!$J$5:$J$504,REGLER!$I$15&amp;" 2",MATCHER!$K$5:$K$504,"Ja")&gt;0,", "&amp;REGLER!$I$15,"")&amp;IF(COUNTIFS(MATCHER!$B$5:$B$504,A111,MATCHER!$D$5:$D$504,C111,MATCHER!$J$5:$J$504,REGLER!$I$16,MATCHER!$K$5:$K$504,"Ja")+COUNTIFS(MATCHER!$B$5:$B$504,A111,MATCHER!$D$5:$D$504,C111,MATCHER!$J$5:$J$504,REGLER!$I$16&amp;" 2",MATCHER!$K$5:$K$504,"Ja")&gt;0,", "&amp;REGLER!$I$16,"")&amp;IF(COUNTIFS(MATCHER!$B$5:$B$504,A111,MATCHER!$D$5:$D$504,C111,MATCHER!$J$5:$J$504,REGLER!$I$17,MATCHER!$K$5:$K$504,"Ja")+COUNTIFS(MATCHER!$B$5:$B$504,A111,MATCHER!$D$5:$D$504,C111,MATCHER!$J$5:$J$504,REGLER!$I$17&amp;" 2",MATCHER!$K$5:$K$504,"Ja")&gt;0,", "&amp;REGLER!$I$17,"")&amp;IF(COUNTIFS(MATCHER!$B$5:$B$504,A111,MATCHER!$D$5:$D$504,C111,MATCHER!$J$5:$J$504,REGLER!$I$18,MATCHER!$K$5:$K$504,"Ja")+COUNTIFS(MATCHER!$B$5:$B$504,A111,MATCHER!$D$5:$D$504,C111,MATCHER!$J$5:$J$504,REGLER!$I$18&amp;" 2",MATCHER!$K$5:$K$504,"Ja")&gt;0,", "&amp;REGLER!$I$18,"")&amp;IF(COUNTIFS(MATCHER!$B$5:$B$504,A111,MATCHER!$D$5:$D$504,C111,MATCHER!$J$5:$J$504,REGLER!$I$19,MATCHER!$K$5:$K$504,"Ja")+COUNTIFS(MATCHER!$B$5:$B$504,A111,MATCHER!$D$5:$D$504,C111,MATCHER!$J$5:$J$504,REGLER!$I$19&amp;" 2",MATCHER!$K$5:$K$504,"Ja")&gt;0,", "&amp;REGLER!$I$19,"")&amp;IF(COUNTIFS(MATCHER!$B$5:$B$504,A111,MATCHER!$D$5:$D$504,C111,MATCHER!$J$5:$J$504,REGLER!$I$20,MATCHER!$K$5:$K$504,"Ja")+COUNTIFS(MATCHER!$B$5:$B$504,A111,MATCHER!$D$5:$D$504,C111,MATCHER!$J$5:$J$504,REGLER!$I$20&amp;" 2",MATCHER!$K$5:$K$504,"Ja")&gt;0,", "&amp;REGLER!$I$20,"")&amp;IF(COUNTIFS(MATCHER!$B$5:$B$504,A111,MATCHER!$D$5:$D$504,C111,MATCHER!$J$5:$J$504,REGLER!$I$21,MATCHER!$K$5:$K$504,"Ja")+COUNTIFS(MATCHER!$B$5:$B$504,A111,MATCHER!$D$5:$D$504,C111,MATCHER!$J$5:$J$504,REGLER!$I$21&amp;" 2",MATCHER!$K$5:$K$504,"Ja")&gt;0,", "&amp;REGLER!$I$21,"")&amp;IF(COUNTIFS(MATCHER!$B$5:$B$504,A111,MATCHER!$D$5:$D$504,C111,MATCHER!$J$5:$J$504,REGLER!$I$22,MATCHER!$K$5:$K$504,"Ja")+COUNTIFS(MATCHER!$B$5:$B$504,A111,MATCHER!$D$5:$D$504,C111,MATCHER!$J$5:$J$504,REGLER!$I$22&amp;" 2",MATCHER!$K$5:$K$504,"Ja")&gt;0,", "&amp;REGLER!$I$22,"")&amp;IF(COUNTIFS(MATCHER!$B$5:$B$504,A111,MATCHER!$D$5:$D$504,C111,MATCHER!$J$5:$J$504,REGLER!$I$23,MATCHER!$K$5:$K$504,"Ja")+COUNTIFS(MATCHER!$B$5:$B$504,A111,MATCHER!$D$5:$D$504,C111,MATCHER!$J$5:$J$504,REGLER!$I$23&amp;" 2",MATCHER!$K$5:$K$504,"Ja")&gt;0,", "&amp;REGLER!$I$23,"")&amp;IF(COUNTIFS(MATCHER!$B$5:$B$504,A111,MATCHER!$D$5:$D$504,C111,MATCHER!$J$5:$J$504,REGLER!$I$24,MATCHER!$K$5:$K$504,"Ja")+COUNTIFS(MATCHER!$B$5:$B$504,A111,MATCHER!$D$5:$D$504,C111,MATCHER!$J$5:$J$504,REGLER!$I$24&amp;" 2",MATCHER!$K$5:$K$504,"Ja")&gt;0,", "&amp;REGLER!$I$24,"")&amp;IF(COUNTIFS(MATCHER!$B$5:$B$504,A111,MATCHER!$D$5:$D$504,C111,MATCHER!$J$5:$J$504,REGLER!$I$25,MATCHER!$K$5:$K$504,"Ja")+COUNTIFS(MATCHER!$B$5:$B$504,A111,MATCHER!$D$5:$D$504,C111,MATCHER!$J$5:$J$504,REGLER!$I$25&amp;" 2",MATCHER!$K$5:$K$504,"Ja")&gt;0,", "&amp;REGLER!$I$25,"")&amp;IF(COUNTIFS(MATCHER!$B$5:$B$504,A111,MATCHER!$D$5:$D$504,C111,MATCHER!$J$5:$J$504,REGLER!$I$26,MATCHER!$K$5:$K$504,"Ja")+COUNTIFS(MATCHER!$B$5:$B$504,A111,MATCHER!$D$5:$D$504,C111,MATCHER!$J$5:$J$504,REGLER!$I$26&amp;" 2",MATCHER!$K$5:$K$504,"Ja")&gt;0,", "&amp;REGLER!$I$26,""),3,1000)</f>
        <v>F12, F13</v>
      </c>
      <c r="I111" s="46" t="s">
        <v>90</v>
      </c>
      <c r="J111" s="47" t="s">
        <v>101</v>
      </c>
      <c r="K111" s="48" t="s">
        <v>88</v>
      </c>
      <c r="L111" s="49"/>
      <c r="M111" s="50">
        <f>IF(O111&lt;&gt;O110,MAX(1,MIN(AA111,ROUNDUP(SUMPRODUCT(($O$5:$O$546=O111)*($I$5:$I$546="Ja")*($E$5:$E$546-$D$5:$D$546))*24/REGLER!$B$8,0))),"")</f>
        <v>2</v>
      </c>
      <c r="N111" s="50" t="str">
        <f t="shared" si="15"/>
        <v>Klar</v>
      </c>
      <c r="O111" s="15" t="s">
        <v>113</v>
      </c>
      <c r="P111" s="16">
        <v>0.33333333333333298</v>
      </c>
      <c r="Q111" s="16">
        <v>0.70833333333333304</v>
      </c>
      <c r="R111" s="15" t="str">
        <f>IFERROR(MATCH(1,INDEX((MATCHER!$B$5:$B$504=A111)*(MATCHER!$D$5:$D$504=C111)*(MATCHER!$K$5:$K$504="Ja")*(MATCHER!$C$5:$C$504&lt;E111)*(MATCHER!$M$5:$M$504&gt;D111),0),0),"")</f>
        <v/>
      </c>
      <c r="S111" s="15" t="str">
        <f>IF(R111="","",IFERROR(MATCH(1,INDEX((MATCHER!$B$5:$B$504=A111)*(MATCHER!$D$5:$D$504=C111)*(MATCHER!$K$5:$K$504="Ja")*(MATCHER!$C$5:$C$504&lt;E111)*(MATCHER!$M$5:$M$504&gt;D111)*(ROW(MATCHER!$A$5:$A$504)-ROW(MATCHER!$A$5)+1&gt;R111),0),0),""))</f>
        <v/>
      </c>
      <c r="T111" s="15" t="str">
        <f>IF(S111="","",IFERROR(MATCH(1,INDEX((MATCHER!$B$5:$B$504=A111)*(MATCHER!$D$5:$D$504=C111)*(MATCHER!$K$5:$K$504="Ja")*(MATCHER!$C$5:$C$504&lt;E111)*(MATCHER!$M$5:$M$504&gt;D111)*(ROW(MATCHER!$A$5:$A$504)-ROW(MATCHER!$A$5)+1&gt;S111),0),0),""))</f>
        <v/>
      </c>
      <c r="U111" s="15">
        <f t="shared" si="16"/>
        <v>1</v>
      </c>
      <c r="V111" s="15">
        <f>IF(OR(I111&lt;&gt;"Ja",J111=""),"",COUNTIFS($O$5:O111,O111,$U$5:U111,1))</f>
        <v>1</v>
      </c>
      <c r="W111" s="15" t="str">
        <f t="shared" si="17"/>
        <v>2026-10-17 | Ulriksdalshallen|1</v>
      </c>
      <c r="X111" s="16" t="str">
        <f t="shared" si="18"/>
        <v/>
      </c>
      <c r="Y111" s="15">
        <f>IF(OR(I111&lt;&gt;"Ja",J111=""),0,IF(COUNTIFS($O$5:O111,O111,$I$5:I111,"Ja",$J$5:J111,"&lt;&gt;")=1,1,0))</f>
        <v>1</v>
      </c>
      <c r="Z111" s="15">
        <f>IF(OR(I111&lt;&gt;"Ja",J111=""),0,IF(COUNTIFS(O111:$O$546,O111,I111:$I$546,"Ja",J111:$J$546,"&lt;&gt;")=1,1,0))</f>
        <v>0</v>
      </c>
      <c r="AA111" s="15">
        <f>IF(COUNTIFS(MATCHER!$B$5:$B$504,A111,MATCHER!$D$5:$D$504,C111,MATCHER!$J$5:$J$504,REGLER!$I$6,MATCHER!$K$5:$K$504,"Ja")+COUNTIFS(MATCHER!$B$5:$B$504,A111,MATCHER!$D$5:$D$504,C111,MATCHER!$J$5:$J$504,REGLER!$I$6&amp;" 2",MATCHER!$K$5:$K$504,"Ja")&gt;0,1,0)+IF(COUNTIFS(MATCHER!$B$5:$B$504,A111,MATCHER!$D$5:$D$504,C111,MATCHER!$J$5:$J$504,REGLER!$I$7,MATCHER!$K$5:$K$504,"Ja")+COUNTIFS(MATCHER!$B$5:$B$504,A111,MATCHER!$D$5:$D$504,C111,MATCHER!$J$5:$J$504,REGLER!$I$7&amp;" 2",MATCHER!$K$5:$K$504,"Ja")&gt;0,1,0)+IF(COUNTIFS(MATCHER!$B$5:$B$504,A111,MATCHER!$D$5:$D$504,C111,MATCHER!$J$5:$J$504,REGLER!$I$8,MATCHER!$K$5:$K$504,"Ja")+COUNTIFS(MATCHER!$B$5:$B$504,A111,MATCHER!$D$5:$D$504,C111,MATCHER!$J$5:$J$504,REGLER!$I$8&amp;" 2",MATCHER!$K$5:$K$504,"Ja")&gt;0,1,0)+IF(COUNTIFS(MATCHER!$B$5:$B$504,A111,MATCHER!$D$5:$D$504,C111,MATCHER!$J$5:$J$504,REGLER!$I$9,MATCHER!$K$5:$K$504,"Ja")+COUNTIFS(MATCHER!$B$5:$B$504,A111,MATCHER!$D$5:$D$504,C111,MATCHER!$J$5:$J$504,REGLER!$I$9&amp;" 2",MATCHER!$K$5:$K$504,"Ja")&gt;0,1,0)+IF(COUNTIFS(MATCHER!$B$5:$B$504,A111,MATCHER!$D$5:$D$504,C111,MATCHER!$J$5:$J$504,REGLER!$I$10,MATCHER!$K$5:$K$504,"Ja")+COUNTIFS(MATCHER!$B$5:$B$504,A111,MATCHER!$D$5:$D$504,C111,MATCHER!$J$5:$J$504,REGLER!$I$10&amp;" 2",MATCHER!$K$5:$K$504,"Ja")&gt;0,1,0)+IF(COUNTIFS(MATCHER!$B$5:$B$504,A111,MATCHER!$D$5:$D$504,C111,MATCHER!$J$5:$J$504,REGLER!$I$11,MATCHER!$K$5:$K$504,"Ja")+COUNTIFS(MATCHER!$B$5:$B$504,A111,MATCHER!$D$5:$D$504,C111,MATCHER!$J$5:$J$504,REGLER!$I$11&amp;" 2",MATCHER!$K$5:$K$504,"Ja")&gt;0,1,0)+IF(COUNTIFS(MATCHER!$B$5:$B$504,A111,MATCHER!$D$5:$D$504,C111,MATCHER!$J$5:$J$504,REGLER!$I$12,MATCHER!$K$5:$K$504,"Ja")+COUNTIFS(MATCHER!$B$5:$B$504,A111,MATCHER!$D$5:$D$504,C111,MATCHER!$J$5:$J$504,REGLER!$I$12&amp;" 2",MATCHER!$K$5:$K$504,"Ja")&gt;0,1,0)+IF(COUNTIFS(MATCHER!$B$5:$B$504,A111,MATCHER!$D$5:$D$504,C111,MATCHER!$J$5:$J$504,REGLER!$I$13,MATCHER!$K$5:$K$504,"Ja")+COUNTIFS(MATCHER!$B$5:$B$504,A111,MATCHER!$D$5:$D$504,C111,MATCHER!$J$5:$J$504,REGLER!$I$13&amp;" 2",MATCHER!$K$5:$K$504,"Ja")&gt;0,1,0)+IF(COUNTIFS(MATCHER!$B$5:$B$504,A111,MATCHER!$D$5:$D$504,C111,MATCHER!$J$5:$J$504,REGLER!$I$14,MATCHER!$K$5:$K$504,"Ja")+COUNTIFS(MATCHER!$B$5:$B$504,A111,MATCHER!$D$5:$D$504,C111,MATCHER!$J$5:$J$504,REGLER!$I$14&amp;" 2",MATCHER!$K$5:$K$504,"Ja")&gt;0,1,0)+IF(COUNTIFS(MATCHER!$B$5:$B$504,A111,MATCHER!$D$5:$D$504,C111,MATCHER!$J$5:$J$504,REGLER!$I$15,MATCHER!$K$5:$K$504,"Ja")+COUNTIFS(MATCHER!$B$5:$B$504,A111,MATCHER!$D$5:$D$504,C111,MATCHER!$J$5:$J$504,REGLER!$I$15&amp;" 2",MATCHER!$K$5:$K$504,"Ja")&gt;0,1,0)+IF(COUNTIFS(MATCHER!$B$5:$B$504,A111,MATCHER!$D$5:$D$504,C111,MATCHER!$J$5:$J$504,REGLER!$I$16,MATCHER!$K$5:$K$504,"Ja")+COUNTIFS(MATCHER!$B$5:$B$504,A111,MATCHER!$D$5:$D$504,C111,MATCHER!$J$5:$J$504,REGLER!$I$16&amp;" 2",MATCHER!$K$5:$K$504,"Ja")&gt;0,1,0)+IF(COUNTIFS(MATCHER!$B$5:$B$504,A111,MATCHER!$D$5:$D$504,C111,MATCHER!$J$5:$J$504,REGLER!$I$17,MATCHER!$K$5:$K$504,"Ja")+COUNTIFS(MATCHER!$B$5:$B$504,A111,MATCHER!$D$5:$D$504,C111,MATCHER!$J$5:$J$504,REGLER!$I$17&amp;" 2",MATCHER!$K$5:$K$504,"Ja")&gt;0,1,0)+IF(COUNTIFS(MATCHER!$B$5:$B$504,A111,MATCHER!$D$5:$D$504,C111,MATCHER!$J$5:$J$504,REGLER!$I$18,MATCHER!$K$5:$K$504,"Ja")+COUNTIFS(MATCHER!$B$5:$B$504,A111,MATCHER!$D$5:$D$504,C111,MATCHER!$J$5:$J$504,REGLER!$I$18&amp;" 2",MATCHER!$K$5:$K$504,"Ja")&gt;0,1,0)+IF(COUNTIFS(MATCHER!$B$5:$B$504,A111,MATCHER!$D$5:$D$504,C111,MATCHER!$J$5:$J$504,REGLER!$I$19,MATCHER!$K$5:$K$504,"Ja")+COUNTIFS(MATCHER!$B$5:$B$504,A111,MATCHER!$D$5:$D$504,C111,MATCHER!$J$5:$J$504,REGLER!$I$19&amp;" 2",MATCHER!$K$5:$K$504,"Ja")&gt;0,1,0)+IF(COUNTIFS(MATCHER!$B$5:$B$504,A111,MATCHER!$D$5:$D$504,C111,MATCHER!$J$5:$J$504,REGLER!$I$20,MATCHER!$K$5:$K$504,"Ja")+COUNTIFS(MATCHER!$B$5:$B$504,A111,MATCHER!$D$5:$D$504,C111,MATCHER!$J$5:$J$504,REGLER!$I$20&amp;" 2",MATCHER!$K$5:$K$504,"Ja")&gt;0,1,0)+IF(COUNTIFS(MATCHER!$B$5:$B$504,A111,MATCHER!$D$5:$D$504,C111,MATCHER!$J$5:$J$504,REGLER!$I$21,MATCHER!$K$5:$K$504,"Ja")+COUNTIFS(MATCHER!$B$5:$B$504,A111,MATCHER!$D$5:$D$504,C111,MATCHER!$J$5:$J$504,REGLER!$I$21&amp;" 2",MATCHER!$K$5:$K$504,"Ja")&gt;0,1,0)+IF(COUNTIFS(MATCHER!$B$5:$B$504,A111,MATCHER!$D$5:$D$504,C111,MATCHER!$J$5:$J$504,REGLER!$I$22,MATCHER!$K$5:$K$504,"Ja")+COUNTIFS(MATCHER!$B$5:$B$504,A111,MATCHER!$D$5:$D$504,C111,MATCHER!$J$5:$J$504,REGLER!$I$22&amp;" 2",MATCHER!$K$5:$K$504,"Ja")&gt;0,1,0)+IF(COUNTIFS(MATCHER!$B$5:$B$504,A111,MATCHER!$D$5:$D$504,C111,MATCHER!$J$5:$J$504,REGLER!$I$23,MATCHER!$K$5:$K$504,"Ja")+COUNTIFS(MATCHER!$B$5:$B$504,A111,MATCHER!$D$5:$D$504,C111,MATCHER!$J$5:$J$504,REGLER!$I$23&amp;" 2",MATCHER!$K$5:$K$504,"Ja")&gt;0,1,0)+IF(COUNTIFS(MATCHER!$B$5:$B$504,A111,MATCHER!$D$5:$D$504,C111,MATCHER!$J$5:$J$504,REGLER!$I$24,MATCHER!$K$5:$K$504,"Ja")+COUNTIFS(MATCHER!$B$5:$B$504,A111,MATCHER!$D$5:$D$504,C111,MATCHER!$J$5:$J$504,REGLER!$I$24&amp;" 2",MATCHER!$K$5:$K$504,"Ja")&gt;0,1,0)+IF(COUNTIFS(MATCHER!$B$5:$B$504,A111,MATCHER!$D$5:$D$504,C111,MATCHER!$J$5:$J$504,REGLER!$I$25,MATCHER!$K$5:$K$504,"Ja")+COUNTIFS(MATCHER!$B$5:$B$504,A111,MATCHER!$D$5:$D$504,C111,MATCHER!$J$5:$J$504,REGLER!$I$25&amp;" 2",MATCHER!$K$5:$K$504,"Ja")&gt;0,1,0)+IF(COUNTIFS(MATCHER!$B$5:$B$504,A111,MATCHER!$D$5:$D$504,C111,MATCHER!$J$5:$J$504,REGLER!$I$26,MATCHER!$K$5:$K$504,"Ja")+COUNTIFS(MATCHER!$B$5:$B$504,A111,MATCHER!$D$5:$D$504,C111,MATCHER!$J$5:$J$504,REGLER!$I$26&amp;" 2",MATCHER!$K$5:$K$504,"Ja")&gt;0,1,0)</f>
        <v>2</v>
      </c>
      <c r="AB111" s="15">
        <f>IF(U111&lt;&gt;1,"",COUNTIF($U$5:U111,1))</f>
        <v>13</v>
      </c>
      <c r="AC111" s="15" t="str">
        <f t="shared" si="19"/>
        <v/>
      </c>
      <c r="AD111" s="15" t="str">
        <f t="shared" si="20"/>
        <v>Vanligt café</v>
      </c>
      <c r="AE111" s="15">
        <f t="shared" si="21"/>
        <v>6.500000000000016</v>
      </c>
      <c r="AF111" t="str">
        <f>IF(T111="","",IFERROR(MATCH(1,INDEX((MATCHER!$B$5:$B$504=A111)*(MATCHER!$D$5:$D$504=C111)*(MATCHER!$K$5:$K$504="Ja")*(MATCHER!$C$5:$C$504&lt;E111)*(MATCHER!$M$5:$M$504&gt;D111)*(ROW(MATCHER!$A$5:$A$504)-ROW(MATCHER!$A$5)+1&gt;T111),0),0),""))</f>
        <v/>
      </c>
    </row>
    <row r="112" spans="1:32" ht="26">
      <c r="A112" s="42">
        <v>46312</v>
      </c>
      <c r="B112" s="43" t="s">
        <v>85</v>
      </c>
      <c r="C112" s="43" t="s">
        <v>86</v>
      </c>
      <c r="D112" s="44">
        <v>0.35416666666666702</v>
      </c>
      <c r="E112" s="44">
        <v>0.375</v>
      </c>
      <c r="F112" s="45" t="str">
        <f>IF(R112="","",HOUR(INDEX(MATCHER!$C$5:$C$504,R112))&amp;":"&amp;IF(MINUTE(INDEX(MATCHER!$C$5:$C$504,R112))&lt;10,"0","")&amp;MINUTE(INDEX(MATCHER!$C$5:$C$504,R112))&amp;" "&amp;INDEX(MATCHER!$H$5:$H$504,R112)&amp;" – "&amp;INDEX(MATCHER!$I$5:$I$504,R112))&amp;IF(S112="",""," | "&amp;HOUR(INDEX(MATCHER!$C$5:$C$504,S112))&amp;":"&amp;IF(MINUTE(INDEX(MATCHER!$C$5:$C$504,S112))&lt;10,"0","")&amp;MINUTE(INDEX(MATCHER!$C$5:$C$504,S112))&amp;" "&amp;INDEX(MATCHER!$H$5:$H$504,S112)&amp;" – "&amp;INDEX(MATCHER!$I$5:$I$504,S112))&amp;IF(T112="",""," | "&amp;HOUR(INDEX(MATCHER!$C$5:$C$504,T112))&amp;":"&amp;IF(MINUTE(INDEX(MATCHER!$C$5:$C$504,T112))&lt;10,"0","")&amp;MINUTE(INDEX(MATCHER!$C$5:$C$504,T112))&amp;" "&amp;INDEX(MATCHER!$H$5:$H$504,T112)&amp;" – "&amp;INDEX(MATCHER!$I$5:$I$504,T112))&amp;IF(AF112="",""," | "&amp;HOUR(INDEX(MATCHER!$C$5:$C$504,AF112))&amp;":"&amp;IF(MINUTE(INDEX(MATCHER!$C$5:$C$504,AF112))&lt;10,"0","")&amp;MINUTE(INDEX(MATCHER!$C$5:$C$504,AF112))&amp;" "&amp;INDEX(MATCHER!$H$5:$H$504,AF112)&amp;" – "&amp;INDEX(MATCHER!$I$5:$I$504,AF112))</f>
        <v/>
      </c>
      <c r="G112" s="45" t="str">
        <f>MID(IF(R112="","",IF(OR(INDEX(MATCHER!$J$5:$J$504,R112)=""),""," / "&amp;INDEX(MATCHER!$J$5:$J$504,R112)))&amp;IF(S112="","",IF(OR(INDEX(MATCHER!$J$5:$J$504,S112)="",INDEX(MATCHER!$J$5:$J$504,S112)=IFERROR(INDEX(MATCHER!$J$5:$J$504,R112),"")),""," / "&amp;INDEX(MATCHER!$J$5:$J$504,S112)))&amp;IF(T112="","",IF(OR(INDEX(MATCHER!$J$5:$J$504,T112)="",INDEX(MATCHER!$J$5:$J$504,T112)=IFERROR(INDEX(MATCHER!$J$5:$J$504,R112),""),INDEX(MATCHER!$J$5:$J$504,T112)=IFERROR(INDEX(MATCHER!$J$5:$J$504,S112),"")),""," / "&amp;INDEX(MATCHER!$J$5:$J$504,T112)))&amp;IF(AF112="","",IF(OR(INDEX(MATCHER!$J$5:$J$504,AF112)="",INDEX(MATCHER!$J$5:$J$504,AF112)=IFERROR(INDEX(MATCHER!$J$5:$J$504,R112),""),INDEX(MATCHER!$J$5:$J$504,AF112)=IFERROR(INDEX(MATCHER!$J$5:$J$504,S112),""),INDEX(MATCHER!$J$5:$J$504,AF112)=IFERROR(INDEX(MATCHER!$J$5:$J$504,T112),"")),""," / "&amp;INDEX(MATCHER!$J$5:$J$504,AF112))),4,1000)</f>
        <v/>
      </c>
      <c r="H112" s="45" t="str">
        <f t="shared" ref="H112:H128" si="28">H111</f>
        <v>F12, F13</v>
      </c>
      <c r="I112" s="46" t="s">
        <v>90</v>
      </c>
      <c r="J112" s="47" t="s">
        <v>101</v>
      </c>
      <c r="K112" s="48"/>
      <c r="L112" s="49"/>
      <c r="M112" s="50" t="str">
        <f>IF(O112&lt;&gt;O111,MAX(1,MIN(AA112,ROUNDUP(SUMPRODUCT(($O$5:$O$546=O112)*($I$5:$I$546="Ja")*($E$5:$E$546-$D$5:$D$546))*24/REGLER!$B$8,0))),"")</f>
        <v/>
      </c>
      <c r="N112" s="50" t="str">
        <f t="shared" si="15"/>
        <v>Klar</v>
      </c>
      <c r="O112" s="15" t="s">
        <v>113</v>
      </c>
      <c r="P112" s="16">
        <v>0.33333333333333298</v>
      </c>
      <c r="Q112" s="16">
        <v>0.70833333333333304</v>
      </c>
      <c r="R112" s="15" t="str">
        <f>IFERROR(MATCH(1,INDEX((MATCHER!$B$5:$B$504=A112)*(MATCHER!$D$5:$D$504=C112)*(MATCHER!$K$5:$K$504="Ja")*(MATCHER!$C$5:$C$504&lt;E112)*(MATCHER!$M$5:$M$504&gt;D112),0),0),"")</f>
        <v/>
      </c>
      <c r="S112" s="15" t="str">
        <f>IF(R112="","",IFERROR(MATCH(1,INDEX((MATCHER!$B$5:$B$504=A112)*(MATCHER!$D$5:$D$504=C112)*(MATCHER!$K$5:$K$504="Ja")*(MATCHER!$C$5:$C$504&lt;E112)*(MATCHER!$M$5:$M$504&gt;D112)*(ROW(MATCHER!$A$5:$A$504)-ROW(MATCHER!$A$5)+1&gt;R112),0),0),""))</f>
        <v/>
      </c>
      <c r="T112" s="15" t="str">
        <f>IF(S112="","",IFERROR(MATCH(1,INDEX((MATCHER!$B$5:$B$504=A112)*(MATCHER!$D$5:$D$504=C112)*(MATCHER!$K$5:$K$504="Ja")*(MATCHER!$C$5:$C$504&lt;E112)*(MATCHER!$M$5:$M$504&gt;D112)*(ROW(MATCHER!$A$5:$A$504)-ROW(MATCHER!$A$5)+1&gt;S112),0),0),""))</f>
        <v/>
      </c>
      <c r="U112" s="15">
        <f t="shared" si="16"/>
        <v>0</v>
      </c>
      <c r="V112" s="15">
        <f>IF(OR(I112&lt;&gt;"Ja",J112=""),"",COUNTIFS($O$5:O112,O112,$U$5:U112,1))</f>
        <v>1</v>
      </c>
      <c r="W112" s="15" t="str">
        <f t="shared" si="17"/>
        <v>2026-10-17 | Ulriksdalshallen|1</v>
      </c>
      <c r="X112" s="16" t="str">
        <f t="shared" si="18"/>
        <v/>
      </c>
      <c r="Y112" s="15">
        <f>IF(OR(I112&lt;&gt;"Ja",J112=""),0,IF(COUNTIFS($O$5:O112,O112,$I$5:I112,"Ja",$J$5:J112,"&lt;&gt;")=1,1,0))</f>
        <v>0</v>
      </c>
      <c r="Z112" s="15">
        <f>IF(OR(I112&lt;&gt;"Ja",J112=""),0,IF(COUNTIFS(O112:$O$546,O112,I112:$I$546,"Ja",J112:$J$546,"&lt;&gt;")=1,1,0))</f>
        <v>0</v>
      </c>
      <c r="AA112" s="15">
        <f t="shared" ref="AA112:AA128" si="29">AA111</f>
        <v>2</v>
      </c>
      <c r="AB112" s="15" t="str">
        <f>IF(U112&lt;&gt;1,"",COUNTIF($U$5:U112,1))</f>
        <v/>
      </c>
      <c r="AC112" s="15" t="str">
        <f t="shared" si="19"/>
        <v/>
      </c>
      <c r="AD112" s="15" t="str">
        <f t="shared" si="20"/>
        <v>Vanligt café</v>
      </c>
      <c r="AE112" s="15" t="str">
        <f t="shared" si="21"/>
        <v/>
      </c>
      <c r="AF112" t="str">
        <f>IF(T112="","",IFERROR(MATCH(1,INDEX((MATCHER!$B$5:$B$504=A112)*(MATCHER!$D$5:$D$504=C112)*(MATCHER!$K$5:$K$504="Ja")*(MATCHER!$C$5:$C$504&lt;E112)*(MATCHER!$M$5:$M$504&gt;D112)*(ROW(MATCHER!$A$5:$A$504)-ROW(MATCHER!$A$5)+1&gt;T112),0),0),""))</f>
        <v/>
      </c>
    </row>
    <row r="113" spans="1:32" ht="26">
      <c r="A113" s="42">
        <v>46312</v>
      </c>
      <c r="B113" s="43" t="s">
        <v>85</v>
      </c>
      <c r="C113" s="43" t="s">
        <v>86</v>
      </c>
      <c r="D113" s="44">
        <v>0.375</v>
      </c>
      <c r="E113" s="44">
        <v>0.39583333333333298</v>
      </c>
      <c r="F113" s="45" t="str">
        <f>IF(R113="","",HOUR(INDEX(MATCHER!$C$5:$C$504,R113))&amp;":"&amp;IF(MINUTE(INDEX(MATCHER!$C$5:$C$504,R113))&lt;10,"0","")&amp;MINUTE(INDEX(MATCHER!$C$5:$C$504,R113))&amp;" "&amp;INDEX(MATCHER!$H$5:$H$504,R113)&amp;" – "&amp;INDEX(MATCHER!$I$5:$I$504,R113))&amp;IF(S113="",""," | "&amp;HOUR(INDEX(MATCHER!$C$5:$C$504,S113))&amp;":"&amp;IF(MINUTE(INDEX(MATCHER!$C$5:$C$504,S113))&lt;10,"0","")&amp;MINUTE(INDEX(MATCHER!$C$5:$C$504,S113))&amp;" "&amp;INDEX(MATCHER!$H$5:$H$504,S113)&amp;" – "&amp;INDEX(MATCHER!$I$5:$I$504,S113))&amp;IF(T113="",""," | "&amp;HOUR(INDEX(MATCHER!$C$5:$C$504,T113))&amp;":"&amp;IF(MINUTE(INDEX(MATCHER!$C$5:$C$504,T113))&lt;10,"0","")&amp;MINUTE(INDEX(MATCHER!$C$5:$C$504,T113))&amp;" "&amp;INDEX(MATCHER!$H$5:$H$504,T113)&amp;" – "&amp;INDEX(MATCHER!$I$5:$I$504,T113))&amp;IF(AF113="",""," | "&amp;HOUR(INDEX(MATCHER!$C$5:$C$504,AF113))&amp;":"&amp;IF(MINUTE(INDEX(MATCHER!$C$5:$C$504,AF113))&lt;10,"0","")&amp;MINUTE(INDEX(MATCHER!$C$5:$C$504,AF113))&amp;" "&amp;INDEX(MATCHER!$H$5:$H$504,AF113)&amp;" – "&amp;INDEX(MATCHER!$I$5:$I$504,AF113))</f>
        <v>9:00 AIK – Täby HBK</v>
      </c>
      <c r="G113" s="45" t="str">
        <f>MID(IF(R113="","",IF(OR(INDEX(MATCHER!$J$5:$J$504,R113)=""),""," / "&amp;INDEX(MATCHER!$J$5:$J$504,R113)))&amp;IF(S113="","",IF(OR(INDEX(MATCHER!$J$5:$J$504,S113)="",INDEX(MATCHER!$J$5:$J$504,S113)=IFERROR(INDEX(MATCHER!$J$5:$J$504,R113),"")),""," / "&amp;INDEX(MATCHER!$J$5:$J$504,S113)))&amp;IF(T113="","",IF(OR(INDEX(MATCHER!$J$5:$J$504,T113)="",INDEX(MATCHER!$J$5:$J$504,T113)=IFERROR(INDEX(MATCHER!$J$5:$J$504,R113),""),INDEX(MATCHER!$J$5:$J$504,T113)=IFERROR(INDEX(MATCHER!$J$5:$J$504,S113),"")),""," / "&amp;INDEX(MATCHER!$J$5:$J$504,T113)))&amp;IF(AF113="","",IF(OR(INDEX(MATCHER!$J$5:$J$504,AF113)="",INDEX(MATCHER!$J$5:$J$504,AF113)=IFERROR(INDEX(MATCHER!$J$5:$J$504,R113),""),INDEX(MATCHER!$J$5:$J$504,AF113)=IFERROR(INDEX(MATCHER!$J$5:$J$504,S113),""),INDEX(MATCHER!$J$5:$J$504,AF113)=IFERROR(INDEX(MATCHER!$J$5:$J$504,T113),"")),""," / "&amp;INDEX(MATCHER!$J$5:$J$504,AF113))),4,1000)</f>
        <v>F12</v>
      </c>
      <c r="H113" s="45" t="str">
        <f t="shared" si="28"/>
        <v>F12, F13</v>
      </c>
      <c r="I113" s="46" t="s">
        <v>90</v>
      </c>
      <c r="J113" s="47" t="s">
        <v>101</v>
      </c>
      <c r="K113" s="48"/>
      <c r="L113" s="49"/>
      <c r="M113" s="50" t="str">
        <f>IF(O113&lt;&gt;O112,MAX(1,MIN(AA113,ROUNDUP(SUMPRODUCT(($O$5:$O$546=O113)*($I$5:$I$546="Ja")*($E$5:$E$546-$D$5:$D$546))*24/REGLER!$B$8,0))),"")</f>
        <v/>
      </c>
      <c r="N113" s="50" t="str">
        <f t="shared" si="15"/>
        <v>Klar</v>
      </c>
      <c r="O113" s="15" t="s">
        <v>113</v>
      </c>
      <c r="P113" s="16">
        <v>0.33333333333333298</v>
      </c>
      <c r="Q113" s="16">
        <v>0.70833333333333304</v>
      </c>
      <c r="R113" s="15">
        <f>IFERROR(MATCH(1,INDEX((MATCHER!$B$5:$B$504=A113)*(MATCHER!$D$5:$D$504=C113)*(MATCHER!$K$5:$K$504="Ja")*(MATCHER!$C$5:$C$504&lt;E113)*(MATCHER!$M$5:$M$504&gt;D113),0),0),"")</f>
        <v>35</v>
      </c>
      <c r="S113" s="15" t="str">
        <f>IF(R113="","",IFERROR(MATCH(1,INDEX((MATCHER!$B$5:$B$504=A113)*(MATCHER!$D$5:$D$504=C113)*(MATCHER!$K$5:$K$504="Ja")*(MATCHER!$C$5:$C$504&lt;E113)*(MATCHER!$M$5:$M$504&gt;D113)*(ROW(MATCHER!$A$5:$A$504)-ROW(MATCHER!$A$5)+1&gt;R113),0),0),""))</f>
        <v/>
      </c>
      <c r="T113" s="15" t="str">
        <f>IF(S113="","",IFERROR(MATCH(1,INDEX((MATCHER!$B$5:$B$504=A113)*(MATCHER!$D$5:$D$504=C113)*(MATCHER!$K$5:$K$504="Ja")*(MATCHER!$C$5:$C$504&lt;E113)*(MATCHER!$M$5:$M$504&gt;D113)*(ROW(MATCHER!$A$5:$A$504)-ROW(MATCHER!$A$5)+1&gt;S113),0),0),""))</f>
        <v/>
      </c>
      <c r="U113" s="15">
        <f t="shared" si="16"/>
        <v>0</v>
      </c>
      <c r="V113" s="15">
        <f>IF(OR(I113&lt;&gt;"Ja",J113=""),"",COUNTIFS($O$5:O113,O113,$U$5:U113,1))</f>
        <v>1</v>
      </c>
      <c r="W113" s="15" t="str">
        <f t="shared" si="17"/>
        <v>2026-10-17 | Ulriksdalshallen|1</v>
      </c>
      <c r="X113" s="16" t="str">
        <f t="shared" si="18"/>
        <v/>
      </c>
      <c r="Y113" s="15">
        <f>IF(OR(I113&lt;&gt;"Ja",J113=""),0,IF(COUNTIFS($O$5:O113,O113,$I$5:I113,"Ja",$J$5:J113,"&lt;&gt;")=1,1,0))</f>
        <v>0</v>
      </c>
      <c r="Z113" s="15">
        <f>IF(OR(I113&lt;&gt;"Ja",J113=""),0,IF(COUNTIFS(O113:$O$546,O113,I113:$I$546,"Ja",J113:$J$546,"&lt;&gt;")=1,1,0))</f>
        <v>0</v>
      </c>
      <c r="AA113" s="15">
        <f t="shared" si="29"/>
        <v>2</v>
      </c>
      <c r="AB113" s="15" t="str">
        <f>IF(U113&lt;&gt;1,"",COUNTIF($U$5:U113,1))</f>
        <v/>
      </c>
      <c r="AC113" s="15" t="str">
        <f t="shared" si="19"/>
        <v/>
      </c>
      <c r="AD113" s="15" t="str">
        <f t="shared" si="20"/>
        <v>Vanligt café</v>
      </c>
      <c r="AE113" s="15" t="str">
        <f t="shared" si="21"/>
        <v/>
      </c>
      <c r="AF113" t="str">
        <f>IF(T113="","",IFERROR(MATCH(1,INDEX((MATCHER!$B$5:$B$504=A113)*(MATCHER!$D$5:$D$504=C113)*(MATCHER!$K$5:$K$504="Ja")*(MATCHER!$C$5:$C$504&lt;E113)*(MATCHER!$M$5:$M$504&gt;D113)*(ROW(MATCHER!$A$5:$A$504)-ROW(MATCHER!$A$5)+1&gt;T113),0),0),""))</f>
        <v/>
      </c>
    </row>
    <row r="114" spans="1:32" ht="26">
      <c r="A114" s="42">
        <v>46312</v>
      </c>
      <c r="B114" s="43" t="s">
        <v>85</v>
      </c>
      <c r="C114" s="43" t="s">
        <v>86</v>
      </c>
      <c r="D114" s="44">
        <v>0.39583333333333298</v>
      </c>
      <c r="E114" s="44">
        <v>0.41666666666666702</v>
      </c>
      <c r="F114" s="45" t="str">
        <f>IF(R114="","",HOUR(INDEX(MATCHER!$C$5:$C$504,R114))&amp;":"&amp;IF(MINUTE(INDEX(MATCHER!$C$5:$C$504,R114))&lt;10,"0","")&amp;MINUTE(INDEX(MATCHER!$C$5:$C$504,R114))&amp;" "&amp;INDEX(MATCHER!$H$5:$H$504,R114)&amp;" – "&amp;INDEX(MATCHER!$I$5:$I$504,R114))&amp;IF(S114="",""," | "&amp;HOUR(INDEX(MATCHER!$C$5:$C$504,S114))&amp;":"&amp;IF(MINUTE(INDEX(MATCHER!$C$5:$C$504,S114))&lt;10,"0","")&amp;MINUTE(INDEX(MATCHER!$C$5:$C$504,S114))&amp;" "&amp;INDEX(MATCHER!$H$5:$H$504,S114)&amp;" – "&amp;INDEX(MATCHER!$I$5:$I$504,S114))&amp;IF(T114="",""," | "&amp;HOUR(INDEX(MATCHER!$C$5:$C$504,T114))&amp;":"&amp;IF(MINUTE(INDEX(MATCHER!$C$5:$C$504,T114))&lt;10,"0","")&amp;MINUTE(INDEX(MATCHER!$C$5:$C$504,T114))&amp;" "&amp;INDEX(MATCHER!$H$5:$H$504,T114)&amp;" – "&amp;INDEX(MATCHER!$I$5:$I$504,T114))&amp;IF(AF114="",""," | "&amp;HOUR(INDEX(MATCHER!$C$5:$C$504,AF114))&amp;":"&amp;IF(MINUTE(INDEX(MATCHER!$C$5:$C$504,AF114))&lt;10,"0","")&amp;MINUTE(INDEX(MATCHER!$C$5:$C$504,AF114))&amp;" "&amp;INDEX(MATCHER!$H$5:$H$504,AF114)&amp;" – "&amp;INDEX(MATCHER!$I$5:$I$504,AF114))</f>
        <v>9:00 AIK – Täby HBK | 9:45 Sollentuna HK – Bålsta IF</v>
      </c>
      <c r="G114" s="45" t="str">
        <f>MID(IF(R114="","",IF(OR(INDEX(MATCHER!$J$5:$J$504,R114)=""),""," / "&amp;INDEX(MATCHER!$J$5:$J$504,R114)))&amp;IF(S114="","",IF(OR(INDEX(MATCHER!$J$5:$J$504,S114)="",INDEX(MATCHER!$J$5:$J$504,S114)=IFERROR(INDEX(MATCHER!$J$5:$J$504,R114),"")),""," / "&amp;INDEX(MATCHER!$J$5:$J$504,S114)))&amp;IF(T114="","",IF(OR(INDEX(MATCHER!$J$5:$J$504,T114)="",INDEX(MATCHER!$J$5:$J$504,T114)=IFERROR(INDEX(MATCHER!$J$5:$J$504,R114),""),INDEX(MATCHER!$J$5:$J$504,T114)=IFERROR(INDEX(MATCHER!$J$5:$J$504,S114),"")),""," / "&amp;INDEX(MATCHER!$J$5:$J$504,T114)))&amp;IF(AF114="","",IF(OR(INDEX(MATCHER!$J$5:$J$504,AF114)="",INDEX(MATCHER!$J$5:$J$504,AF114)=IFERROR(INDEX(MATCHER!$J$5:$J$504,R114),""),INDEX(MATCHER!$J$5:$J$504,AF114)=IFERROR(INDEX(MATCHER!$J$5:$J$504,S114),""),INDEX(MATCHER!$J$5:$J$504,AF114)=IFERROR(INDEX(MATCHER!$J$5:$J$504,T114),"")),""," / "&amp;INDEX(MATCHER!$J$5:$J$504,AF114))),4,1000)</f>
        <v>F12</v>
      </c>
      <c r="H114" s="45" t="str">
        <f t="shared" si="28"/>
        <v>F12, F13</v>
      </c>
      <c r="I114" s="46" t="s">
        <v>90</v>
      </c>
      <c r="J114" s="47" t="s">
        <v>101</v>
      </c>
      <c r="K114" s="48"/>
      <c r="L114" s="49"/>
      <c r="M114" s="50" t="str">
        <f>IF(O114&lt;&gt;O113,MAX(1,MIN(AA114,ROUNDUP(SUMPRODUCT(($O$5:$O$546=O114)*($I$5:$I$546="Ja")*($E$5:$E$546-$D$5:$D$546))*24/REGLER!$B$8,0))),"")</f>
        <v/>
      </c>
      <c r="N114" s="50" t="str">
        <f t="shared" si="15"/>
        <v>Klar</v>
      </c>
      <c r="O114" s="15" t="s">
        <v>113</v>
      </c>
      <c r="P114" s="16">
        <v>0.33333333333333298</v>
      </c>
      <c r="Q114" s="16">
        <v>0.70833333333333304</v>
      </c>
      <c r="R114" s="15">
        <f>IFERROR(MATCH(1,INDEX((MATCHER!$B$5:$B$504=A114)*(MATCHER!$D$5:$D$504=C114)*(MATCHER!$K$5:$K$504="Ja")*(MATCHER!$C$5:$C$504&lt;E114)*(MATCHER!$M$5:$M$504&gt;D114),0),0),"")</f>
        <v>35</v>
      </c>
      <c r="S114" s="15">
        <f>IF(R114="","",IFERROR(MATCH(1,INDEX((MATCHER!$B$5:$B$504=A114)*(MATCHER!$D$5:$D$504=C114)*(MATCHER!$K$5:$K$504="Ja")*(MATCHER!$C$5:$C$504&lt;E114)*(MATCHER!$M$5:$M$504&gt;D114)*(ROW(MATCHER!$A$5:$A$504)-ROW(MATCHER!$A$5)+1&gt;R114),0),0),""))</f>
        <v>36</v>
      </c>
      <c r="T114" s="15" t="str">
        <f>IF(S114="","",IFERROR(MATCH(1,INDEX((MATCHER!$B$5:$B$504=A114)*(MATCHER!$D$5:$D$504=C114)*(MATCHER!$K$5:$K$504="Ja")*(MATCHER!$C$5:$C$504&lt;E114)*(MATCHER!$M$5:$M$504&gt;D114)*(ROW(MATCHER!$A$5:$A$504)-ROW(MATCHER!$A$5)+1&gt;S114),0),0),""))</f>
        <v/>
      </c>
      <c r="U114" s="15">
        <f t="shared" si="16"/>
        <v>0</v>
      </c>
      <c r="V114" s="15">
        <f>IF(OR(I114&lt;&gt;"Ja",J114=""),"",COUNTIFS($O$5:O114,O114,$U$5:U114,1))</f>
        <v>1</v>
      </c>
      <c r="W114" s="15" t="str">
        <f t="shared" si="17"/>
        <v>2026-10-17 | Ulriksdalshallen|1</v>
      </c>
      <c r="X114" s="16" t="str">
        <f t="shared" si="18"/>
        <v/>
      </c>
      <c r="Y114" s="15">
        <f>IF(OR(I114&lt;&gt;"Ja",J114=""),0,IF(COUNTIFS($O$5:O114,O114,$I$5:I114,"Ja",$J$5:J114,"&lt;&gt;")=1,1,0))</f>
        <v>0</v>
      </c>
      <c r="Z114" s="15">
        <f>IF(OR(I114&lt;&gt;"Ja",J114=""),0,IF(COUNTIFS(O114:$O$546,O114,I114:$I$546,"Ja",J114:$J$546,"&lt;&gt;")=1,1,0))</f>
        <v>0</v>
      </c>
      <c r="AA114" s="15">
        <f t="shared" si="29"/>
        <v>2</v>
      </c>
      <c r="AB114" s="15" t="str">
        <f>IF(U114&lt;&gt;1,"",COUNTIF($U$5:U114,1))</f>
        <v/>
      </c>
      <c r="AC114" s="15" t="str">
        <f t="shared" si="19"/>
        <v/>
      </c>
      <c r="AD114" s="15" t="str">
        <f t="shared" si="20"/>
        <v>Vanligt café</v>
      </c>
      <c r="AE114" s="15" t="str">
        <f t="shared" si="21"/>
        <v/>
      </c>
      <c r="AF114" t="str">
        <f>IF(T114="","",IFERROR(MATCH(1,INDEX((MATCHER!$B$5:$B$504=A114)*(MATCHER!$D$5:$D$504=C114)*(MATCHER!$K$5:$K$504="Ja")*(MATCHER!$C$5:$C$504&lt;E114)*(MATCHER!$M$5:$M$504&gt;D114)*(ROW(MATCHER!$A$5:$A$504)-ROW(MATCHER!$A$5)+1&gt;T114),0),0),""))</f>
        <v/>
      </c>
    </row>
    <row r="115" spans="1:32" ht="26">
      <c r="A115" s="42">
        <v>46312</v>
      </c>
      <c r="B115" s="43" t="s">
        <v>85</v>
      </c>
      <c r="C115" s="43" t="s">
        <v>86</v>
      </c>
      <c r="D115" s="44">
        <v>0.41666666666666702</v>
      </c>
      <c r="E115" s="44">
        <v>0.4375</v>
      </c>
      <c r="F115" s="45" t="str">
        <f>IF(R115="","",HOUR(INDEX(MATCHER!$C$5:$C$504,R115))&amp;":"&amp;IF(MINUTE(INDEX(MATCHER!$C$5:$C$504,R115))&lt;10,"0","")&amp;MINUTE(INDEX(MATCHER!$C$5:$C$504,R115))&amp;" "&amp;INDEX(MATCHER!$H$5:$H$504,R115)&amp;" – "&amp;INDEX(MATCHER!$I$5:$I$504,R115))&amp;IF(S115="",""," | "&amp;HOUR(INDEX(MATCHER!$C$5:$C$504,S115))&amp;":"&amp;IF(MINUTE(INDEX(MATCHER!$C$5:$C$504,S115))&lt;10,"0","")&amp;MINUTE(INDEX(MATCHER!$C$5:$C$504,S115))&amp;" "&amp;INDEX(MATCHER!$H$5:$H$504,S115)&amp;" – "&amp;INDEX(MATCHER!$I$5:$I$504,S115))&amp;IF(T115="",""," | "&amp;HOUR(INDEX(MATCHER!$C$5:$C$504,T115))&amp;":"&amp;IF(MINUTE(INDEX(MATCHER!$C$5:$C$504,T115))&lt;10,"0","")&amp;MINUTE(INDEX(MATCHER!$C$5:$C$504,T115))&amp;" "&amp;INDEX(MATCHER!$H$5:$H$504,T115)&amp;" – "&amp;INDEX(MATCHER!$I$5:$I$504,T115))&amp;IF(AF115="",""," | "&amp;HOUR(INDEX(MATCHER!$C$5:$C$504,AF115))&amp;":"&amp;IF(MINUTE(INDEX(MATCHER!$C$5:$C$504,AF115))&lt;10,"0","")&amp;MINUTE(INDEX(MATCHER!$C$5:$C$504,AF115))&amp;" "&amp;INDEX(MATCHER!$H$5:$H$504,AF115)&amp;" – "&amp;INDEX(MATCHER!$I$5:$I$504,AF115))</f>
        <v>9:45 Sollentuna HK – Bålsta IF</v>
      </c>
      <c r="G115" s="45" t="str">
        <f>MID(IF(R115="","",IF(OR(INDEX(MATCHER!$J$5:$J$504,R115)=""),""," / "&amp;INDEX(MATCHER!$J$5:$J$504,R115)))&amp;IF(S115="","",IF(OR(INDEX(MATCHER!$J$5:$J$504,S115)="",INDEX(MATCHER!$J$5:$J$504,S115)=IFERROR(INDEX(MATCHER!$J$5:$J$504,R115),"")),""," / "&amp;INDEX(MATCHER!$J$5:$J$504,S115)))&amp;IF(T115="","",IF(OR(INDEX(MATCHER!$J$5:$J$504,T115)="",INDEX(MATCHER!$J$5:$J$504,T115)=IFERROR(INDEX(MATCHER!$J$5:$J$504,R115),""),INDEX(MATCHER!$J$5:$J$504,T115)=IFERROR(INDEX(MATCHER!$J$5:$J$504,S115),"")),""," / "&amp;INDEX(MATCHER!$J$5:$J$504,T115)))&amp;IF(AF115="","",IF(OR(INDEX(MATCHER!$J$5:$J$504,AF115)="",INDEX(MATCHER!$J$5:$J$504,AF115)=IFERROR(INDEX(MATCHER!$J$5:$J$504,R115),""),INDEX(MATCHER!$J$5:$J$504,AF115)=IFERROR(INDEX(MATCHER!$J$5:$J$504,S115),""),INDEX(MATCHER!$J$5:$J$504,AF115)=IFERROR(INDEX(MATCHER!$J$5:$J$504,T115),"")),""," / "&amp;INDEX(MATCHER!$J$5:$J$504,AF115))),4,1000)</f>
        <v/>
      </c>
      <c r="H115" s="45" t="str">
        <f t="shared" si="28"/>
        <v>F12, F13</v>
      </c>
      <c r="I115" s="46" t="s">
        <v>90</v>
      </c>
      <c r="J115" s="47" t="s">
        <v>101</v>
      </c>
      <c r="K115" s="48"/>
      <c r="L115" s="49"/>
      <c r="M115" s="50" t="str">
        <f>IF(O115&lt;&gt;O114,MAX(1,MIN(AA115,ROUNDUP(SUMPRODUCT(($O$5:$O$546=O115)*($I$5:$I$546="Ja")*($E$5:$E$546-$D$5:$D$546))*24/REGLER!$B$8,0))),"")</f>
        <v/>
      </c>
      <c r="N115" s="50" t="str">
        <f t="shared" si="15"/>
        <v>Klar</v>
      </c>
      <c r="O115" s="15" t="s">
        <v>113</v>
      </c>
      <c r="P115" s="16">
        <v>0.33333333333333298</v>
      </c>
      <c r="Q115" s="16">
        <v>0.70833333333333304</v>
      </c>
      <c r="R115" s="15">
        <f>IFERROR(MATCH(1,INDEX((MATCHER!$B$5:$B$504=A115)*(MATCHER!$D$5:$D$504=C115)*(MATCHER!$K$5:$K$504="Ja")*(MATCHER!$C$5:$C$504&lt;E115)*(MATCHER!$M$5:$M$504&gt;D115),0),0),"")</f>
        <v>36</v>
      </c>
      <c r="S115" s="15" t="str">
        <f>IF(R115="","",IFERROR(MATCH(1,INDEX((MATCHER!$B$5:$B$504=A115)*(MATCHER!$D$5:$D$504=C115)*(MATCHER!$K$5:$K$504="Ja")*(MATCHER!$C$5:$C$504&lt;E115)*(MATCHER!$M$5:$M$504&gt;D115)*(ROW(MATCHER!$A$5:$A$504)-ROW(MATCHER!$A$5)+1&gt;R115),0),0),""))</f>
        <v/>
      </c>
      <c r="T115" s="15" t="str">
        <f>IF(S115="","",IFERROR(MATCH(1,INDEX((MATCHER!$B$5:$B$504=A115)*(MATCHER!$D$5:$D$504=C115)*(MATCHER!$K$5:$K$504="Ja")*(MATCHER!$C$5:$C$504&lt;E115)*(MATCHER!$M$5:$M$504&gt;D115)*(ROW(MATCHER!$A$5:$A$504)-ROW(MATCHER!$A$5)+1&gt;S115),0),0),""))</f>
        <v/>
      </c>
      <c r="U115" s="15">
        <f t="shared" si="16"/>
        <v>0</v>
      </c>
      <c r="V115" s="15">
        <f>IF(OR(I115&lt;&gt;"Ja",J115=""),"",COUNTIFS($O$5:O115,O115,$U$5:U115,1))</f>
        <v>1</v>
      </c>
      <c r="W115" s="15" t="str">
        <f t="shared" si="17"/>
        <v>2026-10-17 | Ulriksdalshallen|1</v>
      </c>
      <c r="X115" s="16" t="str">
        <f t="shared" si="18"/>
        <v/>
      </c>
      <c r="Y115" s="15">
        <f>IF(OR(I115&lt;&gt;"Ja",J115=""),0,IF(COUNTIFS($O$5:O115,O115,$I$5:I115,"Ja",$J$5:J115,"&lt;&gt;")=1,1,0))</f>
        <v>0</v>
      </c>
      <c r="Z115" s="15">
        <f>IF(OR(I115&lt;&gt;"Ja",J115=""),0,IF(COUNTIFS(O115:$O$546,O115,I115:$I$546,"Ja",J115:$J$546,"&lt;&gt;")=1,1,0))</f>
        <v>0</v>
      </c>
      <c r="AA115" s="15">
        <f t="shared" si="29"/>
        <v>2</v>
      </c>
      <c r="AB115" s="15" t="str">
        <f>IF(U115&lt;&gt;1,"",COUNTIF($U$5:U115,1))</f>
        <v/>
      </c>
      <c r="AC115" s="15" t="str">
        <f t="shared" si="19"/>
        <v/>
      </c>
      <c r="AD115" s="15" t="str">
        <f t="shared" si="20"/>
        <v>Vanligt café</v>
      </c>
      <c r="AE115" s="15" t="str">
        <f t="shared" si="21"/>
        <v/>
      </c>
      <c r="AF115" t="str">
        <f>IF(T115="","",IFERROR(MATCH(1,INDEX((MATCHER!$B$5:$B$504=A115)*(MATCHER!$D$5:$D$504=C115)*(MATCHER!$K$5:$K$504="Ja")*(MATCHER!$C$5:$C$504&lt;E115)*(MATCHER!$M$5:$M$504&gt;D115)*(ROW(MATCHER!$A$5:$A$504)-ROW(MATCHER!$A$5)+1&gt;T115),0),0),""))</f>
        <v/>
      </c>
    </row>
    <row r="116" spans="1:32" ht="26">
      <c r="A116" s="42">
        <v>46312</v>
      </c>
      <c r="B116" s="43" t="s">
        <v>85</v>
      </c>
      <c r="C116" s="43" t="s">
        <v>86</v>
      </c>
      <c r="D116" s="44">
        <v>0.4375</v>
      </c>
      <c r="E116" s="44">
        <v>0.45833333333333298</v>
      </c>
      <c r="F116" s="45" t="str">
        <f>IF(R116="","",HOUR(INDEX(MATCHER!$C$5:$C$504,R116))&amp;":"&amp;IF(MINUTE(INDEX(MATCHER!$C$5:$C$504,R116))&lt;10,"0","")&amp;MINUTE(INDEX(MATCHER!$C$5:$C$504,R116))&amp;" "&amp;INDEX(MATCHER!$H$5:$H$504,R116)&amp;" – "&amp;INDEX(MATCHER!$I$5:$I$504,R116))&amp;IF(S116="",""," | "&amp;HOUR(INDEX(MATCHER!$C$5:$C$504,S116))&amp;":"&amp;IF(MINUTE(INDEX(MATCHER!$C$5:$C$504,S116))&lt;10,"0","")&amp;MINUTE(INDEX(MATCHER!$C$5:$C$504,S116))&amp;" "&amp;INDEX(MATCHER!$H$5:$H$504,S116)&amp;" – "&amp;INDEX(MATCHER!$I$5:$I$504,S116))&amp;IF(T116="",""," | "&amp;HOUR(INDEX(MATCHER!$C$5:$C$504,T116))&amp;":"&amp;IF(MINUTE(INDEX(MATCHER!$C$5:$C$504,T116))&lt;10,"0","")&amp;MINUTE(INDEX(MATCHER!$C$5:$C$504,T116))&amp;" "&amp;INDEX(MATCHER!$H$5:$H$504,T116)&amp;" – "&amp;INDEX(MATCHER!$I$5:$I$504,T116))&amp;IF(AF116="",""," | "&amp;HOUR(INDEX(MATCHER!$C$5:$C$504,AF116))&amp;":"&amp;IF(MINUTE(INDEX(MATCHER!$C$5:$C$504,AF116))&lt;10,"0","")&amp;MINUTE(INDEX(MATCHER!$C$5:$C$504,AF116))&amp;" "&amp;INDEX(MATCHER!$H$5:$H$504,AF116)&amp;" – "&amp;INDEX(MATCHER!$I$5:$I$504,AF116))</f>
        <v/>
      </c>
      <c r="G116" s="45" t="str">
        <f>MID(IF(R116="","",IF(OR(INDEX(MATCHER!$J$5:$J$504,R116)=""),""," / "&amp;INDEX(MATCHER!$J$5:$J$504,R116)))&amp;IF(S116="","",IF(OR(INDEX(MATCHER!$J$5:$J$504,S116)="",INDEX(MATCHER!$J$5:$J$504,S116)=IFERROR(INDEX(MATCHER!$J$5:$J$504,R116),"")),""," / "&amp;INDEX(MATCHER!$J$5:$J$504,S116)))&amp;IF(T116="","",IF(OR(INDEX(MATCHER!$J$5:$J$504,T116)="",INDEX(MATCHER!$J$5:$J$504,T116)=IFERROR(INDEX(MATCHER!$J$5:$J$504,R116),""),INDEX(MATCHER!$J$5:$J$504,T116)=IFERROR(INDEX(MATCHER!$J$5:$J$504,S116),"")),""," / "&amp;INDEX(MATCHER!$J$5:$J$504,T116)))&amp;IF(AF116="","",IF(OR(INDEX(MATCHER!$J$5:$J$504,AF116)="",INDEX(MATCHER!$J$5:$J$504,AF116)=IFERROR(INDEX(MATCHER!$J$5:$J$504,R116),""),INDEX(MATCHER!$J$5:$J$504,AF116)=IFERROR(INDEX(MATCHER!$J$5:$J$504,S116),""),INDEX(MATCHER!$J$5:$J$504,AF116)=IFERROR(INDEX(MATCHER!$J$5:$J$504,T116),"")),""," / "&amp;INDEX(MATCHER!$J$5:$J$504,AF116))),4,1000)</f>
        <v/>
      </c>
      <c r="H116" s="45" t="str">
        <f t="shared" si="28"/>
        <v>F12, F13</v>
      </c>
      <c r="I116" s="46" t="s">
        <v>90</v>
      </c>
      <c r="J116" s="47" t="s">
        <v>101</v>
      </c>
      <c r="K116" s="48"/>
      <c r="L116" s="49"/>
      <c r="M116" s="50" t="str">
        <f>IF(O116&lt;&gt;O115,MAX(1,MIN(AA116,ROUNDUP(SUMPRODUCT(($O$5:$O$546=O116)*($I$5:$I$546="Ja")*($E$5:$E$546-$D$5:$D$546))*24/REGLER!$B$8,0))),"")</f>
        <v/>
      </c>
      <c r="N116" s="50" t="str">
        <f t="shared" si="15"/>
        <v>Klar</v>
      </c>
      <c r="O116" s="15" t="s">
        <v>113</v>
      </c>
      <c r="P116" s="16">
        <v>0.33333333333333298</v>
      </c>
      <c r="Q116" s="16">
        <v>0.70833333333333304</v>
      </c>
      <c r="R116" s="15" t="str">
        <f>IFERROR(MATCH(1,INDEX((MATCHER!$B$5:$B$504=A116)*(MATCHER!$D$5:$D$504=C116)*(MATCHER!$K$5:$K$504="Ja")*(MATCHER!$C$5:$C$504&lt;E116)*(MATCHER!$M$5:$M$504&gt;D116),0),0),"")</f>
        <v/>
      </c>
      <c r="S116" s="15" t="str">
        <f>IF(R116="","",IFERROR(MATCH(1,INDEX((MATCHER!$B$5:$B$504=A116)*(MATCHER!$D$5:$D$504=C116)*(MATCHER!$K$5:$K$504="Ja")*(MATCHER!$C$5:$C$504&lt;E116)*(MATCHER!$M$5:$M$504&gt;D116)*(ROW(MATCHER!$A$5:$A$504)-ROW(MATCHER!$A$5)+1&gt;R116),0),0),""))</f>
        <v/>
      </c>
      <c r="T116" s="15" t="str">
        <f>IF(S116="","",IFERROR(MATCH(1,INDEX((MATCHER!$B$5:$B$504=A116)*(MATCHER!$D$5:$D$504=C116)*(MATCHER!$K$5:$K$504="Ja")*(MATCHER!$C$5:$C$504&lt;E116)*(MATCHER!$M$5:$M$504&gt;D116)*(ROW(MATCHER!$A$5:$A$504)-ROW(MATCHER!$A$5)+1&gt;S116),0),0),""))</f>
        <v/>
      </c>
      <c r="U116" s="15">
        <f t="shared" si="16"/>
        <v>0</v>
      </c>
      <c r="V116" s="15">
        <f>IF(OR(I116&lt;&gt;"Ja",J116=""),"",COUNTIFS($O$5:O116,O116,$U$5:U116,1))</f>
        <v>1</v>
      </c>
      <c r="W116" s="15" t="str">
        <f t="shared" si="17"/>
        <v>2026-10-17 | Ulriksdalshallen|1</v>
      </c>
      <c r="X116" s="16" t="str">
        <f t="shared" si="18"/>
        <v/>
      </c>
      <c r="Y116" s="15">
        <f>IF(OR(I116&lt;&gt;"Ja",J116=""),0,IF(COUNTIFS($O$5:O116,O116,$I$5:I116,"Ja",$J$5:J116,"&lt;&gt;")=1,1,0))</f>
        <v>0</v>
      </c>
      <c r="Z116" s="15">
        <f>IF(OR(I116&lt;&gt;"Ja",J116=""),0,IF(COUNTIFS(O116:$O$546,O116,I116:$I$546,"Ja",J116:$J$546,"&lt;&gt;")=1,1,0))</f>
        <v>0</v>
      </c>
      <c r="AA116" s="15">
        <f t="shared" si="29"/>
        <v>2</v>
      </c>
      <c r="AB116" s="15" t="str">
        <f>IF(U116&lt;&gt;1,"",COUNTIF($U$5:U116,1))</f>
        <v/>
      </c>
      <c r="AC116" s="15" t="str">
        <f t="shared" si="19"/>
        <v/>
      </c>
      <c r="AD116" s="15" t="str">
        <f t="shared" si="20"/>
        <v>Vanligt café</v>
      </c>
      <c r="AE116" s="15" t="str">
        <f t="shared" si="21"/>
        <v/>
      </c>
      <c r="AF116" t="str">
        <f>IF(T116="","",IFERROR(MATCH(1,INDEX((MATCHER!$B$5:$B$504=A116)*(MATCHER!$D$5:$D$504=C116)*(MATCHER!$K$5:$K$504="Ja")*(MATCHER!$C$5:$C$504&lt;E116)*(MATCHER!$M$5:$M$504&gt;D116)*(ROW(MATCHER!$A$5:$A$504)-ROW(MATCHER!$A$5)+1&gt;T116),0),0),""))</f>
        <v/>
      </c>
    </row>
    <row r="117" spans="1:32" ht="26">
      <c r="A117" s="42">
        <v>46312</v>
      </c>
      <c r="B117" s="43" t="s">
        <v>85</v>
      </c>
      <c r="C117" s="43" t="s">
        <v>86</v>
      </c>
      <c r="D117" s="44">
        <v>0.45833333333333298</v>
      </c>
      <c r="E117" s="44">
        <v>0.47916666666666702</v>
      </c>
      <c r="F117" s="45" t="str">
        <f>IF(R117="","",HOUR(INDEX(MATCHER!$C$5:$C$504,R117))&amp;":"&amp;IF(MINUTE(INDEX(MATCHER!$C$5:$C$504,R117))&lt;10,"0","")&amp;MINUTE(INDEX(MATCHER!$C$5:$C$504,R117))&amp;" "&amp;INDEX(MATCHER!$H$5:$H$504,R117)&amp;" – "&amp;INDEX(MATCHER!$I$5:$I$504,R117))&amp;IF(S117="",""," | "&amp;HOUR(INDEX(MATCHER!$C$5:$C$504,S117))&amp;":"&amp;IF(MINUTE(INDEX(MATCHER!$C$5:$C$504,S117))&lt;10,"0","")&amp;MINUTE(INDEX(MATCHER!$C$5:$C$504,S117))&amp;" "&amp;INDEX(MATCHER!$H$5:$H$504,S117)&amp;" – "&amp;INDEX(MATCHER!$I$5:$I$504,S117))&amp;IF(T117="",""," | "&amp;HOUR(INDEX(MATCHER!$C$5:$C$504,T117))&amp;":"&amp;IF(MINUTE(INDEX(MATCHER!$C$5:$C$504,T117))&lt;10,"0","")&amp;MINUTE(INDEX(MATCHER!$C$5:$C$504,T117))&amp;" "&amp;INDEX(MATCHER!$H$5:$H$504,T117)&amp;" – "&amp;INDEX(MATCHER!$I$5:$I$504,T117))&amp;IF(AF117="",""," | "&amp;HOUR(INDEX(MATCHER!$C$5:$C$504,AF117))&amp;":"&amp;IF(MINUTE(INDEX(MATCHER!$C$5:$C$504,AF117))&lt;10,"0","")&amp;MINUTE(INDEX(MATCHER!$C$5:$C$504,AF117))&amp;" "&amp;INDEX(MATCHER!$H$5:$H$504,AF117)&amp;" – "&amp;INDEX(MATCHER!$I$5:$I$504,AF117))</f>
        <v>11:00 AIK – Sollentuna HK</v>
      </c>
      <c r="G117" s="45" t="str">
        <f>MID(IF(R117="","",IF(OR(INDEX(MATCHER!$J$5:$J$504,R117)=""),""," / "&amp;INDEX(MATCHER!$J$5:$J$504,R117)))&amp;IF(S117="","",IF(OR(INDEX(MATCHER!$J$5:$J$504,S117)="",INDEX(MATCHER!$J$5:$J$504,S117)=IFERROR(INDEX(MATCHER!$J$5:$J$504,R117),"")),""," / "&amp;INDEX(MATCHER!$J$5:$J$504,S117)))&amp;IF(T117="","",IF(OR(INDEX(MATCHER!$J$5:$J$504,T117)="",INDEX(MATCHER!$J$5:$J$504,T117)=IFERROR(INDEX(MATCHER!$J$5:$J$504,R117),""),INDEX(MATCHER!$J$5:$J$504,T117)=IFERROR(INDEX(MATCHER!$J$5:$J$504,S117),"")),""," / "&amp;INDEX(MATCHER!$J$5:$J$504,T117)))&amp;IF(AF117="","",IF(OR(INDEX(MATCHER!$J$5:$J$504,AF117)="",INDEX(MATCHER!$J$5:$J$504,AF117)=IFERROR(INDEX(MATCHER!$J$5:$J$504,R117),""),INDEX(MATCHER!$J$5:$J$504,AF117)=IFERROR(INDEX(MATCHER!$J$5:$J$504,S117),""),INDEX(MATCHER!$J$5:$J$504,AF117)=IFERROR(INDEX(MATCHER!$J$5:$J$504,T117),"")),""," / "&amp;INDEX(MATCHER!$J$5:$J$504,AF117))),4,1000)</f>
        <v>F12</v>
      </c>
      <c r="H117" s="45" t="str">
        <f t="shared" si="28"/>
        <v>F12, F13</v>
      </c>
      <c r="I117" s="46" t="s">
        <v>90</v>
      </c>
      <c r="J117" s="47" t="s">
        <v>101</v>
      </c>
      <c r="K117" s="48"/>
      <c r="L117" s="49"/>
      <c r="M117" s="50" t="str">
        <f>IF(O117&lt;&gt;O116,MAX(1,MIN(AA117,ROUNDUP(SUMPRODUCT(($O$5:$O$546=O117)*($I$5:$I$546="Ja")*($E$5:$E$546-$D$5:$D$546))*24/REGLER!$B$8,0))),"")</f>
        <v/>
      </c>
      <c r="N117" s="50" t="str">
        <f t="shared" si="15"/>
        <v>Klar</v>
      </c>
      <c r="O117" s="15" t="s">
        <v>113</v>
      </c>
      <c r="P117" s="16">
        <v>0.33333333333333298</v>
      </c>
      <c r="Q117" s="16">
        <v>0.70833333333333304</v>
      </c>
      <c r="R117" s="15">
        <f>IFERROR(MATCH(1,INDEX((MATCHER!$B$5:$B$504=A117)*(MATCHER!$D$5:$D$504=C117)*(MATCHER!$K$5:$K$504="Ja")*(MATCHER!$C$5:$C$504&lt;E117)*(MATCHER!$M$5:$M$504&gt;D117),0),0),"")</f>
        <v>37</v>
      </c>
      <c r="S117" s="15" t="str">
        <f>IF(R117="","",IFERROR(MATCH(1,INDEX((MATCHER!$B$5:$B$504=A117)*(MATCHER!$D$5:$D$504=C117)*(MATCHER!$K$5:$K$504="Ja")*(MATCHER!$C$5:$C$504&lt;E117)*(MATCHER!$M$5:$M$504&gt;D117)*(ROW(MATCHER!$A$5:$A$504)-ROW(MATCHER!$A$5)+1&gt;R117),0),0),""))</f>
        <v/>
      </c>
      <c r="T117" s="15" t="str">
        <f>IF(S117="","",IFERROR(MATCH(1,INDEX((MATCHER!$B$5:$B$504=A117)*(MATCHER!$D$5:$D$504=C117)*(MATCHER!$K$5:$K$504="Ja")*(MATCHER!$C$5:$C$504&lt;E117)*(MATCHER!$M$5:$M$504&gt;D117)*(ROW(MATCHER!$A$5:$A$504)-ROW(MATCHER!$A$5)+1&gt;S117),0),0),""))</f>
        <v/>
      </c>
      <c r="U117" s="15">
        <f t="shared" si="16"/>
        <v>0</v>
      </c>
      <c r="V117" s="15">
        <f>IF(OR(I117&lt;&gt;"Ja",J117=""),"",COUNTIFS($O$5:O117,O117,$U$5:U117,1))</f>
        <v>1</v>
      </c>
      <c r="W117" s="15" t="str">
        <f t="shared" si="17"/>
        <v>2026-10-17 | Ulriksdalshallen|1</v>
      </c>
      <c r="X117" s="16" t="str">
        <f t="shared" si="18"/>
        <v/>
      </c>
      <c r="Y117" s="15">
        <f>IF(OR(I117&lt;&gt;"Ja",J117=""),0,IF(COUNTIFS($O$5:O117,O117,$I$5:I117,"Ja",$J$5:J117,"&lt;&gt;")=1,1,0))</f>
        <v>0</v>
      </c>
      <c r="Z117" s="15">
        <f>IF(OR(I117&lt;&gt;"Ja",J117=""),0,IF(COUNTIFS(O117:$O$546,O117,I117:$I$546,"Ja",J117:$J$546,"&lt;&gt;")=1,1,0))</f>
        <v>0</v>
      </c>
      <c r="AA117" s="15">
        <f t="shared" si="29"/>
        <v>2</v>
      </c>
      <c r="AB117" s="15" t="str">
        <f>IF(U117&lt;&gt;1,"",COUNTIF($U$5:U117,1))</f>
        <v/>
      </c>
      <c r="AC117" s="15" t="str">
        <f t="shared" si="19"/>
        <v/>
      </c>
      <c r="AD117" s="15" t="str">
        <f t="shared" si="20"/>
        <v>Vanligt café</v>
      </c>
      <c r="AE117" s="15" t="str">
        <f t="shared" si="21"/>
        <v/>
      </c>
      <c r="AF117" t="str">
        <f>IF(T117="","",IFERROR(MATCH(1,INDEX((MATCHER!$B$5:$B$504=A117)*(MATCHER!$D$5:$D$504=C117)*(MATCHER!$K$5:$K$504="Ja")*(MATCHER!$C$5:$C$504&lt;E117)*(MATCHER!$M$5:$M$504&gt;D117)*(ROW(MATCHER!$A$5:$A$504)-ROW(MATCHER!$A$5)+1&gt;T117),0),0),""))</f>
        <v/>
      </c>
    </row>
    <row r="118" spans="1:32" ht="26">
      <c r="A118" s="42">
        <v>46312</v>
      </c>
      <c r="B118" s="43" t="s">
        <v>85</v>
      </c>
      <c r="C118" s="43" t="s">
        <v>86</v>
      </c>
      <c r="D118" s="44">
        <v>0.47916666666666702</v>
      </c>
      <c r="E118" s="44">
        <v>0.5</v>
      </c>
      <c r="F118" s="45" t="str">
        <f>IF(R118="","",HOUR(INDEX(MATCHER!$C$5:$C$504,R118))&amp;":"&amp;IF(MINUTE(INDEX(MATCHER!$C$5:$C$504,R118))&lt;10,"0","")&amp;MINUTE(INDEX(MATCHER!$C$5:$C$504,R118))&amp;" "&amp;INDEX(MATCHER!$H$5:$H$504,R118)&amp;" – "&amp;INDEX(MATCHER!$I$5:$I$504,R118))&amp;IF(S118="",""," | "&amp;HOUR(INDEX(MATCHER!$C$5:$C$504,S118))&amp;":"&amp;IF(MINUTE(INDEX(MATCHER!$C$5:$C$504,S118))&lt;10,"0","")&amp;MINUTE(INDEX(MATCHER!$C$5:$C$504,S118))&amp;" "&amp;INDEX(MATCHER!$H$5:$H$504,S118)&amp;" – "&amp;INDEX(MATCHER!$I$5:$I$504,S118))&amp;IF(T118="",""," | "&amp;HOUR(INDEX(MATCHER!$C$5:$C$504,T118))&amp;":"&amp;IF(MINUTE(INDEX(MATCHER!$C$5:$C$504,T118))&lt;10,"0","")&amp;MINUTE(INDEX(MATCHER!$C$5:$C$504,T118))&amp;" "&amp;INDEX(MATCHER!$H$5:$H$504,T118)&amp;" – "&amp;INDEX(MATCHER!$I$5:$I$504,T118))&amp;IF(AF118="",""," | "&amp;HOUR(INDEX(MATCHER!$C$5:$C$504,AF118))&amp;":"&amp;IF(MINUTE(INDEX(MATCHER!$C$5:$C$504,AF118))&lt;10,"0","")&amp;MINUTE(INDEX(MATCHER!$C$5:$C$504,AF118))&amp;" "&amp;INDEX(MATCHER!$H$5:$H$504,AF118)&amp;" – "&amp;INDEX(MATCHER!$I$5:$I$504,AF118))</f>
        <v>11:00 AIK – Sollentuna HK | 11:45 Täby HBK – Bålsta IF</v>
      </c>
      <c r="G118" s="45" t="str">
        <f>MID(IF(R118="","",IF(OR(INDEX(MATCHER!$J$5:$J$504,R118)=""),""," / "&amp;INDEX(MATCHER!$J$5:$J$504,R118)))&amp;IF(S118="","",IF(OR(INDEX(MATCHER!$J$5:$J$504,S118)="",INDEX(MATCHER!$J$5:$J$504,S118)=IFERROR(INDEX(MATCHER!$J$5:$J$504,R118),"")),""," / "&amp;INDEX(MATCHER!$J$5:$J$504,S118)))&amp;IF(T118="","",IF(OR(INDEX(MATCHER!$J$5:$J$504,T118)="",INDEX(MATCHER!$J$5:$J$504,T118)=IFERROR(INDEX(MATCHER!$J$5:$J$504,R118),""),INDEX(MATCHER!$J$5:$J$504,T118)=IFERROR(INDEX(MATCHER!$J$5:$J$504,S118),"")),""," / "&amp;INDEX(MATCHER!$J$5:$J$504,T118)))&amp;IF(AF118="","",IF(OR(INDEX(MATCHER!$J$5:$J$504,AF118)="",INDEX(MATCHER!$J$5:$J$504,AF118)=IFERROR(INDEX(MATCHER!$J$5:$J$504,R118),""),INDEX(MATCHER!$J$5:$J$504,AF118)=IFERROR(INDEX(MATCHER!$J$5:$J$504,S118),""),INDEX(MATCHER!$J$5:$J$504,AF118)=IFERROR(INDEX(MATCHER!$J$5:$J$504,T118),"")),""," / "&amp;INDEX(MATCHER!$J$5:$J$504,AF118))),4,1000)</f>
        <v>F12</v>
      </c>
      <c r="H118" s="45" t="str">
        <f t="shared" si="28"/>
        <v>F12, F13</v>
      </c>
      <c r="I118" s="46" t="s">
        <v>90</v>
      </c>
      <c r="J118" s="47" t="s">
        <v>101</v>
      </c>
      <c r="K118" s="48"/>
      <c r="L118" s="49"/>
      <c r="M118" s="50" t="str">
        <f>IF(O118&lt;&gt;O117,MAX(1,MIN(AA118,ROUNDUP(SUMPRODUCT(($O$5:$O$546=O118)*($I$5:$I$546="Ja")*($E$5:$E$546-$D$5:$D$546))*24/REGLER!$B$8,0))),"")</f>
        <v/>
      </c>
      <c r="N118" s="50" t="str">
        <f t="shared" si="15"/>
        <v>Klar</v>
      </c>
      <c r="O118" s="15" t="s">
        <v>113</v>
      </c>
      <c r="P118" s="16">
        <v>0.33333333333333298</v>
      </c>
      <c r="Q118" s="16">
        <v>0.70833333333333304</v>
      </c>
      <c r="R118" s="15">
        <f>IFERROR(MATCH(1,INDEX((MATCHER!$B$5:$B$504=A118)*(MATCHER!$D$5:$D$504=C118)*(MATCHER!$K$5:$K$504="Ja")*(MATCHER!$C$5:$C$504&lt;E118)*(MATCHER!$M$5:$M$504&gt;D118),0),0),"")</f>
        <v>37</v>
      </c>
      <c r="S118" s="15">
        <f>IF(R118="","",IFERROR(MATCH(1,INDEX((MATCHER!$B$5:$B$504=A118)*(MATCHER!$D$5:$D$504=C118)*(MATCHER!$K$5:$K$504="Ja")*(MATCHER!$C$5:$C$504&lt;E118)*(MATCHER!$M$5:$M$504&gt;D118)*(ROW(MATCHER!$A$5:$A$504)-ROW(MATCHER!$A$5)+1&gt;R118),0),0),""))</f>
        <v>38</v>
      </c>
      <c r="T118" s="15" t="str">
        <f>IF(S118="","",IFERROR(MATCH(1,INDEX((MATCHER!$B$5:$B$504=A118)*(MATCHER!$D$5:$D$504=C118)*(MATCHER!$K$5:$K$504="Ja")*(MATCHER!$C$5:$C$504&lt;E118)*(MATCHER!$M$5:$M$504&gt;D118)*(ROW(MATCHER!$A$5:$A$504)-ROW(MATCHER!$A$5)+1&gt;S118),0),0),""))</f>
        <v/>
      </c>
      <c r="U118" s="15">
        <f t="shared" si="16"/>
        <v>0</v>
      </c>
      <c r="V118" s="15">
        <f>IF(OR(I118&lt;&gt;"Ja",J118=""),"",COUNTIFS($O$5:O118,O118,$U$5:U118,1))</f>
        <v>1</v>
      </c>
      <c r="W118" s="15" t="str">
        <f t="shared" si="17"/>
        <v>2026-10-17 | Ulriksdalshallen|1</v>
      </c>
      <c r="X118" s="16" t="str">
        <f t="shared" si="18"/>
        <v/>
      </c>
      <c r="Y118" s="15">
        <f>IF(OR(I118&lt;&gt;"Ja",J118=""),0,IF(COUNTIFS($O$5:O118,O118,$I$5:I118,"Ja",$J$5:J118,"&lt;&gt;")=1,1,0))</f>
        <v>0</v>
      </c>
      <c r="Z118" s="15">
        <f>IF(OR(I118&lt;&gt;"Ja",J118=""),0,IF(COUNTIFS(O118:$O$546,O118,I118:$I$546,"Ja",J118:$J$546,"&lt;&gt;")=1,1,0))</f>
        <v>0</v>
      </c>
      <c r="AA118" s="15">
        <f t="shared" si="29"/>
        <v>2</v>
      </c>
      <c r="AB118" s="15" t="str">
        <f>IF(U118&lt;&gt;1,"",COUNTIF($U$5:U118,1))</f>
        <v/>
      </c>
      <c r="AC118" s="15" t="str">
        <f t="shared" si="19"/>
        <v/>
      </c>
      <c r="AD118" s="15" t="str">
        <f t="shared" si="20"/>
        <v>Vanligt café</v>
      </c>
      <c r="AE118" s="15" t="str">
        <f t="shared" si="21"/>
        <v/>
      </c>
      <c r="AF118" t="str">
        <f>IF(T118="","",IFERROR(MATCH(1,INDEX((MATCHER!$B$5:$B$504=A118)*(MATCHER!$D$5:$D$504=C118)*(MATCHER!$K$5:$K$504="Ja")*(MATCHER!$C$5:$C$504&lt;E118)*(MATCHER!$M$5:$M$504&gt;D118)*(ROW(MATCHER!$A$5:$A$504)-ROW(MATCHER!$A$5)+1&gt;T118),0),0),""))</f>
        <v/>
      </c>
    </row>
    <row r="119" spans="1:32" ht="26">
      <c r="A119" s="42">
        <v>46312</v>
      </c>
      <c r="B119" s="43" t="s">
        <v>85</v>
      </c>
      <c r="C119" s="43" t="s">
        <v>86</v>
      </c>
      <c r="D119" s="44">
        <v>0.5</v>
      </c>
      <c r="E119" s="44">
        <v>0.52083333333333304</v>
      </c>
      <c r="F119" s="45" t="str">
        <f>IF(R119="","",HOUR(INDEX(MATCHER!$C$5:$C$504,R119))&amp;":"&amp;IF(MINUTE(INDEX(MATCHER!$C$5:$C$504,R119))&lt;10,"0","")&amp;MINUTE(INDEX(MATCHER!$C$5:$C$504,R119))&amp;" "&amp;INDEX(MATCHER!$H$5:$H$504,R119)&amp;" – "&amp;INDEX(MATCHER!$I$5:$I$504,R119))&amp;IF(S119="",""," | "&amp;HOUR(INDEX(MATCHER!$C$5:$C$504,S119))&amp;":"&amp;IF(MINUTE(INDEX(MATCHER!$C$5:$C$504,S119))&lt;10,"0","")&amp;MINUTE(INDEX(MATCHER!$C$5:$C$504,S119))&amp;" "&amp;INDEX(MATCHER!$H$5:$H$504,S119)&amp;" – "&amp;INDEX(MATCHER!$I$5:$I$504,S119))&amp;IF(T119="",""," | "&amp;HOUR(INDEX(MATCHER!$C$5:$C$504,T119))&amp;":"&amp;IF(MINUTE(INDEX(MATCHER!$C$5:$C$504,T119))&lt;10,"0","")&amp;MINUTE(INDEX(MATCHER!$C$5:$C$504,T119))&amp;" "&amp;INDEX(MATCHER!$H$5:$H$504,T119)&amp;" – "&amp;INDEX(MATCHER!$I$5:$I$504,T119))&amp;IF(AF119="",""," | "&amp;HOUR(INDEX(MATCHER!$C$5:$C$504,AF119))&amp;":"&amp;IF(MINUTE(INDEX(MATCHER!$C$5:$C$504,AF119))&lt;10,"0","")&amp;MINUTE(INDEX(MATCHER!$C$5:$C$504,AF119))&amp;" "&amp;INDEX(MATCHER!$H$5:$H$504,AF119)&amp;" – "&amp;INDEX(MATCHER!$I$5:$I$504,AF119))</f>
        <v>11:45 Täby HBK – Bålsta IF</v>
      </c>
      <c r="G119" s="45" t="str">
        <f>MID(IF(R119="","",IF(OR(INDEX(MATCHER!$J$5:$J$504,R119)=""),""," / "&amp;INDEX(MATCHER!$J$5:$J$504,R119)))&amp;IF(S119="","",IF(OR(INDEX(MATCHER!$J$5:$J$504,S119)="",INDEX(MATCHER!$J$5:$J$504,S119)=IFERROR(INDEX(MATCHER!$J$5:$J$504,R119),"")),""," / "&amp;INDEX(MATCHER!$J$5:$J$504,S119)))&amp;IF(T119="","",IF(OR(INDEX(MATCHER!$J$5:$J$504,T119)="",INDEX(MATCHER!$J$5:$J$504,T119)=IFERROR(INDEX(MATCHER!$J$5:$J$504,R119),""),INDEX(MATCHER!$J$5:$J$504,T119)=IFERROR(INDEX(MATCHER!$J$5:$J$504,S119),"")),""," / "&amp;INDEX(MATCHER!$J$5:$J$504,T119)))&amp;IF(AF119="","",IF(OR(INDEX(MATCHER!$J$5:$J$504,AF119)="",INDEX(MATCHER!$J$5:$J$504,AF119)=IFERROR(INDEX(MATCHER!$J$5:$J$504,R119),""),INDEX(MATCHER!$J$5:$J$504,AF119)=IFERROR(INDEX(MATCHER!$J$5:$J$504,S119),""),INDEX(MATCHER!$J$5:$J$504,AF119)=IFERROR(INDEX(MATCHER!$J$5:$J$504,T119),"")),""," / "&amp;INDEX(MATCHER!$J$5:$J$504,AF119))),4,1000)</f>
        <v/>
      </c>
      <c r="H119" s="45" t="str">
        <f t="shared" si="28"/>
        <v>F12, F13</v>
      </c>
      <c r="I119" s="46" t="s">
        <v>90</v>
      </c>
      <c r="J119" s="47" t="s">
        <v>101</v>
      </c>
      <c r="K119" s="48"/>
      <c r="L119" s="49"/>
      <c r="M119" s="50" t="str">
        <f>IF(O119&lt;&gt;O118,MAX(1,MIN(AA119,ROUNDUP(SUMPRODUCT(($O$5:$O$546=O119)*($I$5:$I$546="Ja")*($E$5:$E$546-$D$5:$D$546))*24/REGLER!$B$8,0))),"")</f>
        <v/>
      </c>
      <c r="N119" s="50" t="str">
        <f t="shared" si="15"/>
        <v>Klar</v>
      </c>
      <c r="O119" s="15" t="s">
        <v>113</v>
      </c>
      <c r="P119" s="16">
        <v>0.33333333333333298</v>
      </c>
      <c r="Q119" s="16">
        <v>0.70833333333333304</v>
      </c>
      <c r="R119" s="15">
        <f>IFERROR(MATCH(1,INDEX((MATCHER!$B$5:$B$504=A119)*(MATCHER!$D$5:$D$504=C119)*(MATCHER!$K$5:$K$504="Ja")*(MATCHER!$C$5:$C$504&lt;E119)*(MATCHER!$M$5:$M$504&gt;D119),0),0),"")</f>
        <v>38</v>
      </c>
      <c r="S119" s="15" t="str">
        <f>IF(R119="","",IFERROR(MATCH(1,INDEX((MATCHER!$B$5:$B$504=A119)*(MATCHER!$D$5:$D$504=C119)*(MATCHER!$K$5:$K$504="Ja")*(MATCHER!$C$5:$C$504&lt;E119)*(MATCHER!$M$5:$M$504&gt;D119)*(ROW(MATCHER!$A$5:$A$504)-ROW(MATCHER!$A$5)+1&gt;R119),0),0),""))</f>
        <v/>
      </c>
      <c r="T119" s="15" t="str">
        <f>IF(S119="","",IFERROR(MATCH(1,INDEX((MATCHER!$B$5:$B$504=A119)*(MATCHER!$D$5:$D$504=C119)*(MATCHER!$K$5:$K$504="Ja")*(MATCHER!$C$5:$C$504&lt;E119)*(MATCHER!$M$5:$M$504&gt;D119)*(ROW(MATCHER!$A$5:$A$504)-ROW(MATCHER!$A$5)+1&gt;S119),0),0),""))</f>
        <v/>
      </c>
      <c r="U119" s="15">
        <f t="shared" si="16"/>
        <v>0</v>
      </c>
      <c r="V119" s="15">
        <f>IF(OR(I119&lt;&gt;"Ja",J119=""),"",COUNTIFS($O$5:O119,O119,$U$5:U119,1))</f>
        <v>1</v>
      </c>
      <c r="W119" s="15" t="str">
        <f t="shared" si="17"/>
        <v>2026-10-17 | Ulriksdalshallen|1</v>
      </c>
      <c r="X119" s="16" t="str">
        <f t="shared" si="18"/>
        <v/>
      </c>
      <c r="Y119" s="15">
        <f>IF(OR(I119&lt;&gt;"Ja",J119=""),0,IF(COUNTIFS($O$5:O119,O119,$I$5:I119,"Ja",$J$5:J119,"&lt;&gt;")=1,1,0))</f>
        <v>0</v>
      </c>
      <c r="Z119" s="15">
        <f>IF(OR(I119&lt;&gt;"Ja",J119=""),0,IF(COUNTIFS(O119:$O$546,O119,I119:$I$546,"Ja",J119:$J$546,"&lt;&gt;")=1,1,0))</f>
        <v>0</v>
      </c>
      <c r="AA119" s="15">
        <f t="shared" si="29"/>
        <v>2</v>
      </c>
      <c r="AB119" s="15" t="str">
        <f>IF(U119&lt;&gt;1,"",COUNTIF($U$5:U119,1))</f>
        <v/>
      </c>
      <c r="AC119" s="15" t="str">
        <f t="shared" si="19"/>
        <v/>
      </c>
      <c r="AD119" s="15" t="str">
        <f t="shared" si="20"/>
        <v>Vanligt café</v>
      </c>
      <c r="AE119" s="15" t="str">
        <f t="shared" si="21"/>
        <v/>
      </c>
      <c r="AF119" t="str">
        <f>IF(T119="","",IFERROR(MATCH(1,INDEX((MATCHER!$B$5:$B$504=A119)*(MATCHER!$D$5:$D$504=C119)*(MATCHER!$K$5:$K$504="Ja")*(MATCHER!$C$5:$C$504&lt;E119)*(MATCHER!$M$5:$M$504&gt;D119)*(ROW(MATCHER!$A$5:$A$504)-ROW(MATCHER!$A$5)+1&gt;T119),0),0),""))</f>
        <v/>
      </c>
    </row>
    <row r="120" spans="1:32" ht="26">
      <c r="A120" s="42">
        <v>46312</v>
      </c>
      <c r="B120" s="43" t="s">
        <v>85</v>
      </c>
      <c r="C120" s="43" t="s">
        <v>86</v>
      </c>
      <c r="D120" s="44">
        <v>0.52083333333333304</v>
      </c>
      <c r="E120" s="44">
        <v>0.54166666666666696</v>
      </c>
      <c r="F120" s="45" t="str">
        <f>IF(R120="","",HOUR(INDEX(MATCHER!$C$5:$C$504,R120))&amp;":"&amp;IF(MINUTE(INDEX(MATCHER!$C$5:$C$504,R120))&lt;10,"0","")&amp;MINUTE(INDEX(MATCHER!$C$5:$C$504,R120))&amp;" "&amp;INDEX(MATCHER!$H$5:$H$504,R120)&amp;" – "&amp;INDEX(MATCHER!$I$5:$I$504,R120))&amp;IF(S120="",""," | "&amp;HOUR(INDEX(MATCHER!$C$5:$C$504,S120))&amp;":"&amp;IF(MINUTE(INDEX(MATCHER!$C$5:$C$504,S120))&lt;10,"0","")&amp;MINUTE(INDEX(MATCHER!$C$5:$C$504,S120))&amp;" "&amp;INDEX(MATCHER!$H$5:$H$504,S120)&amp;" – "&amp;INDEX(MATCHER!$I$5:$I$504,S120))&amp;IF(T120="",""," | "&amp;HOUR(INDEX(MATCHER!$C$5:$C$504,T120))&amp;":"&amp;IF(MINUTE(INDEX(MATCHER!$C$5:$C$504,T120))&lt;10,"0","")&amp;MINUTE(INDEX(MATCHER!$C$5:$C$504,T120))&amp;" "&amp;INDEX(MATCHER!$H$5:$H$504,T120)&amp;" – "&amp;INDEX(MATCHER!$I$5:$I$504,T120))&amp;IF(AF120="",""," | "&amp;HOUR(INDEX(MATCHER!$C$5:$C$504,AF120))&amp;":"&amp;IF(MINUTE(INDEX(MATCHER!$C$5:$C$504,AF120))&lt;10,"0","")&amp;MINUTE(INDEX(MATCHER!$C$5:$C$504,AF120))&amp;" "&amp;INDEX(MATCHER!$H$5:$H$504,AF120)&amp;" – "&amp;INDEX(MATCHER!$I$5:$I$504,AF120))</f>
        <v/>
      </c>
      <c r="G120" s="45" t="str">
        <f>MID(IF(R120="","",IF(OR(INDEX(MATCHER!$J$5:$J$504,R120)=""),""," / "&amp;INDEX(MATCHER!$J$5:$J$504,R120)))&amp;IF(S120="","",IF(OR(INDEX(MATCHER!$J$5:$J$504,S120)="",INDEX(MATCHER!$J$5:$J$504,S120)=IFERROR(INDEX(MATCHER!$J$5:$J$504,R120),"")),""," / "&amp;INDEX(MATCHER!$J$5:$J$504,S120)))&amp;IF(T120="","",IF(OR(INDEX(MATCHER!$J$5:$J$504,T120)="",INDEX(MATCHER!$J$5:$J$504,T120)=IFERROR(INDEX(MATCHER!$J$5:$J$504,R120),""),INDEX(MATCHER!$J$5:$J$504,T120)=IFERROR(INDEX(MATCHER!$J$5:$J$504,S120),"")),""," / "&amp;INDEX(MATCHER!$J$5:$J$504,T120)))&amp;IF(AF120="","",IF(OR(INDEX(MATCHER!$J$5:$J$504,AF120)="",INDEX(MATCHER!$J$5:$J$504,AF120)=IFERROR(INDEX(MATCHER!$J$5:$J$504,R120),""),INDEX(MATCHER!$J$5:$J$504,AF120)=IFERROR(INDEX(MATCHER!$J$5:$J$504,S120),""),INDEX(MATCHER!$J$5:$J$504,AF120)=IFERROR(INDEX(MATCHER!$J$5:$J$504,T120),"")),""," / "&amp;INDEX(MATCHER!$J$5:$J$504,AF120))),4,1000)</f>
        <v/>
      </c>
      <c r="H120" s="45" t="str">
        <f t="shared" si="28"/>
        <v>F12, F13</v>
      </c>
      <c r="I120" s="46" t="s">
        <v>90</v>
      </c>
      <c r="J120" s="47" t="s">
        <v>101</v>
      </c>
      <c r="K120" s="48"/>
      <c r="L120" s="49"/>
      <c r="M120" s="50" t="str">
        <f>IF(O120&lt;&gt;O119,MAX(1,MIN(AA120,ROUNDUP(SUMPRODUCT(($O$5:$O$546=O120)*($I$5:$I$546="Ja")*($E$5:$E$546-$D$5:$D$546))*24/REGLER!$B$8,0))),"")</f>
        <v/>
      </c>
      <c r="N120" s="50" t="str">
        <f t="shared" si="15"/>
        <v>Klar</v>
      </c>
      <c r="O120" s="15" t="s">
        <v>113</v>
      </c>
      <c r="P120" s="16">
        <v>0.33333333333333298</v>
      </c>
      <c r="Q120" s="16">
        <v>0.70833333333333304</v>
      </c>
      <c r="R120" s="15" t="str">
        <f>IFERROR(MATCH(1,INDEX((MATCHER!$B$5:$B$504=A120)*(MATCHER!$D$5:$D$504=C120)*(MATCHER!$K$5:$K$504="Ja")*(MATCHER!$C$5:$C$504&lt;E120)*(MATCHER!$M$5:$M$504&gt;D120),0),0),"")</f>
        <v/>
      </c>
      <c r="S120" s="15" t="str">
        <f>IF(R120="","",IFERROR(MATCH(1,INDEX((MATCHER!$B$5:$B$504=A120)*(MATCHER!$D$5:$D$504=C120)*(MATCHER!$K$5:$K$504="Ja")*(MATCHER!$C$5:$C$504&lt;E120)*(MATCHER!$M$5:$M$504&gt;D120)*(ROW(MATCHER!$A$5:$A$504)-ROW(MATCHER!$A$5)+1&gt;R120),0),0),""))</f>
        <v/>
      </c>
      <c r="T120" s="15" t="str">
        <f>IF(S120="","",IFERROR(MATCH(1,INDEX((MATCHER!$B$5:$B$504=A120)*(MATCHER!$D$5:$D$504=C120)*(MATCHER!$K$5:$K$504="Ja")*(MATCHER!$C$5:$C$504&lt;E120)*(MATCHER!$M$5:$M$504&gt;D120)*(ROW(MATCHER!$A$5:$A$504)-ROW(MATCHER!$A$5)+1&gt;S120),0),0),""))</f>
        <v/>
      </c>
      <c r="U120" s="15">
        <f t="shared" si="16"/>
        <v>0</v>
      </c>
      <c r="V120" s="15">
        <f>IF(OR(I120&lt;&gt;"Ja",J120=""),"",COUNTIFS($O$5:O120,O120,$U$5:U120,1))</f>
        <v>1</v>
      </c>
      <c r="W120" s="15" t="str">
        <f t="shared" si="17"/>
        <v>2026-10-17 | Ulriksdalshallen|1</v>
      </c>
      <c r="X120" s="16" t="str">
        <f t="shared" si="18"/>
        <v/>
      </c>
      <c r="Y120" s="15">
        <f>IF(OR(I120&lt;&gt;"Ja",J120=""),0,IF(COUNTIFS($O$5:O120,O120,$I$5:I120,"Ja",$J$5:J120,"&lt;&gt;")=1,1,0))</f>
        <v>0</v>
      </c>
      <c r="Z120" s="15">
        <f>IF(OR(I120&lt;&gt;"Ja",J120=""),0,IF(COUNTIFS(O120:$O$546,O120,I120:$I$546,"Ja",J120:$J$546,"&lt;&gt;")=1,1,0))</f>
        <v>0</v>
      </c>
      <c r="AA120" s="15">
        <f t="shared" si="29"/>
        <v>2</v>
      </c>
      <c r="AB120" s="15" t="str">
        <f>IF(U120&lt;&gt;1,"",COUNTIF($U$5:U120,1))</f>
        <v/>
      </c>
      <c r="AC120" s="15" t="str">
        <f t="shared" si="19"/>
        <v/>
      </c>
      <c r="AD120" s="15" t="str">
        <f t="shared" si="20"/>
        <v>Vanligt café</v>
      </c>
      <c r="AE120" s="15" t="str">
        <f t="shared" si="21"/>
        <v/>
      </c>
      <c r="AF120" t="str">
        <f>IF(T120="","",IFERROR(MATCH(1,INDEX((MATCHER!$B$5:$B$504=A120)*(MATCHER!$D$5:$D$504=C120)*(MATCHER!$K$5:$K$504="Ja")*(MATCHER!$C$5:$C$504&lt;E120)*(MATCHER!$M$5:$M$504&gt;D120)*(ROW(MATCHER!$A$5:$A$504)-ROW(MATCHER!$A$5)+1&gt;T120),0),0),""))</f>
        <v/>
      </c>
    </row>
    <row r="121" spans="1:32" ht="26">
      <c r="A121" s="42">
        <v>46312</v>
      </c>
      <c r="B121" s="43" t="s">
        <v>85</v>
      </c>
      <c r="C121" s="43" t="s">
        <v>86</v>
      </c>
      <c r="D121" s="44">
        <v>0.54166666666666696</v>
      </c>
      <c r="E121" s="44">
        <v>0.5625</v>
      </c>
      <c r="F121" s="45" t="str">
        <f>IF(R121="","",HOUR(INDEX(MATCHER!$C$5:$C$504,R121))&amp;":"&amp;IF(MINUTE(INDEX(MATCHER!$C$5:$C$504,R121))&lt;10,"0","")&amp;MINUTE(INDEX(MATCHER!$C$5:$C$504,R121))&amp;" "&amp;INDEX(MATCHER!$H$5:$H$504,R121)&amp;" – "&amp;INDEX(MATCHER!$I$5:$I$504,R121))&amp;IF(S121="",""," | "&amp;HOUR(INDEX(MATCHER!$C$5:$C$504,S121))&amp;":"&amp;IF(MINUTE(INDEX(MATCHER!$C$5:$C$504,S121))&lt;10,"0","")&amp;MINUTE(INDEX(MATCHER!$C$5:$C$504,S121))&amp;" "&amp;INDEX(MATCHER!$H$5:$H$504,S121)&amp;" – "&amp;INDEX(MATCHER!$I$5:$I$504,S121))&amp;IF(T121="",""," | "&amp;HOUR(INDEX(MATCHER!$C$5:$C$504,T121))&amp;":"&amp;IF(MINUTE(INDEX(MATCHER!$C$5:$C$504,T121))&lt;10,"0","")&amp;MINUTE(INDEX(MATCHER!$C$5:$C$504,T121))&amp;" "&amp;INDEX(MATCHER!$H$5:$H$504,T121)&amp;" – "&amp;INDEX(MATCHER!$I$5:$I$504,T121))&amp;IF(AF121="",""," | "&amp;HOUR(INDEX(MATCHER!$C$5:$C$504,AF121))&amp;":"&amp;IF(MINUTE(INDEX(MATCHER!$C$5:$C$504,AF121))&lt;10,"0","")&amp;MINUTE(INDEX(MATCHER!$C$5:$C$504,AF121))&amp;" "&amp;INDEX(MATCHER!$H$5:$H$504,AF121)&amp;" – "&amp;INDEX(MATCHER!$I$5:$I$504,AF121))</f>
        <v>13:00 AIK – Bålsta IF</v>
      </c>
      <c r="G121" s="45" t="str">
        <f>MID(IF(R121="","",IF(OR(INDEX(MATCHER!$J$5:$J$504,R121)=""),""," / "&amp;INDEX(MATCHER!$J$5:$J$504,R121)))&amp;IF(S121="","",IF(OR(INDEX(MATCHER!$J$5:$J$504,S121)="",INDEX(MATCHER!$J$5:$J$504,S121)=IFERROR(INDEX(MATCHER!$J$5:$J$504,R121),"")),""," / "&amp;INDEX(MATCHER!$J$5:$J$504,S121)))&amp;IF(T121="","",IF(OR(INDEX(MATCHER!$J$5:$J$504,T121)="",INDEX(MATCHER!$J$5:$J$504,T121)=IFERROR(INDEX(MATCHER!$J$5:$J$504,R121),""),INDEX(MATCHER!$J$5:$J$504,T121)=IFERROR(INDEX(MATCHER!$J$5:$J$504,S121),"")),""," / "&amp;INDEX(MATCHER!$J$5:$J$504,T121)))&amp;IF(AF121="","",IF(OR(INDEX(MATCHER!$J$5:$J$504,AF121)="",INDEX(MATCHER!$J$5:$J$504,AF121)=IFERROR(INDEX(MATCHER!$J$5:$J$504,R121),""),INDEX(MATCHER!$J$5:$J$504,AF121)=IFERROR(INDEX(MATCHER!$J$5:$J$504,S121),""),INDEX(MATCHER!$J$5:$J$504,AF121)=IFERROR(INDEX(MATCHER!$J$5:$J$504,T121),"")),""," / "&amp;INDEX(MATCHER!$J$5:$J$504,AF121))),4,1000)</f>
        <v>F12</v>
      </c>
      <c r="H121" s="45" t="str">
        <f t="shared" si="28"/>
        <v>F12, F13</v>
      </c>
      <c r="I121" s="46" t="s">
        <v>90</v>
      </c>
      <c r="J121" s="47" t="s">
        <v>101</v>
      </c>
      <c r="K121" s="48"/>
      <c r="L121" s="49"/>
      <c r="M121" s="50" t="str">
        <f>IF(O121&lt;&gt;O120,MAX(1,MIN(AA121,ROUNDUP(SUMPRODUCT(($O$5:$O$546=O121)*($I$5:$I$546="Ja")*($E$5:$E$546-$D$5:$D$546))*24/REGLER!$B$8,0))),"")</f>
        <v/>
      </c>
      <c r="N121" s="50" t="str">
        <f t="shared" si="15"/>
        <v>Klar</v>
      </c>
      <c r="O121" s="15" t="s">
        <v>113</v>
      </c>
      <c r="P121" s="16">
        <v>0.33333333333333298</v>
      </c>
      <c r="Q121" s="16">
        <v>0.70833333333333304</v>
      </c>
      <c r="R121" s="15">
        <f>IFERROR(MATCH(1,INDEX((MATCHER!$B$5:$B$504=A121)*(MATCHER!$D$5:$D$504=C121)*(MATCHER!$K$5:$K$504="Ja")*(MATCHER!$C$5:$C$504&lt;E121)*(MATCHER!$M$5:$M$504&gt;D121),0),0),"")</f>
        <v>39</v>
      </c>
      <c r="S121" s="15" t="str">
        <f>IF(R121="","",IFERROR(MATCH(1,INDEX((MATCHER!$B$5:$B$504=A121)*(MATCHER!$D$5:$D$504=C121)*(MATCHER!$K$5:$K$504="Ja")*(MATCHER!$C$5:$C$504&lt;E121)*(MATCHER!$M$5:$M$504&gt;D121)*(ROW(MATCHER!$A$5:$A$504)-ROW(MATCHER!$A$5)+1&gt;R121),0),0),""))</f>
        <v/>
      </c>
      <c r="T121" s="15" t="str">
        <f>IF(S121="","",IFERROR(MATCH(1,INDEX((MATCHER!$B$5:$B$504=A121)*(MATCHER!$D$5:$D$504=C121)*(MATCHER!$K$5:$K$504="Ja")*(MATCHER!$C$5:$C$504&lt;E121)*(MATCHER!$M$5:$M$504&gt;D121)*(ROW(MATCHER!$A$5:$A$504)-ROW(MATCHER!$A$5)+1&gt;S121),0),0),""))</f>
        <v/>
      </c>
      <c r="U121" s="15">
        <f t="shared" si="16"/>
        <v>0</v>
      </c>
      <c r="V121" s="15">
        <f>IF(OR(I121&lt;&gt;"Ja",J121=""),"",COUNTIFS($O$5:O121,O121,$U$5:U121,1))</f>
        <v>1</v>
      </c>
      <c r="W121" s="15" t="str">
        <f t="shared" si="17"/>
        <v>2026-10-17 | Ulriksdalshallen|1</v>
      </c>
      <c r="X121" s="16" t="str">
        <f t="shared" si="18"/>
        <v/>
      </c>
      <c r="Y121" s="15">
        <f>IF(OR(I121&lt;&gt;"Ja",J121=""),0,IF(COUNTIFS($O$5:O121,O121,$I$5:I121,"Ja",$J$5:J121,"&lt;&gt;")=1,1,0))</f>
        <v>0</v>
      </c>
      <c r="Z121" s="15">
        <f>IF(OR(I121&lt;&gt;"Ja",J121=""),0,IF(COUNTIFS(O121:$O$546,O121,I121:$I$546,"Ja",J121:$J$546,"&lt;&gt;")=1,1,0))</f>
        <v>0</v>
      </c>
      <c r="AA121" s="15">
        <f t="shared" si="29"/>
        <v>2</v>
      </c>
      <c r="AB121" s="15" t="str">
        <f>IF(U121&lt;&gt;1,"",COUNTIF($U$5:U121,1))</f>
        <v/>
      </c>
      <c r="AC121" s="15" t="str">
        <f t="shared" si="19"/>
        <v/>
      </c>
      <c r="AD121" s="15" t="str">
        <f t="shared" si="20"/>
        <v>Vanligt café</v>
      </c>
      <c r="AE121" s="15" t="str">
        <f t="shared" si="21"/>
        <v/>
      </c>
      <c r="AF121" t="str">
        <f>IF(T121="","",IFERROR(MATCH(1,INDEX((MATCHER!$B$5:$B$504=A121)*(MATCHER!$D$5:$D$504=C121)*(MATCHER!$K$5:$K$504="Ja")*(MATCHER!$C$5:$C$504&lt;E121)*(MATCHER!$M$5:$M$504&gt;D121)*(ROW(MATCHER!$A$5:$A$504)-ROW(MATCHER!$A$5)+1&gt;T121),0),0),""))</f>
        <v/>
      </c>
    </row>
    <row r="122" spans="1:32" ht="26">
      <c r="A122" s="42">
        <v>46312</v>
      </c>
      <c r="B122" s="43" t="s">
        <v>85</v>
      </c>
      <c r="C122" s="43" t="s">
        <v>86</v>
      </c>
      <c r="D122" s="44">
        <v>0.5625</v>
      </c>
      <c r="E122" s="44">
        <v>0.58333333333333304</v>
      </c>
      <c r="F122" s="45" t="str">
        <f>IF(R122="","",HOUR(INDEX(MATCHER!$C$5:$C$504,R122))&amp;":"&amp;IF(MINUTE(INDEX(MATCHER!$C$5:$C$504,R122))&lt;10,"0","")&amp;MINUTE(INDEX(MATCHER!$C$5:$C$504,R122))&amp;" "&amp;INDEX(MATCHER!$H$5:$H$504,R122)&amp;" – "&amp;INDEX(MATCHER!$I$5:$I$504,R122))&amp;IF(S122="",""," | "&amp;HOUR(INDEX(MATCHER!$C$5:$C$504,S122))&amp;":"&amp;IF(MINUTE(INDEX(MATCHER!$C$5:$C$504,S122))&lt;10,"0","")&amp;MINUTE(INDEX(MATCHER!$C$5:$C$504,S122))&amp;" "&amp;INDEX(MATCHER!$H$5:$H$504,S122)&amp;" – "&amp;INDEX(MATCHER!$I$5:$I$504,S122))&amp;IF(T122="",""," | "&amp;HOUR(INDEX(MATCHER!$C$5:$C$504,T122))&amp;":"&amp;IF(MINUTE(INDEX(MATCHER!$C$5:$C$504,T122))&lt;10,"0","")&amp;MINUTE(INDEX(MATCHER!$C$5:$C$504,T122))&amp;" "&amp;INDEX(MATCHER!$H$5:$H$504,T122)&amp;" – "&amp;INDEX(MATCHER!$I$5:$I$504,T122))&amp;IF(AF122="",""," | "&amp;HOUR(INDEX(MATCHER!$C$5:$C$504,AF122))&amp;":"&amp;IF(MINUTE(INDEX(MATCHER!$C$5:$C$504,AF122))&lt;10,"0","")&amp;MINUTE(INDEX(MATCHER!$C$5:$C$504,AF122))&amp;" "&amp;INDEX(MATCHER!$H$5:$H$504,AF122)&amp;" – "&amp;INDEX(MATCHER!$I$5:$I$504,AF122))</f>
        <v>13:00 AIK – Bålsta IF | 13:45 Sollentuna HK – Täby HBK</v>
      </c>
      <c r="G122" s="45" t="str">
        <f>MID(IF(R122="","",IF(OR(INDEX(MATCHER!$J$5:$J$504,R122)=""),""," / "&amp;INDEX(MATCHER!$J$5:$J$504,R122)))&amp;IF(S122="","",IF(OR(INDEX(MATCHER!$J$5:$J$504,S122)="",INDEX(MATCHER!$J$5:$J$504,S122)=IFERROR(INDEX(MATCHER!$J$5:$J$504,R122),"")),""," / "&amp;INDEX(MATCHER!$J$5:$J$504,S122)))&amp;IF(T122="","",IF(OR(INDEX(MATCHER!$J$5:$J$504,T122)="",INDEX(MATCHER!$J$5:$J$504,T122)=IFERROR(INDEX(MATCHER!$J$5:$J$504,R122),""),INDEX(MATCHER!$J$5:$J$504,T122)=IFERROR(INDEX(MATCHER!$J$5:$J$504,S122),"")),""," / "&amp;INDEX(MATCHER!$J$5:$J$504,T122)))&amp;IF(AF122="","",IF(OR(INDEX(MATCHER!$J$5:$J$504,AF122)="",INDEX(MATCHER!$J$5:$J$504,AF122)=IFERROR(INDEX(MATCHER!$J$5:$J$504,R122),""),INDEX(MATCHER!$J$5:$J$504,AF122)=IFERROR(INDEX(MATCHER!$J$5:$J$504,S122),""),INDEX(MATCHER!$J$5:$J$504,AF122)=IFERROR(INDEX(MATCHER!$J$5:$J$504,T122),"")),""," / "&amp;INDEX(MATCHER!$J$5:$J$504,AF122))),4,1000)</f>
        <v>F12</v>
      </c>
      <c r="H122" s="45" t="str">
        <f t="shared" si="28"/>
        <v>F12, F13</v>
      </c>
      <c r="I122" s="46" t="s">
        <v>90</v>
      </c>
      <c r="J122" s="47" t="s">
        <v>101</v>
      </c>
      <c r="K122" s="48"/>
      <c r="L122" s="49"/>
      <c r="M122" s="50" t="str">
        <f>IF(O122&lt;&gt;O121,MAX(1,MIN(AA122,ROUNDUP(SUMPRODUCT(($O$5:$O$546=O122)*($I$5:$I$546="Ja")*($E$5:$E$546-$D$5:$D$546))*24/REGLER!$B$8,0))),"")</f>
        <v/>
      </c>
      <c r="N122" s="50" t="str">
        <f t="shared" si="15"/>
        <v>Klar</v>
      </c>
      <c r="O122" s="15" t="s">
        <v>113</v>
      </c>
      <c r="P122" s="16">
        <v>0.33333333333333298</v>
      </c>
      <c r="Q122" s="16">
        <v>0.70833333333333304</v>
      </c>
      <c r="R122" s="15">
        <f>IFERROR(MATCH(1,INDEX((MATCHER!$B$5:$B$504=A122)*(MATCHER!$D$5:$D$504=C122)*(MATCHER!$K$5:$K$504="Ja")*(MATCHER!$C$5:$C$504&lt;E122)*(MATCHER!$M$5:$M$504&gt;D122),0),0),"")</f>
        <v>39</v>
      </c>
      <c r="S122" s="15">
        <f>IF(R122="","",IFERROR(MATCH(1,INDEX((MATCHER!$B$5:$B$504=A122)*(MATCHER!$D$5:$D$504=C122)*(MATCHER!$K$5:$K$504="Ja")*(MATCHER!$C$5:$C$504&lt;E122)*(MATCHER!$M$5:$M$504&gt;D122)*(ROW(MATCHER!$A$5:$A$504)-ROW(MATCHER!$A$5)+1&gt;R122),0),0),""))</f>
        <v>40</v>
      </c>
      <c r="T122" s="15" t="str">
        <f>IF(S122="","",IFERROR(MATCH(1,INDEX((MATCHER!$B$5:$B$504=A122)*(MATCHER!$D$5:$D$504=C122)*(MATCHER!$K$5:$K$504="Ja")*(MATCHER!$C$5:$C$504&lt;E122)*(MATCHER!$M$5:$M$504&gt;D122)*(ROW(MATCHER!$A$5:$A$504)-ROW(MATCHER!$A$5)+1&gt;S122),0),0),""))</f>
        <v/>
      </c>
      <c r="U122" s="15">
        <f t="shared" si="16"/>
        <v>0</v>
      </c>
      <c r="V122" s="15">
        <f>IF(OR(I122&lt;&gt;"Ja",J122=""),"",COUNTIFS($O$5:O122,O122,$U$5:U122,1))</f>
        <v>1</v>
      </c>
      <c r="W122" s="15" t="str">
        <f t="shared" si="17"/>
        <v>2026-10-17 | Ulriksdalshallen|1</v>
      </c>
      <c r="X122" s="16" t="str">
        <f t="shared" si="18"/>
        <v/>
      </c>
      <c r="Y122" s="15">
        <f>IF(OR(I122&lt;&gt;"Ja",J122=""),0,IF(COUNTIFS($O$5:O122,O122,$I$5:I122,"Ja",$J$5:J122,"&lt;&gt;")=1,1,0))</f>
        <v>0</v>
      </c>
      <c r="Z122" s="15">
        <f>IF(OR(I122&lt;&gt;"Ja",J122=""),0,IF(COUNTIFS(O122:$O$546,O122,I122:$I$546,"Ja",J122:$J$546,"&lt;&gt;")=1,1,0))</f>
        <v>0</v>
      </c>
      <c r="AA122" s="15">
        <f t="shared" si="29"/>
        <v>2</v>
      </c>
      <c r="AB122" s="15" t="str">
        <f>IF(U122&lt;&gt;1,"",COUNTIF($U$5:U122,1))</f>
        <v/>
      </c>
      <c r="AC122" s="15" t="str">
        <f t="shared" si="19"/>
        <v/>
      </c>
      <c r="AD122" s="15" t="str">
        <f t="shared" si="20"/>
        <v>Vanligt café</v>
      </c>
      <c r="AE122" s="15" t="str">
        <f t="shared" si="21"/>
        <v/>
      </c>
      <c r="AF122" t="str">
        <f>IF(T122="","",IFERROR(MATCH(1,INDEX((MATCHER!$B$5:$B$504=A122)*(MATCHER!$D$5:$D$504=C122)*(MATCHER!$K$5:$K$504="Ja")*(MATCHER!$C$5:$C$504&lt;E122)*(MATCHER!$M$5:$M$504&gt;D122)*(ROW(MATCHER!$A$5:$A$504)-ROW(MATCHER!$A$5)+1&gt;T122),0),0),""))</f>
        <v/>
      </c>
    </row>
    <row r="123" spans="1:32" ht="26">
      <c r="A123" s="42">
        <v>46312</v>
      </c>
      <c r="B123" s="43" t="s">
        <v>85</v>
      </c>
      <c r="C123" s="43" t="s">
        <v>86</v>
      </c>
      <c r="D123" s="44">
        <v>0.58333333333333304</v>
      </c>
      <c r="E123" s="44">
        <v>0.60416666666666696</v>
      </c>
      <c r="F123" s="45" t="str">
        <f>IF(R123="","",HOUR(INDEX(MATCHER!$C$5:$C$504,R123))&amp;":"&amp;IF(MINUTE(INDEX(MATCHER!$C$5:$C$504,R123))&lt;10,"0","")&amp;MINUTE(INDEX(MATCHER!$C$5:$C$504,R123))&amp;" "&amp;INDEX(MATCHER!$H$5:$H$504,R123)&amp;" – "&amp;INDEX(MATCHER!$I$5:$I$504,R123))&amp;IF(S123="",""," | "&amp;HOUR(INDEX(MATCHER!$C$5:$C$504,S123))&amp;":"&amp;IF(MINUTE(INDEX(MATCHER!$C$5:$C$504,S123))&lt;10,"0","")&amp;MINUTE(INDEX(MATCHER!$C$5:$C$504,S123))&amp;" "&amp;INDEX(MATCHER!$H$5:$H$504,S123)&amp;" – "&amp;INDEX(MATCHER!$I$5:$I$504,S123))&amp;IF(T123="",""," | "&amp;HOUR(INDEX(MATCHER!$C$5:$C$504,T123))&amp;":"&amp;IF(MINUTE(INDEX(MATCHER!$C$5:$C$504,T123))&lt;10,"0","")&amp;MINUTE(INDEX(MATCHER!$C$5:$C$504,T123))&amp;" "&amp;INDEX(MATCHER!$H$5:$H$504,T123)&amp;" – "&amp;INDEX(MATCHER!$I$5:$I$504,T123))&amp;IF(AF123="",""," | "&amp;HOUR(INDEX(MATCHER!$C$5:$C$504,AF123))&amp;":"&amp;IF(MINUTE(INDEX(MATCHER!$C$5:$C$504,AF123))&lt;10,"0","")&amp;MINUTE(INDEX(MATCHER!$C$5:$C$504,AF123))&amp;" "&amp;INDEX(MATCHER!$H$5:$H$504,AF123)&amp;" – "&amp;INDEX(MATCHER!$I$5:$I$504,AF123))</f>
        <v>13:45 Sollentuna HK – Täby HBK</v>
      </c>
      <c r="G123" s="45" t="str">
        <f>MID(IF(R123="","",IF(OR(INDEX(MATCHER!$J$5:$J$504,R123)=""),""," / "&amp;INDEX(MATCHER!$J$5:$J$504,R123)))&amp;IF(S123="","",IF(OR(INDEX(MATCHER!$J$5:$J$504,S123)="",INDEX(MATCHER!$J$5:$J$504,S123)=IFERROR(INDEX(MATCHER!$J$5:$J$504,R123),"")),""," / "&amp;INDEX(MATCHER!$J$5:$J$504,S123)))&amp;IF(T123="","",IF(OR(INDEX(MATCHER!$J$5:$J$504,T123)="",INDEX(MATCHER!$J$5:$J$504,T123)=IFERROR(INDEX(MATCHER!$J$5:$J$504,R123),""),INDEX(MATCHER!$J$5:$J$504,T123)=IFERROR(INDEX(MATCHER!$J$5:$J$504,S123),"")),""," / "&amp;INDEX(MATCHER!$J$5:$J$504,T123)))&amp;IF(AF123="","",IF(OR(INDEX(MATCHER!$J$5:$J$504,AF123)="",INDEX(MATCHER!$J$5:$J$504,AF123)=IFERROR(INDEX(MATCHER!$J$5:$J$504,R123),""),INDEX(MATCHER!$J$5:$J$504,AF123)=IFERROR(INDEX(MATCHER!$J$5:$J$504,S123),""),INDEX(MATCHER!$J$5:$J$504,AF123)=IFERROR(INDEX(MATCHER!$J$5:$J$504,T123),"")),""," / "&amp;INDEX(MATCHER!$J$5:$J$504,AF123))),4,1000)</f>
        <v/>
      </c>
      <c r="H123" s="45" t="str">
        <f t="shared" si="28"/>
        <v>F12, F13</v>
      </c>
      <c r="I123" s="46" t="s">
        <v>90</v>
      </c>
      <c r="J123" s="47" t="s">
        <v>101</v>
      </c>
      <c r="K123" s="48"/>
      <c r="L123" s="49"/>
      <c r="M123" s="50" t="str">
        <f>IF(O123&lt;&gt;O122,MAX(1,MIN(AA123,ROUNDUP(SUMPRODUCT(($O$5:$O$546=O123)*($I$5:$I$546="Ja")*($E$5:$E$546-$D$5:$D$546))*24/REGLER!$B$8,0))),"")</f>
        <v/>
      </c>
      <c r="N123" s="50" t="str">
        <f t="shared" si="15"/>
        <v>Klar</v>
      </c>
      <c r="O123" s="15" t="s">
        <v>113</v>
      </c>
      <c r="P123" s="16">
        <v>0.33333333333333298</v>
      </c>
      <c r="Q123" s="16">
        <v>0.70833333333333304</v>
      </c>
      <c r="R123" s="15">
        <f>IFERROR(MATCH(1,INDEX((MATCHER!$B$5:$B$504=A123)*(MATCHER!$D$5:$D$504=C123)*(MATCHER!$K$5:$K$504="Ja")*(MATCHER!$C$5:$C$504&lt;E123)*(MATCHER!$M$5:$M$504&gt;D123),0),0),"")</f>
        <v>40</v>
      </c>
      <c r="S123" s="15" t="str">
        <f>IF(R123="","",IFERROR(MATCH(1,INDEX((MATCHER!$B$5:$B$504=A123)*(MATCHER!$D$5:$D$504=C123)*(MATCHER!$K$5:$K$504="Ja")*(MATCHER!$C$5:$C$504&lt;E123)*(MATCHER!$M$5:$M$504&gt;D123)*(ROW(MATCHER!$A$5:$A$504)-ROW(MATCHER!$A$5)+1&gt;R123),0),0),""))</f>
        <v/>
      </c>
      <c r="T123" s="15" t="str">
        <f>IF(S123="","",IFERROR(MATCH(1,INDEX((MATCHER!$B$5:$B$504=A123)*(MATCHER!$D$5:$D$504=C123)*(MATCHER!$K$5:$K$504="Ja")*(MATCHER!$C$5:$C$504&lt;E123)*(MATCHER!$M$5:$M$504&gt;D123)*(ROW(MATCHER!$A$5:$A$504)-ROW(MATCHER!$A$5)+1&gt;S123),0),0),""))</f>
        <v/>
      </c>
      <c r="U123" s="15">
        <f t="shared" si="16"/>
        <v>0</v>
      </c>
      <c r="V123" s="15">
        <f>IF(OR(I123&lt;&gt;"Ja",J123=""),"",COUNTIFS($O$5:O123,O123,$U$5:U123,1))</f>
        <v>1</v>
      </c>
      <c r="W123" s="15" t="str">
        <f t="shared" si="17"/>
        <v>2026-10-17 | Ulriksdalshallen|1</v>
      </c>
      <c r="X123" s="16">
        <f t="shared" si="18"/>
        <v>0.60416666666666696</v>
      </c>
      <c r="Y123" s="15">
        <f>IF(OR(I123&lt;&gt;"Ja",J123=""),0,IF(COUNTIFS($O$5:O123,O123,$I$5:I123,"Ja",$J$5:J123,"&lt;&gt;")=1,1,0))</f>
        <v>0</v>
      </c>
      <c r="Z123" s="15">
        <f>IF(OR(I123&lt;&gt;"Ja",J123=""),0,IF(COUNTIFS(O123:$O$546,O123,I123:$I$546,"Ja",J123:$J$546,"&lt;&gt;")=1,1,0))</f>
        <v>0</v>
      </c>
      <c r="AA123" s="15">
        <f t="shared" si="29"/>
        <v>2</v>
      </c>
      <c r="AB123" s="15" t="str">
        <f>IF(U123&lt;&gt;1,"",COUNTIF($U$5:U123,1))</f>
        <v/>
      </c>
      <c r="AC123" s="15" t="str">
        <f t="shared" si="19"/>
        <v>2026-10-17 | Ulriksdalshallen|1</v>
      </c>
      <c r="AD123" s="15" t="str">
        <f t="shared" si="20"/>
        <v>Vanligt café</v>
      </c>
      <c r="AE123" s="15" t="str">
        <f t="shared" si="21"/>
        <v/>
      </c>
      <c r="AF123" t="str">
        <f>IF(T123="","",IFERROR(MATCH(1,INDEX((MATCHER!$B$5:$B$504=A123)*(MATCHER!$D$5:$D$504=C123)*(MATCHER!$K$5:$K$504="Ja")*(MATCHER!$C$5:$C$504&lt;E123)*(MATCHER!$M$5:$M$504&gt;D123)*(ROW(MATCHER!$A$5:$A$504)-ROW(MATCHER!$A$5)+1&gt;T123),0),0),""))</f>
        <v/>
      </c>
    </row>
    <row r="124" spans="1:32" ht="26">
      <c r="A124" s="42">
        <v>46312</v>
      </c>
      <c r="B124" s="43" t="s">
        <v>85</v>
      </c>
      <c r="C124" s="43" t="s">
        <v>86</v>
      </c>
      <c r="D124" s="44">
        <v>0.60416666666666696</v>
      </c>
      <c r="E124" s="44">
        <v>0.625</v>
      </c>
      <c r="F124" s="45" t="str">
        <f>IF(R124="","",HOUR(INDEX(MATCHER!$C$5:$C$504,R124))&amp;":"&amp;IF(MINUTE(INDEX(MATCHER!$C$5:$C$504,R124))&lt;10,"0","")&amp;MINUTE(INDEX(MATCHER!$C$5:$C$504,R124))&amp;" "&amp;INDEX(MATCHER!$H$5:$H$504,R124)&amp;" – "&amp;INDEX(MATCHER!$I$5:$I$504,R124))&amp;IF(S124="",""," | "&amp;HOUR(INDEX(MATCHER!$C$5:$C$504,S124))&amp;":"&amp;IF(MINUTE(INDEX(MATCHER!$C$5:$C$504,S124))&lt;10,"0","")&amp;MINUTE(INDEX(MATCHER!$C$5:$C$504,S124))&amp;" "&amp;INDEX(MATCHER!$H$5:$H$504,S124)&amp;" – "&amp;INDEX(MATCHER!$I$5:$I$504,S124))&amp;IF(T124="",""," | "&amp;HOUR(INDEX(MATCHER!$C$5:$C$504,T124))&amp;":"&amp;IF(MINUTE(INDEX(MATCHER!$C$5:$C$504,T124))&lt;10,"0","")&amp;MINUTE(INDEX(MATCHER!$C$5:$C$504,T124))&amp;" "&amp;INDEX(MATCHER!$H$5:$H$504,T124)&amp;" – "&amp;INDEX(MATCHER!$I$5:$I$504,T124))&amp;IF(AF124="",""," | "&amp;HOUR(INDEX(MATCHER!$C$5:$C$504,AF124))&amp;":"&amp;IF(MINUTE(INDEX(MATCHER!$C$5:$C$504,AF124))&lt;10,"0","")&amp;MINUTE(INDEX(MATCHER!$C$5:$C$504,AF124))&amp;" "&amp;INDEX(MATCHER!$H$5:$H$504,AF124)&amp;" – "&amp;INDEX(MATCHER!$I$5:$I$504,AF124))</f>
        <v>14:45 AIK 2 – Bålsta IF</v>
      </c>
      <c r="G124" s="45" t="str">
        <f>MID(IF(R124="","",IF(OR(INDEX(MATCHER!$J$5:$J$504,R124)=""),""," / "&amp;INDEX(MATCHER!$J$5:$J$504,R124)))&amp;IF(S124="","",IF(OR(INDEX(MATCHER!$J$5:$J$504,S124)="",INDEX(MATCHER!$J$5:$J$504,S124)=IFERROR(INDEX(MATCHER!$J$5:$J$504,R124),"")),""," / "&amp;INDEX(MATCHER!$J$5:$J$504,S124)))&amp;IF(T124="","",IF(OR(INDEX(MATCHER!$J$5:$J$504,T124)="",INDEX(MATCHER!$J$5:$J$504,T124)=IFERROR(INDEX(MATCHER!$J$5:$J$504,R124),""),INDEX(MATCHER!$J$5:$J$504,T124)=IFERROR(INDEX(MATCHER!$J$5:$J$504,S124),"")),""," / "&amp;INDEX(MATCHER!$J$5:$J$504,T124)))&amp;IF(AF124="","",IF(OR(INDEX(MATCHER!$J$5:$J$504,AF124)="",INDEX(MATCHER!$J$5:$J$504,AF124)=IFERROR(INDEX(MATCHER!$J$5:$J$504,R124),""),INDEX(MATCHER!$J$5:$J$504,AF124)=IFERROR(INDEX(MATCHER!$J$5:$J$504,S124),""),INDEX(MATCHER!$J$5:$J$504,AF124)=IFERROR(INDEX(MATCHER!$J$5:$J$504,T124),"")),""," / "&amp;INDEX(MATCHER!$J$5:$J$504,AF124))),4,1000)</f>
        <v>F13 2</v>
      </c>
      <c r="H124" s="45" t="str">
        <f t="shared" si="28"/>
        <v>F12, F13</v>
      </c>
      <c r="I124" s="46" t="s">
        <v>90</v>
      </c>
      <c r="J124" s="47" t="s">
        <v>97</v>
      </c>
      <c r="K124" s="48"/>
      <c r="L124" s="49"/>
      <c r="M124" s="50" t="str">
        <f>IF(O124&lt;&gt;O123,MAX(1,MIN(AA124,ROUNDUP(SUMPRODUCT(($O$5:$O$546=O124)*($I$5:$I$546="Ja")*($E$5:$E$546-$D$5:$D$546))*24/REGLER!$B$8,0))),"")</f>
        <v/>
      </c>
      <c r="N124" s="50" t="str">
        <f t="shared" si="15"/>
        <v>Klar</v>
      </c>
      <c r="O124" s="15" t="s">
        <v>113</v>
      </c>
      <c r="P124" s="16">
        <v>0.33333333333333298</v>
      </c>
      <c r="Q124" s="16">
        <v>0.70833333333333304</v>
      </c>
      <c r="R124" s="15">
        <f>IFERROR(MATCH(1,INDEX((MATCHER!$B$5:$B$504=A124)*(MATCHER!$D$5:$D$504=C124)*(MATCHER!$K$5:$K$504="Ja")*(MATCHER!$C$5:$C$504&lt;E124)*(MATCHER!$M$5:$M$504&gt;D124),0),0),"")</f>
        <v>41</v>
      </c>
      <c r="S124" s="15" t="str">
        <f>IF(R124="","",IFERROR(MATCH(1,INDEX((MATCHER!$B$5:$B$504=A124)*(MATCHER!$D$5:$D$504=C124)*(MATCHER!$K$5:$K$504="Ja")*(MATCHER!$C$5:$C$504&lt;E124)*(MATCHER!$M$5:$M$504&gt;D124)*(ROW(MATCHER!$A$5:$A$504)-ROW(MATCHER!$A$5)+1&gt;R124),0),0),""))</f>
        <v/>
      </c>
      <c r="T124" s="15" t="str">
        <f>IF(S124="","",IFERROR(MATCH(1,INDEX((MATCHER!$B$5:$B$504=A124)*(MATCHER!$D$5:$D$504=C124)*(MATCHER!$K$5:$K$504="Ja")*(MATCHER!$C$5:$C$504&lt;E124)*(MATCHER!$M$5:$M$504&gt;D124)*(ROW(MATCHER!$A$5:$A$504)-ROW(MATCHER!$A$5)+1&gt;S124),0),0),""))</f>
        <v/>
      </c>
      <c r="U124" s="15">
        <f t="shared" si="16"/>
        <v>1</v>
      </c>
      <c r="V124" s="15">
        <f>IF(OR(I124&lt;&gt;"Ja",J124=""),"",COUNTIFS($O$5:O124,O124,$U$5:U124,1))</f>
        <v>2</v>
      </c>
      <c r="W124" s="15" t="str">
        <f t="shared" si="17"/>
        <v>2026-10-17 | Ulriksdalshallen|2</v>
      </c>
      <c r="X124" s="16" t="str">
        <f t="shared" si="18"/>
        <v/>
      </c>
      <c r="Y124" s="15">
        <f>IF(OR(I124&lt;&gt;"Ja",J124=""),0,IF(COUNTIFS($O$5:O124,O124,$I$5:I124,"Ja",$J$5:J124,"&lt;&gt;")=1,1,0))</f>
        <v>0</v>
      </c>
      <c r="Z124" s="15">
        <f>IF(OR(I124&lt;&gt;"Ja",J124=""),0,IF(COUNTIFS(O124:$O$546,O124,I124:$I$546,"Ja",J124:$J$546,"&lt;&gt;")=1,1,0))</f>
        <v>0</v>
      </c>
      <c r="AA124" s="15">
        <f t="shared" si="29"/>
        <v>2</v>
      </c>
      <c r="AB124" s="15">
        <f>IF(U124&lt;&gt;1,"",COUNTIF($U$5:U124,1))</f>
        <v>14</v>
      </c>
      <c r="AC124" s="15" t="str">
        <f t="shared" si="19"/>
        <v/>
      </c>
      <c r="AD124" s="15" t="str">
        <f t="shared" si="20"/>
        <v>Vanligt café</v>
      </c>
      <c r="AE124" s="15">
        <f t="shared" si="21"/>
        <v>2.4999999999999858</v>
      </c>
      <c r="AF124" t="str">
        <f>IF(T124="","",IFERROR(MATCH(1,INDEX((MATCHER!$B$5:$B$504=A124)*(MATCHER!$D$5:$D$504=C124)*(MATCHER!$K$5:$K$504="Ja")*(MATCHER!$C$5:$C$504&lt;E124)*(MATCHER!$M$5:$M$504&gt;D124)*(ROW(MATCHER!$A$5:$A$504)-ROW(MATCHER!$A$5)+1&gt;T124),0),0),""))</f>
        <v/>
      </c>
    </row>
    <row r="125" spans="1:32" ht="26">
      <c r="A125" s="42">
        <v>46312</v>
      </c>
      <c r="B125" s="43" t="s">
        <v>85</v>
      </c>
      <c r="C125" s="43" t="s">
        <v>86</v>
      </c>
      <c r="D125" s="44">
        <v>0.625</v>
      </c>
      <c r="E125" s="44">
        <v>0.64583333333333304</v>
      </c>
      <c r="F125" s="45" t="str">
        <f>IF(R125="","",HOUR(INDEX(MATCHER!$C$5:$C$504,R125))&amp;":"&amp;IF(MINUTE(INDEX(MATCHER!$C$5:$C$504,R125))&lt;10,"0","")&amp;MINUTE(INDEX(MATCHER!$C$5:$C$504,R125))&amp;" "&amp;INDEX(MATCHER!$H$5:$H$504,R125)&amp;" – "&amp;INDEX(MATCHER!$I$5:$I$504,R125))&amp;IF(S125="",""," | "&amp;HOUR(INDEX(MATCHER!$C$5:$C$504,S125))&amp;":"&amp;IF(MINUTE(INDEX(MATCHER!$C$5:$C$504,S125))&lt;10,"0","")&amp;MINUTE(INDEX(MATCHER!$C$5:$C$504,S125))&amp;" "&amp;INDEX(MATCHER!$H$5:$H$504,S125)&amp;" – "&amp;INDEX(MATCHER!$I$5:$I$504,S125))&amp;IF(T125="",""," | "&amp;HOUR(INDEX(MATCHER!$C$5:$C$504,T125))&amp;":"&amp;IF(MINUTE(INDEX(MATCHER!$C$5:$C$504,T125))&lt;10,"0","")&amp;MINUTE(INDEX(MATCHER!$C$5:$C$504,T125))&amp;" "&amp;INDEX(MATCHER!$H$5:$H$504,T125)&amp;" – "&amp;INDEX(MATCHER!$I$5:$I$504,T125))&amp;IF(AF125="",""," | "&amp;HOUR(INDEX(MATCHER!$C$5:$C$504,AF125))&amp;":"&amp;IF(MINUTE(INDEX(MATCHER!$C$5:$C$504,AF125))&lt;10,"0","")&amp;MINUTE(INDEX(MATCHER!$C$5:$C$504,AF125))&amp;" "&amp;INDEX(MATCHER!$H$5:$H$504,AF125)&amp;" – "&amp;INDEX(MATCHER!$I$5:$I$504,AF125))</f>
        <v>14:45 AIK 2 – Bålsta IF</v>
      </c>
      <c r="G125" s="45" t="str">
        <f>MID(IF(R125="","",IF(OR(INDEX(MATCHER!$J$5:$J$504,R125)=""),""," / "&amp;INDEX(MATCHER!$J$5:$J$504,R125)))&amp;IF(S125="","",IF(OR(INDEX(MATCHER!$J$5:$J$504,S125)="",INDEX(MATCHER!$J$5:$J$504,S125)=IFERROR(INDEX(MATCHER!$J$5:$J$504,R125),"")),""," / "&amp;INDEX(MATCHER!$J$5:$J$504,S125)))&amp;IF(T125="","",IF(OR(INDEX(MATCHER!$J$5:$J$504,T125)="",INDEX(MATCHER!$J$5:$J$504,T125)=IFERROR(INDEX(MATCHER!$J$5:$J$504,R125),""),INDEX(MATCHER!$J$5:$J$504,T125)=IFERROR(INDEX(MATCHER!$J$5:$J$504,S125),"")),""," / "&amp;INDEX(MATCHER!$J$5:$J$504,T125)))&amp;IF(AF125="","",IF(OR(INDEX(MATCHER!$J$5:$J$504,AF125)="",INDEX(MATCHER!$J$5:$J$504,AF125)=IFERROR(INDEX(MATCHER!$J$5:$J$504,R125),""),INDEX(MATCHER!$J$5:$J$504,AF125)=IFERROR(INDEX(MATCHER!$J$5:$J$504,S125),""),INDEX(MATCHER!$J$5:$J$504,AF125)=IFERROR(INDEX(MATCHER!$J$5:$J$504,T125),"")),""," / "&amp;INDEX(MATCHER!$J$5:$J$504,AF125))),4,1000)</f>
        <v>F13 2</v>
      </c>
      <c r="H125" s="45" t="str">
        <f t="shared" si="28"/>
        <v>F12, F13</v>
      </c>
      <c r="I125" s="46" t="s">
        <v>90</v>
      </c>
      <c r="J125" s="47" t="s">
        <v>97</v>
      </c>
      <c r="K125" s="48"/>
      <c r="L125" s="49"/>
      <c r="M125" s="50" t="str">
        <f>IF(O125&lt;&gt;O124,MAX(1,MIN(AA125,ROUNDUP(SUMPRODUCT(($O$5:$O$546=O125)*($I$5:$I$546="Ja")*($E$5:$E$546-$D$5:$D$546))*24/REGLER!$B$8,0))),"")</f>
        <v/>
      </c>
      <c r="N125" s="50" t="str">
        <f t="shared" si="15"/>
        <v>Klar</v>
      </c>
      <c r="O125" s="15" t="s">
        <v>113</v>
      </c>
      <c r="P125" s="16">
        <v>0.33333333333333298</v>
      </c>
      <c r="Q125" s="16">
        <v>0.70833333333333304</v>
      </c>
      <c r="R125" s="15">
        <f>IFERROR(MATCH(1,INDEX((MATCHER!$B$5:$B$504=A125)*(MATCHER!$D$5:$D$504=C125)*(MATCHER!$K$5:$K$504="Ja")*(MATCHER!$C$5:$C$504&lt;E125)*(MATCHER!$M$5:$M$504&gt;D125),0),0),"")</f>
        <v>41</v>
      </c>
      <c r="S125" s="15" t="str">
        <f>IF(R125="","",IFERROR(MATCH(1,INDEX((MATCHER!$B$5:$B$504=A125)*(MATCHER!$D$5:$D$504=C125)*(MATCHER!$K$5:$K$504="Ja")*(MATCHER!$C$5:$C$504&lt;E125)*(MATCHER!$M$5:$M$504&gt;D125)*(ROW(MATCHER!$A$5:$A$504)-ROW(MATCHER!$A$5)+1&gt;R125),0),0),""))</f>
        <v/>
      </c>
      <c r="T125" s="15" t="str">
        <f>IF(S125="","",IFERROR(MATCH(1,INDEX((MATCHER!$B$5:$B$504=A125)*(MATCHER!$D$5:$D$504=C125)*(MATCHER!$K$5:$K$504="Ja")*(MATCHER!$C$5:$C$504&lt;E125)*(MATCHER!$M$5:$M$504&gt;D125)*(ROW(MATCHER!$A$5:$A$504)-ROW(MATCHER!$A$5)+1&gt;S125),0),0),""))</f>
        <v/>
      </c>
      <c r="U125" s="15">
        <f t="shared" si="16"/>
        <v>0</v>
      </c>
      <c r="V125" s="15">
        <f>IF(OR(I125&lt;&gt;"Ja",J125=""),"",COUNTIFS($O$5:O125,O125,$U$5:U125,1))</f>
        <v>2</v>
      </c>
      <c r="W125" s="15" t="str">
        <f t="shared" si="17"/>
        <v>2026-10-17 | Ulriksdalshallen|2</v>
      </c>
      <c r="X125" s="16" t="str">
        <f t="shared" si="18"/>
        <v/>
      </c>
      <c r="Y125" s="15">
        <f>IF(OR(I125&lt;&gt;"Ja",J125=""),0,IF(COUNTIFS($O$5:O125,O125,$I$5:I125,"Ja",$J$5:J125,"&lt;&gt;")=1,1,0))</f>
        <v>0</v>
      </c>
      <c r="Z125" s="15">
        <f>IF(OR(I125&lt;&gt;"Ja",J125=""),0,IF(COUNTIFS(O125:$O$546,O125,I125:$I$546,"Ja",J125:$J$546,"&lt;&gt;")=1,1,0))</f>
        <v>0</v>
      </c>
      <c r="AA125" s="15">
        <f t="shared" si="29"/>
        <v>2</v>
      </c>
      <c r="AB125" s="15" t="str">
        <f>IF(U125&lt;&gt;1,"",COUNTIF($U$5:U125,1))</f>
        <v/>
      </c>
      <c r="AC125" s="15" t="str">
        <f t="shared" si="19"/>
        <v/>
      </c>
      <c r="AD125" s="15" t="str">
        <f t="shared" si="20"/>
        <v>Vanligt café</v>
      </c>
      <c r="AE125" s="15" t="str">
        <f t="shared" si="21"/>
        <v/>
      </c>
      <c r="AF125" t="str">
        <f>IF(T125="","",IFERROR(MATCH(1,INDEX((MATCHER!$B$5:$B$504=A125)*(MATCHER!$D$5:$D$504=C125)*(MATCHER!$K$5:$K$504="Ja")*(MATCHER!$C$5:$C$504&lt;E125)*(MATCHER!$M$5:$M$504&gt;D125)*(ROW(MATCHER!$A$5:$A$504)-ROW(MATCHER!$A$5)+1&gt;T125),0),0),""))</f>
        <v/>
      </c>
    </row>
    <row r="126" spans="1:32" ht="26">
      <c r="A126" s="42">
        <v>46312</v>
      </c>
      <c r="B126" s="43" t="s">
        <v>85</v>
      </c>
      <c r="C126" s="43" t="s">
        <v>86</v>
      </c>
      <c r="D126" s="44">
        <v>0.64583333333333304</v>
      </c>
      <c r="E126" s="44">
        <v>0.66666666666666696</v>
      </c>
      <c r="F126" s="45" t="str">
        <f>IF(R126="","",HOUR(INDEX(MATCHER!$C$5:$C$504,R126))&amp;":"&amp;IF(MINUTE(INDEX(MATCHER!$C$5:$C$504,R126))&lt;10,"0","")&amp;MINUTE(INDEX(MATCHER!$C$5:$C$504,R126))&amp;" "&amp;INDEX(MATCHER!$H$5:$H$504,R126)&amp;" – "&amp;INDEX(MATCHER!$I$5:$I$504,R126))&amp;IF(S126="",""," | "&amp;HOUR(INDEX(MATCHER!$C$5:$C$504,S126))&amp;":"&amp;IF(MINUTE(INDEX(MATCHER!$C$5:$C$504,S126))&lt;10,"0","")&amp;MINUTE(INDEX(MATCHER!$C$5:$C$504,S126))&amp;" "&amp;INDEX(MATCHER!$H$5:$H$504,S126)&amp;" – "&amp;INDEX(MATCHER!$I$5:$I$504,S126))&amp;IF(T126="",""," | "&amp;HOUR(INDEX(MATCHER!$C$5:$C$504,T126))&amp;":"&amp;IF(MINUTE(INDEX(MATCHER!$C$5:$C$504,T126))&lt;10,"0","")&amp;MINUTE(INDEX(MATCHER!$C$5:$C$504,T126))&amp;" "&amp;INDEX(MATCHER!$H$5:$H$504,T126)&amp;" – "&amp;INDEX(MATCHER!$I$5:$I$504,T126))&amp;IF(AF126="",""," | "&amp;HOUR(INDEX(MATCHER!$C$5:$C$504,AF126))&amp;":"&amp;IF(MINUTE(INDEX(MATCHER!$C$5:$C$504,AF126))&lt;10,"0","")&amp;MINUTE(INDEX(MATCHER!$C$5:$C$504,AF126))&amp;" "&amp;INDEX(MATCHER!$H$5:$H$504,AF126)&amp;" – "&amp;INDEX(MATCHER!$I$5:$I$504,AF126))</f>
        <v/>
      </c>
      <c r="G126" s="45" t="str">
        <f>MID(IF(R126="","",IF(OR(INDEX(MATCHER!$J$5:$J$504,R126)=""),""," / "&amp;INDEX(MATCHER!$J$5:$J$504,R126)))&amp;IF(S126="","",IF(OR(INDEX(MATCHER!$J$5:$J$504,S126)="",INDEX(MATCHER!$J$5:$J$504,S126)=IFERROR(INDEX(MATCHER!$J$5:$J$504,R126),"")),""," / "&amp;INDEX(MATCHER!$J$5:$J$504,S126)))&amp;IF(T126="","",IF(OR(INDEX(MATCHER!$J$5:$J$504,T126)="",INDEX(MATCHER!$J$5:$J$504,T126)=IFERROR(INDEX(MATCHER!$J$5:$J$504,R126),""),INDEX(MATCHER!$J$5:$J$504,T126)=IFERROR(INDEX(MATCHER!$J$5:$J$504,S126),"")),""," / "&amp;INDEX(MATCHER!$J$5:$J$504,T126)))&amp;IF(AF126="","",IF(OR(INDEX(MATCHER!$J$5:$J$504,AF126)="",INDEX(MATCHER!$J$5:$J$504,AF126)=IFERROR(INDEX(MATCHER!$J$5:$J$504,R126),""),INDEX(MATCHER!$J$5:$J$504,AF126)=IFERROR(INDEX(MATCHER!$J$5:$J$504,S126),""),INDEX(MATCHER!$J$5:$J$504,AF126)=IFERROR(INDEX(MATCHER!$J$5:$J$504,T126),"")),""," / "&amp;INDEX(MATCHER!$J$5:$J$504,AF126))),4,1000)</f>
        <v/>
      </c>
      <c r="H126" s="45" t="str">
        <f t="shared" si="28"/>
        <v>F12, F13</v>
      </c>
      <c r="I126" s="46" t="s">
        <v>90</v>
      </c>
      <c r="J126" s="47" t="s">
        <v>97</v>
      </c>
      <c r="K126" s="48"/>
      <c r="L126" s="49"/>
      <c r="M126" s="50" t="str">
        <f>IF(O126&lt;&gt;O125,MAX(1,MIN(AA126,ROUNDUP(SUMPRODUCT(($O$5:$O$546=O126)*($I$5:$I$546="Ja")*($E$5:$E$546-$D$5:$D$546))*24/REGLER!$B$8,0))),"")</f>
        <v/>
      </c>
      <c r="N126" s="50" t="str">
        <f t="shared" si="15"/>
        <v>Klar</v>
      </c>
      <c r="O126" s="15" t="s">
        <v>113</v>
      </c>
      <c r="P126" s="16">
        <v>0.33333333333333298</v>
      </c>
      <c r="Q126" s="16">
        <v>0.70833333333333304</v>
      </c>
      <c r="R126" s="15" t="str">
        <f>IFERROR(MATCH(1,INDEX((MATCHER!$B$5:$B$504=A126)*(MATCHER!$D$5:$D$504=C126)*(MATCHER!$K$5:$K$504="Ja")*(MATCHER!$C$5:$C$504&lt;E126)*(MATCHER!$M$5:$M$504&gt;D126),0),0),"")</f>
        <v/>
      </c>
      <c r="S126" s="15" t="str">
        <f>IF(R126="","",IFERROR(MATCH(1,INDEX((MATCHER!$B$5:$B$504=A126)*(MATCHER!$D$5:$D$504=C126)*(MATCHER!$K$5:$K$504="Ja")*(MATCHER!$C$5:$C$504&lt;E126)*(MATCHER!$M$5:$M$504&gt;D126)*(ROW(MATCHER!$A$5:$A$504)-ROW(MATCHER!$A$5)+1&gt;R126),0),0),""))</f>
        <v/>
      </c>
      <c r="T126" s="15" t="str">
        <f>IF(S126="","",IFERROR(MATCH(1,INDEX((MATCHER!$B$5:$B$504=A126)*(MATCHER!$D$5:$D$504=C126)*(MATCHER!$K$5:$K$504="Ja")*(MATCHER!$C$5:$C$504&lt;E126)*(MATCHER!$M$5:$M$504&gt;D126)*(ROW(MATCHER!$A$5:$A$504)-ROW(MATCHER!$A$5)+1&gt;S126),0),0),""))</f>
        <v/>
      </c>
      <c r="U126" s="15">
        <f t="shared" si="16"/>
        <v>0</v>
      </c>
      <c r="V126" s="15">
        <f>IF(OR(I126&lt;&gt;"Ja",J126=""),"",COUNTIFS($O$5:O126,O126,$U$5:U126,1))</f>
        <v>2</v>
      </c>
      <c r="W126" s="15" t="str">
        <f t="shared" si="17"/>
        <v>2026-10-17 | Ulriksdalshallen|2</v>
      </c>
      <c r="X126" s="16" t="str">
        <f t="shared" si="18"/>
        <v/>
      </c>
      <c r="Y126" s="15">
        <f>IF(OR(I126&lt;&gt;"Ja",J126=""),0,IF(COUNTIFS($O$5:O126,O126,$I$5:I126,"Ja",$J$5:J126,"&lt;&gt;")=1,1,0))</f>
        <v>0</v>
      </c>
      <c r="Z126" s="15">
        <f>IF(OR(I126&lt;&gt;"Ja",J126=""),0,IF(COUNTIFS(O126:$O$546,O126,I126:$I$546,"Ja",J126:$J$546,"&lt;&gt;")=1,1,0))</f>
        <v>0</v>
      </c>
      <c r="AA126" s="15">
        <f t="shared" si="29"/>
        <v>2</v>
      </c>
      <c r="AB126" s="15" t="str">
        <f>IF(U126&lt;&gt;1,"",COUNTIF($U$5:U126,1))</f>
        <v/>
      </c>
      <c r="AC126" s="15" t="str">
        <f t="shared" si="19"/>
        <v/>
      </c>
      <c r="AD126" s="15" t="str">
        <f t="shared" si="20"/>
        <v>Vanligt café</v>
      </c>
      <c r="AE126" s="15" t="str">
        <f t="shared" si="21"/>
        <v/>
      </c>
      <c r="AF126" t="str">
        <f>IF(T126="","",IFERROR(MATCH(1,INDEX((MATCHER!$B$5:$B$504=A126)*(MATCHER!$D$5:$D$504=C126)*(MATCHER!$K$5:$K$504="Ja")*(MATCHER!$C$5:$C$504&lt;E126)*(MATCHER!$M$5:$M$504&gt;D126)*(ROW(MATCHER!$A$5:$A$504)-ROW(MATCHER!$A$5)+1&gt;T126),0),0),""))</f>
        <v/>
      </c>
    </row>
    <row r="127" spans="1:32" ht="26">
      <c r="A127" s="42">
        <v>46312</v>
      </c>
      <c r="B127" s="43" t="s">
        <v>85</v>
      </c>
      <c r="C127" s="43" t="s">
        <v>86</v>
      </c>
      <c r="D127" s="44">
        <v>0.66666666666666696</v>
      </c>
      <c r="E127" s="44">
        <v>0.6875</v>
      </c>
      <c r="F127" s="45" t="str">
        <f>IF(R127="","",HOUR(INDEX(MATCHER!$C$5:$C$504,R127))&amp;":"&amp;IF(MINUTE(INDEX(MATCHER!$C$5:$C$504,R127))&lt;10,"0","")&amp;MINUTE(INDEX(MATCHER!$C$5:$C$504,R127))&amp;" "&amp;INDEX(MATCHER!$H$5:$H$504,R127)&amp;" – "&amp;INDEX(MATCHER!$I$5:$I$504,R127))&amp;IF(S127="",""," | "&amp;HOUR(INDEX(MATCHER!$C$5:$C$504,S127))&amp;":"&amp;IF(MINUTE(INDEX(MATCHER!$C$5:$C$504,S127))&lt;10,"0","")&amp;MINUTE(INDEX(MATCHER!$C$5:$C$504,S127))&amp;" "&amp;INDEX(MATCHER!$H$5:$H$504,S127)&amp;" – "&amp;INDEX(MATCHER!$I$5:$I$504,S127))&amp;IF(T127="",""," | "&amp;HOUR(INDEX(MATCHER!$C$5:$C$504,T127))&amp;":"&amp;IF(MINUTE(INDEX(MATCHER!$C$5:$C$504,T127))&lt;10,"0","")&amp;MINUTE(INDEX(MATCHER!$C$5:$C$504,T127))&amp;" "&amp;INDEX(MATCHER!$H$5:$H$504,T127)&amp;" – "&amp;INDEX(MATCHER!$I$5:$I$504,T127))&amp;IF(AF127="",""," | "&amp;HOUR(INDEX(MATCHER!$C$5:$C$504,AF127))&amp;":"&amp;IF(MINUTE(INDEX(MATCHER!$C$5:$C$504,AF127))&lt;10,"0","")&amp;MINUTE(INDEX(MATCHER!$C$5:$C$504,AF127))&amp;" "&amp;INDEX(MATCHER!$H$5:$H$504,AF127)&amp;" – "&amp;INDEX(MATCHER!$I$5:$I$504,AF127))</f>
        <v>16:00 AIK – Rimbo HK Roslagen</v>
      </c>
      <c r="G127" s="45" t="str">
        <f>MID(IF(R127="","",IF(OR(INDEX(MATCHER!$J$5:$J$504,R127)=""),""," / "&amp;INDEX(MATCHER!$J$5:$J$504,R127)))&amp;IF(S127="","",IF(OR(INDEX(MATCHER!$J$5:$J$504,S127)="",INDEX(MATCHER!$J$5:$J$504,S127)=IFERROR(INDEX(MATCHER!$J$5:$J$504,R127),"")),""," / "&amp;INDEX(MATCHER!$J$5:$J$504,S127)))&amp;IF(T127="","",IF(OR(INDEX(MATCHER!$J$5:$J$504,T127)="",INDEX(MATCHER!$J$5:$J$504,T127)=IFERROR(INDEX(MATCHER!$J$5:$J$504,R127),""),INDEX(MATCHER!$J$5:$J$504,T127)=IFERROR(INDEX(MATCHER!$J$5:$J$504,S127),"")),""," / "&amp;INDEX(MATCHER!$J$5:$J$504,T127)))&amp;IF(AF127="","",IF(OR(INDEX(MATCHER!$J$5:$J$504,AF127)="",INDEX(MATCHER!$J$5:$J$504,AF127)=IFERROR(INDEX(MATCHER!$J$5:$J$504,R127),""),INDEX(MATCHER!$J$5:$J$504,AF127)=IFERROR(INDEX(MATCHER!$J$5:$J$504,S127),""),INDEX(MATCHER!$J$5:$J$504,AF127)=IFERROR(INDEX(MATCHER!$J$5:$J$504,T127),"")),""," / "&amp;INDEX(MATCHER!$J$5:$J$504,AF127))),4,1000)</f>
        <v>F13</v>
      </c>
      <c r="H127" s="45" t="str">
        <f t="shared" si="28"/>
        <v>F12, F13</v>
      </c>
      <c r="I127" s="46" t="s">
        <v>90</v>
      </c>
      <c r="J127" s="47" t="s">
        <v>97</v>
      </c>
      <c r="K127" s="48"/>
      <c r="L127" s="49"/>
      <c r="M127" s="50" t="str">
        <f>IF(O127&lt;&gt;O126,MAX(1,MIN(AA127,ROUNDUP(SUMPRODUCT(($O$5:$O$546=O127)*($I$5:$I$546="Ja")*($E$5:$E$546-$D$5:$D$546))*24/REGLER!$B$8,0))),"")</f>
        <v/>
      </c>
      <c r="N127" s="50" t="str">
        <f t="shared" si="15"/>
        <v>Klar</v>
      </c>
      <c r="O127" s="15" t="s">
        <v>113</v>
      </c>
      <c r="P127" s="16">
        <v>0.33333333333333298</v>
      </c>
      <c r="Q127" s="16">
        <v>0.70833333333333304</v>
      </c>
      <c r="R127" s="15">
        <f>IFERROR(MATCH(1,INDEX((MATCHER!$B$5:$B$504=A127)*(MATCHER!$D$5:$D$504=C127)*(MATCHER!$K$5:$K$504="Ja")*(MATCHER!$C$5:$C$504&lt;E127)*(MATCHER!$M$5:$M$504&gt;D127),0),0),"")</f>
        <v>42</v>
      </c>
      <c r="S127" s="15" t="str">
        <f>IF(R127="","",IFERROR(MATCH(1,INDEX((MATCHER!$B$5:$B$504=A127)*(MATCHER!$D$5:$D$504=C127)*(MATCHER!$K$5:$K$504="Ja")*(MATCHER!$C$5:$C$504&lt;E127)*(MATCHER!$M$5:$M$504&gt;D127)*(ROW(MATCHER!$A$5:$A$504)-ROW(MATCHER!$A$5)+1&gt;R127),0),0),""))</f>
        <v/>
      </c>
      <c r="T127" s="15" t="str">
        <f>IF(S127="","",IFERROR(MATCH(1,INDEX((MATCHER!$B$5:$B$504=A127)*(MATCHER!$D$5:$D$504=C127)*(MATCHER!$K$5:$K$504="Ja")*(MATCHER!$C$5:$C$504&lt;E127)*(MATCHER!$M$5:$M$504&gt;D127)*(ROW(MATCHER!$A$5:$A$504)-ROW(MATCHER!$A$5)+1&gt;S127),0),0),""))</f>
        <v/>
      </c>
      <c r="U127" s="15">
        <f t="shared" si="16"/>
        <v>0</v>
      </c>
      <c r="V127" s="15">
        <f>IF(OR(I127&lt;&gt;"Ja",J127=""),"",COUNTIFS($O$5:O127,O127,$U$5:U127,1))</f>
        <v>2</v>
      </c>
      <c r="W127" s="15" t="str">
        <f t="shared" si="17"/>
        <v>2026-10-17 | Ulriksdalshallen|2</v>
      </c>
      <c r="X127" s="16" t="str">
        <f t="shared" si="18"/>
        <v/>
      </c>
      <c r="Y127" s="15">
        <f>IF(OR(I127&lt;&gt;"Ja",J127=""),0,IF(COUNTIFS($O$5:O127,O127,$I$5:I127,"Ja",$J$5:J127,"&lt;&gt;")=1,1,0))</f>
        <v>0</v>
      </c>
      <c r="Z127" s="15">
        <f>IF(OR(I127&lt;&gt;"Ja",J127=""),0,IF(COUNTIFS(O127:$O$546,O127,I127:$I$546,"Ja",J127:$J$546,"&lt;&gt;")=1,1,0))</f>
        <v>0</v>
      </c>
      <c r="AA127" s="15">
        <f t="shared" si="29"/>
        <v>2</v>
      </c>
      <c r="AB127" s="15" t="str">
        <f>IF(U127&lt;&gt;1,"",COUNTIF($U$5:U127,1))</f>
        <v/>
      </c>
      <c r="AC127" s="15" t="str">
        <f t="shared" si="19"/>
        <v/>
      </c>
      <c r="AD127" s="15" t="str">
        <f t="shared" si="20"/>
        <v>Vanligt café</v>
      </c>
      <c r="AE127" s="15" t="str">
        <f t="shared" si="21"/>
        <v/>
      </c>
      <c r="AF127" t="str">
        <f>IF(T127="","",IFERROR(MATCH(1,INDEX((MATCHER!$B$5:$B$504=A127)*(MATCHER!$D$5:$D$504=C127)*(MATCHER!$K$5:$K$504="Ja")*(MATCHER!$C$5:$C$504&lt;E127)*(MATCHER!$M$5:$M$504&gt;D127)*(ROW(MATCHER!$A$5:$A$504)-ROW(MATCHER!$A$5)+1&gt;T127),0),0),""))</f>
        <v/>
      </c>
    </row>
    <row r="128" spans="1:32" ht="26.5" thickBot="1">
      <c r="A128" s="52">
        <v>46312</v>
      </c>
      <c r="B128" s="53" t="s">
        <v>85</v>
      </c>
      <c r="C128" s="53" t="s">
        <v>86</v>
      </c>
      <c r="D128" s="54">
        <v>0.6875</v>
      </c>
      <c r="E128" s="54">
        <v>0.70833333333333304</v>
      </c>
      <c r="F128" s="55" t="str">
        <f>IF(R128="","",HOUR(INDEX(MATCHER!$C$5:$C$504,R128))&amp;":"&amp;IF(MINUTE(INDEX(MATCHER!$C$5:$C$504,R128))&lt;10,"0","")&amp;MINUTE(INDEX(MATCHER!$C$5:$C$504,R128))&amp;" "&amp;INDEX(MATCHER!$H$5:$H$504,R128)&amp;" – "&amp;INDEX(MATCHER!$I$5:$I$504,R128))&amp;IF(S128="",""," | "&amp;HOUR(INDEX(MATCHER!$C$5:$C$504,S128))&amp;":"&amp;IF(MINUTE(INDEX(MATCHER!$C$5:$C$504,S128))&lt;10,"0","")&amp;MINUTE(INDEX(MATCHER!$C$5:$C$504,S128))&amp;" "&amp;INDEX(MATCHER!$H$5:$H$504,S128)&amp;" – "&amp;INDEX(MATCHER!$I$5:$I$504,S128))&amp;IF(T128="",""," | "&amp;HOUR(INDEX(MATCHER!$C$5:$C$504,T128))&amp;":"&amp;IF(MINUTE(INDEX(MATCHER!$C$5:$C$504,T128))&lt;10,"0","")&amp;MINUTE(INDEX(MATCHER!$C$5:$C$504,T128))&amp;" "&amp;INDEX(MATCHER!$H$5:$H$504,T128)&amp;" – "&amp;INDEX(MATCHER!$I$5:$I$504,T128))&amp;IF(AF128="",""," | "&amp;HOUR(INDEX(MATCHER!$C$5:$C$504,AF128))&amp;":"&amp;IF(MINUTE(INDEX(MATCHER!$C$5:$C$504,AF128))&lt;10,"0","")&amp;MINUTE(INDEX(MATCHER!$C$5:$C$504,AF128))&amp;" "&amp;INDEX(MATCHER!$H$5:$H$504,AF128)&amp;" – "&amp;INDEX(MATCHER!$I$5:$I$504,AF128))</f>
        <v>16:00 AIK – Rimbo HK Roslagen</v>
      </c>
      <c r="G128" s="55" t="str">
        <f>MID(IF(R128="","",IF(OR(INDEX(MATCHER!$J$5:$J$504,R128)=""),""," / "&amp;INDEX(MATCHER!$J$5:$J$504,R128)))&amp;IF(S128="","",IF(OR(INDEX(MATCHER!$J$5:$J$504,S128)="",INDEX(MATCHER!$J$5:$J$504,S128)=IFERROR(INDEX(MATCHER!$J$5:$J$504,R128),"")),""," / "&amp;INDEX(MATCHER!$J$5:$J$504,S128)))&amp;IF(T128="","",IF(OR(INDEX(MATCHER!$J$5:$J$504,T128)="",INDEX(MATCHER!$J$5:$J$504,T128)=IFERROR(INDEX(MATCHER!$J$5:$J$504,R128),""),INDEX(MATCHER!$J$5:$J$504,T128)=IFERROR(INDEX(MATCHER!$J$5:$J$504,S128),"")),""," / "&amp;INDEX(MATCHER!$J$5:$J$504,T128)))&amp;IF(AF128="","",IF(OR(INDEX(MATCHER!$J$5:$J$504,AF128)="",INDEX(MATCHER!$J$5:$J$504,AF128)=IFERROR(INDEX(MATCHER!$J$5:$J$504,R128),""),INDEX(MATCHER!$J$5:$J$504,AF128)=IFERROR(INDEX(MATCHER!$J$5:$J$504,S128),""),INDEX(MATCHER!$J$5:$J$504,AF128)=IFERROR(INDEX(MATCHER!$J$5:$J$504,T128),"")),""," / "&amp;INDEX(MATCHER!$J$5:$J$504,AF128))),4,1000)</f>
        <v>F13</v>
      </c>
      <c r="H128" s="55" t="str">
        <f t="shared" si="28"/>
        <v>F12, F13</v>
      </c>
      <c r="I128" s="56" t="s">
        <v>90</v>
      </c>
      <c r="J128" s="57" t="s">
        <v>97</v>
      </c>
      <c r="K128" s="58"/>
      <c r="L128" s="59"/>
      <c r="M128" s="60" t="str">
        <f>IF(O128&lt;&gt;O127,MAX(1,MIN(AA128,ROUNDUP(SUMPRODUCT(($O$5:$O$546=O128)*($I$5:$I$546="Ja")*($E$5:$E$546-$D$5:$D$546))*24/REGLER!$B$8,0))),"")</f>
        <v/>
      </c>
      <c r="N128" s="60" t="str">
        <f t="shared" si="15"/>
        <v>Klar</v>
      </c>
      <c r="O128" s="15" t="s">
        <v>113</v>
      </c>
      <c r="P128" s="16">
        <v>0.33333333333333298</v>
      </c>
      <c r="Q128" s="16">
        <v>0.70833333333333304</v>
      </c>
      <c r="R128" s="15">
        <f>IFERROR(MATCH(1,INDEX((MATCHER!$B$5:$B$504=A128)*(MATCHER!$D$5:$D$504=C128)*(MATCHER!$K$5:$K$504="Ja")*(MATCHER!$C$5:$C$504&lt;E128)*(MATCHER!$M$5:$M$504&gt;D128),0),0),"")</f>
        <v>42</v>
      </c>
      <c r="S128" s="15" t="str">
        <f>IF(R128="","",IFERROR(MATCH(1,INDEX((MATCHER!$B$5:$B$504=A128)*(MATCHER!$D$5:$D$504=C128)*(MATCHER!$K$5:$K$504="Ja")*(MATCHER!$C$5:$C$504&lt;E128)*(MATCHER!$M$5:$M$504&gt;D128)*(ROW(MATCHER!$A$5:$A$504)-ROW(MATCHER!$A$5)+1&gt;R128),0),0),""))</f>
        <v/>
      </c>
      <c r="T128" s="15" t="str">
        <f>IF(S128="","",IFERROR(MATCH(1,INDEX((MATCHER!$B$5:$B$504=A128)*(MATCHER!$D$5:$D$504=C128)*(MATCHER!$K$5:$K$504="Ja")*(MATCHER!$C$5:$C$504&lt;E128)*(MATCHER!$M$5:$M$504&gt;D128)*(ROW(MATCHER!$A$5:$A$504)-ROW(MATCHER!$A$5)+1&gt;S128),0),0),""))</f>
        <v/>
      </c>
      <c r="U128" s="15">
        <f t="shared" si="16"/>
        <v>0</v>
      </c>
      <c r="V128" s="15">
        <f>IF(OR(I128&lt;&gt;"Ja",J128=""),"",COUNTIFS($O$5:O128,O128,$U$5:U128,1))</f>
        <v>2</v>
      </c>
      <c r="W128" s="15" t="str">
        <f t="shared" si="17"/>
        <v>2026-10-17 | Ulriksdalshallen|2</v>
      </c>
      <c r="X128" s="16">
        <f t="shared" si="18"/>
        <v>0.70833333333333304</v>
      </c>
      <c r="Y128" s="15">
        <f>IF(OR(I128&lt;&gt;"Ja",J128=""),0,IF(COUNTIFS($O$5:O128,O128,$I$5:I128,"Ja",$J$5:J128,"&lt;&gt;")=1,1,0))</f>
        <v>0</v>
      </c>
      <c r="Z128" s="15">
        <f>IF(OR(I128&lt;&gt;"Ja",J128=""),0,IF(COUNTIFS(O128:$O$546,O128,I128:$I$546,"Ja",J128:$J$546,"&lt;&gt;")=1,1,0))</f>
        <v>1</v>
      </c>
      <c r="AA128" s="15">
        <f t="shared" si="29"/>
        <v>2</v>
      </c>
      <c r="AB128" s="15" t="str">
        <f>IF(U128&lt;&gt;1,"",COUNTIF($U$5:U128,1))</f>
        <v/>
      </c>
      <c r="AC128" s="15" t="str">
        <f t="shared" si="19"/>
        <v>2026-10-17 | Ulriksdalshallen|2</v>
      </c>
      <c r="AD128" s="15" t="str">
        <f t="shared" si="20"/>
        <v>Vanligt café</v>
      </c>
      <c r="AE128" s="15" t="str">
        <f t="shared" si="21"/>
        <v/>
      </c>
      <c r="AF128" t="str">
        <f>IF(T128="","",IFERROR(MATCH(1,INDEX((MATCHER!$B$5:$B$504=A128)*(MATCHER!$D$5:$D$504=C128)*(MATCHER!$K$5:$K$504="Ja")*(MATCHER!$C$5:$C$504&lt;E128)*(MATCHER!$M$5:$M$504&gt;D128)*(ROW(MATCHER!$A$5:$A$504)-ROW(MATCHER!$A$5)+1&gt;T128),0),0),""))</f>
        <v/>
      </c>
    </row>
    <row r="129" spans="1:32" ht="26">
      <c r="A129" s="42">
        <v>46315</v>
      </c>
      <c r="B129" s="43" t="s">
        <v>104</v>
      </c>
      <c r="C129" s="43" t="s">
        <v>110</v>
      </c>
      <c r="D129" s="44">
        <v>0.83333333333333304</v>
      </c>
      <c r="E129" s="44">
        <v>0.85416666666666696</v>
      </c>
      <c r="F129" s="45" t="str">
        <f>IF(R129="","",HOUR(INDEX(MATCHER!$C$5:$C$504,R129))&amp;":"&amp;IF(MINUTE(INDEX(MATCHER!$C$5:$C$504,R129))&lt;10,"0","")&amp;MINUTE(INDEX(MATCHER!$C$5:$C$504,R129))&amp;" "&amp;INDEX(MATCHER!$H$5:$H$504,R129)&amp;" – "&amp;INDEX(MATCHER!$I$5:$I$504,R129))&amp;IF(S129="",""," | "&amp;HOUR(INDEX(MATCHER!$C$5:$C$504,S129))&amp;":"&amp;IF(MINUTE(INDEX(MATCHER!$C$5:$C$504,S129))&lt;10,"0","")&amp;MINUTE(INDEX(MATCHER!$C$5:$C$504,S129))&amp;" "&amp;INDEX(MATCHER!$H$5:$H$504,S129)&amp;" – "&amp;INDEX(MATCHER!$I$5:$I$504,S129))&amp;IF(T129="",""," | "&amp;HOUR(INDEX(MATCHER!$C$5:$C$504,T129))&amp;":"&amp;IF(MINUTE(INDEX(MATCHER!$C$5:$C$504,T129))&lt;10,"0","")&amp;MINUTE(INDEX(MATCHER!$C$5:$C$504,T129))&amp;" "&amp;INDEX(MATCHER!$H$5:$H$504,T129)&amp;" – "&amp;INDEX(MATCHER!$I$5:$I$504,T129))&amp;IF(AF129="",""," | "&amp;HOUR(INDEX(MATCHER!$C$5:$C$504,AF129))&amp;":"&amp;IF(MINUTE(INDEX(MATCHER!$C$5:$C$504,AF129))&lt;10,"0","")&amp;MINUTE(INDEX(MATCHER!$C$5:$C$504,AF129))&amp;" "&amp;INDEX(MATCHER!$H$5:$H$504,AF129)&amp;" – "&amp;INDEX(MATCHER!$I$5:$I$504,AF129))</f>
        <v/>
      </c>
      <c r="G129" s="45" t="str">
        <f>MID(IF(R129="","",IF(OR(INDEX(MATCHER!$J$5:$J$504,R129)=""),""," / "&amp;INDEX(MATCHER!$J$5:$J$504,R129)))&amp;IF(S129="","",IF(OR(INDEX(MATCHER!$J$5:$J$504,S129)="",INDEX(MATCHER!$J$5:$J$504,S129)=IFERROR(INDEX(MATCHER!$J$5:$J$504,R129),"")),""," / "&amp;INDEX(MATCHER!$J$5:$J$504,S129)))&amp;IF(T129="","",IF(OR(INDEX(MATCHER!$J$5:$J$504,T129)="",INDEX(MATCHER!$J$5:$J$504,T129)=IFERROR(INDEX(MATCHER!$J$5:$J$504,R129),""),INDEX(MATCHER!$J$5:$J$504,T129)=IFERROR(INDEX(MATCHER!$J$5:$J$504,S129),"")),""," / "&amp;INDEX(MATCHER!$J$5:$J$504,T129)))&amp;IF(AF129="","",IF(OR(INDEX(MATCHER!$J$5:$J$504,AF129)="",INDEX(MATCHER!$J$5:$J$504,AF129)=IFERROR(INDEX(MATCHER!$J$5:$J$504,R129),""),INDEX(MATCHER!$J$5:$J$504,AF129)=IFERROR(INDEX(MATCHER!$J$5:$J$504,S129),""),INDEX(MATCHER!$J$5:$J$504,AF129)=IFERROR(INDEX(MATCHER!$J$5:$J$504,T129),"")),""," / "&amp;INDEX(MATCHER!$J$5:$J$504,AF129))),4,1000)</f>
        <v/>
      </c>
      <c r="H129" s="45" t="str">
        <f>MID(IF(COUNTIFS(MATCHER!$B$5:$B$504,A129,MATCHER!$D$5:$D$504,C129,MATCHER!$J$5:$J$504,REGLER!$I$6,MATCHER!$K$5:$K$504,"Ja")+COUNTIFS(MATCHER!$B$5:$B$504,A129,MATCHER!$D$5:$D$504,C129,MATCHER!$J$5:$J$504,REGLER!$I$6&amp;" 2",MATCHER!$K$5:$K$504,"Ja")&gt;0,", "&amp;REGLER!$I$6,"")&amp;IF(COUNTIFS(MATCHER!$B$5:$B$504,A129,MATCHER!$D$5:$D$504,C129,MATCHER!$J$5:$J$504,REGLER!$I$7,MATCHER!$K$5:$K$504,"Ja")+COUNTIFS(MATCHER!$B$5:$B$504,A129,MATCHER!$D$5:$D$504,C129,MATCHER!$J$5:$J$504,REGLER!$I$7&amp;" 2",MATCHER!$K$5:$K$504,"Ja")&gt;0,", "&amp;REGLER!$I$7,"")&amp;IF(COUNTIFS(MATCHER!$B$5:$B$504,A129,MATCHER!$D$5:$D$504,C129,MATCHER!$J$5:$J$504,REGLER!$I$8,MATCHER!$K$5:$K$504,"Ja")+COUNTIFS(MATCHER!$B$5:$B$504,A129,MATCHER!$D$5:$D$504,C129,MATCHER!$J$5:$J$504,REGLER!$I$8&amp;" 2",MATCHER!$K$5:$K$504,"Ja")&gt;0,", "&amp;REGLER!$I$8,"")&amp;IF(COUNTIFS(MATCHER!$B$5:$B$504,A129,MATCHER!$D$5:$D$504,C129,MATCHER!$J$5:$J$504,REGLER!$I$9,MATCHER!$K$5:$K$504,"Ja")+COUNTIFS(MATCHER!$B$5:$B$504,A129,MATCHER!$D$5:$D$504,C129,MATCHER!$J$5:$J$504,REGLER!$I$9&amp;" 2",MATCHER!$K$5:$K$504,"Ja")&gt;0,", "&amp;REGLER!$I$9,"")&amp;IF(COUNTIFS(MATCHER!$B$5:$B$504,A129,MATCHER!$D$5:$D$504,C129,MATCHER!$J$5:$J$504,REGLER!$I$10,MATCHER!$K$5:$K$504,"Ja")+COUNTIFS(MATCHER!$B$5:$B$504,A129,MATCHER!$D$5:$D$504,C129,MATCHER!$J$5:$J$504,REGLER!$I$10&amp;" 2",MATCHER!$K$5:$K$504,"Ja")&gt;0,", "&amp;REGLER!$I$10,"")&amp;IF(COUNTIFS(MATCHER!$B$5:$B$504,A129,MATCHER!$D$5:$D$504,C129,MATCHER!$J$5:$J$504,REGLER!$I$11,MATCHER!$K$5:$K$504,"Ja")+COUNTIFS(MATCHER!$B$5:$B$504,A129,MATCHER!$D$5:$D$504,C129,MATCHER!$J$5:$J$504,REGLER!$I$11&amp;" 2",MATCHER!$K$5:$K$504,"Ja")&gt;0,", "&amp;REGLER!$I$11,"")&amp;IF(COUNTIFS(MATCHER!$B$5:$B$504,A129,MATCHER!$D$5:$D$504,C129,MATCHER!$J$5:$J$504,REGLER!$I$12,MATCHER!$K$5:$K$504,"Ja")+COUNTIFS(MATCHER!$B$5:$B$504,A129,MATCHER!$D$5:$D$504,C129,MATCHER!$J$5:$J$504,REGLER!$I$12&amp;" 2",MATCHER!$K$5:$K$504,"Ja")&gt;0,", "&amp;REGLER!$I$12,"")&amp;IF(COUNTIFS(MATCHER!$B$5:$B$504,A129,MATCHER!$D$5:$D$504,C129,MATCHER!$J$5:$J$504,REGLER!$I$13,MATCHER!$K$5:$K$504,"Ja")+COUNTIFS(MATCHER!$B$5:$B$504,A129,MATCHER!$D$5:$D$504,C129,MATCHER!$J$5:$J$504,REGLER!$I$13&amp;" 2",MATCHER!$K$5:$K$504,"Ja")&gt;0,", "&amp;REGLER!$I$13,"")&amp;IF(COUNTIFS(MATCHER!$B$5:$B$504,A129,MATCHER!$D$5:$D$504,C129,MATCHER!$J$5:$J$504,REGLER!$I$14,MATCHER!$K$5:$K$504,"Ja")+COUNTIFS(MATCHER!$B$5:$B$504,A129,MATCHER!$D$5:$D$504,C129,MATCHER!$J$5:$J$504,REGLER!$I$14&amp;" 2",MATCHER!$K$5:$K$504,"Ja")&gt;0,", "&amp;REGLER!$I$14,"")&amp;IF(COUNTIFS(MATCHER!$B$5:$B$504,A129,MATCHER!$D$5:$D$504,C129,MATCHER!$J$5:$J$504,REGLER!$I$15,MATCHER!$K$5:$K$504,"Ja")+COUNTIFS(MATCHER!$B$5:$B$504,A129,MATCHER!$D$5:$D$504,C129,MATCHER!$J$5:$J$504,REGLER!$I$15&amp;" 2",MATCHER!$K$5:$K$504,"Ja")&gt;0,", "&amp;REGLER!$I$15,"")&amp;IF(COUNTIFS(MATCHER!$B$5:$B$504,A129,MATCHER!$D$5:$D$504,C129,MATCHER!$J$5:$J$504,REGLER!$I$16,MATCHER!$K$5:$K$504,"Ja")+COUNTIFS(MATCHER!$B$5:$B$504,A129,MATCHER!$D$5:$D$504,C129,MATCHER!$J$5:$J$504,REGLER!$I$16&amp;" 2",MATCHER!$K$5:$K$504,"Ja")&gt;0,", "&amp;REGLER!$I$16,"")&amp;IF(COUNTIFS(MATCHER!$B$5:$B$504,A129,MATCHER!$D$5:$D$504,C129,MATCHER!$J$5:$J$504,REGLER!$I$17,MATCHER!$K$5:$K$504,"Ja")+COUNTIFS(MATCHER!$B$5:$B$504,A129,MATCHER!$D$5:$D$504,C129,MATCHER!$J$5:$J$504,REGLER!$I$17&amp;" 2",MATCHER!$K$5:$K$504,"Ja")&gt;0,", "&amp;REGLER!$I$17,"")&amp;IF(COUNTIFS(MATCHER!$B$5:$B$504,A129,MATCHER!$D$5:$D$504,C129,MATCHER!$J$5:$J$504,REGLER!$I$18,MATCHER!$K$5:$K$504,"Ja")+COUNTIFS(MATCHER!$B$5:$B$504,A129,MATCHER!$D$5:$D$504,C129,MATCHER!$J$5:$J$504,REGLER!$I$18&amp;" 2",MATCHER!$K$5:$K$504,"Ja")&gt;0,", "&amp;REGLER!$I$18,"")&amp;IF(COUNTIFS(MATCHER!$B$5:$B$504,A129,MATCHER!$D$5:$D$504,C129,MATCHER!$J$5:$J$504,REGLER!$I$19,MATCHER!$K$5:$K$504,"Ja")+COUNTIFS(MATCHER!$B$5:$B$504,A129,MATCHER!$D$5:$D$504,C129,MATCHER!$J$5:$J$504,REGLER!$I$19&amp;" 2",MATCHER!$K$5:$K$504,"Ja")&gt;0,", "&amp;REGLER!$I$19,"")&amp;IF(COUNTIFS(MATCHER!$B$5:$B$504,A129,MATCHER!$D$5:$D$504,C129,MATCHER!$J$5:$J$504,REGLER!$I$20,MATCHER!$K$5:$K$504,"Ja")+COUNTIFS(MATCHER!$B$5:$B$504,A129,MATCHER!$D$5:$D$504,C129,MATCHER!$J$5:$J$504,REGLER!$I$20&amp;" 2",MATCHER!$K$5:$K$504,"Ja")&gt;0,", "&amp;REGLER!$I$20,"")&amp;IF(COUNTIFS(MATCHER!$B$5:$B$504,A129,MATCHER!$D$5:$D$504,C129,MATCHER!$J$5:$J$504,REGLER!$I$21,MATCHER!$K$5:$K$504,"Ja")+COUNTIFS(MATCHER!$B$5:$B$504,A129,MATCHER!$D$5:$D$504,C129,MATCHER!$J$5:$J$504,REGLER!$I$21&amp;" 2",MATCHER!$K$5:$K$504,"Ja")&gt;0,", "&amp;REGLER!$I$21,"")&amp;IF(COUNTIFS(MATCHER!$B$5:$B$504,A129,MATCHER!$D$5:$D$504,C129,MATCHER!$J$5:$J$504,REGLER!$I$22,MATCHER!$K$5:$K$504,"Ja")+COUNTIFS(MATCHER!$B$5:$B$504,A129,MATCHER!$D$5:$D$504,C129,MATCHER!$J$5:$J$504,REGLER!$I$22&amp;" 2",MATCHER!$K$5:$K$504,"Ja")&gt;0,", "&amp;REGLER!$I$22,"")&amp;IF(COUNTIFS(MATCHER!$B$5:$B$504,A129,MATCHER!$D$5:$D$504,C129,MATCHER!$J$5:$J$504,REGLER!$I$23,MATCHER!$K$5:$K$504,"Ja")+COUNTIFS(MATCHER!$B$5:$B$504,A129,MATCHER!$D$5:$D$504,C129,MATCHER!$J$5:$J$504,REGLER!$I$23&amp;" 2",MATCHER!$K$5:$K$504,"Ja")&gt;0,", "&amp;REGLER!$I$23,"")&amp;IF(COUNTIFS(MATCHER!$B$5:$B$504,A129,MATCHER!$D$5:$D$504,C129,MATCHER!$J$5:$J$504,REGLER!$I$24,MATCHER!$K$5:$K$504,"Ja")+COUNTIFS(MATCHER!$B$5:$B$504,A129,MATCHER!$D$5:$D$504,C129,MATCHER!$J$5:$J$504,REGLER!$I$24&amp;" 2",MATCHER!$K$5:$K$504,"Ja")&gt;0,", "&amp;REGLER!$I$24,"")&amp;IF(COUNTIFS(MATCHER!$B$5:$B$504,A129,MATCHER!$D$5:$D$504,C129,MATCHER!$J$5:$J$504,REGLER!$I$25,MATCHER!$K$5:$K$504,"Ja")+COUNTIFS(MATCHER!$B$5:$B$504,A129,MATCHER!$D$5:$D$504,C129,MATCHER!$J$5:$J$504,REGLER!$I$25&amp;" 2",MATCHER!$K$5:$K$504,"Ja")&gt;0,", "&amp;REGLER!$I$25,"")&amp;IF(COUNTIFS(MATCHER!$B$5:$B$504,A129,MATCHER!$D$5:$D$504,C129,MATCHER!$J$5:$J$504,REGLER!$I$26,MATCHER!$K$5:$K$504,"Ja")+COUNTIFS(MATCHER!$B$5:$B$504,A129,MATCHER!$D$5:$D$504,C129,MATCHER!$J$5:$J$504,REGLER!$I$26&amp;" 2",MATCHER!$K$5:$K$504,"Ja")&gt;0,", "&amp;REGLER!$I$26,""),3,1000)</f>
        <v>Dam</v>
      </c>
      <c r="I129" s="46" t="s">
        <v>87</v>
      </c>
      <c r="J129" s="47"/>
      <c r="K129" s="48" t="s">
        <v>98</v>
      </c>
      <c r="L129" s="49"/>
      <c r="M129" s="50">
        <f>IF(O129&lt;&gt;O128,MAX(1,MIN(AA129,ROUNDUP(SUMPRODUCT(($O$5:$O$546=O129)*($I$5:$I$546="Ja")*($E$5:$E$546-$D$5:$D$546))*24/REGLER!$B$8,0))),"")</f>
        <v>1</v>
      </c>
      <c r="N129" s="50" t="str">
        <f t="shared" si="15"/>
        <v>Ej öppet</v>
      </c>
      <c r="O129" s="15" t="s">
        <v>114</v>
      </c>
      <c r="P129" s="16">
        <v>0.83333333333333304</v>
      </c>
      <c r="Q129" s="16">
        <v>0.9375</v>
      </c>
      <c r="R129" s="15" t="str">
        <f>IFERROR(MATCH(1,INDEX((MATCHER!$B$5:$B$504=A129)*(MATCHER!$D$5:$D$504=C129)*(MATCHER!$K$5:$K$504="Ja")*(MATCHER!$C$5:$C$504&lt;E129)*(MATCHER!$M$5:$M$504&gt;D129),0),0),"")</f>
        <v/>
      </c>
      <c r="S129" s="15" t="str">
        <f>IF(R129="","",IFERROR(MATCH(1,INDEX((MATCHER!$B$5:$B$504=A129)*(MATCHER!$D$5:$D$504=C129)*(MATCHER!$K$5:$K$504="Ja")*(MATCHER!$C$5:$C$504&lt;E129)*(MATCHER!$M$5:$M$504&gt;D129)*(ROW(MATCHER!$A$5:$A$504)-ROW(MATCHER!$A$5)+1&gt;R129),0),0),""))</f>
        <v/>
      </c>
      <c r="T129" s="15" t="str">
        <f>IF(S129="","",IFERROR(MATCH(1,INDEX((MATCHER!$B$5:$B$504=A129)*(MATCHER!$D$5:$D$504=C129)*(MATCHER!$K$5:$K$504="Ja")*(MATCHER!$C$5:$C$504&lt;E129)*(MATCHER!$M$5:$M$504&gt;D129)*(ROW(MATCHER!$A$5:$A$504)-ROW(MATCHER!$A$5)+1&gt;S129),0),0),""))</f>
        <v/>
      </c>
      <c r="U129" s="15" t="str">
        <f t="shared" si="16"/>
        <v/>
      </c>
      <c r="V129" s="15" t="str">
        <f>IF(OR(I129&lt;&gt;"Ja",J129=""),"",COUNTIFS($O$5:O129,O129,$U$5:U129,1))</f>
        <v/>
      </c>
      <c r="W129" s="15" t="str">
        <f t="shared" si="17"/>
        <v/>
      </c>
      <c r="X129" s="16" t="str">
        <f t="shared" si="18"/>
        <v/>
      </c>
      <c r="Y129" s="15">
        <f>IF(OR(I129&lt;&gt;"Ja",J129=""),0,IF(COUNTIFS($O$5:O129,O129,$I$5:I129,"Ja",$J$5:J129,"&lt;&gt;")=1,1,0))</f>
        <v>0</v>
      </c>
      <c r="Z129" s="15">
        <f>IF(OR(I129&lt;&gt;"Ja",J129=""),0,IF(COUNTIFS(O129:$O$546,O129,I129:$I$546,"Ja",J129:$J$546,"&lt;&gt;")=1,1,0))</f>
        <v>0</v>
      </c>
      <c r="AA129" s="15">
        <f>IF(COUNTIFS(MATCHER!$B$5:$B$504,A129,MATCHER!$D$5:$D$504,C129,MATCHER!$J$5:$J$504,REGLER!$I$6,MATCHER!$K$5:$K$504,"Ja")+COUNTIFS(MATCHER!$B$5:$B$504,A129,MATCHER!$D$5:$D$504,C129,MATCHER!$J$5:$J$504,REGLER!$I$6&amp;" 2",MATCHER!$K$5:$K$504,"Ja")&gt;0,1,0)+IF(COUNTIFS(MATCHER!$B$5:$B$504,A129,MATCHER!$D$5:$D$504,C129,MATCHER!$J$5:$J$504,REGLER!$I$7,MATCHER!$K$5:$K$504,"Ja")+COUNTIFS(MATCHER!$B$5:$B$504,A129,MATCHER!$D$5:$D$504,C129,MATCHER!$J$5:$J$504,REGLER!$I$7&amp;" 2",MATCHER!$K$5:$K$504,"Ja")&gt;0,1,0)+IF(COUNTIFS(MATCHER!$B$5:$B$504,A129,MATCHER!$D$5:$D$504,C129,MATCHER!$J$5:$J$504,REGLER!$I$8,MATCHER!$K$5:$K$504,"Ja")+COUNTIFS(MATCHER!$B$5:$B$504,A129,MATCHER!$D$5:$D$504,C129,MATCHER!$J$5:$J$504,REGLER!$I$8&amp;" 2",MATCHER!$K$5:$K$504,"Ja")&gt;0,1,0)+IF(COUNTIFS(MATCHER!$B$5:$B$504,A129,MATCHER!$D$5:$D$504,C129,MATCHER!$J$5:$J$504,REGLER!$I$9,MATCHER!$K$5:$K$504,"Ja")+COUNTIFS(MATCHER!$B$5:$B$504,A129,MATCHER!$D$5:$D$504,C129,MATCHER!$J$5:$J$504,REGLER!$I$9&amp;" 2",MATCHER!$K$5:$K$504,"Ja")&gt;0,1,0)+IF(COUNTIFS(MATCHER!$B$5:$B$504,A129,MATCHER!$D$5:$D$504,C129,MATCHER!$J$5:$J$504,REGLER!$I$10,MATCHER!$K$5:$K$504,"Ja")+COUNTIFS(MATCHER!$B$5:$B$504,A129,MATCHER!$D$5:$D$504,C129,MATCHER!$J$5:$J$504,REGLER!$I$10&amp;" 2",MATCHER!$K$5:$K$504,"Ja")&gt;0,1,0)+IF(COUNTIFS(MATCHER!$B$5:$B$504,A129,MATCHER!$D$5:$D$504,C129,MATCHER!$J$5:$J$504,REGLER!$I$11,MATCHER!$K$5:$K$504,"Ja")+COUNTIFS(MATCHER!$B$5:$B$504,A129,MATCHER!$D$5:$D$504,C129,MATCHER!$J$5:$J$504,REGLER!$I$11&amp;" 2",MATCHER!$K$5:$K$504,"Ja")&gt;0,1,0)+IF(COUNTIFS(MATCHER!$B$5:$B$504,A129,MATCHER!$D$5:$D$504,C129,MATCHER!$J$5:$J$504,REGLER!$I$12,MATCHER!$K$5:$K$504,"Ja")+COUNTIFS(MATCHER!$B$5:$B$504,A129,MATCHER!$D$5:$D$504,C129,MATCHER!$J$5:$J$504,REGLER!$I$12&amp;" 2",MATCHER!$K$5:$K$504,"Ja")&gt;0,1,0)+IF(COUNTIFS(MATCHER!$B$5:$B$504,A129,MATCHER!$D$5:$D$504,C129,MATCHER!$J$5:$J$504,REGLER!$I$13,MATCHER!$K$5:$K$504,"Ja")+COUNTIFS(MATCHER!$B$5:$B$504,A129,MATCHER!$D$5:$D$504,C129,MATCHER!$J$5:$J$504,REGLER!$I$13&amp;" 2",MATCHER!$K$5:$K$504,"Ja")&gt;0,1,0)+IF(COUNTIFS(MATCHER!$B$5:$B$504,A129,MATCHER!$D$5:$D$504,C129,MATCHER!$J$5:$J$504,REGLER!$I$14,MATCHER!$K$5:$K$504,"Ja")+COUNTIFS(MATCHER!$B$5:$B$504,A129,MATCHER!$D$5:$D$504,C129,MATCHER!$J$5:$J$504,REGLER!$I$14&amp;" 2",MATCHER!$K$5:$K$504,"Ja")&gt;0,1,0)+IF(COUNTIFS(MATCHER!$B$5:$B$504,A129,MATCHER!$D$5:$D$504,C129,MATCHER!$J$5:$J$504,REGLER!$I$15,MATCHER!$K$5:$K$504,"Ja")+COUNTIFS(MATCHER!$B$5:$B$504,A129,MATCHER!$D$5:$D$504,C129,MATCHER!$J$5:$J$504,REGLER!$I$15&amp;" 2",MATCHER!$K$5:$K$504,"Ja")&gt;0,1,0)+IF(COUNTIFS(MATCHER!$B$5:$B$504,A129,MATCHER!$D$5:$D$504,C129,MATCHER!$J$5:$J$504,REGLER!$I$16,MATCHER!$K$5:$K$504,"Ja")+COUNTIFS(MATCHER!$B$5:$B$504,A129,MATCHER!$D$5:$D$504,C129,MATCHER!$J$5:$J$504,REGLER!$I$16&amp;" 2",MATCHER!$K$5:$K$504,"Ja")&gt;0,1,0)+IF(COUNTIFS(MATCHER!$B$5:$B$504,A129,MATCHER!$D$5:$D$504,C129,MATCHER!$J$5:$J$504,REGLER!$I$17,MATCHER!$K$5:$K$504,"Ja")+COUNTIFS(MATCHER!$B$5:$B$504,A129,MATCHER!$D$5:$D$504,C129,MATCHER!$J$5:$J$504,REGLER!$I$17&amp;" 2",MATCHER!$K$5:$K$504,"Ja")&gt;0,1,0)+IF(COUNTIFS(MATCHER!$B$5:$B$504,A129,MATCHER!$D$5:$D$504,C129,MATCHER!$J$5:$J$504,REGLER!$I$18,MATCHER!$K$5:$K$504,"Ja")+COUNTIFS(MATCHER!$B$5:$B$504,A129,MATCHER!$D$5:$D$504,C129,MATCHER!$J$5:$J$504,REGLER!$I$18&amp;" 2",MATCHER!$K$5:$K$504,"Ja")&gt;0,1,0)+IF(COUNTIFS(MATCHER!$B$5:$B$504,A129,MATCHER!$D$5:$D$504,C129,MATCHER!$J$5:$J$504,REGLER!$I$19,MATCHER!$K$5:$K$504,"Ja")+COUNTIFS(MATCHER!$B$5:$B$504,A129,MATCHER!$D$5:$D$504,C129,MATCHER!$J$5:$J$504,REGLER!$I$19&amp;" 2",MATCHER!$K$5:$K$504,"Ja")&gt;0,1,0)+IF(COUNTIFS(MATCHER!$B$5:$B$504,A129,MATCHER!$D$5:$D$504,C129,MATCHER!$J$5:$J$504,REGLER!$I$20,MATCHER!$K$5:$K$504,"Ja")+COUNTIFS(MATCHER!$B$5:$B$504,A129,MATCHER!$D$5:$D$504,C129,MATCHER!$J$5:$J$504,REGLER!$I$20&amp;" 2",MATCHER!$K$5:$K$504,"Ja")&gt;0,1,0)+IF(COUNTIFS(MATCHER!$B$5:$B$504,A129,MATCHER!$D$5:$D$504,C129,MATCHER!$J$5:$J$504,REGLER!$I$21,MATCHER!$K$5:$K$504,"Ja")+COUNTIFS(MATCHER!$B$5:$B$504,A129,MATCHER!$D$5:$D$504,C129,MATCHER!$J$5:$J$504,REGLER!$I$21&amp;" 2",MATCHER!$K$5:$K$504,"Ja")&gt;0,1,0)+IF(COUNTIFS(MATCHER!$B$5:$B$504,A129,MATCHER!$D$5:$D$504,C129,MATCHER!$J$5:$J$504,REGLER!$I$22,MATCHER!$K$5:$K$504,"Ja")+COUNTIFS(MATCHER!$B$5:$B$504,A129,MATCHER!$D$5:$D$504,C129,MATCHER!$J$5:$J$504,REGLER!$I$22&amp;" 2",MATCHER!$K$5:$K$504,"Ja")&gt;0,1,0)+IF(COUNTIFS(MATCHER!$B$5:$B$504,A129,MATCHER!$D$5:$D$504,C129,MATCHER!$J$5:$J$504,REGLER!$I$23,MATCHER!$K$5:$K$504,"Ja")+COUNTIFS(MATCHER!$B$5:$B$504,A129,MATCHER!$D$5:$D$504,C129,MATCHER!$J$5:$J$504,REGLER!$I$23&amp;" 2",MATCHER!$K$5:$K$504,"Ja")&gt;0,1,0)+IF(COUNTIFS(MATCHER!$B$5:$B$504,A129,MATCHER!$D$5:$D$504,C129,MATCHER!$J$5:$J$504,REGLER!$I$24,MATCHER!$K$5:$K$504,"Ja")+COUNTIFS(MATCHER!$B$5:$B$504,A129,MATCHER!$D$5:$D$504,C129,MATCHER!$J$5:$J$504,REGLER!$I$24&amp;" 2",MATCHER!$K$5:$K$504,"Ja")&gt;0,1,0)+IF(COUNTIFS(MATCHER!$B$5:$B$504,A129,MATCHER!$D$5:$D$504,C129,MATCHER!$J$5:$J$504,REGLER!$I$25,MATCHER!$K$5:$K$504,"Ja")+COUNTIFS(MATCHER!$B$5:$B$504,A129,MATCHER!$D$5:$D$504,C129,MATCHER!$J$5:$J$504,REGLER!$I$25&amp;" 2",MATCHER!$K$5:$K$504,"Ja")&gt;0,1,0)+IF(COUNTIFS(MATCHER!$B$5:$B$504,A129,MATCHER!$D$5:$D$504,C129,MATCHER!$J$5:$J$504,REGLER!$I$26,MATCHER!$K$5:$K$504,"Ja")+COUNTIFS(MATCHER!$B$5:$B$504,A129,MATCHER!$D$5:$D$504,C129,MATCHER!$J$5:$J$504,REGLER!$I$26&amp;" 2",MATCHER!$K$5:$K$504,"Ja")&gt;0,1,0)</f>
        <v>1</v>
      </c>
      <c r="AB129" s="15" t="str">
        <f>IF(U129&lt;&gt;1,"",COUNTIF($U$5:U129,1))</f>
        <v/>
      </c>
      <c r="AC129" s="15" t="str">
        <f t="shared" si="19"/>
        <v/>
      </c>
      <c r="AD129" s="15" t="str">
        <f t="shared" si="20"/>
        <v>Minicafé</v>
      </c>
      <c r="AE129" s="15" t="str">
        <f t="shared" si="21"/>
        <v/>
      </c>
      <c r="AF129" t="str">
        <f>IF(T129="","",IFERROR(MATCH(1,INDEX((MATCHER!$B$5:$B$504=A129)*(MATCHER!$D$5:$D$504=C129)*(MATCHER!$K$5:$K$504="Ja")*(MATCHER!$C$5:$C$504&lt;E129)*(MATCHER!$M$5:$M$504&gt;D129)*(ROW(MATCHER!$A$5:$A$504)-ROW(MATCHER!$A$5)+1&gt;T129),0),0),""))</f>
        <v/>
      </c>
    </row>
    <row r="130" spans="1:32" ht="26">
      <c r="A130" s="42">
        <v>46315</v>
      </c>
      <c r="B130" s="43" t="s">
        <v>104</v>
      </c>
      <c r="C130" s="43" t="s">
        <v>110</v>
      </c>
      <c r="D130" s="44">
        <v>0.85416666666666696</v>
      </c>
      <c r="E130" s="44">
        <v>0.875</v>
      </c>
      <c r="F130" s="45" t="str">
        <f>IF(R130="","",HOUR(INDEX(MATCHER!$C$5:$C$504,R130))&amp;":"&amp;IF(MINUTE(INDEX(MATCHER!$C$5:$C$504,R130))&lt;10,"0","")&amp;MINUTE(INDEX(MATCHER!$C$5:$C$504,R130))&amp;" "&amp;INDEX(MATCHER!$H$5:$H$504,R130)&amp;" – "&amp;INDEX(MATCHER!$I$5:$I$504,R130))&amp;IF(S130="",""," | "&amp;HOUR(INDEX(MATCHER!$C$5:$C$504,S130))&amp;":"&amp;IF(MINUTE(INDEX(MATCHER!$C$5:$C$504,S130))&lt;10,"0","")&amp;MINUTE(INDEX(MATCHER!$C$5:$C$504,S130))&amp;" "&amp;INDEX(MATCHER!$H$5:$H$504,S130)&amp;" – "&amp;INDEX(MATCHER!$I$5:$I$504,S130))&amp;IF(T130="",""," | "&amp;HOUR(INDEX(MATCHER!$C$5:$C$504,T130))&amp;":"&amp;IF(MINUTE(INDEX(MATCHER!$C$5:$C$504,T130))&lt;10,"0","")&amp;MINUTE(INDEX(MATCHER!$C$5:$C$504,T130))&amp;" "&amp;INDEX(MATCHER!$H$5:$H$504,T130)&amp;" – "&amp;INDEX(MATCHER!$I$5:$I$504,T130))&amp;IF(AF130="",""," | "&amp;HOUR(INDEX(MATCHER!$C$5:$C$504,AF130))&amp;":"&amp;IF(MINUTE(INDEX(MATCHER!$C$5:$C$504,AF130))&lt;10,"0","")&amp;MINUTE(INDEX(MATCHER!$C$5:$C$504,AF130))&amp;" "&amp;INDEX(MATCHER!$H$5:$H$504,AF130)&amp;" – "&amp;INDEX(MATCHER!$I$5:$I$504,AF130))</f>
        <v/>
      </c>
      <c r="G130" s="45" t="str">
        <f>MID(IF(R130="","",IF(OR(INDEX(MATCHER!$J$5:$J$504,R130)=""),""," / "&amp;INDEX(MATCHER!$J$5:$J$504,R130)))&amp;IF(S130="","",IF(OR(INDEX(MATCHER!$J$5:$J$504,S130)="",INDEX(MATCHER!$J$5:$J$504,S130)=IFERROR(INDEX(MATCHER!$J$5:$J$504,R130),"")),""," / "&amp;INDEX(MATCHER!$J$5:$J$504,S130)))&amp;IF(T130="","",IF(OR(INDEX(MATCHER!$J$5:$J$504,T130)="",INDEX(MATCHER!$J$5:$J$504,T130)=IFERROR(INDEX(MATCHER!$J$5:$J$504,R130),""),INDEX(MATCHER!$J$5:$J$504,T130)=IFERROR(INDEX(MATCHER!$J$5:$J$504,S130),"")),""," / "&amp;INDEX(MATCHER!$J$5:$J$504,T130)))&amp;IF(AF130="","",IF(OR(INDEX(MATCHER!$J$5:$J$504,AF130)="",INDEX(MATCHER!$J$5:$J$504,AF130)=IFERROR(INDEX(MATCHER!$J$5:$J$504,R130),""),INDEX(MATCHER!$J$5:$J$504,AF130)=IFERROR(INDEX(MATCHER!$J$5:$J$504,S130),""),INDEX(MATCHER!$J$5:$J$504,AF130)=IFERROR(INDEX(MATCHER!$J$5:$J$504,T130),"")),""," / "&amp;INDEX(MATCHER!$J$5:$J$504,AF130))),4,1000)</f>
        <v/>
      </c>
      <c r="H130" s="45" t="str">
        <f>H129</f>
        <v>Dam</v>
      </c>
      <c r="I130" s="46" t="s">
        <v>87</v>
      </c>
      <c r="J130" s="47"/>
      <c r="K130" s="48"/>
      <c r="L130" s="49"/>
      <c r="M130" s="50" t="str">
        <f>IF(O130&lt;&gt;O129,MAX(1,MIN(AA130,ROUNDUP(SUMPRODUCT(($O$5:$O$546=O130)*($I$5:$I$546="Ja")*($E$5:$E$546-$D$5:$D$546))*24/REGLER!$B$8,0))),"")</f>
        <v/>
      </c>
      <c r="N130" s="50" t="str">
        <f t="shared" si="15"/>
        <v>Ej öppet</v>
      </c>
      <c r="O130" s="15" t="s">
        <v>114</v>
      </c>
      <c r="P130" s="16">
        <v>0.83333333333333304</v>
      </c>
      <c r="Q130" s="16">
        <v>0.9375</v>
      </c>
      <c r="R130" s="15" t="str">
        <f>IFERROR(MATCH(1,INDEX((MATCHER!$B$5:$B$504=A130)*(MATCHER!$D$5:$D$504=C130)*(MATCHER!$K$5:$K$504="Ja")*(MATCHER!$C$5:$C$504&lt;E130)*(MATCHER!$M$5:$M$504&gt;D130),0),0),"")</f>
        <v/>
      </c>
      <c r="S130" s="15" t="str">
        <f>IF(R130="","",IFERROR(MATCH(1,INDEX((MATCHER!$B$5:$B$504=A130)*(MATCHER!$D$5:$D$504=C130)*(MATCHER!$K$5:$K$504="Ja")*(MATCHER!$C$5:$C$504&lt;E130)*(MATCHER!$M$5:$M$504&gt;D130)*(ROW(MATCHER!$A$5:$A$504)-ROW(MATCHER!$A$5)+1&gt;R130),0),0),""))</f>
        <v/>
      </c>
      <c r="T130" s="15" t="str">
        <f>IF(S130="","",IFERROR(MATCH(1,INDEX((MATCHER!$B$5:$B$504=A130)*(MATCHER!$D$5:$D$504=C130)*(MATCHER!$K$5:$K$504="Ja")*(MATCHER!$C$5:$C$504&lt;E130)*(MATCHER!$M$5:$M$504&gt;D130)*(ROW(MATCHER!$A$5:$A$504)-ROW(MATCHER!$A$5)+1&gt;S130),0),0),""))</f>
        <v/>
      </c>
      <c r="U130" s="15" t="str">
        <f t="shared" si="16"/>
        <v/>
      </c>
      <c r="V130" s="15" t="str">
        <f>IF(OR(I130&lt;&gt;"Ja",J130=""),"",COUNTIFS($O$5:O130,O130,$U$5:U130,1))</f>
        <v/>
      </c>
      <c r="W130" s="15" t="str">
        <f t="shared" si="17"/>
        <v/>
      </c>
      <c r="X130" s="16" t="str">
        <f t="shared" si="18"/>
        <v/>
      </c>
      <c r="Y130" s="15">
        <f>IF(OR(I130&lt;&gt;"Ja",J130=""),0,IF(COUNTIFS($O$5:O130,O130,$I$5:I130,"Ja",$J$5:J130,"&lt;&gt;")=1,1,0))</f>
        <v>0</v>
      </c>
      <c r="Z130" s="15">
        <f>IF(OR(I130&lt;&gt;"Ja",J130=""),0,IF(COUNTIFS(O130:$O$546,O130,I130:$I$546,"Ja",J130:$J$546,"&lt;&gt;")=1,1,0))</f>
        <v>0</v>
      </c>
      <c r="AA130" s="15">
        <f>AA129</f>
        <v>1</v>
      </c>
      <c r="AB130" s="15" t="str">
        <f>IF(U130&lt;&gt;1,"",COUNTIF($U$5:U130,1))</f>
        <v/>
      </c>
      <c r="AC130" s="15" t="str">
        <f t="shared" si="19"/>
        <v/>
      </c>
      <c r="AD130" s="15" t="str">
        <f t="shared" si="20"/>
        <v>Minicafé</v>
      </c>
      <c r="AE130" s="15" t="str">
        <f t="shared" si="21"/>
        <v/>
      </c>
      <c r="AF130" t="str">
        <f>IF(T130="","",IFERROR(MATCH(1,INDEX((MATCHER!$B$5:$B$504=A130)*(MATCHER!$D$5:$D$504=C130)*(MATCHER!$K$5:$K$504="Ja")*(MATCHER!$C$5:$C$504&lt;E130)*(MATCHER!$M$5:$M$504&gt;D130)*(ROW(MATCHER!$A$5:$A$504)-ROW(MATCHER!$A$5)+1&gt;T130),0),0),""))</f>
        <v/>
      </c>
    </row>
    <row r="131" spans="1:32" ht="26">
      <c r="A131" s="42">
        <v>46315</v>
      </c>
      <c r="B131" s="43" t="s">
        <v>104</v>
      </c>
      <c r="C131" s="43" t="s">
        <v>110</v>
      </c>
      <c r="D131" s="44">
        <v>0.875</v>
      </c>
      <c r="E131" s="44">
        <v>0.89583333333333304</v>
      </c>
      <c r="F131" s="45" t="str">
        <f>IF(R131="","",HOUR(INDEX(MATCHER!$C$5:$C$504,R131))&amp;":"&amp;IF(MINUTE(INDEX(MATCHER!$C$5:$C$504,R131))&lt;10,"0","")&amp;MINUTE(INDEX(MATCHER!$C$5:$C$504,R131))&amp;" "&amp;INDEX(MATCHER!$H$5:$H$504,R131)&amp;" – "&amp;INDEX(MATCHER!$I$5:$I$504,R131))&amp;IF(S131="",""," | "&amp;HOUR(INDEX(MATCHER!$C$5:$C$504,S131))&amp;":"&amp;IF(MINUTE(INDEX(MATCHER!$C$5:$C$504,S131))&lt;10,"0","")&amp;MINUTE(INDEX(MATCHER!$C$5:$C$504,S131))&amp;" "&amp;INDEX(MATCHER!$H$5:$H$504,S131)&amp;" – "&amp;INDEX(MATCHER!$I$5:$I$504,S131))&amp;IF(T131="",""," | "&amp;HOUR(INDEX(MATCHER!$C$5:$C$504,T131))&amp;":"&amp;IF(MINUTE(INDEX(MATCHER!$C$5:$C$504,T131))&lt;10,"0","")&amp;MINUTE(INDEX(MATCHER!$C$5:$C$504,T131))&amp;" "&amp;INDEX(MATCHER!$H$5:$H$504,T131)&amp;" – "&amp;INDEX(MATCHER!$I$5:$I$504,T131))&amp;IF(AF131="",""," | "&amp;HOUR(INDEX(MATCHER!$C$5:$C$504,AF131))&amp;":"&amp;IF(MINUTE(INDEX(MATCHER!$C$5:$C$504,AF131))&lt;10,"0","")&amp;MINUTE(INDEX(MATCHER!$C$5:$C$504,AF131))&amp;" "&amp;INDEX(MATCHER!$H$5:$H$504,AF131)&amp;" – "&amp;INDEX(MATCHER!$I$5:$I$504,AF131))</f>
        <v>21:00 AIK – Huddinge HK</v>
      </c>
      <c r="G131" s="45" t="str">
        <f>MID(IF(R131="","",IF(OR(INDEX(MATCHER!$J$5:$J$504,R131)=""),""," / "&amp;INDEX(MATCHER!$J$5:$J$504,R131)))&amp;IF(S131="","",IF(OR(INDEX(MATCHER!$J$5:$J$504,S131)="",INDEX(MATCHER!$J$5:$J$504,S131)=IFERROR(INDEX(MATCHER!$J$5:$J$504,R131),"")),""," / "&amp;INDEX(MATCHER!$J$5:$J$504,S131)))&amp;IF(T131="","",IF(OR(INDEX(MATCHER!$J$5:$J$504,T131)="",INDEX(MATCHER!$J$5:$J$504,T131)=IFERROR(INDEX(MATCHER!$J$5:$J$504,R131),""),INDEX(MATCHER!$J$5:$J$504,T131)=IFERROR(INDEX(MATCHER!$J$5:$J$504,S131),"")),""," / "&amp;INDEX(MATCHER!$J$5:$J$504,T131)))&amp;IF(AF131="","",IF(OR(INDEX(MATCHER!$J$5:$J$504,AF131)="",INDEX(MATCHER!$J$5:$J$504,AF131)=IFERROR(INDEX(MATCHER!$J$5:$J$504,R131),""),INDEX(MATCHER!$J$5:$J$504,AF131)=IFERROR(INDEX(MATCHER!$J$5:$J$504,S131),""),INDEX(MATCHER!$J$5:$J$504,AF131)=IFERROR(INDEX(MATCHER!$J$5:$J$504,T131),"")),""," / "&amp;INDEX(MATCHER!$J$5:$J$504,AF131))),4,1000)</f>
        <v>Dam</v>
      </c>
      <c r="H131" s="45" t="str">
        <f>H130</f>
        <v>Dam</v>
      </c>
      <c r="I131" s="46" t="s">
        <v>87</v>
      </c>
      <c r="J131" s="47"/>
      <c r="K131" s="48"/>
      <c r="L131" s="49"/>
      <c r="M131" s="50" t="str">
        <f>IF(O131&lt;&gt;O130,MAX(1,MIN(AA131,ROUNDUP(SUMPRODUCT(($O$5:$O$546=O131)*($I$5:$I$546="Ja")*($E$5:$E$546-$D$5:$D$546))*24/REGLER!$B$8,0))),"")</f>
        <v/>
      </c>
      <c r="N131" s="50" t="str">
        <f t="shared" si="15"/>
        <v>Ej öppet</v>
      </c>
      <c r="O131" s="15" t="s">
        <v>114</v>
      </c>
      <c r="P131" s="16">
        <v>0.83333333333333304</v>
      </c>
      <c r="Q131" s="16">
        <v>0.9375</v>
      </c>
      <c r="R131" s="15">
        <f>IFERROR(MATCH(1,INDEX((MATCHER!$B$5:$B$504=A131)*(MATCHER!$D$5:$D$504=C131)*(MATCHER!$K$5:$K$504="Ja")*(MATCHER!$C$5:$C$504&lt;E131)*(MATCHER!$M$5:$M$504&gt;D131),0),0),"")</f>
        <v>43</v>
      </c>
      <c r="S131" s="15" t="str">
        <f>IF(R131="","",IFERROR(MATCH(1,INDEX((MATCHER!$B$5:$B$504=A131)*(MATCHER!$D$5:$D$504=C131)*(MATCHER!$K$5:$K$504="Ja")*(MATCHER!$C$5:$C$504&lt;E131)*(MATCHER!$M$5:$M$504&gt;D131)*(ROW(MATCHER!$A$5:$A$504)-ROW(MATCHER!$A$5)+1&gt;R131),0),0),""))</f>
        <v/>
      </c>
      <c r="T131" s="15" t="str">
        <f>IF(S131="","",IFERROR(MATCH(1,INDEX((MATCHER!$B$5:$B$504=A131)*(MATCHER!$D$5:$D$504=C131)*(MATCHER!$K$5:$K$504="Ja")*(MATCHER!$C$5:$C$504&lt;E131)*(MATCHER!$M$5:$M$504&gt;D131)*(ROW(MATCHER!$A$5:$A$504)-ROW(MATCHER!$A$5)+1&gt;S131),0),0),""))</f>
        <v/>
      </c>
      <c r="U131" s="15" t="str">
        <f t="shared" si="16"/>
        <v/>
      </c>
      <c r="V131" s="15" t="str">
        <f>IF(OR(I131&lt;&gt;"Ja",J131=""),"",COUNTIFS($O$5:O131,O131,$U$5:U131,1))</f>
        <v/>
      </c>
      <c r="W131" s="15" t="str">
        <f t="shared" si="17"/>
        <v/>
      </c>
      <c r="X131" s="16" t="str">
        <f t="shared" si="18"/>
        <v/>
      </c>
      <c r="Y131" s="15">
        <f>IF(OR(I131&lt;&gt;"Ja",J131=""),0,IF(COUNTIFS($O$5:O131,O131,$I$5:I131,"Ja",$J$5:J131,"&lt;&gt;")=1,1,0))</f>
        <v>0</v>
      </c>
      <c r="Z131" s="15">
        <f>IF(OR(I131&lt;&gt;"Ja",J131=""),0,IF(COUNTIFS(O131:$O$546,O131,I131:$I$546,"Ja",J131:$J$546,"&lt;&gt;")=1,1,0))</f>
        <v>0</v>
      </c>
      <c r="AA131" s="15">
        <f>AA130</f>
        <v>1</v>
      </c>
      <c r="AB131" s="15" t="str">
        <f>IF(U131&lt;&gt;1,"",COUNTIF($U$5:U131,1))</f>
        <v/>
      </c>
      <c r="AC131" s="15" t="str">
        <f t="shared" si="19"/>
        <v/>
      </c>
      <c r="AD131" s="15" t="str">
        <f t="shared" si="20"/>
        <v>Minicafé</v>
      </c>
      <c r="AE131" s="15" t="str">
        <f t="shared" si="21"/>
        <v/>
      </c>
      <c r="AF131" t="str">
        <f>IF(T131="","",IFERROR(MATCH(1,INDEX((MATCHER!$B$5:$B$504=A131)*(MATCHER!$D$5:$D$504=C131)*(MATCHER!$K$5:$K$504="Ja")*(MATCHER!$C$5:$C$504&lt;E131)*(MATCHER!$M$5:$M$504&gt;D131)*(ROW(MATCHER!$A$5:$A$504)-ROW(MATCHER!$A$5)+1&gt;T131),0),0),""))</f>
        <v/>
      </c>
    </row>
    <row r="132" spans="1:32" ht="26">
      <c r="A132" s="42">
        <v>46315</v>
      </c>
      <c r="B132" s="43" t="s">
        <v>104</v>
      </c>
      <c r="C132" s="43" t="s">
        <v>110</v>
      </c>
      <c r="D132" s="44">
        <v>0.89583333333333304</v>
      </c>
      <c r="E132" s="44">
        <v>0.91666666666666696</v>
      </c>
      <c r="F132" s="45" t="str">
        <f>IF(R132="","",HOUR(INDEX(MATCHER!$C$5:$C$504,R132))&amp;":"&amp;IF(MINUTE(INDEX(MATCHER!$C$5:$C$504,R132))&lt;10,"0","")&amp;MINUTE(INDEX(MATCHER!$C$5:$C$504,R132))&amp;" "&amp;INDEX(MATCHER!$H$5:$H$504,R132)&amp;" – "&amp;INDEX(MATCHER!$I$5:$I$504,R132))&amp;IF(S132="",""," | "&amp;HOUR(INDEX(MATCHER!$C$5:$C$504,S132))&amp;":"&amp;IF(MINUTE(INDEX(MATCHER!$C$5:$C$504,S132))&lt;10,"0","")&amp;MINUTE(INDEX(MATCHER!$C$5:$C$504,S132))&amp;" "&amp;INDEX(MATCHER!$H$5:$H$504,S132)&amp;" – "&amp;INDEX(MATCHER!$I$5:$I$504,S132))&amp;IF(T132="",""," | "&amp;HOUR(INDEX(MATCHER!$C$5:$C$504,T132))&amp;":"&amp;IF(MINUTE(INDEX(MATCHER!$C$5:$C$504,T132))&lt;10,"0","")&amp;MINUTE(INDEX(MATCHER!$C$5:$C$504,T132))&amp;" "&amp;INDEX(MATCHER!$H$5:$H$504,T132)&amp;" – "&amp;INDEX(MATCHER!$I$5:$I$504,T132))&amp;IF(AF132="",""," | "&amp;HOUR(INDEX(MATCHER!$C$5:$C$504,AF132))&amp;":"&amp;IF(MINUTE(INDEX(MATCHER!$C$5:$C$504,AF132))&lt;10,"0","")&amp;MINUTE(INDEX(MATCHER!$C$5:$C$504,AF132))&amp;" "&amp;INDEX(MATCHER!$H$5:$H$504,AF132)&amp;" – "&amp;INDEX(MATCHER!$I$5:$I$504,AF132))</f>
        <v>21:00 AIK – Huddinge HK</v>
      </c>
      <c r="G132" s="45" t="str">
        <f>MID(IF(R132="","",IF(OR(INDEX(MATCHER!$J$5:$J$504,R132)=""),""," / "&amp;INDEX(MATCHER!$J$5:$J$504,R132)))&amp;IF(S132="","",IF(OR(INDEX(MATCHER!$J$5:$J$504,S132)="",INDEX(MATCHER!$J$5:$J$504,S132)=IFERROR(INDEX(MATCHER!$J$5:$J$504,R132),"")),""," / "&amp;INDEX(MATCHER!$J$5:$J$504,S132)))&amp;IF(T132="","",IF(OR(INDEX(MATCHER!$J$5:$J$504,T132)="",INDEX(MATCHER!$J$5:$J$504,T132)=IFERROR(INDEX(MATCHER!$J$5:$J$504,R132),""),INDEX(MATCHER!$J$5:$J$504,T132)=IFERROR(INDEX(MATCHER!$J$5:$J$504,S132),"")),""," / "&amp;INDEX(MATCHER!$J$5:$J$504,T132)))&amp;IF(AF132="","",IF(OR(INDEX(MATCHER!$J$5:$J$504,AF132)="",INDEX(MATCHER!$J$5:$J$504,AF132)=IFERROR(INDEX(MATCHER!$J$5:$J$504,R132),""),INDEX(MATCHER!$J$5:$J$504,AF132)=IFERROR(INDEX(MATCHER!$J$5:$J$504,S132),""),INDEX(MATCHER!$J$5:$J$504,AF132)=IFERROR(INDEX(MATCHER!$J$5:$J$504,T132),"")),""," / "&amp;INDEX(MATCHER!$J$5:$J$504,AF132))),4,1000)</f>
        <v>Dam</v>
      </c>
      <c r="H132" s="45" t="str">
        <f>H131</f>
        <v>Dam</v>
      </c>
      <c r="I132" s="46" t="s">
        <v>87</v>
      </c>
      <c r="J132" s="47"/>
      <c r="K132" s="48"/>
      <c r="L132" s="49"/>
      <c r="M132" s="50" t="str">
        <f>IF(O132&lt;&gt;O131,MAX(1,MIN(AA132,ROUNDUP(SUMPRODUCT(($O$5:$O$546=O132)*($I$5:$I$546="Ja")*($E$5:$E$546-$D$5:$D$546))*24/REGLER!$B$8,0))),"")</f>
        <v/>
      </c>
      <c r="N132" s="50" t="str">
        <f t="shared" si="15"/>
        <v>Ej öppet</v>
      </c>
      <c r="O132" s="15" t="s">
        <v>114</v>
      </c>
      <c r="P132" s="16">
        <v>0.83333333333333304</v>
      </c>
      <c r="Q132" s="16">
        <v>0.9375</v>
      </c>
      <c r="R132" s="15">
        <f>IFERROR(MATCH(1,INDEX((MATCHER!$B$5:$B$504=A132)*(MATCHER!$D$5:$D$504=C132)*(MATCHER!$K$5:$K$504="Ja")*(MATCHER!$C$5:$C$504&lt;E132)*(MATCHER!$M$5:$M$504&gt;D132),0),0),"")</f>
        <v>43</v>
      </c>
      <c r="S132" s="15" t="str">
        <f>IF(R132="","",IFERROR(MATCH(1,INDEX((MATCHER!$B$5:$B$504=A132)*(MATCHER!$D$5:$D$504=C132)*(MATCHER!$K$5:$K$504="Ja")*(MATCHER!$C$5:$C$504&lt;E132)*(MATCHER!$M$5:$M$504&gt;D132)*(ROW(MATCHER!$A$5:$A$504)-ROW(MATCHER!$A$5)+1&gt;R132),0),0),""))</f>
        <v/>
      </c>
      <c r="T132" s="15" t="str">
        <f>IF(S132="","",IFERROR(MATCH(1,INDEX((MATCHER!$B$5:$B$504=A132)*(MATCHER!$D$5:$D$504=C132)*(MATCHER!$K$5:$K$504="Ja")*(MATCHER!$C$5:$C$504&lt;E132)*(MATCHER!$M$5:$M$504&gt;D132)*(ROW(MATCHER!$A$5:$A$504)-ROW(MATCHER!$A$5)+1&gt;S132),0),0),""))</f>
        <v/>
      </c>
      <c r="U132" s="15" t="str">
        <f t="shared" si="16"/>
        <v/>
      </c>
      <c r="V132" s="15" t="str">
        <f>IF(OR(I132&lt;&gt;"Ja",J132=""),"",COUNTIFS($O$5:O132,O132,$U$5:U132,1))</f>
        <v/>
      </c>
      <c r="W132" s="15" t="str">
        <f t="shared" si="17"/>
        <v/>
      </c>
      <c r="X132" s="16" t="str">
        <f t="shared" si="18"/>
        <v/>
      </c>
      <c r="Y132" s="15">
        <f>IF(OR(I132&lt;&gt;"Ja",J132=""),0,IF(COUNTIFS($O$5:O132,O132,$I$5:I132,"Ja",$J$5:J132,"&lt;&gt;")=1,1,0))</f>
        <v>0</v>
      </c>
      <c r="Z132" s="15">
        <f>IF(OR(I132&lt;&gt;"Ja",J132=""),0,IF(COUNTIFS(O132:$O$546,O132,I132:$I$546,"Ja",J132:$J$546,"&lt;&gt;")=1,1,0))</f>
        <v>0</v>
      </c>
      <c r="AA132" s="15">
        <f>AA131</f>
        <v>1</v>
      </c>
      <c r="AB132" s="15" t="str">
        <f>IF(U132&lt;&gt;1,"",COUNTIF($U$5:U132,1))</f>
        <v/>
      </c>
      <c r="AC132" s="15" t="str">
        <f t="shared" si="19"/>
        <v/>
      </c>
      <c r="AD132" s="15" t="str">
        <f t="shared" si="20"/>
        <v>Minicafé</v>
      </c>
      <c r="AE132" s="15" t="str">
        <f t="shared" si="21"/>
        <v/>
      </c>
      <c r="AF132" t="str">
        <f>IF(T132="","",IFERROR(MATCH(1,INDEX((MATCHER!$B$5:$B$504=A132)*(MATCHER!$D$5:$D$504=C132)*(MATCHER!$K$5:$K$504="Ja")*(MATCHER!$C$5:$C$504&lt;E132)*(MATCHER!$M$5:$M$504&gt;D132)*(ROW(MATCHER!$A$5:$A$504)-ROW(MATCHER!$A$5)+1&gt;T132),0),0),""))</f>
        <v/>
      </c>
    </row>
    <row r="133" spans="1:32" ht="26.5" thickBot="1">
      <c r="A133" s="52">
        <v>46315</v>
      </c>
      <c r="B133" s="53" t="s">
        <v>104</v>
      </c>
      <c r="C133" s="53" t="s">
        <v>110</v>
      </c>
      <c r="D133" s="54">
        <v>0.91666666666666696</v>
      </c>
      <c r="E133" s="54">
        <v>0.9375</v>
      </c>
      <c r="F133" s="55" t="str">
        <f>IF(R133="","",HOUR(INDEX(MATCHER!$C$5:$C$504,R133))&amp;":"&amp;IF(MINUTE(INDEX(MATCHER!$C$5:$C$504,R133))&lt;10,"0","")&amp;MINUTE(INDEX(MATCHER!$C$5:$C$504,R133))&amp;" "&amp;INDEX(MATCHER!$H$5:$H$504,R133)&amp;" – "&amp;INDEX(MATCHER!$I$5:$I$504,R133))&amp;IF(S133="",""," | "&amp;HOUR(INDEX(MATCHER!$C$5:$C$504,S133))&amp;":"&amp;IF(MINUTE(INDEX(MATCHER!$C$5:$C$504,S133))&lt;10,"0","")&amp;MINUTE(INDEX(MATCHER!$C$5:$C$504,S133))&amp;" "&amp;INDEX(MATCHER!$H$5:$H$504,S133)&amp;" – "&amp;INDEX(MATCHER!$I$5:$I$504,S133))&amp;IF(T133="",""," | "&amp;HOUR(INDEX(MATCHER!$C$5:$C$504,T133))&amp;":"&amp;IF(MINUTE(INDEX(MATCHER!$C$5:$C$504,T133))&lt;10,"0","")&amp;MINUTE(INDEX(MATCHER!$C$5:$C$504,T133))&amp;" "&amp;INDEX(MATCHER!$H$5:$H$504,T133)&amp;" – "&amp;INDEX(MATCHER!$I$5:$I$504,T133))&amp;IF(AF133="",""," | "&amp;HOUR(INDEX(MATCHER!$C$5:$C$504,AF133))&amp;":"&amp;IF(MINUTE(INDEX(MATCHER!$C$5:$C$504,AF133))&lt;10,"0","")&amp;MINUTE(INDEX(MATCHER!$C$5:$C$504,AF133))&amp;" "&amp;INDEX(MATCHER!$H$5:$H$504,AF133)&amp;" – "&amp;INDEX(MATCHER!$I$5:$I$504,AF133))</f>
        <v>21:00 AIK – Huddinge HK</v>
      </c>
      <c r="G133" s="55" t="str">
        <f>MID(IF(R133="","",IF(OR(INDEX(MATCHER!$J$5:$J$504,R133)=""),""," / "&amp;INDEX(MATCHER!$J$5:$J$504,R133)))&amp;IF(S133="","",IF(OR(INDEX(MATCHER!$J$5:$J$504,S133)="",INDEX(MATCHER!$J$5:$J$504,S133)=IFERROR(INDEX(MATCHER!$J$5:$J$504,R133),"")),""," / "&amp;INDEX(MATCHER!$J$5:$J$504,S133)))&amp;IF(T133="","",IF(OR(INDEX(MATCHER!$J$5:$J$504,T133)="",INDEX(MATCHER!$J$5:$J$504,T133)=IFERROR(INDEX(MATCHER!$J$5:$J$504,R133),""),INDEX(MATCHER!$J$5:$J$504,T133)=IFERROR(INDEX(MATCHER!$J$5:$J$504,S133),"")),""," / "&amp;INDEX(MATCHER!$J$5:$J$504,T133)))&amp;IF(AF133="","",IF(OR(INDEX(MATCHER!$J$5:$J$504,AF133)="",INDEX(MATCHER!$J$5:$J$504,AF133)=IFERROR(INDEX(MATCHER!$J$5:$J$504,R133),""),INDEX(MATCHER!$J$5:$J$504,AF133)=IFERROR(INDEX(MATCHER!$J$5:$J$504,S133),""),INDEX(MATCHER!$J$5:$J$504,AF133)=IFERROR(INDEX(MATCHER!$J$5:$J$504,T133),"")),""," / "&amp;INDEX(MATCHER!$J$5:$J$504,AF133))),4,1000)</f>
        <v>Dam</v>
      </c>
      <c r="H133" s="55" t="str">
        <f>H132</f>
        <v>Dam</v>
      </c>
      <c r="I133" s="56" t="s">
        <v>87</v>
      </c>
      <c r="J133" s="57"/>
      <c r="K133" s="58"/>
      <c r="L133" s="59"/>
      <c r="M133" s="60" t="str">
        <f>IF(O133&lt;&gt;O132,MAX(1,MIN(AA133,ROUNDUP(SUMPRODUCT(($O$5:$O$546=O133)*($I$5:$I$546="Ja")*($E$5:$E$546-$D$5:$D$546))*24/REGLER!$B$8,0))),"")</f>
        <v/>
      </c>
      <c r="N133" s="60" t="str">
        <f t="shared" ref="N133:N196" si="30">IF(I133="Nej",IF(J133="","Ej öppet","Ta bort lag"),IF(J133="","Ej tilldelad",IF(ISNUMBER(SEARCH(", "&amp;J133&amp;", ",", "&amp;H133&amp;", ")),"Klar","Kontrollera lag")))</f>
        <v>Ej öppet</v>
      </c>
      <c r="O133" s="15" t="s">
        <v>114</v>
      </c>
      <c r="P133" s="16">
        <v>0.83333333333333304</v>
      </c>
      <c r="Q133" s="16">
        <v>0.9375</v>
      </c>
      <c r="R133" s="15">
        <f>IFERROR(MATCH(1,INDEX((MATCHER!$B$5:$B$504=A133)*(MATCHER!$D$5:$D$504=C133)*(MATCHER!$K$5:$K$504="Ja")*(MATCHER!$C$5:$C$504&lt;E133)*(MATCHER!$M$5:$M$504&gt;D133),0),0),"")</f>
        <v>43</v>
      </c>
      <c r="S133" s="15" t="str">
        <f>IF(R133="","",IFERROR(MATCH(1,INDEX((MATCHER!$B$5:$B$504=A133)*(MATCHER!$D$5:$D$504=C133)*(MATCHER!$K$5:$K$504="Ja")*(MATCHER!$C$5:$C$504&lt;E133)*(MATCHER!$M$5:$M$504&gt;D133)*(ROW(MATCHER!$A$5:$A$504)-ROW(MATCHER!$A$5)+1&gt;R133),0),0),""))</f>
        <v/>
      </c>
      <c r="T133" s="15" t="str">
        <f>IF(S133="","",IFERROR(MATCH(1,INDEX((MATCHER!$B$5:$B$504=A133)*(MATCHER!$D$5:$D$504=C133)*(MATCHER!$K$5:$K$504="Ja")*(MATCHER!$C$5:$C$504&lt;E133)*(MATCHER!$M$5:$M$504&gt;D133)*(ROW(MATCHER!$A$5:$A$504)-ROW(MATCHER!$A$5)+1&gt;S133),0),0),""))</f>
        <v/>
      </c>
      <c r="U133" s="15" t="str">
        <f t="shared" ref="U133:U196" si="31">IF(OR(I133&lt;&gt;"Ja",J133=""),"",IF(OR(O133&lt;&gt;O132,I132&lt;&gt;"Ja",J133&lt;&gt;J132,D133&lt;&gt;E132),1,0))</f>
        <v/>
      </c>
      <c r="V133" s="15" t="str">
        <f>IF(OR(I133&lt;&gt;"Ja",J133=""),"",COUNTIFS($O$5:O133,O133,$U$5:U133,1))</f>
        <v/>
      </c>
      <c r="W133" s="15" t="str">
        <f t="shared" ref="W133:W196" si="32">IF(V133="","",O133&amp;"|"&amp;V133)</f>
        <v/>
      </c>
      <c r="X133" s="16" t="str">
        <f t="shared" ref="X133:X196" si="33">IF(OR(I133&lt;&gt;"Ja",J133=""),"",IF(OR(O133&lt;&gt;O134,I134&lt;&gt;"Ja",J133&lt;&gt;J134,E133&lt;&gt;D134),E133,""))</f>
        <v/>
      </c>
      <c r="Y133" s="15">
        <f>IF(OR(I133&lt;&gt;"Ja",J133=""),0,IF(COUNTIFS($O$5:O133,O133,$I$5:I133,"Ja",$J$5:J133,"&lt;&gt;")=1,1,0))</f>
        <v>0</v>
      </c>
      <c r="Z133" s="15">
        <f>IF(OR(I133&lt;&gt;"Ja",J133=""),0,IF(COUNTIFS(O133:$O$546,O133,I133:$I$546,"Ja",J133:$J$546,"&lt;&gt;")=1,1,0))</f>
        <v>0</v>
      </c>
      <c r="AA133" s="15">
        <f>AA132</f>
        <v>1</v>
      </c>
      <c r="AB133" s="15" t="str">
        <f>IF(U133&lt;&gt;1,"",COUNTIF($U$5:U133,1))</f>
        <v/>
      </c>
      <c r="AC133" s="15" t="str">
        <f t="shared" ref="AC133:AC196" si="34">IF(X133="","",W133)</f>
        <v/>
      </c>
      <c r="AD133" s="15" t="str">
        <f t="shared" ref="AD133:AD196" si="35">IF(O133="","",INDEX($K$5:$K$546,MATCH(O133,$O$5:$O$546,0)))</f>
        <v>Minicafé</v>
      </c>
      <c r="AE133" s="15" t="str">
        <f t="shared" ref="AE133:AE196" si="36">IF(U133&lt;&gt;1,"",(SUMIF($W$5:$W$546,W133,$X$5:$X$546)-D133)*24)</f>
        <v/>
      </c>
      <c r="AF133" t="str">
        <f>IF(T133="","",IFERROR(MATCH(1,INDEX((MATCHER!$B$5:$B$504=A133)*(MATCHER!$D$5:$D$504=C133)*(MATCHER!$K$5:$K$504="Ja")*(MATCHER!$C$5:$C$504&lt;E133)*(MATCHER!$M$5:$M$504&gt;D133)*(ROW(MATCHER!$A$5:$A$504)-ROW(MATCHER!$A$5)+1&gt;T133),0),0),""))</f>
        <v/>
      </c>
    </row>
    <row r="134" spans="1:32" ht="13">
      <c r="A134" s="42">
        <v>46319</v>
      </c>
      <c r="B134" s="43" t="s">
        <v>85</v>
      </c>
      <c r="C134" s="43" t="s">
        <v>94</v>
      </c>
      <c r="D134" s="44">
        <v>0.52083333333333304</v>
      </c>
      <c r="E134" s="44">
        <v>0.54166666666666696</v>
      </c>
      <c r="F134" s="45" t="str">
        <f>IF(R134="","",HOUR(INDEX(MATCHER!$C$5:$C$504,R134))&amp;":"&amp;IF(MINUTE(INDEX(MATCHER!$C$5:$C$504,R134))&lt;10,"0","")&amp;MINUTE(INDEX(MATCHER!$C$5:$C$504,R134))&amp;" "&amp;INDEX(MATCHER!$H$5:$H$504,R134)&amp;" – "&amp;INDEX(MATCHER!$I$5:$I$504,R134))&amp;IF(S134="",""," | "&amp;HOUR(INDEX(MATCHER!$C$5:$C$504,S134))&amp;":"&amp;IF(MINUTE(INDEX(MATCHER!$C$5:$C$504,S134))&lt;10,"0","")&amp;MINUTE(INDEX(MATCHER!$C$5:$C$504,S134))&amp;" "&amp;INDEX(MATCHER!$H$5:$H$504,S134)&amp;" – "&amp;INDEX(MATCHER!$I$5:$I$504,S134))&amp;IF(T134="",""," | "&amp;HOUR(INDEX(MATCHER!$C$5:$C$504,T134))&amp;":"&amp;IF(MINUTE(INDEX(MATCHER!$C$5:$C$504,T134))&lt;10,"0","")&amp;MINUTE(INDEX(MATCHER!$C$5:$C$504,T134))&amp;" "&amp;INDEX(MATCHER!$H$5:$H$504,T134)&amp;" – "&amp;INDEX(MATCHER!$I$5:$I$504,T134))&amp;IF(AF134="",""," | "&amp;HOUR(INDEX(MATCHER!$C$5:$C$504,AF134))&amp;":"&amp;IF(MINUTE(INDEX(MATCHER!$C$5:$C$504,AF134))&lt;10,"0","")&amp;MINUTE(INDEX(MATCHER!$C$5:$C$504,AF134))&amp;" "&amp;INDEX(MATCHER!$H$5:$H$504,AF134)&amp;" – "&amp;INDEX(MATCHER!$I$5:$I$504,AF134))</f>
        <v/>
      </c>
      <c r="G134" s="45" t="str">
        <f>MID(IF(R134="","",IF(OR(INDEX(MATCHER!$J$5:$J$504,R134)=""),""," / "&amp;INDEX(MATCHER!$J$5:$J$504,R134)))&amp;IF(S134="","",IF(OR(INDEX(MATCHER!$J$5:$J$504,S134)="",INDEX(MATCHER!$J$5:$J$504,S134)=IFERROR(INDEX(MATCHER!$J$5:$J$504,R134),"")),""," / "&amp;INDEX(MATCHER!$J$5:$J$504,S134)))&amp;IF(T134="","",IF(OR(INDEX(MATCHER!$J$5:$J$504,T134)="",INDEX(MATCHER!$J$5:$J$504,T134)=IFERROR(INDEX(MATCHER!$J$5:$J$504,R134),""),INDEX(MATCHER!$J$5:$J$504,T134)=IFERROR(INDEX(MATCHER!$J$5:$J$504,S134),"")),""," / "&amp;INDEX(MATCHER!$J$5:$J$504,T134)))&amp;IF(AF134="","",IF(OR(INDEX(MATCHER!$J$5:$J$504,AF134)="",INDEX(MATCHER!$J$5:$J$504,AF134)=IFERROR(INDEX(MATCHER!$J$5:$J$504,R134),""),INDEX(MATCHER!$J$5:$J$504,AF134)=IFERROR(INDEX(MATCHER!$J$5:$J$504,S134),""),INDEX(MATCHER!$J$5:$J$504,AF134)=IFERROR(INDEX(MATCHER!$J$5:$J$504,T134),"")),""," / "&amp;INDEX(MATCHER!$J$5:$J$504,AF134))),4,1000)</f>
        <v/>
      </c>
      <c r="H134" s="45" t="str">
        <f>MID(IF(COUNTIFS(MATCHER!$B$5:$B$504,A134,MATCHER!$D$5:$D$504,C134,MATCHER!$J$5:$J$504,REGLER!$I$6,MATCHER!$K$5:$K$504,"Ja")+COUNTIFS(MATCHER!$B$5:$B$504,A134,MATCHER!$D$5:$D$504,C134,MATCHER!$J$5:$J$504,REGLER!$I$6&amp;" 2",MATCHER!$K$5:$K$504,"Ja")&gt;0,", "&amp;REGLER!$I$6,"")&amp;IF(COUNTIFS(MATCHER!$B$5:$B$504,A134,MATCHER!$D$5:$D$504,C134,MATCHER!$J$5:$J$504,REGLER!$I$7,MATCHER!$K$5:$K$504,"Ja")+COUNTIFS(MATCHER!$B$5:$B$504,A134,MATCHER!$D$5:$D$504,C134,MATCHER!$J$5:$J$504,REGLER!$I$7&amp;" 2",MATCHER!$K$5:$K$504,"Ja")&gt;0,", "&amp;REGLER!$I$7,"")&amp;IF(COUNTIFS(MATCHER!$B$5:$B$504,A134,MATCHER!$D$5:$D$504,C134,MATCHER!$J$5:$J$504,REGLER!$I$8,MATCHER!$K$5:$K$504,"Ja")+COUNTIFS(MATCHER!$B$5:$B$504,A134,MATCHER!$D$5:$D$504,C134,MATCHER!$J$5:$J$504,REGLER!$I$8&amp;" 2",MATCHER!$K$5:$K$504,"Ja")&gt;0,", "&amp;REGLER!$I$8,"")&amp;IF(COUNTIFS(MATCHER!$B$5:$B$504,A134,MATCHER!$D$5:$D$504,C134,MATCHER!$J$5:$J$504,REGLER!$I$9,MATCHER!$K$5:$K$504,"Ja")+COUNTIFS(MATCHER!$B$5:$B$504,A134,MATCHER!$D$5:$D$504,C134,MATCHER!$J$5:$J$504,REGLER!$I$9&amp;" 2",MATCHER!$K$5:$K$504,"Ja")&gt;0,", "&amp;REGLER!$I$9,"")&amp;IF(COUNTIFS(MATCHER!$B$5:$B$504,A134,MATCHER!$D$5:$D$504,C134,MATCHER!$J$5:$J$504,REGLER!$I$10,MATCHER!$K$5:$K$504,"Ja")+COUNTIFS(MATCHER!$B$5:$B$504,A134,MATCHER!$D$5:$D$504,C134,MATCHER!$J$5:$J$504,REGLER!$I$10&amp;" 2",MATCHER!$K$5:$K$504,"Ja")&gt;0,", "&amp;REGLER!$I$10,"")&amp;IF(COUNTIFS(MATCHER!$B$5:$B$504,A134,MATCHER!$D$5:$D$504,C134,MATCHER!$J$5:$J$504,REGLER!$I$11,MATCHER!$K$5:$K$504,"Ja")+COUNTIFS(MATCHER!$B$5:$B$504,A134,MATCHER!$D$5:$D$504,C134,MATCHER!$J$5:$J$504,REGLER!$I$11&amp;" 2",MATCHER!$K$5:$K$504,"Ja")&gt;0,", "&amp;REGLER!$I$11,"")&amp;IF(COUNTIFS(MATCHER!$B$5:$B$504,A134,MATCHER!$D$5:$D$504,C134,MATCHER!$J$5:$J$504,REGLER!$I$12,MATCHER!$K$5:$K$504,"Ja")+COUNTIFS(MATCHER!$B$5:$B$504,A134,MATCHER!$D$5:$D$504,C134,MATCHER!$J$5:$J$504,REGLER!$I$12&amp;" 2",MATCHER!$K$5:$K$504,"Ja")&gt;0,", "&amp;REGLER!$I$12,"")&amp;IF(COUNTIFS(MATCHER!$B$5:$B$504,A134,MATCHER!$D$5:$D$504,C134,MATCHER!$J$5:$J$504,REGLER!$I$13,MATCHER!$K$5:$K$504,"Ja")+COUNTIFS(MATCHER!$B$5:$B$504,A134,MATCHER!$D$5:$D$504,C134,MATCHER!$J$5:$J$504,REGLER!$I$13&amp;" 2",MATCHER!$K$5:$K$504,"Ja")&gt;0,", "&amp;REGLER!$I$13,"")&amp;IF(COUNTIFS(MATCHER!$B$5:$B$504,A134,MATCHER!$D$5:$D$504,C134,MATCHER!$J$5:$J$504,REGLER!$I$14,MATCHER!$K$5:$K$504,"Ja")+COUNTIFS(MATCHER!$B$5:$B$504,A134,MATCHER!$D$5:$D$504,C134,MATCHER!$J$5:$J$504,REGLER!$I$14&amp;" 2",MATCHER!$K$5:$K$504,"Ja")&gt;0,", "&amp;REGLER!$I$14,"")&amp;IF(COUNTIFS(MATCHER!$B$5:$B$504,A134,MATCHER!$D$5:$D$504,C134,MATCHER!$J$5:$J$504,REGLER!$I$15,MATCHER!$K$5:$K$504,"Ja")+COUNTIFS(MATCHER!$B$5:$B$504,A134,MATCHER!$D$5:$D$504,C134,MATCHER!$J$5:$J$504,REGLER!$I$15&amp;" 2",MATCHER!$K$5:$K$504,"Ja")&gt;0,", "&amp;REGLER!$I$15,"")&amp;IF(COUNTIFS(MATCHER!$B$5:$B$504,A134,MATCHER!$D$5:$D$504,C134,MATCHER!$J$5:$J$504,REGLER!$I$16,MATCHER!$K$5:$K$504,"Ja")+COUNTIFS(MATCHER!$B$5:$B$504,A134,MATCHER!$D$5:$D$504,C134,MATCHER!$J$5:$J$504,REGLER!$I$16&amp;" 2",MATCHER!$K$5:$K$504,"Ja")&gt;0,", "&amp;REGLER!$I$16,"")&amp;IF(COUNTIFS(MATCHER!$B$5:$B$504,A134,MATCHER!$D$5:$D$504,C134,MATCHER!$J$5:$J$504,REGLER!$I$17,MATCHER!$K$5:$K$504,"Ja")+COUNTIFS(MATCHER!$B$5:$B$504,A134,MATCHER!$D$5:$D$504,C134,MATCHER!$J$5:$J$504,REGLER!$I$17&amp;" 2",MATCHER!$K$5:$K$504,"Ja")&gt;0,", "&amp;REGLER!$I$17,"")&amp;IF(COUNTIFS(MATCHER!$B$5:$B$504,A134,MATCHER!$D$5:$D$504,C134,MATCHER!$J$5:$J$504,REGLER!$I$18,MATCHER!$K$5:$K$504,"Ja")+COUNTIFS(MATCHER!$B$5:$B$504,A134,MATCHER!$D$5:$D$504,C134,MATCHER!$J$5:$J$504,REGLER!$I$18&amp;" 2",MATCHER!$K$5:$K$504,"Ja")&gt;0,", "&amp;REGLER!$I$18,"")&amp;IF(COUNTIFS(MATCHER!$B$5:$B$504,A134,MATCHER!$D$5:$D$504,C134,MATCHER!$J$5:$J$504,REGLER!$I$19,MATCHER!$K$5:$K$504,"Ja")+COUNTIFS(MATCHER!$B$5:$B$504,A134,MATCHER!$D$5:$D$504,C134,MATCHER!$J$5:$J$504,REGLER!$I$19&amp;" 2",MATCHER!$K$5:$K$504,"Ja")&gt;0,", "&amp;REGLER!$I$19,"")&amp;IF(COUNTIFS(MATCHER!$B$5:$B$504,A134,MATCHER!$D$5:$D$504,C134,MATCHER!$J$5:$J$504,REGLER!$I$20,MATCHER!$K$5:$K$504,"Ja")+COUNTIFS(MATCHER!$B$5:$B$504,A134,MATCHER!$D$5:$D$504,C134,MATCHER!$J$5:$J$504,REGLER!$I$20&amp;" 2",MATCHER!$K$5:$K$504,"Ja")&gt;0,", "&amp;REGLER!$I$20,"")&amp;IF(COUNTIFS(MATCHER!$B$5:$B$504,A134,MATCHER!$D$5:$D$504,C134,MATCHER!$J$5:$J$504,REGLER!$I$21,MATCHER!$K$5:$K$504,"Ja")+COUNTIFS(MATCHER!$B$5:$B$504,A134,MATCHER!$D$5:$D$504,C134,MATCHER!$J$5:$J$504,REGLER!$I$21&amp;" 2",MATCHER!$K$5:$K$504,"Ja")&gt;0,", "&amp;REGLER!$I$21,"")&amp;IF(COUNTIFS(MATCHER!$B$5:$B$504,A134,MATCHER!$D$5:$D$504,C134,MATCHER!$J$5:$J$504,REGLER!$I$22,MATCHER!$K$5:$K$504,"Ja")+COUNTIFS(MATCHER!$B$5:$B$504,A134,MATCHER!$D$5:$D$504,C134,MATCHER!$J$5:$J$504,REGLER!$I$22&amp;" 2",MATCHER!$K$5:$K$504,"Ja")&gt;0,", "&amp;REGLER!$I$22,"")&amp;IF(COUNTIFS(MATCHER!$B$5:$B$504,A134,MATCHER!$D$5:$D$504,C134,MATCHER!$J$5:$J$504,REGLER!$I$23,MATCHER!$K$5:$K$504,"Ja")+COUNTIFS(MATCHER!$B$5:$B$504,A134,MATCHER!$D$5:$D$504,C134,MATCHER!$J$5:$J$504,REGLER!$I$23&amp;" 2",MATCHER!$K$5:$K$504,"Ja")&gt;0,", "&amp;REGLER!$I$23,"")&amp;IF(COUNTIFS(MATCHER!$B$5:$B$504,A134,MATCHER!$D$5:$D$504,C134,MATCHER!$J$5:$J$504,REGLER!$I$24,MATCHER!$K$5:$K$504,"Ja")+COUNTIFS(MATCHER!$B$5:$B$504,A134,MATCHER!$D$5:$D$504,C134,MATCHER!$J$5:$J$504,REGLER!$I$24&amp;" 2",MATCHER!$K$5:$K$504,"Ja")&gt;0,", "&amp;REGLER!$I$24,"")&amp;IF(COUNTIFS(MATCHER!$B$5:$B$504,A134,MATCHER!$D$5:$D$504,C134,MATCHER!$J$5:$J$504,REGLER!$I$25,MATCHER!$K$5:$K$504,"Ja")+COUNTIFS(MATCHER!$B$5:$B$504,A134,MATCHER!$D$5:$D$504,C134,MATCHER!$J$5:$J$504,REGLER!$I$25&amp;" 2",MATCHER!$K$5:$K$504,"Ja")&gt;0,", "&amp;REGLER!$I$25,"")&amp;IF(COUNTIFS(MATCHER!$B$5:$B$504,A134,MATCHER!$D$5:$D$504,C134,MATCHER!$J$5:$J$504,REGLER!$I$26,MATCHER!$K$5:$K$504,"Ja")+COUNTIFS(MATCHER!$B$5:$B$504,A134,MATCHER!$D$5:$D$504,C134,MATCHER!$J$5:$J$504,REGLER!$I$26&amp;" 2",MATCHER!$K$5:$K$504,"Ja")&gt;0,", "&amp;REGLER!$I$26,""),3,1000)</f>
        <v>Herr</v>
      </c>
      <c r="I134" s="46" t="s">
        <v>87</v>
      </c>
      <c r="J134" s="47"/>
      <c r="K134" s="48" t="s">
        <v>98</v>
      </c>
      <c r="L134" s="49"/>
      <c r="M134" s="50">
        <f>IF(O134&lt;&gt;O133,MAX(1,MIN(AA134,ROUNDUP(SUMPRODUCT(($O$5:$O$546=O134)*($I$5:$I$546="Ja")*($E$5:$E$546-$D$5:$D$546))*24/REGLER!$B$8,0))),"")</f>
        <v>1</v>
      </c>
      <c r="N134" s="50" t="str">
        <f t="shared" si="30"/>
        <v>Ej öppet</v>
      </c>
      <c r="O134" s="15" t="s">
        <v>115</v>
      </c>
      <c r="P134" s="16">
        <v>0.52083333333333304</v>
      </c>
      <c r="Q134" s="16">
        <v>0.625</v>
      </c>
      <c r="R134" s="15" t="str">
        <f>IFERROR(MATCH(1,INDEX((MATCHER!$B$5:$B$504=A134)*(MATCHER!$D$5:$D$504=C134)*(MATCHER!$K$5:$K$504="Ja")*(MATCHER!$C$5:$C$504&lt;E134)*(MATCHER!$M$5:$M$504&gt;D134),0),0),"")</f>
        <v/>
      </c>
      <c r="S134" s="15" t="str">
        <f>IF(R134="","",IFERROR(MATCH(1,INDEX((MATCHER!$B$5:$B$504=A134)*(MATCHER!$D$5:$D$504=C134)*(MATCHER!$K$5:$K$504="Ja")*(MATCHER!$C$5:$C$504&lt;E134)*(MATCHER!$M$5:$M$504&gt;D134)*(ROW(MATCHER!$A$5:$A$504)-ROW(MATCHER!$A$5)+1&gt;R134),0),0),""))</f>
        <v/>
      </c>
      <c r="T134" s="15" t="str">
        <f>IF(S134="","",IFERROR(MATCH(1,INDEX((MATCHER!$B$5:$B$504=A134)*(MATCHER!$D$5:$D$504=C134)*(MATCHER!$K$5:$K$504="Ja")*(MATCHER!$C$5:$C$504&lt;E134)*(MATCHER!$M$5:$M$504&gt;D134)*(ROW(MATCHER!$A$5:$A$504)-ROW(MATCHER!$A$5)+1&gt;S134),0),0),""))</f>
        <v/>
      </c>
      <c r="U134" s="15" t="str">
        <f t="shared" si="31"/>
        <v/>
      </c>
      <c r="V134" s="15" t="str">
        <f>IF(OR(I134&lt;&gt;"Ja",J134=""),"",COUNTIFS($O$5:O134,O134,$U$5:U134,1))</f>
        <v/>
      </c>
      <c r="W134" s="15" t="str">
        <f t="shared" si="32"/>
        <v/>
      </c>
      <c r="X134" s="16" t="str">
        <f t="shared" si="33"/>
        <v/>
      </c>
      <c r="Y134" s="15">
        <f>IF(OR(I134&lt;&gt;"Ja",J134=""),0,IF(COUNTIFS($O$5:O134,O134,$I$5:I134,"Ja",$J$5:J134,"&lt;&gt;")=1,1,0))</f>
        <v>0</v>
      </c>
      <c r="Z134" s="15">
        <f>IF(OR(I134&lt;&gt;"Ja",J134=""),0,IF(COUNTIFS(O134:$O$546,O134,I134:$I$546,"Ja",J134:$J$546,"&lt;&gt;")=1,1,0))</f>
        <v>0</v>
      </c>
      <c r="AA134" s="15">
        <f>IF(COUNTIFS(MATCHER!$B$5:$B$504,A134,MATCHER!$D$5:$D$504,C134,MATCHER!$J$5:$J$504,REGLER!$I$6,MATCHER!$K$5:$K$504,"Ja")+COUNTIFS(MATCHER!$B$5:$B$504,A134,MATCHER!$D$5:$D$504,C134,MATCHER!$J$5:$J$504,REGLER!$I$6&amp;" 2",MATCHER!$K$5:$K$504,"Ja")&gt;0,1,0)+IF(COUNTIFS(MATCHER!$B$5:$B$504,A134,MATCHER!$D$5:$D$504,C134,MATCHER!$J$5:$J$504,REGLER!$I$7,MATCHER!$K$5:$K$504,"Ja")+COUNTIFS(MATCHER!$B$5:$B$504,A134,MATCHER!$D$5:$D$504,C134,MATCHER!$J$5:$J$504,REGLER!$I$7&amp;" 2",MATCHER!$K$5:$K$504,"Ja")&gt;0,1,0)+IF(COUNTIFS(MATCHER!$B$5:$B$504,A134,MATCHER!$D$5:$D$504,C134,MATCHER!$J$5:$J$504,REGLER!$I$8,MATCHER!$K$5:$K$504,"Ja")+COUNTIFS(MATCHER!$B$5:$B$504,A134,MATCHER!$D$5:$D$504,C134,MATCHER!$J$5:$J$504,REGLER!$I$8&amp;" 2",MATCHER!$K$5:$K$504,"Ja")&gt;0,1,0)+IF(COUNTIFS(MATCHER!$B$5:$B$504,A134,MATCHER!$D$5:$D$504,C134,MATCHER!$J$5:$J$504,REGLER!$I$9,MATCHER!$K$5:$K$504,"Ja")+COUNTIFS(MATCHER!$B$5:$B$504,A134,MATCHER!$D$5:$D$504,C134,MATCHER!$J$5:$J$504,REGLER!$I$9&amp;" 2",MATCHER!$K$5:$K$504,"Ja")&gt;0,1,0)+IF(COUNTIFS(MATCHER!$B$5:$B$504,A134,MATCHER!$D$5:$D$504,C134,MATCHER!$J$5:$J$504,REGLER!$I$10,MATCHER!$K$5:$K$504,"Ja")+COUNTIFS(MATCHER!$B$5:$B$504,A134,MATCHER!$D$5:$D$504,C134,MATCHER!$J$5:$J$504,REGLER!$I$10&amp;" 2",MATCHER!$K$5:$K$504,"Ja")&gt;0,1,0)+IF(COUNTIFS(MATCHER!$B$5:$B$504,A134,MATCHER!$D$5:$D$504,C134,MATCHER!$J$5:$J$504,REGLER!$I$11,MATCHER!$K$5:$K$504,"Ja")+COUNTIFS(MATCHER!$B$5:$B$504,A134,MATCHER!$D$5:$D$504,C134,MATCHER!$J$5:$J$504,REGLER!$I$11&amp;" 2",MATCHER!$K$5:$K$504,"Ja")&gt;0,1,0)+IF(COUNTIFS(MATCHER!$B$5:$B$504,A134,MATCHER!$D$5:$D$504,C134,MATCHER!$J$5:$J$504,REGLER!$I$12,MATCHER!$K$5:$K$504,"Ja")+COUNTIFS(MATCHER!$B$5:$B$504,A134,MATCHER!$D$5:$D$504,C134,MATCHER!$J$5:$J$504,REGLER!$I$12&amp;" 2",MATCHER!$K$5:$K$504,"Ja")&gt;0,1,0)+IF(COUNTIFS(MATCHER!$B$5:$B$504,A134,MATCHER!$D$5:$D$504,C134,MATCHER!$J$5:$J$504,REGLER!$I$13,MATCHER!$K$5:$K$504,"Ja")+COUNTIFS(MATCHER!$B$5:$B$504,A134,MATCHER!$D$5:$D$504,C134,MATCHER!$J$5:$J$504,REGLER!$I$13&amp;" 2",MATCHER!$K$5:$K$504,"Ja")&gt;0,1,0)+IF(COUNTIFS(MATCHER!$B$5:$B$504,A134,MATCHER!$D$5:$D$504,C134,MATCHER!$J$5:$J$504,REGLER!$I$14,MATCHER!$K$5:$K$504,"Ja")+COUNTIFS(MATCHER!$B$5:$B$504,A134,MATCHER!$D$5:$D$504,C134,MATCHER!$J$5:$J$504,REGLER!$I$14&amp;" 2",MATCHER!$K$5:$K$504,"Ja")&gt;0,1,0)+IF(COUNTIFS(MATCHER!$B$5:$B$504,A134,MATCHER!$D$5:$D$504,C134,MATCHER!$J$5:$J$504,REGLER!$I$15,MATCHER!$K$5:$K$504,"Ja")+COUNTIFS(MATCHER!$B$5:$B$504,A134,MATCHER!$D$5:$D$504,C134,MATCHER!$J$5:$J$504,REGLER!$I$15&amp;" 2",MATCHER!$K$5:$K$504,"Ja")&gt;0,1,0)+IF(COUNTIFS(MATCHER!$B$5:$B$504,A134,MATCHER!$D$5:$D$504,C134,MATCHER!$J$5:$J$504,REGLER!$I$16,MATCHER!$K$5:$K$504,"Ja")+COUNTIFS(MATCHER!$B$5:$B$504,A134,MATCHER!$D$5:$D$504,C134,MATCHER!$J$5:$J$504,REGLER!$I$16&amp;" 2",MATCHER!$K$5:$K$504,"Ja")&gt;0,1,0)+IF(COUNTIFS(MATCHER!$B$5:$B$504,A134,MATCHER!$D$5:$D$504,C134,MATCHER!$J$5:$J$504,REGLER!$I$17,MATCHER!$K$5:$K$504,"Ja")+COUNTIFS(MATCHER!$B$5:$B$504,A134,MATCHER!$D$5:$D$504,C134,MATCHER!$J$5:$J$504,REGLER!$I$17&amp;" 2",MATCHER!$K$5:$K$504,"Ja")&gt;0,1,0)+IF(COUNTIFS(MATCHER!$B$5:$B$504,A134,MATCHER!$D$5:$D$504,C134,MATCHER!$J$5:$J$504,REGLER!$I$18,MATCHER!$K$5:$K$504,"Ja")+COUNTIFS(MATCHER!$B$5:$B$504,A134,MATCHER!$D$5:$D$504,C134,MATCHER!$J$5:$J$504,REGLER!$I$18&amp;" 2",MATCHER!$K$5:$K$504,"Ja")&gt;0,1,0)+IF(COUNTIFS(MATCHER!$B$5:$B$504,A134,MATCHER!$D$5:$D$504,C134,MATCHER!$J$5:$J$504,REGLER!$I$19,MATCHER!$K$5:$K$504,"Ja")+COUNTIFS(MATCHER!$B$5:$B$504,A134,MATCHER!$D$5:$D$504,C134,MATCHER!$J$5:$J$504,REGLER!$I$19&amp;" 2",MATCHER!$K$5:$K$504,"Ja")&gt;0,1,0)+IF(COUNTIFS(MATCHER!$B$5:$B$504,A134,MATCHER!$D$5:$D$504,C134,MATCHER!$J$5:$J$504,REGLER!$I$20,MATCHER!$K$5:$K$504,"Ja")+COUNTIFS(MATCHER!$B$5:$B$504,A134,MATCHER!$D$5:$D$504,C134,MATCHER!$J$5:$J$504,REGLER!$I$20&amp;" 2",MATCHER!$K$5:$K$504,"Ja")&gt;0,1,0)+IF(COUNTIFS(MATCHER!$B$5:$B$504,A134,MATCHER!$D$5:$D$504,C134,MATCHER!$J$5:$J$504,REGLER!$I$21,MATCHER!$K$5:$K$504,"Ja")+COUNTIFS(MATCHER!$B$5:$B$504,A134,MATCHER!$D$5:$D$504,C134,MATCHER!$J$5:$J$504,REGLER!$I$21&amp;" 2",MATCHER!$K$5:$K$504,"Ja")&gt;0,1,0)+IF(COUNTIFS(MATCHER!$B$5:$B$504,A134,MATCHER!$D$5:$D$504,C134,MATCHER!$J$5:$J$504,REGLER!$I$22,MATCHER!$K$5:$K$504,"Ja")+COUNTIFS(MATCHER!$B$5:$B$504,A134,MATCHER!$D$5:$D$504,C134,MATCHER!$J$5:$J$504,REGLER!$I$22&amp;" 2",MATCHER!$K$5:$K$504,"Ja")&gt;0,1,0)+IF(COUNTIFS(MATCHER!$B$5:$B$504,A134,MATCHER!$D$5:$D$504,C134,MATCHER!$J$5:$J$504,REGLER!$I$23,MATCHER!$K$5:$K$504,"Ja")+COUNTIFS(MATCHER!$B$5:$B$504,A134,MATCHER!$D$5:$D$504,C134,MATCHER!$J$5:$J$504,REGLER!$I$23&amp;" 2",MATCHER!$K$5:$K$504,"Ja")&gt;0,1,0)+IF(COUNTIFS(MATCHER!$B$5:$B$504,A134,MATCHER!$D$5:$D$504,C134,MATCHER!$J$5:$J$504,REGLER!$I$24,MATCHER!$K$5:$K$504,"Ja")+COUNTIFS(MATCHER!$B$5:$B$504,A134,MATCHER!$D$5:$D$504,C134,MATCHER!$J$5:$J$504,REGLER!$I$24&amp;" 2",MATCHER!$K$5:$K$504,"Ja")&gt;0,1,0)+IF(COUNTIFS(MATCHER!$B$5:$B$504,A134,MATCHER!$D$5:$D$504,C134,MATCHER!$J$5:$J$504,REGLER!$I$25,MATCHER!$K$5:$K$504,"Ja")+COUNTIFS(MATCHER!$B$5:$B$504,A134,MATCHER!$D$5:$D$504,C134,MATCHER!$J$5:$J$504,REGLER!$I$25&amp;" 2",MATCHER!$K$5:$K$504,"Ja")&gt;0,1,0)+IF(COUNTIFS(MATCHER!$B$5:$B$504,A134,MATCHER!$D$5:$D$504,C134,MATCHER!$J$5:$J$504,REGLER!$I$26,MATCHER!$K$5:$K$504,"Ja")+COUNTIFS(MATCHER!$B$5:$B$504,A134,MATCHER!$D$5:$D$504,C134,MATCHER!$J$5:$J$504,REGLER!$I$26&amp;" 2",MATCHER!$K$5:$K$504,"Ja")&gt;0,1,0)</f>
        <v>1</v>
      </c>
      <c r="AB134" s="15" t="str">
        <f>IF(U134&lt;&gt;1,"",COUNTIF($U$5:U134,1))</f>
        <v/>
      </c>
      <c r="AC134" s="15" t="str">
        <f t="shared" si="34"/>
        <v/>
      </c>
      <c r="AD134" s="15" t="str">
        <f t="shared" si="35"/>
        <v>Minicafé</v>
      </c>
      <c r="AE134" s="15" t="str">
        <f t="shared" si="36"/>
        <v/>
      </c>
      <c r="AF134" t="str">
        <f>IF(T134="","",IFERROR(MATCH(1,INDEX((MATCHER!$B$5:$B$504=A134)*(MATCHER!$D$5:$D$504=C134)*(MATCHER!$K$5:$K$504="Ja")*(MATCHER!$C$5:$C$504&lt;E134)*(MATCHER!$M$5:$M$504&gt;D134)*(ROW(MATCHER!$A$5:$A$504)-ROW(MATCHER!$A$5)+1&gt;T134),0),0),""))</f>
        <v/>
      </c>
    </row>
    <row r="135" spans="1:32" ht="13">
      <c r="A135" s="42">
        <v>46319</v>
      </c>
      <c r="B135" s="43" t="s">
        <v>85</v>
      </c>
      <c r="C135" s="43" t="s">
        <v>94</v>
      </c>
      <c r="D135" s="44">
        <v>0.54166666666666696</v>
      </c>
      <c r="E135" s="44">
        <v>0.5625</v>
      </c>
      <c r="F135" s="45" t="str">
        <f>IF(R135="","",HOUR(INDEX(MATCHER!$C$5:$C$504,R135))&amp;":"&amp;IF(MINUTE(INDEX(MATCHER!$C$5:$C$504,R135))&lt;10,"0","")&amp;MINUTE(INDEX(MATCHER!$C$5:$C$504,R135))&amp;" "&amp;INDEX(MATCHER!$H$5:$H$504,R135)&amp;" – "&amp;INDEX(MATCHER!$I$5:$I$504,R135))&amp;IF(S135="",""," | "&amp;HOUR(INDEX(MATCHER!$C$5:$C$504,S135))&amp;":"&amp;IF(MINUTE(INDEX(MATCHER!$C$5:$C$504,S135))&lt;10,"0","")&amp;MINUTE(INDEX(MATCHER!$C$5:$C$504,S135))&amp;" "&amp;INDEX(MATCHER!$H$5:$H$504,S135)&amp;" – "&amp;INDEX(MATCHER!$I$5:$I$504,S135))&amp;IF(T135="",""," | "&amp;HOUR(INDEX(MATCHER!$C$5:$C$504,T135))&amp;":"&amp;IF(MINUTE(INDEX(MATCHER!$C$5:$C$504,T135))&lt;10,"0","")&amp;MINUTE(INDEX(MATCHER!$C$5:$C$504,T135))&amp;" "&amp;INDEX(MATCHER!$H$5:$H$504,T135)&amp;" – "&amp;INDEX(MATCHER!$I$5:$I$504,T135))&amp;IF(AF135="",""," | "&amp;HOUR(INDEX(MATCHER!$C$5:$C$504,AF135))&amp;":"&amp;IF(MINUTE(INDEX(MATCHER!$C$5:$C$504,AF135))&lt;10,"0","")&amp;MINUTE(INDEX(MATCHER!$C$5:$C$504,AF135))&amp;" "&amp;INDEX(MATCHER!$H$5:$H$504,AF135)&amp;" – "&amp;INDEX(MATCHER!$I$5:$I$504,AF135))</f>
        <v/>
      </c>
      <c r="G135" s="45" t="str">
        <f>MID(IF(R135="","",IF(OR(INDEX(MATCHER!$J$5:$J$504,R135)=""),""," / "&amp;INDEX(MATCHER!$J$5:$J$504,R135)))&amp;IF(S135="","",IF(OR(INDEX(MATCHER!$J$5:$J$504,S135)="",INDEX(MATCHER!$J$5:$J$504,S135)=IFERROR(INDEX(MATCHER!$J$5:$J$504,R135),"")),""," / "&amp;INDEX(MATCHER!$J$5:$J$504,S135)))&amp;IF(T135="","",IF(OR(INDEX(MATCHER!$J$5:$J$504,T135)="",INDEX(MATCHER!$J$5:$J$504,T135)=IFERROR(INDEX(MATCHER!$J$5:$J$504,R135),""),INDEX(MATCHER!$J$5:$J$504,T135)=IFERROR(INDEX(MATCHER!$J$5:$J$504,S135),"")),""," / "&amp;INDEX(MATCHER!$J$5:$J$504,T135)))&amp;IF(AF135="","",IF(OR(INDEX(MATCHER!$J$5:$J$504,AF135)="",INDEX(MATCHER!$J$5:$J$504,AF135)=IFERROR(INDEX(MATCHER!$J$5:$J$504,R135),""),INDEX(MATCHER!$J$5:$J$504,AF135)=IFERROR(INDEX(MATCHER!$J$5:$J$504,S135),""),INDEX(MATCHER!$J$5:$J$504,AF135)=IFERROR(INDEX(MATCHER!$J$5:$J$504,T135),"")),""," / "&amp;INDEX(MATCHER!$J$5:$J$504,AF135))),4,1000)</f>
        <v/>
      </c>
      <c r="H135" s="45" t="str">
        <f>H134</f>
        <v>Herr</v>
      </c>
      <c r="I135" s="46" t="s">
        <v>87</v>
      </c>
      <c r="J135" s="47"/>
      <c r="K135" s="48"/>
      <c r="L135" s="49"/>
      <c r="M135" s="50" t="str">
        <f>IF(O135&lt;&gt;O134,MAX(1,MIN(AA135,ROUNDUP(SUMPRODUCT(($O$5:$O$546=O135)*($I$5:$I$546="Ja")*($E$5:$E$546-$D$5:$D$546))*24/REGLER!$B$8,0))),"")</f>
        <v/>
      </c>
      <c r="N135" s="50" t="str">
        <f t="shared" si="30"/>
        <v>Ej öppet</v>
      </c>
      <c r="O135" s="15" t="s">
        <v>115</v>
      </c>
      <c r="P135" s="16">
        <v>0.52083333333333304</v>
      </c>
      <c r="Q135" s="16">
        <v>0.625</v>
      </c>
      <c r="R135" s="15" t="str">
        <f>IFERROR(MATCH(1,INDEX((MATCHER!$B$5:$B$504=A135)*(MATCHER!$D$5:$D$504=C135)*(MATCHER!$K$5:$K$504="Ja")*(MATCHER!$C$5:$C$504&lt;E135)*(MATCHER!$M$5:$M$504&gt;D135),0),0),"")</f>
        <v/>
      </c>
      <c r="S135" s="15" t="str">
        <f>IF(R135="","",IFERROR(MATCH(1,INDEX((MATCHER!$B$5:$B$504=A135)*(MATCHER!$D$5:$D$504=C135)*(MATCHER!$K$5:$K$504="Ja")*(MATCHER!$C$5:$C$504&lt;E135)*(MATCHER!$M$5:$M$504&gt;D135)*(ROW(MATCHER!$A$5:$A$504)-ROW(MATCHER!$A$5)+1&gt;R135),0),0),""))</f>
        <v/>
      </c>
      <c r="T135" s="15" t="str">
        <f>IF(S135="","",IFERROR(MATCH(1,INDEX((MATCHER!$B$5:$B$504=A135)*(MATCHER!$D$5:$D$504=C135)*(MATCHER!$K$5:$K$504="Ja")*(MATCHER!$C$5:$C$504&lt;E135)*(MATCHER!$M$5:$M$504&gt;D135)*(ROW(MATCHER!$A$5:$A$504)-ROW(MATCHER!$A$5)+1&gt;S135),0),0),""))</f>
        <v/>
      </c>
      <c r="U135" s="15" t="str">
        <f t="shared" si="31"/>
        <v/>
      </c>
      <c r="V135" s="15" t="str">
        <f>IF(OR(I135&lt;&gt;"Ja",J135=""),"",COUNTIFS($O$5:O135,O135,$U$5:U135,1))</f>
        <v/>
      </c>
      <c r="W135" s="15" t="str">
        <f t="shared" si="32"/>
        <v/>
      </c>
      <c r="X135" s="16" t="str">
        <f t="shared" si="33"/>
        <v/>
      </c>
      <c r="Y135" s="15">
        <f>IF(OR(I135&lt;&gt;"Ja",J135=""),0,IF(COUNTIFS($O$5:O135,O135,$I$5:I135,"Ja",$J$5:J135,"&lt;&gt;")=1,1,0))</f>
        <v>0</v>
      </c>
      <c r="Z135" s="15">
        <f>IF(OR(I135&lt;&gt;"Ja",J135=""),0,IF(COUNTIFS(O135:$O$546,O135,I135:$I$546,"Ja",J135:$J$546,"&lt;&gt;")=1,1,0))</f>
        <v>0</v>
      </c>
      <c r="AA135" s="15">
        <f>AA134</f>
        <v>1</v>
      </c>
      <c r="AB135" s="15" t="str">
        <f>IF(U135&lt;&gt;1,"",COUNTIF($U$5:U135,1))</f>
        <v/>
      </c>
      <c r="AC135" s="15" t="str">
        <f t="shared" si="34"/>
        <v/>
      </c>
      <c r="AD135" s="15" t="str">
        <f t="shared" si="35"/>
        <v>Minicafé</v>
      </c>
      <c r="AE135" s="15" t="str">
        <f t="shared" si="36"/>
        <v/>
      </c>
      <c r="AF135" t="str">
        <f>IF(T135="","",IFERROR(MATCH(1,INDEX((MATCHER!$B$5:$B$504=A135)*(MATCHER!$D$5:$D$504=C135)*(MATCHER!$K$5:$K$504="Ja")*(MATCHER!$C$5:$C$504&lt;E135)*(MATCHER!$M$5:$M$504&gt;D135)*(ROW(MATCHER!$A$5:$A$504)-ROW(MATCHER!$A$5)+1&gt;T135),0),0),""))</f>
        <v/>
      </c>
    </row>
    <row r="136" spans="1:32" ht="13">
      <c r="A136" s="42">
        <v>46319</v>
      </c>
      <c r="B136" s="43" t="s">
        <v>85</v>
      </c>
      <c r="C136" s="43" t="s">
        <v>94</v>
      </c>
      <c r="D136" s="44">
        <v>0.5625</v>
      </c>
      <c r="E136" s="44">
        <v>0.58333333333333304</v>
      </c>
      <c r="F136" s="45" t="str">
        <f>IF(R136="","",HOUR(INDEX(MATCHER!$C$5:$C$504,R136))&amp;":"&amp;IF(MINUTE(INDEX(MATCHER!$C$5:$C$504,R136))&lt;10,"0","")&amp;MINUTE(INDEX(MATCHER!$C$5:$C$504,R136))&amp;" "&amp;INDEX(MATCHER!$H$5:$H$504,R136)&amp;" – "&amp;INDEX(MATCHER!$I$5:$I$504,R136))&amp;IF(S136="",""," | "&amp;HOUR(INDEX(MATCHER!$C$5:$C$504,S136))&amp;":"&amp;IF(MINUTE(INDEX(MATCHER!$C$5:$C$504,S136))&lt;10,"0","")&amp;MINUTE(INDEX(MATCHER!$C$5:$C$504,S136))&amp;" "&amp;INDEX(MATCHER!$H$5:$H$504,S136)&amp;" – "&amp;INDEX(MATCHER!$I$5:$I$504,S136))&amp;IF(T136="",""," | "&amp;HOUR(INDEX(MATCHER!$C$5:$C$504,T136))&amp;":"&amp;IF(MINUTE(INDEX(MATCHER!$C$5:$C$504,T136))&lt;10,"0","")&amp;MINUTE(INDEX(MATCHER!$C$5:$C$504,T136))&amp;" "&amp;INDEX(MATCHER!$H$5:$H$504,T136)&amp;" – "&amp;INDEX(MATCHER!$I$5:$I$504,T136))&amp;IF(AF136="",""," | "&amp;HOUR(INDEX(MATCHER!$C$5:$C$504,AF136))&amp;":"&amp;IF(MINUTE(INDEX(MATCHER!$C$5:$C$504,AF136))&lt;10,"0","")&amp;MINUTE(INDEX(MATCHER!$C$5:$C$504,AF136))&amp;" "&amp;INDEX(MATCHER!$H$5:$H$504,AF136)&amp;" – "&amp;INDEX(MATCHER!$I$5:$I$504,AF136))</f>
        <v>13:30 AIK – Tumba HK 2</v>
      </c>
      <c r="G136" s="45" t="str">
        <f>MID(IF(R136="","",IF(OR(INDEX(MATCHER!$J$5:$J$504,R136)=""),""," / "&amp;INDEX(MATCHER!$J$5:$J$504,R136)))&amp;IF(S136="","",IF(OR(INDEX(MATCHER!$J$5:$J$504,S136)="",INDEX(MATCHER!$J$5:$J$504,S136)=IFERROR(INDEX(MATCHER!$J$5:$J$504,R136),"")),""," / "&amp;INDEX(MATCHER!$J$5:$J$504,S136)))&amp;IF(T136="","",IF(OR(INDEX(MATCHER!$J$5:$J$504,T136)="",INDEX(MATCHER!$J$5:$J$504,T136)=IFERROR(INDEX(MATCHER!$J$5:$J$504,R136),""),INDEX(MATCHER!$J$5:$J$504,T136)=IFERROR(INDEX(MATCHER!$J$5:$J$504,S136),"")),""," / "&amp;INDEX(MATCHER!$J$5:$J$504,T136)))&amp;IF(AF136="","",IF(OR(INDEX(MATCHER!$J$5:$J$504,AF136)="",INDEX(MATCHER!$J$5:$J$504,AF136)=IFERROR(INDEX(MATCHER!$J$5:$J$504,R136),""),INDEX(MATCHER!$J$5:$J$504,AF136)=IFERROR(INDEX(MATCHER!$J$5:$J$504,S136),""),INDEX(MATCHER!$J$5:$J$504,AF136)=IFERROR(INDEX(MATCHER!$J$5:$J$504,T136),"")),""," / "&amp;INDEX(MATCHER!$J$5:$J$504,AF136))),4,1000)</f>
        <v>Herr</v>
      </c>
      <c r="H136" s="45" t="str">
        <f>H135</f>
        <v>Herr</v>
      </c>
      <c r="I136" s="46" t="s">
        <v>87</v>
      </c>
      <c r="J136" s="47"/>
      <c r="K136" s="48"/>
      <c r="L136" s="49"/>
      <c r="M136" s="50" t="str">
        <f>IF(O136&lt;&gt;O135,MAX(1,MIN(AA136,ROUNDUP(SUMPRODUCT(($O$5:$O$546=O136)*($I$5:$I$546="Ja")*($E$5:$E$546-$D$5:$D$546))*24/REGLER!$B$8,0))),"")</f>
        <v/>
      </c>
      <c r="N136" s="50" t="str">
        <f t="shared" si="30"/>
        <v>Ej öppet</v>
      </c>
      <c r="O136" s="15" t="s">
        <v>115</v>
      </c>
      <c r="P136" s="16">
        <v>0.52083333333333304</v>
      </c>
      <c r="Q136" s="16">
        <v>0.625</v>
      </c>
      <c r="R136" s="15">
        <f>IFERROR(MATCH(1,INDEX((MATCHER!$B$5:$B$504=A136)*(MATCHER!$D$5:$D$504=C136)*(MATCHER!$K$5:$K$504="Ja")*(MATCHER!$C$5:$C$504&lt;E136)*(MATCHER!$M$5:$M$504&gt;D136),0),0),"")</f>
        <v>44</v>
      </c>
      <c r="S136" s="15" t="str">
        <f>IF(R136="","",IFERROR(MATCH(1,INDEX((MATCHER!$B$5:$B$504=A136)*(MATCHER!$D$5:$D$504=C136)*(MATCHER!$K$5:$K$504="Ja")*(MATCHER!$C$5:$C$504&lt;E136)*(MATCHER!$M$5:$M$504&gt;D136)*(ROW(MATCHER!$A$5:$A$504)-ROW(MATCHER!$A$5)+1&gt;R136),0),0),""))</f>
        <v/>
      </c>
      <c r="T136" s="15" t="str">
        <f>IF(S136="","",IFERROR(MATCH(1,INDEX((MATCHER!$B$5:$B$504=A136)*(MATCHER!$D$5:$D$504=C136)*(MATCHER!$K$5:$K$504="Ja")*(MATCHER!$C$5:$C$504&lt;E136)*(MATCHER!$M$5:$M$504&gt;D136)*(ROW(MATCHER!$A$5:$A$504)-ROW(MATCHER!$A$5)+1&gt;S136),0),0),""))</f>
        <v/>
      </c>
      <c r="U136" s="15" t="str">
        <f t="shared" si="31"/>
        <v/>
      </c>
      <c r="V136" s="15" t="str">
        <f>IF(OR(I136&lt;&gt;"Ja",J136=""),"",COUNTIFS($O$5:O136,O136,$U$5:U136,1))</f>
        <v/>
      </c>
      <c r="W136" s="15" t="str">
        <f t="shared" si="32"/>
        <v/>
      </c>
      <c r="X136" s="16" t="str">
        <f t="shared" si="33"/>
        <v/>
      </c>
      <c r="Y136" s="15">
        <f>IF(OR(I136&lt;&gt;"Ja",J136=""),0,IF(COUNTIFS($O$5:O136,O136,$I$5:I136,"Ja",$J$5:J136,"&lt;&gt;")=1,1,0))</f>
        <v>0</v>
      </c>
      <c r="Z136" s="15">
        <f>IF(OR(I136&lt;&gt;"Ja",J136=""),0,IF(COUNTIFS(O136:$O$546,O136,I136:$I$546,"Ja",J136:$J$546,"&lt;&gt;")=1,1,0))</f>
        <v>0</v>
      </c>
      <c r="AA136" s="15">
        <f>AA135</f>
        <v>1</v>
      </c>
      <c r="AB136" s="15" t="str">
        <f>IF(U136&lt;&gt;1,"",COUNTIF($U$5:U136,1))</f>
        <v/>
      </c>
      <c r="AC136" s="15" t="str">
        <f t="shared" si="34"/>
        <v/>
      </c>
      <c r="AD136" s="15" t="str">
        <f t="shared" si="35"/>
        <v>Minicafé</v>
      </c>
      <c r="AE136" s="15" t="str">
        <f t="shared" si="36"/>
        <v/>
      </c>
      <c r="AF136" t="str">
        <f>IF(T136="","",IFERROR(MATCH(1,INDEX((MATCHER!$B$5:$B$504=A136)*(MATCHER!$D$5:$D$504=C136)*(MATCHER!$K$5:$K$504="Ja")*(MATCHER!$C$5:$C$504&lt;E136)*(MATCHER!$M$5:$M$504&gt;D136)*(ROW(MATCHER!$A$5:$A$504)-ROW(MATCHER!$A$5)+1&gt;T136),0),0),""))</f>
        <v/>
      </c>
    </row>
    <row r="137" spans="1:32" ht="13">
      <c r="A137" s="42">
        <v>46319</v>
      </c>
      <c r="B137" s="43" t="s">
        <v>85</v>
      </c>
      <c r="C137" s="43" t="s">
        <v>94</v>
      </c>
      <c r="D137" s="44">
        <v>0.58333333333333304</v>
      </c>
      <c r="E137" s="44">
        <v>0.60416666666666696</v>
      </c>
      <c r="F137" s="45" t="str">
        <f>IF(R137="","",HOUR(INDEX(MATCHER!$C$5:$C$504,R137))&amp;":"&amp;IF(MINUTE(INDEX(MATCHER!$C$5:$C$504,R137))&lt;10,"0","")&amp;MINUTE(INDEX(MATCHER!$C$5:$C$504,R137))&amp;" "&amp;INDEX(MATCHER!$H$5:$H$504,R137)&amp;" – "&amp;INDEX(MATCHER!$I$5:$I$504,R137))&amp;IF(S137="",""," | "&amp;HOUR(INDEX(MATCHER!$C$5:$C$504,S137))&amp;":"&amp;IF(MINUTE(INDEX(MATCHER!$C$5:$C$504,S137))&lt;10,"0","")&amp;MINUTE(INDEX(MATCHER!$C$5:$C$504,S137))&amp;" "&amp;INDEX(MATCHER!$H$5:$H$504,S137)&amp;" – "&amp;INDEX(MATCHER!$I$5:$I$504,S137))&amp;IF(T137="",""," | "&amp;HOUR(INDEX(MATCHER!$C$5:$C$504,T137))&amp;":"&amp;IF(MINUTE(INDEX(MATCHER!$C$5:$C$504,T137))&lt;10,"0","")&amp;MINUTE(INDEX(MATCHER!$C$5:$C$504,T137))&amp;" "&amp;INDEX(MATCHER!$H$5:$H$504,T137)&amp;" – "&amp;INDEX(MATCHER!$I$5:$I$504,T137))&amp;IF(AF137="",""," | "&amp;HOUR(INDEX(MATCHER!$C$5:$C$504,AF137))&amp;":"&amp;IF(MINUTE(INDEX(MATCHER!$C$5:$C$504,AF137))&lt;10,"0","")&amp;MINUTE(INDEX(MATCHER!$C$5:$C$504,AF137))&amp;" "&amp;INDEX(MATCHER!$H$5:$H$504,AF137)&amp;" – "&amp;INDEX(MATCHER!$I$5:$I$504,AF137))</f>
        <v>13:30 AIK – Tumba HK 2</v>
      </c>
      <c r="G137" s="45" t="str">
        <f>MID(IF(R137="","",IF(OR(INDEX(MATCHER!$J$5:$J$504,R137)=""),""," / "&amp;INDEX(MATCHER!$J$5:$J$504,R137)))&amp;IF(S137="","",IF(OR(INDEX(MATCHER!$J$5:$J$504,S137)="",INDEX(MATCHER!$J$5:$J$504,S137)=IFERROR(INDEX(MATCHER!$J$5:$J$504,R137),"")),""," / "&amp;INDEX(MATCHER!$J$5:$J$504,S137)))&amp;IF(T137="","",IF(OR(INDEX(MATCHER!$J$5:$J$504,T137)="",INDEX(MATCHER!$J$5:$J$504,T137)=IFERROR(INDEX(MATCHER!$J$5:$J$504,R137),""),INDEX(MATCHER!$J$5:$J$504,T137)=IFERROR(INDEX(MATCHER!$J$5:$J$504,S137),"")),""," / "&amp;INDEX(MATCHER!$J$5:$J$504,T137)))&amp;IF(AF137="","",IF(OR(INDEX(MATCHER!$J$5:$J$504,AF137)="",INDEX(MATCHER!$J$5:$J$504,AF137)=IFERROR(INDEX(MATCHER!$J$5:$J$504,R137),""),INDEX(MATCHER!$J$5:$J$504,AF137)=IFERROR(INDEX(MATCHER!$J$5:$J$504,S137),""),INDEX(MATCHER!$J$5:$J$504,AF137)=IFERROR(INDEX(MATCHER!$J$5:$J$504,T137),"")),""," / "&amp;INDEX(MATCHER!$J$5:$J$504,AF137))),4,1000)</f>
        <v>Herr</v>
      </c>
      <c r="H137" s="45" t="str">
        <f>H136</f>
        <v>Herr</v>
      </c>
      <c r="I137" s="46" t="s">
        <v>87</v>
      </c>
      <c r="J137" s="47"/>
      <c r="K137" s="48"/>
      <c r="L137" s="49"/>
      <c r="M137" s="50" t="str">
        <f>IF(O137&lt;&gt;O136,MAX(1,MIN(AA137,ROUNDUP(SUMPRODUCT(($O$5:$O$546=O137)*($I$5:$I$546="Ja")*($E$5:$E$546-$D$5:$D$546))*24/REGLER!$B$8,0))),"")</f>
        <v/>
      </c>
      <c r="N137" s="50" t="str">
        <f t="shared" si="30"/>
        <v>Ej öppet</v>
      </c>
      <c r="O137" s="15" t="s">
        <v>115</v>
      </c>
      <c r="P137" s="16">
        <v>0.52083333333333304</v>
      </c>
      <c r="Q137" s="16">
        <v>0.625</v>
      </c>
      <c r="R137" s="15">
        <f>IFERROR(MATCH(1,INDEX((MATCHER!$B$5:$B$504=A137)*(MATCHER!$D$5:$D$504=C137)*(MATCHER!$K$5:$K$504="Ja")*(MATCHER!$C$5:$C$504&lt;E137)*(MATCHER!$M$5:$M$504&gt;D137),0),0),"")</f>
        <v>44</v>
      </c>
      <c r="S137" s="15" t="str">
        <f>IF(R137="","",IFERROR(MATCH(1,INDEX((MATCHER!$B$5:$B$504=A137)*(MATCHER!$D$5:$D$504=C137)*(MATCHER!$K$5:$K$504="Ja")*(MATCHER!$C$5:$C$504&lt;E137)*(MATCHER!$M$5:$M$504&gt;D137)*(ROW(MATCHER!$A$5:$A$504)-ROW(MATCHER!$A$5)+1&gt;R137),0),0),""))</f>
        <v/>
      </c>
      <c r="T137" s="15" t="str">
        <f>IF(S137="","",IFERROR(MATCH(1,INDEX((MATCHER!$B$5:$B$504=A137)*(MATCHER!$D$5:$D$504=C137)*(MATCHER!$K$5:$K$504="Ja")*(MATCHER!$C$5:$C$504&lt;E137)*(MATCHER!$M$5:$M$504&gt;D137)*(ROW(MATCHER!$A$5:$A$504)-ROW(MATCHER!$A$5)+1&gt;S137),0),0),""))</f>
        <v/>
      </c>
      <c r="U137" s="15" t="str">
        <f t="shared" si="31"/>
        <v/>
      </c>
      <c r="V137" s="15" t="str">
        <f>IF(OR(I137&lt;&gt;"Ja",J137=""),"",COUNTIFS($O$5:O137,O137,$U$5:U137,1))</f>
        <v/>
      </c>
      <c r="W137" s="15" t="str">
        <f t="shared" si="32"/>
        <v/>
      </c>
      <c r="X137" s="16" t="str">
        <f t="shared" si="33"/>
        <v/>
      </c>
      <c r="Y137" s="15">
        <f>IF(OR(I137&lt;&gt;"Ja",J137=""),0,IF(COUNTIFS($O$5:O137,O137,$I$5:I137,"Ja",$J$5:J137,"&lt;&gt;")=1,1,0))</f>
        <v>0</v>
      </c>
      <c r="Z137" s="15">
        <f>IF(OR(I137&lt;&gt;"Ja",J137=""),0,IF(COUNTIFS(O137:$O$546,O137,I137:$I$546,"Ja",J137:$J$546,"&lt;&gt;")=1,1,0))</f>
        <v>0</v>
      </c>
      <c r="AA137" s="15">
        <f>AA136</f>
        <v>1</v>
      </c>
      <c r="AB137" s="15" t="str">
        <f>IF(U137&lt;&gt;1,"",COUNTIF($U$5:U137,1))</f>
        <v/>
      </c>
      <c r="AC137" s="15" t="str">
        <f t="shared" si="34"/>
        <v/>
      </c>
      <c r="AD137" s="15" t="str">
        <f t="shared" si="35"/>
        <v>Minicafé</v>
      </c>
      <c r="AE137" s="15" t="str">
        <f t="shared" si="36"/>
        <v/>
      </c>
      <c r="AF137" t="str">
        <f>IF(T137="","",IFERROR(MATCH(1,INDEX((MATCHER!$B$5:$B$504=A137)*(MATCHER!$D$5:$D$504=C137)*(MATCHER!$K$5:$K$504="Ja")*(MATCHER!$C$5:$C$504&lt;E137)*(MATCHER!$M$5:$M$504&gt;D137)*(ROW(MATCHER!$A$5:$A$504)-ROW(MATCHER!$A$5)+1&gt;T137),0),0),""))</f>
        <v/>
      </c>
    </row>
    <row r="138" spans="1:32" ht="13.5" thickBot="1">
      <c r="A138" s="52">
        <v>46319</v>
      </c>
      <c r="B138" s="53" t="s">
        <v>85</v>
      </c>
      <c r="C138" s="53" t="s">
        <v>94</v>
      </c>
      <c r="D138" s="54">
        <v>0.60416666666666696</v>
      </c>
      <c r="E138" s="54">
        <v>0.625</v>
      </c>
      <c r="F138" s="55" t="str">
        <f>IF(R138="","",HOUR(INDEX(MATCHER!$C$5:$C$504,R138))&amp;":"&amp;IF(MINUTE(INDEX(MATCHER!$C$5:$C$504,R138))&lt;10,"0","")&amp;MINUTE(INDEX(MATCHER!$C$5:$C$504,R138))&amp;" "&amp;INDEX(MATCHER!$H$5:$H$504,R138)&amp;" – "&amp;INDEX(MATCHER!$I$5:$I$504,R138))&amp;IF(S138="",""," | "&amp;HOUR(INDEX(MATCHER!$C$5:$C$504,S138))&amp;":"&amp;IF(MINUTE(INDEX(MATCHER!$C$5:$C$504,S138))&lt;10,"0","")&amp;MINUTE(INDEX(MATCHER!$C$5:$C$504,S138))&amp;" "&amp;INDEX(MATCHER!$H$5:$H$504,S138)&amp;" – "&amp;INDEX(MATCHER!$I$5:$I$504,S138))&amp;IF(T138="",""," | "&amp;HOUR(INDEX(MATCHER!$C$5:$C$504,T138))&amp;":"&amp;IF(MINUTE(INDEX(MATCHER!$C$5:$C$504,T138))&lt;10,"0","")&amp;MINUTE(INDEX(MATCHER!$C$5:$C$504,T138))&amp;" "&amp;INDEX(MATCHER!$H$5:$H$504,T138)&amp;" – "&amp;INDEX(MATCHER!$I$5:$I$504,T138))&amp;IF(AF138="",""," | "&amp;HOUR(INDEX(MATCHER!$C$5:$C$504,AF138))&amp;":"&amp;IF(MINUTE(INDEX(MATCHER!$C$5:$C$504,AF138))&lt;10,"0","")&amp;MINUTE(INDEX(MATCHER!$C$5:$C$504,AF138))&amp;" "&amp;INDEX(MATCHER!$H$5:$H$504,AF138)&amp;" – "&amp;INDEX(MATCHER!$I$5:$I$504,AF138))</f>
        <v>13:30 AIK – Tumba HK 2</v>
      </c>
      <c r="G138" s="55" t="str">
        <f>MID(IF(R138="","",IF(OR(INDEX(MATCHER!$J$5:$J$504,R138)=""),""," / "&amp;INDEX(MATCHER!$J$5:$J$504,R138)))&amp;IF(S138="","",IF(OR(INDEX(MATCHER!$J$5:$J$504,S138)="",INDEX(MATCHER!$J$5:$J$504,S138)=IFERROR(INDEX(MATCHER!$J$5:$J$504,R138),"")),""," / "&amp;INDEX(MATCHER!$J$5:$J$504,S138)))&amp;IF(T138="","",IF(OR(INDEX(MATCHER!$J$5:$J$504,T138)="",INDEX(MATCHER!$J$5:$J$504,T138)=IFERROR(INDEX(MATCHER!$J$5:$J$504,R138),""),INDEX(MATCHER!$J$5:$J$504,T138)=IFERROR(INDEX(MATCHER!$J$5:$J$504,S138),"")),""," / "&amp;INDEX(MATCHER!$J$5:$J$504,T138)))&amp;IF(AF138="","",IF(OR(INDEX(MATCHER!$J$5:$J$504,AF138)="",INDEX(MATCHER!$J$5:$J$504,AF138)=IFERROR(INDEX(MATCHER!$J$5:$J$504,R138),""),INDEX(MATCHER!$J$5:$J$504,AF138)=IFERROR(INDEX(MATCHER!$J$5:$J$504,S138),""),INDEX(MATCHER!$J$5:$J$504,AF138)=IFERROR(INDEX(MATCHER!$J$5:$J$504,T138),"")),""," / "&amp;INDEX(MATCHER!$J$5:$J$504,AF138))),4,1000)</f>
        <v>Herr</v>
      </c>
      <c r="H138" s="55" t="str">
        <f>H137</f>
        <v>Herr</v>
      </c>
      <c r="I138" s="56" t="s">
        <v>87</v>
      </c>
      <c r="J138" s="57"/>
      <c r="K138" s="58"/>
      <c r="L138" s="59"/>
      <c r="M138" s="60" t="str">
        <f>IF(O138&lt;&gt;O137,MAX(1,MIN(AA138,ROUNDUP(SUMPRODUCT(($O$5:$O$546=O138)*($I$5:$I$546="Ja")*($E$5:$E$546-$D$5:$D$546))*24/REGLER!$B$8,0))),"")</f>
        <v/>
      </c>
      <c r="N138" s="60" t="str">
        <f t="shared" si="30"/>
        <v>Ej öppet</v>
      </c>
      <c r="O138" s="15" t="s">
        <v>115</v>
      </c>
      <c r="P138" s="16">
        <v>0.52083333333333304</v>
      </c>
      <c r="Q138" s="16">
        <v>0.625</v>
      </c>
      <c r="R138" s="15">
        <f>IFERROR(MATCH(1,INDEX((MATCHER!$B$5:$B$504=A138)*(MATCHER!$D$5:$D$504=C138)*(MATCHER!$K$5:$K$504="Ja")*(MATCHER!$C$5:$C$504&lt;E138)*(MATCHER!$M$5:$M$504&gt;D138),0),0),"")</f>
        <v>44</v>
      </c>
      <c r="S138" s="15" t="str">
        <f>IF(R138="","",IFERROR(MATCH(1,INDEX((MATCHER!$B$5:$B$504=A138)*(MATCHER!$D$5:$D$504=C138)*(MATCHER!$K$5:$K$504="Ja")*(MATCHER!$C$5:$C$504&lt;E138)*(MATCHER!$M$5:$M$504&gt;D138)*(ROW(MATCHER!$A$5:$A$504)-ROW(MATCHER!$A$5)+1&gt;R138),0),0),""))</f>
        <v/>
      </c>
      <c r="T138" s="15" t="str">
        <f>IF(S138="","",IFERROR(MATCH(1,INDEX((MATCHER!$B$5:$B$504=A138)*(MATCHER!$D$5:$D$504=C138)*(MATCHER!$K$5:$K$504="Ja")*(MATCHER!$C$5:$C$504&lt;E138)*(MATCHER!$M$5:$M$504&gt;D138)*(ROW(MATCHER!$A$5:$A$504)-ROW(MATCHER!$A$5)+1&gt;S138),0),0),""))</f>
        <v/>
      </c>
      <c r="U138" s="15" t="str">
        <f t="shared" si="31"/>
        <v/>
      </c>
      <c r="V138" s="15" t="str">
        <f>IF(OR(I138&lt;&gt;"Ja",J138=""),"",COUNTIFS($O$5:O138,O138,$U$5:U138,1))</f>
        <v/>
      </c>
      <c r="W138" s="15" t="str">
        <f t="shared" si="32"/>
        <v/>
      </c>
      <c r="X138" s="16" t="str">
        <f t="shared" si="33"/>
        <v/>
      </c>
      <c r="Y138" s="15">
        <f>IF(OR(I138&lt;&gt;"Ja",J138=""),0,IF(COUNTIFS($O$5:O138,O138,$I$5:I138,"Ja",$J$5:J138,"&lt;&gt;")=1,1,0))</f>
        <v>0</v>
      </c>
      <c r="Z138" s="15">
        <f>IF(OR(I138&lt;&gt;"Ja",J138=""),0,IF(COUNTIFS(O138:$O$546,O138,I138:$I$546,"Ja",J138:$J$546,"&lt;&gt;")=1,1,0))</f>
        <v>0</v>
      </c>
      <c r="AA138" s="15">
        <f>AA137</f>
        <v>1</v>
      </c>
      <c r="AB138" s="15" t="str">
        <f>IF(U138&lt;&gt;1,"",COUNTIF($U$5:U138,1))</f>
        <v/>
      </c>
      <c r="AC138" s="15" t="str">
        <f t="shared" si="34"/>
        <v/>
      </c>
      <c r="AD138" s="15" t="str">
        <f t="shared" si="35"/>
        <v>Minicafé</v>
      </c>
      <c r="AE138" s="15" t="str">
        <f t="shared" si="36"/>
        <v/>
      </c>
      <c r="AF138" t="str">
        <f>IF(T138="","",IFERROR(MATCH(1,INDEX((MATCHER!$B$5:$B$504=A138)*(MATCHER!$D$5:$D$504=C138)*(MATCHER!$K$5:$K$504="Ja")*(MATCHER!$C$5:$C$504&lt;E138)*(MATCHER!$M$5:$M$504&gt;D138)*(ROW(MATCHER!$A$5:$A$504)-ROW(MATCHER!$A$5)+1&gt;T138),0),0),""))</f>
        <v/>
      </c>
    </row>
    <row r="139" spans="1:32" ht="13">
      <c r="A139" s="42">
        <v>46329</v>
      </c>
      <c r="B139" s="43" t="s">
        <v>104</v>
      </c>
      <c r="C139" s="43" t="s">
        <v>94</v>
      </c>
      <c r="D139" s="44">
        <v>0.83333333333333304</v>
      </c>
      <c r="E139" s="44">
        <v>0.85416666666666696</v>
      </c>
      <c r="F139" s="45" t="str">
        <f>IF(R139="","",HOUR(INDEX(MATCHER!$C$5:$C$504,R139))&amp;":"&amp;IF(MINUTE(INDEX(MATCHER!$C$5:$C$504,R139))&lt;10,"0","")&amp;MINUTE(INDEX(MATCHER!$C$5:$C$504,R139))&amp;" "&amp;INDEX(MATCHER!$H$5:$H$504,R139)&amp;" – "&amp;INDEX(MATCHER!$I$5:$I$504,R139))&amp;IF(S139="",""," | "&amp;HOUR(INDEX(MATCHER!$C$5:$C$504,S139))&amp;":"&amp;IF(MINUTE(INDEX(MATCHER!$C$5:$C$504,S139))&lt;10,"0","")&amp;MINUTE(INDEX(MATCHER!$C$5:$C$504,S139))&amp;" "&amp;INDEX(MATCHER!$H$5:$H$504,S139)&amp;" – "&amp;INDEX(MATCHER!$I$5:$I$504,S139))&amp;IF(T139="",""," | "&amp;HOUR(INDEX(MATCHER!$C$5:$C$504,T139))&amp;":"&amp;IF(MINUTE(INDEX(MATCHER!$C$5:$C$504,T139))&lt;10,"0","")&amp;MINUTE(INDEX(MATCHER!$C$5:$C$504,T139))&amp;" "&amp;INDEX(MATCHER!$H$5:$H$504,T139)&amp;" – "&amp;INDEX(MATCHER!$I$5:$I$504,T139))&amp;IF(AF139="",""," | "&amp;HOUR(INDEX(MATCHER!$C$5:$C$504,AF139))&amp;":"&amp;IF(MINUTE(INDEX(MATCHER!$C$5:$C$504,AF139))&lt;10,"0","")&amp;MINUTE(INDEX(MATCHER!$C$5:$C$504,AF139))&amp;" "&amp;INDEX(MATCHER!$H$5:$H$504,AF139)&amp;" – "&amp;INDEX(MATCHER!$I$5:$I$504,AF139))</f>
        <v/>
      </c>
      <c r="G139" s="45" t="str">
        <f>MID(IF(R139="","",IF(OR(INDEX(MATCHER!$J$5:$J$504,R139)=""),""," / "&amp;INDEX(MATCHER!$J$5:$J$504,R139)))&amp;IF(S139="","",IF(OR(INDEX(MATCHER!$J$5:$J$504,S139)="",INDEX(MATCHER!$J$5:$J$504,S139)=IFERROR(INDEX(MATCHER!$J$5:$J$504,R139),"")),""," / "&amp;INDEX(MATCHER!$J$5:$J$504,S139)))&amp;IF(T139="","",IF(OR(INDEX(MATCHER!$J$5:$J$504,T139)="",INDEX(MATCHER!$J$5:$J$504,T139)=IFERROR(INDEX(MATCHER!$J$5:$J$504,R139),""),INDEX(MATCHER!$J$5:$J$504,T139)=IFERROR(INDEX(MATCHER!$J$5:$J$504,S139),"")),""," / "&amp;INDEX(MATCHER!$J$5:$J$504,T139)))&amp;IF(AF139="","",IF(OR(INDEX(MATCHER!$J$5:$J$504,AF139)="",INDEX(MATCHER!$J$5:$J$504,AF139)=IFERROR(INDEX(MATCHER!$J$5:$J$504,R139),""),INDEX(MATCHER!$J$5:$J$504,AF139)=IFERROR(INDEX(MATCHER!$J$5:$J$504,S139),""),INDEX(MATCHER!$J$5:$J$504,AF139)=IFERROR(INDEX(MATCHER!$J$5:$J$504,T139),"")),""," / "&amp;INDEX(MATCHER!$J$5:$J$504,AF139))),4,1000)</f>
        <v/>
      </c>
      <c r="H139" s="45" t="str">
        <f>MID(IF(COUNTIFS(MATCHER!$B$5:$B$504,A139,MATCHER!$D$5:$D$504,C139,MATCHER!$J$5:$J$504,REGLER!$I$6,MATCHER!$K$5:$K$504,"Ja")+COUNTIFS(MATCHER!$B$5:$B$504,A139,MATCHER!$D$5:$D$504,C139,MATCHER!$J$5:$J$504,REGLER!$I$6&amp;" 2",MATCHER!$K$5:$K$504,"Ja")&gt;0,", "&amp;REGLER!$I$6,"")&amp;IF(COUNTIFS(MATCHER!$B$5:$B$504,A139,MATCHER!$D$5:$D$504,C139,MATCHER!$J$5:$J$504,REGLER!$I$7,MATCHER!$K$5:$K$504,"Ja")+COUNTIFS(MATCHER!$B$5:$B$504,A139,MATCHER!$D$5:$D$504,C139,MATCHER!$J$5:$J$504,REGLER!$I$7&amp;" 2",MATCHER!$K$5:$K$504,"Ja")&gt;0,", "&amp;REGLER!$I$7,"")&amp;IF(COUNTIFS(MATCHER!$B$5:$B$504,A139,MATCHER!$D$5:$D$504,C139,MATCHER!$J$5:$J$504,REGLER!$I$8,MATCHER!$K$5:$K$504,"Ja")+COUNTIFS(MATCHER!$B$5:$B$504,A139,MATCHER!$D$5:$D$504,C139,MATCHER!$J$5:$J$504,REGLER!$I$8&amp;" 2",MATCHER!$K$5:$K$504,"Ja")&gt;0,", "&amp;REGLER!$I$8,"")&amp;IF(COUNTIFS(MATCHER!$B$5:$B$504,A139,MATCHER!$D$5:$D$504,C139,MATCHER!$J$5:$J$504,REGLER!$I$9,MATCHER!$K$5:$K$504,"Ja")+COUNTIFS(MATCHER!$B$5:$B$504,A139,MATCHER!$D$5:$D$504,C139,MATCHER!$J$5:$J$504,REGLER!$I$9&amp;" 2",MATCHER!$K$5:$K$504,"Ja")&gt;0,", "&amp;REGLER!$I$9,"")&amp;IF(COUNTIFS(MATCHER!$B$5:$B$504,A139,MATCHER!$D$5:$D$504,C139,MATCHER!$J$5:$J$504,REGLER!$I$10,MATCHER!$K$5:$K$504,"Ja")+COUNTIFS(MATCHER!$B$5:$B$504,A139,MATCHER!$D$5:$D$504,C139,MATCHER!$J$5:$J$504,REGLER!$I$10&amp;" 2",MATCHER!$K$5:$K$504,"Ja")&gt;0,", "&amp;REGLER!$I$10,"")&amp;IF(COUNTIFS(MATCHER!$B$5:$B$504,A139,MATCHER!$D$5:$D$504,C139,MATCHER!$J$5:$J$504,REGLER!$I$11,MATCHER!$K$5:$K$504,"Ja")+COUNTIFS(MATCHER!$B$5:$B$504,A139,MATCHER!$D$5:$D$504,C139,MATCHER!$J$5:$J$504,REGLER!$I$11&amp;" 2",MATCHER!$K$5:$K$504,"Ja")&gt;0,", "&amp;REGLER!$I$11,"")&amp;IF(COUNTIFS(MATCHER!$B$5:$B$504,A139,MATCHER!$D$5:$D$504,C139,MATCHER!$J$5:$J$504,REGLER!$I$12,MATCHER!$K$5:$K$504,"Ja")+COUNTIFS(MATCHER!$B$5:$B$504,A139,MATCHER!$D$5:$D$504,C139,MATCHER!$J$5:$J$504,REGLER!$I$12&amp;" 2",MATCHER!$K$5:$K$504,"Ja")&gt;0,", "&amp;REGLER!$I$12,"")&amp;IF(COUNTIFS(MATCHER!$B$5:$B$504,A139,MATCHER!$D$5:$D$504,C139,MATCHER!$J$5:$J$504,REGLER!$I$13,MATCHER!$K$5:$K$504,"Ja")+COUNTIFS(MATCHER!$B$5:$B$504,A139,MATCHER!$D$5:$D$504,C139,MATCHER!$J$5:$J$504,REGLER!$I$13&amp;" 2",MATCHER!$K$5:$K$504,"Ja")&gt;0,", "&amp;REGLER!$I$13,"")&amp;IF(COUNTIFS(MATCHER!$B$5:$B$504,A139,MATCHER!$D$5:$D$504,C139,MATCHER!$J$5:$J$504,REGLER!$I$14,MATCHER!$K$5:$K$504,"Ja")+COUNTIFS(MATCHER!$B$5:$B$504,A139,MATCHER!$D$5:$D$504,C139,MATCHER!$J$5:$J$504,REGLER!$I$14&amp;" 2",MATCHER!$K$5:$K$504,"Ja")&gt;0,", "&amp;REGLER!$I$14,"")&amp;IF(COUNTIFS(MATCHER!$B$5:$B$504,A139,MATCHER!$D$5:$D$504,C139,MATCHER!$J$5:$J$504,REGLER!$I$15,MATCHER!$K$5:$K$504,"Ja")+COUNTIFS(MATCHER!$B$5:$B$504,A139,MATCHER!$D$5:$D$504,C139,MATCHER!$J$5:$J$504,REGLER!$I$15&amp;" 2",MATCHER!$K$5:$K$504,"Ja")&gt;0,", "&amp;REGLER!$I$15,"")&amp;IF(COUNTIFS(MATCHER!$B$5:$B$504,A139,MATCHER!$D$5:$D$504,C139,MATCHER!$J$5:$J$504,REGLER!$I$16,MATCHER!$K$5:$K$504,"Ja")+COUNTIFS(MATCHER!$B$5:$B$504,A139,MATCHER!$D$5:$D$504,C139,MATCHER!$J$5:$J$504,REGLER!$I$16&amp;" 2",MATCHER!$K$5:$K$504,"Ja")&gt;0,", "&amp;REGLER!$I$16,"")&amp;IF(COUNTIFS(MATCHER!$B$5:$B$504,A139,MATCHER!$D$5:$D$504,C139,MATCHER!$J$5:$J$504,REGLER!$I$17,MATCHER!$K$5:$K$504,"Ja")+COUNTIFS(MATCHER!$B$5:$B$504,A139,MATCHER!$D$5:$D$504,C139,MATCHER!$J$5:$J$504,REGLER!$I$17&amp;" 2",MATCHER!$K$5:$K$504,"Ja")&gt;0,", "&amp;REGLER!$I$17,"")&amp;IF(COUNTIFS(MATCHER!$B$5:$B$504,A139,MATCHER!$D$5:$D$504,C139,MATCHER!$J$5:$J$504,REGLER!$I$18,MATCHER!$K$5:$K$504,"Ja")+COUNTIFS(MATCHER!$B$5:$B$504,A139,MATCHER!$D$5:$D$504,C139,MATCHER!$J$5:$J$504,REGLER!$I$18&amp;" 2",MATCHER!$K$5:$K$504,"Ja")&gt;0,", "&amp;REGLER!$I$18,"")&amp;IF(COUNTIFS(MATCHER!$B$5:$B$504,A139,MATCHER!$D$5:$D$504,C139,MATCHER!$J$5:$J$504,REGLER!$I$19,MATCHER!$K$5:$K$504,"Ja")+COUNTIFS(MATCHER!$B$5:$B$504,A139,MATCHER!$D$5:$D$504,C139,MATCHER!$J$5:$J$504,REGLER!$I$19&amp;" 2",MATCHER!$K$5:$K$504,"Ja")&gt;0,", "&amp;REGLER!$I$19,"")&amp;IF(COUNTIFS(MATCHER!$B$5:$B$504,A139,MATCHER!$D$5:$D$504,C139,MATCHER!$J$5:$J$504,REGLER!$I$20,MATCHER!$K$5:$K$504,"Ja")+COUNTIFS(MATCHER!$B$5:$B$504,A139,MATCHER!$D$5:$D$504,C139,MATCHER!$J$5:$J$504,REGLER!$I$20&amp;" 2",MATCHER!$K$5:$K$504,"Ja")&gt;0,", "&amp;REGLER!$I$20,"")&amp;IF(COUNTIFS(MATCHER!$B$5:$B$504,A139,MATCHER!$D$5:$D$504,C139,MATCHER!$J$5:$J$504,REGLER!$I$21,MATCHER!$K$5:$K$504,"Ja")+COUNTIFS(MATCHER!$B$5:$B$504,A139,MATCHER!$D$5:$D$504,C139,MATCHER!$J$5:$J$504,REGLER!$I$21&amp;" 2",MATCHER!$K$5:$K$504,"Ja")&gt;0,", "&amp;REGLER!$I$21,"")&amp;IF(COUNTIFS(MATCHER!$B$5:$B$504,A139,MATCHER!$D$5:$D$504,C139,MATCHER!$J$5:$J$504,REGLER!$I$22,MATCHER!$K$5:$K$504,"Ja")+COUNTIFS(MATCHER!$B$5:$B$504,A139,MATCHER!$D$5:$D$504,C139,MATCHER!$J$5:$J$504,REGLER!$I$22&amp;" 2",MATCHER!$K$5:$K$504,"Ja")&gt;0,", "&amp;REGLER!$I$22,"")&amp;IF(COUNTIFS(MATCHER!$B$5:$B$504,A139,MATCHER!$D$5:$D$504,C139,MATCHER!$J$5:$J$504,REGLER!$I$23,MATCHER!$K$5:$K$504,"Ja")+COUNTIFS(MATCHER!$B$5:$B$504,A139,MATCHER!$D$5:$D$504,C139,MATCHER!$J$5:$J$504,REGLER!$I$23&amp;" 2",MATCHER!$K$5:$K$504,"Ja")&gt;0,", "&amp;REGLER!$I$23,"")&amp;IF(COUNTIFS(MATCHER!$B$5:$B$504,A139,MATCHER!$D$5:$D$504,C139,MATCHER!$J$5:$J$504,REGLER!$I$24,MATCHER!$K$5:$K$504,"Ja")+COUNTIFS(MATCHER!$B$5:$B$504,A139,MATCHER!$D$5:$D$504,C139,MATCHER!$J$5:$J$504,REGLER!$I$24&amp;" 2",MATCHER!$K$5:$K$504,"Ja")&gt;0,", "&amp;REGLER!$I$24,"")&amp;IF(COUNTIFS(MATCHER!$B$5:$B$504,A139,MATCHER!$D$5:$D$504,C139,MATCHER!$J$5:$J$504,REGLER!$I$25,MATCHER!$K$5:$K$504,"Ja")+COUNTIFS(MATCHER!$B$5:$B$504,A139,MATCHER!$D$5:$D$504,C139,MATCHER!$J$5:$J$504,REGLER!$I$25&amp;" 2",MATCHER!$K$5:$K$504,"Ja")&gt;0,", "&amp;REGLER!$I$25,"")&amp;IF(COUNTIFS(MATCHER!$B$5:$B$504,A139,MATCHER!$D$5:$D$504,C139,MATCHER!$J$5:$J$504,REGLER!$I$26,MATCHER!$K$5:$K$504,"Ja")+COUNTIFS(MATCHER!$B$5:$B$504,A139,MATCHER!$D$5:$D$504,C139,MATCHER!$J$5:$J$504,REGLER!$I$26&amp;" 2",MATCHER!$K$5:$K$504,"Ja")&gt;0,", "&amp;REGLER!$I$26,""),3,1000)</f>
        <v>F19</v>
      </c>
      <c r="I139" s="46" t="s">
        <v>90</v>
      </c>
      <c r="J139" s="47" t="s">
        <v>105</v>
      </c>
      <c r="K139" s="48" t="s">
        <v>98</v>
      </c>
      <c r="L139" s="49"/>
      <c r="M139" s="50">
        <f>IF(O139&lt;&gt;O138,MAX(1,MIN(AA139,ROUNDUP(SUMPRODUCT(($O$5:$O$546=O139)*($I$5:$I$546="Ja")*($E$5:$E$546-$D$5:$D$546))*24/REGLER!$B$8,0))),"")</f>
        <v>1</v>
      </c>
      <c r="N139" s="50" t="str">
        <f t="shared" si="30"/>
        <v>Klar</v>
      </c>
      <c r="O139" s="15" t="s">
        <v>116</v>
      </c>
      <c r="P139" s="16">
        <v>0.83333333333333304</v>
      </c>
      <c r="Q139" s="16">
        <v>0.91666666666666696</v>
      </c>
      <c r="R139" s="15" t="str">
        <f>IFERROR(MATCH(1,INDEX((MATCHER!$B$5:$B$504=A139)*(MATCHER!$D$5:$D$504=C139)*(MATCHER!$K$5:$K$504="Ja")*(MATCHER!$C$5:$C$504&lt;E139)*(MATCHER!$M$5:$M$504&gt;D139),0),0),"")</f>
        <v/>
      </c>
      <c r="S139" s="15" t="str">
        <f>IF(R139="","",IFERROR(MATCH(1,INDEX((MATCHER!$B$5:$B$504=A139)*(MATCHER!$D$5:$D$504=C139)*(MATCHER!$K$5:$K$504="Ja")*(MATCHER!$C$5:$C$504&lt;E139)*(MATCHER!$M$5:$M$504&gt;D139)*(ROW(MATCHER!$A$5:$A$504)-ROW(MATCHER!$A$5)+1&gt;R139),0),0),""))</f>
        <v/>
      </c>
      <c r="T139" s="15" t="str">
        <f>IF(S139="","",IFERROR(MATCH(1,INDEX((MATCHER!$B$5:$B$504=A139)*(MATCHER!$D$5:$D$504=C139)*(MATCHER!$K$5:$K$504="Ja")*(MATCHER!$C$5:$C$504&lt;E139)*(MATCHER!$M$5:$M$504&gt;D139)*(ROW(MATCHER!$A$5:$A$504)-ROW(MATCHER!$A$5)+1&gt;S139),0),0),""))</f>
        <v/>
      </c>
      <c r="U139" s="15">
        <f t="shared" si="31"/>
        <v>1</v>
      </c>
      <c r="V139" s="15">
        <f>IF(OR(I139&lt;&gt;"Ja",J139=""),"",COUNTIFS($O$5:O139,O139,$U$5:U139,1))</f>
        <v>1</v>
      </c>
      <c r="W139" s="15" t="str">
        <f t="shared" si="32"/>
        <v>2026-11-03 | Råsta Park|1</v>
      </c>
      <c r="X139" s="16" t="str">
        <f t="shared" si="33"/>
        <v/>
      </c>
      <c r="Y139" s="15">
        <f>IF(OR(I139&lt;&gt;"Ja",J139=""),0,IF(COUNTIFS($O$5:O139,O139,$I$5:I139,"Ja",$J$5:J139,"&lt;&gt;")=1,1,0))</f>
        <v>1</v>
      </c>
      <c r="Z139" s="15">
        <f>IF(OR(I139&lt;&gt;"Ja",J139=""),0,IF(COUNTIFS(O139:$O$546,O139,I139:$I$546,"Ja",J139:$J$546,"&lt;&gt;")=1,1,0))</f>
        <v>0</v>
      </c>
      <c r="AA139" s="15">
        <f>IF(COUNTIFS(MATCHER!$B$5:$B$504,A139,MATCHER!$D$5:$D$504,C139,MATCHER!$J$5:$J$504,REGLER!$I$6,MATCHER!$K$5:$K$504,"Ja")+COUNTIFS(MATCHER!$B$5:$B$504,A139,MATCHER!$D$5:$D$504,C139,MATCHER!$J$5:$J$504,REGLER!$I$6&amp;" 2",MATCHER!$K$5:$K$504,"Ja")&gt;0,1,0)+IF(COUNTIFS(MATCHER!$B$5:$B$504,A139,MATCHER!$D$5:$D$504,C139,MATCHER!$J$5:$J$504,REGLER!$I$7,MATCHER!$K$5:$K$504,"Ja")+COUNTIFS(MATCHER!$B$5:$B$504,A139,MATCHER!$D$5:$D$504,C139,MATCHER!$J$5:$J$504,REGLER!$I$7&amp;" 2",MATCHER!$K$5:$K$504,"Ja")&gt;0,1,0)+IF(COUNTIFS(MATCHER!$B$5:$B$504,A139,MATCHER!$D$5:$D$504,C139,MATCHER!$J$5:$J$504,REGLER!$I$8,MATCHER!$K$5:$K$504,"Ja")+COUNTIFS(MATCHER!$B$5:$B$504,A139,MATCHER!$D$5:$D$504,C139,MATCHER!$J$5:$J$504,REGLER!$I$8&amp;" 2",MATCHER!$K$5:$K$504,"Ja")&gt;0,1,0)+IF(COUNTIFS(MATCHER!$B$5:$B$504,A139,MATCHER!$D$5:$D$504,C139,MATCHER!$J$5:$J$504,REGLER!$I$9,MATCHER!$K$5:$K$504,"Ja")+COUNTIFS(MATCHER!$B$5:$B$504,A139,MATCHER!$D$5:$D$504,C139,MATCHER!$J$5:$J$504,REGLER!$I$9&amp;" 2",MATCHER!$K$5:$K$504,"Ja")&gt;0,1,0)+IF(COUNTIFS(MATCHER!$B$5:$B$504,A139,MATCHER!$D$5:$D$504,C139,MATCHER!$J$5:$J$504,REGLER!$I$10,MATCHER!$K$5:$K$504,"Ja")+COUNTIFS(MATCHER!$B$5:$B$504,A139,MATCHER!$D$5:$D$504,C139,MATCHER!$J$5:$J$504,REGLER!$I$10&amp;" 2",MATCHER!$K$5:$K$504,"Ja")&gt;0,1,0)+IF(COUNTIFS(MATCHER!$B$5:$B$504,A139,MATCHER!$D$5:$D$504,C139,MATCHER!$J$5:$J$504,REGLER!$I$11,MATCHER!$K$5:$K$504,"Ja")+COUNTIFS(MATCHER!$B$5:$B$504,A139,MATCHER!$D$5:$D$504,C139,MATCHER!$J$5:$J$504,REGLER!$I$11&amp;" 2",MATCHER!$K$5:$K$504,"Ja")&gt;0,1,0)+IF(COUNTIFS(MATCHER!$B$5:$B$504,A139,MATCHER!$D$5:$D$504,C139,MATCHER!$J$5:$J$504,REGLER!$I$12,MATCHER!$K$5:$K$504,"Ja")+COUNTIFS(MATCHER!$B$5:$B$504,A139,MATCHER!$D$5:$D$504,C139,MATCHER!$J$5:$J$504,REGLER!$I$12&amp;" 2",MATCHER!$K$5:$K$504,"Ja")&gt;0,1,0)+IF(COUNTIFS(MATCHER!$B$5:$B$504,A139,MATCHER!$D$5:$D$504,C139,MATCHER!$J$5:$J$504,REGLER!$I$13,MATCHER!$K$5:$K$504,"Ja")+COUNTIFS(MATCHER!$B$5:$B$504,A139,MATCHER!$D$5:$D$504,C139,MATCHER!$J$5:$J$504,REGLER!$I$13&amp;" 2",MATCHER!$K$5:$K$504,"Ja")&gt;0,1,0)+IF(COUNTIFS(MATCHER!$B$5:$B$504,A139,MATCHER!$D$5:$D$504,C139,MATCHER!$J$5:$J$504,REGLER!$I$14,MATCHER!$K$5:$K$504,"Ja")+COUNTIFS(MATCHER!$B$5:$B$504,A139,MATCHER!$D$5:$D$504,C139,MATCHER!$J$5:$J$504,REGLER!$I$14&amp;" 2",MATCHER!$K$5:$K$504,"Ja")&gt;0,1,0)+IF(COUNTIFS(MATCHER!$B$5:$B$504,A139,MATCHER!$D$5:$D$504,C139,MATCHER!$J$5:$J$504,REGLER!$I$15,MATCHER!$K$5:$K$504,"Ja")+COUNTIFS(MATCHER!$B$5:$B$504,A139,MATCHER!$D$5:$D$504,C139,MATCHER!$J$5:$J$504,REGLER!$I$15&amp;" 2",MATCHER!$K$5:$K$504,"Ja")&gt;0,1,0)+IF(COUNTIFS(MATCHER!$B$5:$B$504,A139,MATCHER!$D$5:$D$504,C139,MATCHER!$J$5:$J$504,REGLER!$I$16,MATCHER!$K$5:$K$504,"Ja")+COUNTIFS(MATCHER!$B$5:$B$504,A139,MATCHER!$D$5:$D$504,C139,MATCHER!$J$5:$J$504,REGLER!$I$16&amp;" 2",MATCHER!$K$5:$K$504,"Ja")&gt;0,1,0)+IF(COUNTIFS(MATCHER!$B$5:$B$504,A139,MATCHER!$D$5:$D$504,C139,MATCHER!$J$5:$J$504,REGLER!$I$17,MATCHER!$K$5:$K$504,"Ja")+COUNTIFS(MATCHER!$B$5:$B$504,A139,MATCHER!$D$5:$D$504,C139,MATCHER!$J$5:$J$504,REGLER!$I$17&amp;" 2",MATCHER!$K$5:$K$504,"Ja")&gt;0,1,0)+IF(COUNTIFS(MATCHER!$B$5:$B$504,A139,MATCHER!$D$5:$D$504,C139,MATCHER!$J$5:$J$504,REGLER!$I$18,MATCHER!$K$5:$K$504,"Ja")+COUNTIFS(MATCHER!$B$5:$B$504,A139,MATCHER!$D$5:$D$504,C139,MATCHER!$J$5:$J$504,REGLER!$I$18&amp;" 2",MATCHER!$K$5:$K$504,"Ja")&gt;0,1,0)+IF(COUNTIFS(MATCHER!$B$5:$B$504,A139,MATCHER!$D$5:$D$504,C139,MATCHER!$J$5:$J$504,REGLER!$I$19,MATCHER!$K$5:$K$504,"Ja")+COUNTIFS(MATCHER!$B$5:$B$504,A139,MATCHER!$D$5:$D$504,C139,MATCHER!$J$5:$J$504,REGLER!$I$19&amp;" 2",MATCHER!$K$5:$K$504,"Ja")&gt;0,1,0)+IF(COUNTIFS(MATCHER!$B$5:$B$504,A139,MATCHER!$D$5:$D$504,C139,MATCHER!$J$5:$J$504,REGLER!$I$20,MATCHER!$K$5:$K$504,"Ja")+COUNTIFS(MATCHER!$B$5:$B$504,A139,MATCHER!$D$5:$D$504,C139,MATCHER!$J$5:$J$504,REGLER!$I$20&amp;" 2",MATCHER!$K$5:$K$504,"Ja")&gt;0,1,0)+IF(COUNTIFS(MATCHER!$B$5:$B$504,A139,MATCHER!$D$5:$D$504,C139,MATCHER!$J$5:$J$504,REGLER!$I$21,MATCHER!$K$5:$K$504,"Ja")+COUNTIFS(MATCHER!$B$5:$B$504,A139,MATCHER!$D$5:$D$504,C139,MATCHER!$J$5:$J$504,REGLER!$I$21&amp;" 2",MATCHER!$K$5:$K$504,"Ja")&gt;0,1,0)+IF(COUNTIFS(MATCHER!$B$5:$B$504,A139,MATCHER!$D$5:$D$504,C139,MATCHER!$J$5:$J$504,REGLER!$I$22,MATCHER!$K$5:$K$504,"Ja")+COUNTIFS(MATCHER!$B$5:$B$504,A139,MATCHER!$D$5:$D$504,C139,MATCHER!$J$5:$J$504,REGLER!$I$22&amp;" 2",MATCHER!$K$5:$K$504,"Ja")&gt;0,1,0)+IF(COUNTIFS(MATCHER!$B$5:$B$504,A139,MATCHER!$D$5:$D$504,C139,MATCHER!$J$5:$J$504,REGLER!$I$23,MATCHER!$K$5:$K$504,"Ja")+COUNTIFS(MATCHER!$B$5:$B$504,A139,MATCHER!$D$5:$D$504,C139,MATCHER!$J$5:$J$504,REGLER!$I$23&amp;" 2",MATCHER!$K$5:$K$504,"Ja")&gt;0,1,0)+IF(COUNTIFS(MATCHER!$B$5:$B$504,A139,MATCHER!$D$5:$D$504,C139,MATCHER!$J$5:$J$504,REGLER!$I$24,MATCHER!$K$5:$K$504,"Ja")+COUNTIFS(MATCHER!$B$5:$B$504,A139,MATCHER!$D$5:$D$504,C139,MATCHER!$J$5:$J$504,REGLER!$I$24&amp;" 2",MATCHER!$K$5:$K$504,"Ja")&gt;0,1,0)+IF(COUNTIFS(MATCHER!$B$5:$B$504,A139,MATCHER!$D$5:$D$504,C139,MATCHER!$J$5:$J$504,REGLER!$I$25,MATCHER!$K$5:$K$504,"Ja")+COUNTIFS(MATCHER!$B$5:$B$504,A139,MATCHER!$D$5:$D$504,C139,MATCHER!$J$5:$J$504,REGLER!$I$25&amp;" 2",MATCHER!$K$5:$K$504,"Ja")&gt;0,1,0)+IF(COUNTIFS(MATCHER!$B$5:$B$504,A139,MATCHER!$D$5:$D$504,C139,MATCHER!$J$5:$J$504,REGLER!$I$26,MATCHER!$K$5:$K$504,"Ja")+COUNTIFS(MATCHER!$B$5:$B$504,A139,MATCHER!$D$5:$D$504,C139,MATCHER!$J$5:$J$504,REGLER!$I$26&amp;" 2",MATCHER!$K$5:$K$504,"Ja")&gt;0,1,0)</f>
        <v>1</v>
      </c>
      <c r="AB139" s="15">
        <f>IF(U139&lt;&gt;1,"",COUNTIF($U$5:U139,1))</f>
        <v>15</v>
      </c>
      <c r="AC139" s="15" t="str">
        <f t="shared" si="34"/>
        <v/>
      </c>
      <c r="AD139" s="15" t="str">
        <f t="shared" si="35"/>
        <v>Minicafé</v>
      </c>
      <c r="AE139" s="15">
        <f t="shared" si="36"/>
        <v>2.0000000000000142</v>
      </c>
      <c r="AF139" t="str">
        <f>IF(T139="","",IFERROR(MATCH(1,INDEX((MATCHER!$B$5:$B$504=A139)*(MATCHER!$D$5:$D$504=C139)*(MATCHER!$K$5:$K$504="Ja")*(MATCHER!$C$5:$C$504&lt;E139)*(MATCHER!$M$5:$M$504&gt;D139)*(ROW(MATCHER!$A$5:$A$504)-ROW(MATCHER!$A$5)+1&gt;T139),0),0),""))</f>
        <v/>
      </c>
    </row>
    <row r="140" spans="1:32" ht="13">
      <c r="A140" s="42">
        <v>46329</v>
      </c>
      <c r="B140" s="43" t="s">
        <v>104</v>
      </c>
      <c r="C140" s="43" t="s">
        <v>94</v>
      </c>
      <c r="D140" s="44">
        <v>0.85416666666666696</v>
      </c>
      <c r="E140" s="44">
        <v>0.875</v>
      </c>
      <c r="F140" s="45" t="str">
        <f>IF(R140="","",HOUR(INDEX(MATCHER!$C$5:$C$504,R140))&amp;":"&amp;IF(MINUTE(INDEX(MATCHER!$C$5:$C$504,R140))&lt;10,"0","")&amp;MINUTE(INDEX(MATCHER!$C$5:$C$504,R140))&amp;" "&amp;INDEX(MATCHER!$H$5:$H$504,R140)&amp;" – "&amp;INDEX(MATCHER!$I$5:$I$504,R140))&amp;IF(S140="",""," | "&amp;HOUR(INDEX(MATCHER!$C$5:$C$504,S140))&amp;":"&amp;IF(MINUTE(INDEX(MATCHER!$C$5:$C$504,S140))&lt;10,"0","")&amp;MINUTE(INDEX(MATCHER!$C$5:$C$504,S140))&amp;" "&amp;INDEX(MATCHER!$H$5:$H$504,S140)&amp;" – "&amp;INDEX(MATCHER!$I$5:$I$504,S140))&amp;IF(T140="",""," | "&amp;HOUR(INDEX(MATCHER!$C$5:$C$504,T140))&amp;":"&amp;IF(MINUTE(INDEX(MATCHER!$C$5:$C$504,T140))&lt;10,"0","")&amp;MINUTE(INDEX(MATCHER!$C$5:$C$504,T140))&amp;" "&amp;INDEX(MATCHER!$H$5:$H$504,T140)&amp;" – "&amp;INDEX(MATCHER!$I$5:$I$504,T140))&amp;IF(AF140="",""," | "&amp;HOUR(INDEX(MATCHER!$C$5:$C$504,AF140))&amp;":"&amp;IF(MINUTE(INDEX(MATCHER!$C$5:$C$504,AF140))&lt;10,"0","")&amp;MINUTE(INDEX(MATCHER!$C$5:$C$504,AF140))&amp;" "&amp;INDEX(MATCHER!$H$5:$H$504,AF140)&amp;" – "&amp;INDEX(MATCHER!$I$5:$I$504,AF140))</f>
        <v>20:45 AIK – Täby HBK 1</v>
      </c>
      <c r="G140" s="45" t="str">
        <f>MID(IF(R140="","",IF(OR(INDEX(MATCHER!$J$5:$J$504,R140)=""),""," / "&amp;INDEX(MATCHER!$J$5:$J$504,R140)))&amp;IF(S140="","",IF(OR(INDEX(MATCHER!$J$5:$J$504,S140)="",INDEX(MATCHER!$J$5:$J$504,S140)=IFERROR(INDEX(MATCHER!$J$5:$J$504,R140),"")),""," / "&amp;INDEX(MATCHER!$J$5:$J$504,S140)))&amp;IF(T140="","",IF(OR(INDEX(MATCHER!$J$5:$J$504,T140)="",INDEX(MATCHER!$J$5:$J$504,T140)=IFERROR(INDEX(MATCHER!$J$5:$J$504,R140),""),INDEX(MATCHER!$J$5:$J$504,T140)=IFERROR(INDEX(MATCHER!$J$5:$J$504,S140),"")),""," / "&amp;INDEX(MATCHER!$J$5:$J$504,T140)))&amp;IF(AF140="","",IF(OR(INDEX(MATCHER!$J$5:$J$504,AF140)="",INDEX(MATCHER!$J$5:$J$504,AF140)=IFERROR(INDEX(MATCHER!$J$5:$J$504,R140),""),INDEX(MATCHER!$J$5:$J$504,AF140)=IFERROR(INDEX(MATCHER!$J$5:$J$504,S140),""),INDEX(MATCHER!$J$5:$J$504,AF140)=IFERROR(INDEX(MATCHER!$J$5:$J$504,T140),"")),""," / "&amp;INDEX(MATCHER!$J$5:$J$504,AF140))),4,1000)</f>
        <v>F19</v>
      </c>
      <c r="H140" s="45" t="str">
        <f>H139</f>
        <v>F19</v>
      </c>
      <c r="I140" s="46" t="s">
        <v>90</v>
      </c>
      <c r="J140" s="47" t="s">
        <v>105</v>
      </c>
      <c r="K140" s="48"/>
      <c r="L140" s="157"/>
      <c r="M140" s="50" t="str">
        <f>IF(O140&lt;&gt;O139,MAX(1,MIN(AA140,ROUNDUP(SUMPRODUCT(($O$5:$O$546=O140)*($I$5:$I$546="Ja")*($E$5:$E$546-$D$5:$D$546))*24/REGLER!$B$8,0))),"")</f>
        <v/>
      </c>
      <c r="N140" s="50" t="str">
        <f t="shared" si="30"/>
        <v>Klar</v>
      </c>
      <c r="O140" s="15" t="s">
        <v>116</v>
      </c>
      <c r="P140" s="16">
        <v>0.83333333333333304</v>
      </c>
      <c r="Q140" s="16">
        <v>0.91666666666666696</v>
      </c>
      <c r="R140" s="15">
        <f>IFERROR(MATCH(1,INDEX((MATCHER!$B$5:$B$504=A140)*(MATCHER!$D$5:$D$504=C140)*(MATCHER!$K$5:$K$504="Ja")*(MATCHER!$C$5:$C$504&lt;E140)*(MATCHER!$M$5:$M$504&gt;D140),0),0),"")</f>
        <v>46</v>
      </c>
      <c r="S140" s="15" t="str">
        <f>IF(R140="","",IFERROR(MATCH(1,INDEX((MATCHER!$B$5:$B$504=A140)*(MATCHER!$D$5:$D$504=C140)*(MATCHER!$K$5:$K$504="Ja")*(MATCHER!$C$5:$C$504&lt;E140)*(MATCHER!$M$5:$M$504&gt;D140)*(ROW(MATCHER!$A$5:$A$504)-ROW(MATCHER!$A$5)+1&gt;R140),0),0),""))</f>
        <v/>
      </c>
      <c r="T140" s="15" t="str">
        <f>IF(S140="","",IFERROR(MATCH(1,INDEX((MATCHER!$B$5:$B$504=A140)*(MATCHER!$D$5:$D$504=C140)*(MATCHER!$K$5:$K$504="Ja")*(MATCHER!$C$5:$C$504&lt;E140)*(MATCHER!$M$5:$M$504&gt;D140)*(ROW(MATCHER!$A$5:$A$504)-ROW(MATCHER!$A$5)+1&gt;S140),0),0),""))</f>
        <v/>
      </c>
      <c r="U140" s="15">
        <f t="shared" si="31"/>
        <v>0</v>
      </c>
      <c r="V140" s="15">
        <f>IF(OR(I140&lt;&gt;"Ja",J140=""),"",COUNTIFS($O$5:O140,O140,$U$5:U140,1))</f>
        <v>1</v>
      </c>
      <c r="W140" s="15" t="str">
        <f t="shared" si="32"/>
        <v>2026-11-03 | Råsta Park|1</v>
      </c>
      <c r="X140" s="16" t="str">
        <f t="shared" si="33"/>
        <v/>
      </c>
      <c r="Y140" s="15">
        <f>IF(OR(I140&lt;&gt;"Ja",J140=""),0,IF(COUNTIFS($O$5:O140,O140,$I$5:I140,"Ja",$J$5:J140,"&lt;&gt;")=1,1,0))</f>
        <v>0</v>
      </c>
      <c r="Z140" s="15">
        <f>IF(OR(I140&lt;&gt;"Ja",J140=""),0,IF(COUNTIFS(O140:$O$546,O140,I140:$I$546,"Ja",J140:$J$546,"&lt;&gt;")=1,1,0))</f>
        <v>0</v>
      </c>
      <c r="AA140" s="15">
        <f>AA139</f>
        <v>1</v>
      </c>
      <c r="AB140" s="15" t="str">
        <f>IF(U140&lt;&gt;1,"",COUNTIF($U$5:U140,1))</f>
        <v/>
      </c>
      <c r="AC140" s="15" t="str">
        <f t="shared" si="34"/>
        <v/>
      </c>
      <c r="AD140" s="15" t="str">
        <f t="shared" si="35"/>
        <v>Minicafé</v>
      </c>
      <c r="AE140" s="15" t="str">
        <f t="shared" si="36"/>
        <v/>
      </c>
      <c r="AF140" t="str">
        <f>IF(T140="","",IFERROR(MATCH(1,INDEX((MATCHER!$B$5:$B$504=A140)*(MATCHER!$D$5:$D$504=C140)*(MATCHER!$K$5:$K$504="Ja")*(MATCHER!$C$5:$C$504&lt;E140)*(MATCHER!$M$5:$M$504&gt;D140)*(ROW(MATCHER!$A$5:$A$504)-ROW(MATCHER!$A$5)+1&gt;T140),0),0),""))</f>
        <v/>
      </c>
    </row>
    <row r="141" spans="1:32" ht="13">
      <c r="A141" s="42">
        <v>46329</v>
      </c>
      <c r="B141" s="43" t="s">
        <v>104</v>
      </c>
      <c r="C141" s="43" t="s">
        <v>94</v>
      </c>
      <c r="D141" s="44">
        <v>0.875</v>
      </c>
      <c r="E141" s="44">
        <v>0.89583333333333304</v>
      </c>
      <c r="F141" s="45" t="str">
        <f>IF(R141="","",HOUR(INDEX(MATCHER!$C$5:$C$504,R141))&amp;":"&amp;IF(MINUTE(INDEX(MATCHER!$C$5:$C$504,R141))&lt;10,"0","")&amp;MINUTE(INDEX(MATCHER!$C$5:$C$504,R141))&amp;" "&amp;INDEX(MATCHER!$H$5:$H$504,R141)&amp;" – "&amp;INDEX(MATCHER!$I$5:$I$504,R141))&amp;IF(S141="",""," | "&amp;HOUR(INDEX(MATCHER!$C$5:$C$504,S141))&amp;":"&amp;IF(MINUTE(INDEX(MATCHER!$C$5:$C$504,S141))&lt;10,"0","")&amp;MINUTE(INDEX(MATCHER!$C$5:$C$504,S141))&amp;" "&amp;INDEX(MATCHER!$H$5:$H$504,S141)&amp;" – "&amp;INDEX(MATCHER!$I$5:$I$504,S141))&amp;IF(T141="",""," | "&amp;HOUR(INDEX(MATCHER!$C$5:$C$504,T141))&amp;":"&amp;IF(MINUTE(INDEX(MATCHER!$C$5:$C$504,T141))&lt;10,"0","")&amp;MINUTE(INDEX(MATCHER!$C$5:$C$504,T141))&amp;" "&amp;INDEX(MATCHER!$H$5:$H$504,T141)&amp;" – "&amp;INDEX(MATCHER!$I$5:$I$504,T141))&amp;IF(AF141="",""," | "&amp;HOUR(INDEX(MATCHER!$C$5:$C$504,AF141))&amp;":"&amp;IF(MINUTE(INDEX(MATCHER!$C$5:$C$504,AF141))&lt;10,"0","")&amp;MINUTE(INDEX(MATCHER!$C$5:$C$504,AF141))&amp;" "&amp;INDEX(MATCHER!$H$5:$H$504,AF141)&amp;" – "&amp;INDEX(MATCHER!$I$5:$I$504,AF141))</f>
        <v>20:45 AIK – Täby HBK 1</v>
      </c>
      <c r="G141" s="45" t="str">
        <f>MID(IF(R141="","",IF(OR(INDEX(MATCHER!$J$5:$J$504,R141)=""),""," / "&amp;INDEX(MATCHER!$J$5:$J$504,R141)))&amp;IF(S141="","",IF(OR(INDEX(MATCHER!$J$5:$J$504,S141)="",INDEX(MATCHER!$J$5:$J$504,S141)=IFERROR(INDEX(MATCHER!$J$5:$J$504,R141),"")),""," / "&amp;INDEX(MATCHER!$J$5:$J$504,S141)))&amp;IF(T141="","",IF(OR(INDEX(MATCHER!$J$5:$J$504,T141)="",INDEX(MATCHER!$J$5:$J$504,T141)=IFERROR(INDEX(MATCHER!$J$5:$J$504,R141),""),INDEX(MATCHER!$J$5:$J$504,T141)=IFERROR(INDEX(MATCHER!$J$5:$J$504,S141),"")),""," / "&amp;INDEX(MATCHER!$J$5:$J$504,T141)))&amp;IF(AF141="","",IF(OR(INDEX(MATCHER!$J$5:$J$504,AF141)="",INDEX(MATCHER!$J$5:$J$504,AF141)=IFERROR(INDEX(MATCHER!$J$5:$J$504,R141),""),INDEX(MATCHER!$J$5:$J$504,AF141)=IFERROR(INDEX(MATCHER!$J$5:$J$504,S141),""),INDEX(MATCHER!$J$5:$J$504,AF141)=IFERROR(INDEX(MATCHER!$J$5:$J$504,T141),"")),""," / "&amp;INDEX(MATCHER!$J$5:$J$504,AF141))),4,1000)</f>
        <v>F19</v>
      </c>
      <c r="H141" s="45" t="str">
        <f>H140</f>
        <v>F19</v>
      </c>
      <c r="I141" s="46" t="s">
        <v>90</v>
      </c>
      <c r="J141" s="47" t="s">
        <v>105</v>
      </c>
      <c r="K141" s="48"/>
      <c r="L141" s="49"/>
      <c r="M141" s="50" t="str">
        <f>IF(O141&lt;&gt;O140,MAX(1,MIN(AA141,ROUNDUP(SUMPRODUCT(($O$5:$O$546=O141)*($I$5:$I$546="Ja")*($E$5:$E$546-$D$5:$D$546))*24/REGLER!$B$8,0))),"")</f>
        <v/>
      </c>
      <c r="N141" s="50" t="str">
        <f t="shared" si="30"/>
        <v>Klar</v>
      </c>
      <c r="O141" s="15" t="s">
        <v>116</v>
      </c>
      <c r="P141" s="16">
        <v>0.83333333333333304</v>
      </c>
      <c r="Q141" s="16">
        <v>0.91666666666666696</v>
      </c>
      <c r="R141" s="15">
        <f>IFERROR(MATCH(1,INDEX((MATCHER!$B$5:$B$504=A141)*(MATCHER!$D$5:$D$504=C141)*(MATCHER!$K$5:$K$504="Ja")*(MATCHER!$C$5:$C$504&lt;E141)*(MATCHER!$M$5:$M$504&gt;D141),0),0),"")</f>
        <v>46</v>
      </c>
      <c r="S141" s="15" t="str">
        <f>IF(R141="","",IFERROR(MATCH(1,INDEX((MATCHER!$B$5:$B$504=A141)*(MATCHER!$D$5:$D$504=C141)*(MATCHER!$K$5:$K$504="Ja")*(MATCHER!$C$5:$C$504&lt;E141)*(MATCHER!$M$5:$M$504&gt;D141)*(ROW(MATCHER!$A$5:$A$504)-ROW(MATCHER!$A$5)+1&gt;R141),0),0),""))</f>
        <v/>
      </c>
      <c r="T141" s="15" t="str">
        <f>IF(S141="","",IFERROR(MATCH(1,INDEX((MATCHER!$B$5:$B$504=A141)*(MATCHER!$D$5:$D$504=C141)*(MATCHER!$K$5:$K$504="Ja")*(MATCHER!$C$5:$C$504&lt;E141)*(MATCHER!$M$5:$M$504&gt;D141)*(ROW(MATCHER!$A$5:$A$504)-ROW(MATCHER!$A$5)+1&gt;S141),0),0),""))</f>
        <v/>
      </c>
      <c r="U141" s="15">
        <f t="shared" si="31"/>
        <v>0</v>
      </c>
      <c r="V141" s="15">
        <f>IF(OR(I141&lt;&gt;"Ja",J141=""),"",COUNTIFS($O$5:O141,O141,$U$5:U141,1))</f>
        <v>1</v>
      </c>
      <c r="W141" s="15" t="str">
        <f t="shared" si="32"/>
        <v>2026-11-03 | Råsta Park|1</v>
      </c>
      <c r="X141" s="16" t="str">
        <f t="shared" si="33"/>
        <v/>
      </c>
      <c r="Y141" s="15">
        <f>IF(OR(I141&lt;&gt;"Ja",J141=""),0,IF(COUNTIFS($O$5:O141,O141,$I$5:I141,"Ja",$J$5:J141,"&lt;&gt;")=1,1,0))</f>
        <v>0</v>
      </c>
      <c r="Z141" s="15">
        <f>IF(OR(I141&lt;&gt;"Ja",J141=""),0,IF(COUNTIFS(O141:$O$546,O141,I141:$I$546,"Ja",J141:$J$546,"&lt;&gt;")=1,1,0))</f>
        <v>0</v>
      </c>
      <c r="AA141" s="15">
        <f>AA140</f>
        <v>1</v>
      </c>
      <c r="AB141" s="15" t="str">
        <f>IF(U141&lt;&gt;1,"",COUNTIF($U$5:U141,1))</f>
        <v/>
      </c>
      <c r="AC141" s="15" t="str">
        <f t="shared" si="34"/>
        <v/>
      </c>
      <c r="AD141" s="15" t="str">
        <f t="shared" si="35"/>
        <v>Minicafé</v>
      </c>
      <c r="AE141" s="15" t="str">
        <f t="shared" si="36"/>
        <v/>
      </c>
      <c r="AF141" t="str">
        <f>IF(T141="","",IFERROR(MATCH(1,INDEX((MATCHER!$B$5:$B$504=A141)*(MATCHER!$D$5:$D$504=C141)*(MATCHER!$K$5:$K$504="Ja")*(MATCHER!$C$5:$C$504&lt;E141)*(MATCHER!$M$5:$M$504&gt;D141)*(ROW(MATCHER!$A$5:$A$504)-ROW(MATCHER!$A$5)+1&gt;T141),0),0),""))</f>
        <v/>
      </c>
    </row>
    <row r="142" spans="1:32" ht="13.5" thickBot="1">
      <c r="A142" s="52">
        <v>46329</v>
      </c>
      <c r="B142" s="53" t="s">
        <v>104</v>
      </c>
      <c r="C142" s="53" t="s">
        <v>94</v>
      </c>
      <c r="D142" s="54">
        <v>0.89583333333333304</v>
      </c>
      <c r="E142" s="54">
        <v>0.91666666666666696</v>
      </c>
      <c r="F142" s="55" t="str">
        <f>IF(R142="","",HOUR(INDEX(MATCHER!$C$5:$C$504,R142))&amp;":"&amp;IF(MINUTE(INDEX(MATCHER!$C$5:$C$504,R142))&lt;10,"0","")&amp;MINUTE(INDEX(MATCHER!$C$5:$C$504,R142))&amp;" "&amp;INDEX(MATCHER!$H$5:$H$504,R142)&amp;" – "&amp;INDEX(MATCHER!$I$5:$I$504,R142))&amp;IF(S142="",""," | "&amp;HOUR(INDEX(MATCHER!$C$5:$C$504,S142))&amp;":"&amp;IF(MINUTE(INDEX(MATCHER!$C$5:$C$504,S142))&lt;10,"0","")&amp;MINUTE(INDEX(MATCHER!$C$5:$C$504,S142))&amp;" "&amp;INDEX(MATCHER!$H$5:$H$504,S142)&amp;" – "&amp;INDEX(MATCHER!$I$5:$I$504,S142))&amp;IF(T142="",""," | "&amp;HOUR(INDEX(MATCHER!$C$5:$C$504,T142))&amp;":"&amp;IF(MINUTE(INDEX(MATCHER!$C$5:$C$504,T142))&lt;10,"0","")&amp;MINUTE(INDEX(MATCHER!$C$5:$C$504,T142))&amp;" "&amp;INDEX(MATCHER!$H$5:$H$504,T142)&amp;" – "&amp;INDEX(MATCHER!$I$5:$I$504,T142))&amp;IF(AF142="",""," | "&amp;HOUR(INDEX(MATCHER!$C$5:$C$504,AF142))&amp;":"&amp;IF(MINUTE(INDEX(MATCHER!$C$5:$C$504,AF142))&lt;10,"0","")&amp;MINUTE(INDEX(MATCHER!$C$5:$C$504,AF142))&amp;" "&amp;INDEX(MATCHER!$H$5:$H$504,AF142)&amp;" – "&amp;INDEX(MATCHER!$I$5:$I$504,AF142))</f>
        <v>20:45 AIK – Täby HBK 1</v>
      </c>
      <c r="G142" s="55" t="str">
        <f>MID(IF(R142="","",IF(OR(INDEX(MATCHER!$J$5:$J$504,R142)=""),""," / "&amp;INDEX(MATCHER!$J$5:$J$504,R142)))&amp;IF(S142="","",IF(OR(INDEX(MATCHER!$J$5:$J$504,S142)="",INDEX(MATCHER!$J$5:$J$504,S142)=IFERROR(INDEX(MATCHER!$J$5:$J$504,R142),"")),""," / "&amp;INDEX(MATCHER!$J$5:$J$504,S142)))&amp;IF(T142="","",IF(OR(INDEX(MATCHER!$J$5:$J$504,T142)="",INDEX(MATCHER!$J$5:$J$504,T142)=IFERROR(INDEX(MATCHER!$J$5:$J$504,R142),""),INDEX(MATCHER!$J$5:$J$504,T142)=IFERROR(INDEX(MATCHER!$J$5:$J$504,S142),"")),""," / "&amp;INDEX(MATCHER!$J$5:$J$504,T142)))&amp;IF(AF142="","",IF(OR(INDEX(MATCHER!$J$5:$J$504,AF142)="",INDEX(MATCHER!$J$5:$J$504,AF142)=IFERROR(INDEX(MATCHER!$J$5:$J$504,R142),""),INDEX(MATCHER!$J$5:$J$504,AF142)=IFERROR(INDEX(MATCHER!$J$5:$J$504,S142),""),INDEX(MATCHER!$J$5:$J$504,AF142)=IFERROR(INDEX(MATCHER!$J$5:$J$504,T142),"")),""," / "&amp;INDEX(MATCHER!$J$5:$J$504,AF142))),4,1000)</f>
        <v>F19</v>
      </c>
      <c r="H142" s="55" t="str">
        <f>H141</f>
        <v>F19</v>
      </c>
      <c r="I142" s="56" t="s">
        <v>90</v>
      </c>
      <c r="J142" s="57" t="s">
        <v>105</v>
      </c>
      <c r="K142" s="58"/>
      <c r="L142" s="59"/>
      <c r="M142" s="60" t="str">
        <f>IF(O142&lt;&gt;O141,MAX(1,MIN(AA142,ROUNDUP(SUMPRODUCT(($O$5:$O$546=O142)*($I$5:$I$546="Ja")*($E$5:$E$546-$D$5:$D$546))*24/REGLER!$B$8,0))),"")</f>
        <v/>
      </c>
      <c r="N142" s="60" t="str">
        <f t="shared" si="30"/>
        <v>Klar</v>
      </c>
      <c r="O142" s="15" t="s">
        <v>116</v>
      </c>
      <c r="P142" s="16">
        <v>0.83333333333333304</v>
      </c>
      <c r="Q142" s="16">
        <v>0.91666666666666696</v>
      </c>
      <c r="R142" s="15">
        <f>IFERROR(MATCH(1,INDEX((MATCHER!$B$5:$B$504=A142)*(MATCHER!$D$5:$D$504=C142)*(MATCHER!$K$5:$K$504="Ja")*(MATCHER!$C$5:$C$504&lt;E142)*(MATCHER!$M$5:$M$504&gt;D142),0),0),"")</f>
        <v>46</v>
      </c>
      <c r="S142" s="15" t="str">
        <f>IF(R142="","",IFERROR(MATCH(1,INDEX((MATCHER!$B$5:$B$504=A142)*(MATCHER!$D$5:$D$504=C142)*(MATCHER!$K$5:$K$504="Ja")*(MATCHER!$C$5:$C$504&lt;E142)*(MATCHER!$M$5:$M$504&gt;D142)*(ROW(MATCHER!$A$5:$A$504)-ROW(MATCHER!$A$5)+1&gt;R142),0),0),""))</f>
        <v/>
      </c>
      <c r="T142" s="15" t="str">
        <f>IF(S142="","",IFERROR(MATCH(1,INDEX((MATCHER!$B$5:$B$504=A142)*(MATCHER!$D$5:$D$504=C142)*(MATCHER!$K$5:$K$504="Ja")*(MATCHER!$C$5:$C$504&lt;E142)*(MATCHER!$M$5:$M$504&gt;D142)*(ROW(MATCHER!$A$5:$A$504)-ROW(MATCHER!$A$5)+1&gt;S142),0),0),""))</f>
        <v/>
      </c>
      <c r="U142" s="15">
        <f t="shared" si="31"/>
        <v>0</v>
      </c>
      <c r="V142" s="15">
        <f>IF(OR(I142&lt;&gt;"Ja",J142=""),"",COUNTIFS($O$5:O142,O142,$U$5:U142,1))</f>
        <v>1</v>
      </c>
      <c r="W142" s="15" t="str">
        <f t="shared" si="32"/>
        <v>2026-11-03 | Råsta Park|1</v>
      </c>
      <c r="X142" s="16">
        <f t="shared" si="33"/>
        <v>0.91666666666666696</v>
      </c>
      <c r="Y142" s="15">
        <f>IF(OR(I142&lt;&gt;"Ja",J142=""),0,IF(COUNTIFS($O$5:O142,O142,$I$5:I142,"Ja",$J$5:J142,"&lt;&gt;")=1,1,0))</f>
        <v>0</v>
      </c>
      <c r="Z142" s="15">
        <f>IF(OR(I142&lt;&gt;"Ja",J142=""),0,IF(COUNTIFS(O142:$O$546,O142,I142:$I$546,"Ja",J142:$J$546,"&lt;&gt;")=1,1,0))</f>
        <v>1</v>
      </c>
      <c r="AA142" s="15">
        <f>AA141</f>
        <v>1</v>
      </c>
      <c r="AB142" s="15" t="str">
        <f>IF(U142&lt;&gt;1,"",COUNTIF($U$5:U142,1))</f>
        <v/>
      </c>
      <c r="AC142" s="15" t="str">
        <f t="shared" si="34"/>
        <v>2026-11-03 | Råsta Park|1</v>
      </c>
      <c r="AD142" s="15" t="str">
        <f t="shared" si="35"/>
        <v>Minicafé</v>
      </c>
      <c r="AE142" s="15" t="str">
        <f t="shared" si="36"/>
        <v/>
      </c>
      <c r="AF142" t="str">
        <f>IF(T142="","",IFERROR(MATCH(1,INDEX((MATCHER!$B$5:$B$504=A142)*(MATCHER!$D$5:$D$504=C142)*(MATCHER!$K$5:$K$504="Ja")*(MATCHER!$C$5:$C$504&lt;E142)*(MATCHER!$M$5:$M$504&gt;D142)*(ROW(MATCHER!$A$5:$A$504)-ROW(MATCHER!$A$5)+1&gt;T142),0),0),""))</f>
        <v/>
      </c>
    </row>
    <row r="143" spans="1:32" ht="26">
      <c r="A143" s="42">
        <v>46333</v>
      </c>
      <c r="B143" s="43" t="s">
        <v>85</v>
      </c>
      <c r="C143" s="43" t="s">
        <v>110</v>
      </c>
      <c r="D143" s="44">
        <v>0.33333333333333298</v>
      </c>
      <c r="E143" s="44">
        <v>0.35416666666666702</v>
      </c>
      <c r="F143" s="45" t="str">
        <f>IF(R143="","",HOUR(INDEX(MATCHER!$C$5:$C$504,R143))&amp;":"&amp;IF(MINUTE(INDEX(MATCHER!$C$5:$C$504,R143))&lt;10,"0","")&amp;MINUTE(INDEX(MATCHER!$C$5:$C$504,R143))&amp;" "&amp;INDEX(MATCHER!$H$5:$H$504,R143)&amp;" – "&amp;INDEX(MATCHER!$I$5:$I$504,R143))&amp;IF(S143="",""," | "&amp;HOUR(INDEX(MATCHER!$C$5:$C$504,S143))&amp;":"&amp;IF(MINUTE(INDEX(MATCHER!$C$5:$C$504,S143))&lt;10,"0","")&amp;MINUTE(INDEX(MATCHER!$C$5:$C$504,S143))&amp;" "&amp;INDEX(MATCHER!$H$5:$H$504,S143)&amp;" – "&amp;INDEX(MATCHER!$I$5:$I$504,S143))&amp;IF(T143="",""," | "&amp;HOUR(INDEX(MATCHER!$C$5:$C$504,T143))&amp;":"&amp;IF(MINUTE(INDEX(MATCHER!$C$5:$C$504,T143))&lt;10,"0","")&amp;MINUTE(INDEX(MATCHER!$C$5:$C$504,T143))&amp;" "&amp;INDEX(MATCHER!$H$5:$H$504,T143)&amp;" – "&amp;INDEX(MATCHER!$I$5:$I$504,T143))&amp;IF(AF143="",""," | "&amp;HOUR(INDEX(MATCHER!$C$5:$C$504,AF143))&amp;":"&amp;IF(MINUTE(INDEX(MATCHER!$C$5:$C$504,AF143))&lt;10,"0","")&amp;MINUTE(INDEX(MATCHER!$C$5:$C$504,AF143))&amp;" "&amp;INDEX(MATCHER!$H$5:$H$504,AF143)&amp;" – "&amp;INDEX(MATCHER!$I$5:$I$504,AF143))</f>
        <v/>
      </c>
      <c r="G143" s="45" t="str">
        <f>MID(IF(R143="","",IF(OR(INDEX(MATCHER!$J$5:$J$504,R143)=""),""," / "&amp;INDEX(MATCHER!$J$5:$J$504,R143)))&amp;IF(S143="","",IF(OR(INDEX(MATCHER!$J$5:$J$504,S143)="",INDEX(MATCHER!$J$5:$J$504,S143)=IFERROR(INDEX(MATCHER!$J$5:$J$504,R143),"")),""," / "&amp;INDEX(MATCHER!$J$5:$J$504,S143)))&amp;IF(T143="","",IF(OR(INDEX(MATCHER!$J$5:$J$504,T143)="",INDEX(MATCHER!$J$5:$J$504,T143)=IFERROR(INDEX(MATCHER!$J$5:$J$504,R143),""),INDEX(MATCHER!$J$5:$J$504,T143)=IFERROR(INDEX(MATCHER!$J$5:$J$504,S143),"")),""," / "&amp;INDEX(MATCHER!$J$5:$J$504,T143)))&amp;IF(AF143="","",IF(OR(INDEX(MATCHER!$J$5:$J$504,AF143)="",INDEX(MATCHER!$J$5:$J$504,AF143)=IFERROR(INDEX(MATCHER!$J$5:$J$504,R143),""),INDEX(MATCHER!$J$5:$J$504,AF143)=IFERROR(INDEX(MATCHER!$J$5:$J$504,S143),""),INDEX(MATCHER!$J$5:$J$504,AF143)=IFERROR(INDEX(MATCHER!$J$5:$J$504,T143),"")),""," / "&amp;INDEX(MATCHER!$J$5:$J$504,AF143))),4,1000)</f>
        <v/>
      </c>
      <c r="H143" s="45" t="str">
        <f>MID(IF(COUNTIFS(MATCHER!$B$5:$B$504,A143,MATCHER!$D$5:$D$504,C143,MATCHER!$J$5:$J$504,REGLER!$I$6,MATCHER!$K$5:$K$504,"Ja")+COUNTIFS(MATCHER!$B$5:$B$504,A143,MATCHER!$D$5:$D$504,C143,MATCHER!$J$5:$J$504,REGLER!$I$6&amp;" 2",MATCHER!$K$5:$K$504,"Ja")&gt;0,", "&amp;REGLER!$I$6,"")&amp;IF(COUNTIFS(MATCHER!$B$5:$B$504,A143,MATCHER!$D$5:$D$504,C143,MATCHER!$J$5:$J$504,REGLER!$I$7,MATCHER!$K$5:$K$504,"Ja")+COUNTIFS(MATCHER!$B$5:$B$504,A143,MATCHER!$D$5:$D$504,C143,MATCHER!$J$5:$J$504,REGLER!$I$7&amp;" 2",MATCHER!$K$5:$K$504,"Ja")&gt;0,", "&amp;REGLER!$I$7,"")&amp;IF(COUNTIFS(MATCHER!$B$5:$B$504,A143,MATCHER!$D$5:$D$504,C143,MATCHER!$J$5:$J$504,REGLER!$I$8,MATCHER!$K$5:$K$504,"Ja")+COUNTIFS(MATCHER!$B$5:$B$504,A143,MATCHER!$D$5:$D$504,C143,MATCHER!$J$5:$J$504,REGLER!$I$8&amp;" 2",MATCHER!$K$5:$K$504,"Ja")&gt;0,", "&amp;REGLER!$I$8,"")&amp;IF(COUNTIFS(MATCHER!$B$5:$B$504,A143,MATCHER!$D$5:$D$504,C143,MATCHER!$J$5:$J$504,REGLER!$I$9,MATCHER!$K$5:$K$504,"Ja")+COUNTIFS(MATCHER!$B$5:$B$504,A143,MATCHER!$D$5:$D$504,C143,MATCHER!$J$5:$J$504,REGLER!$I$9&amp;" 2",MATCHER!$K$5:$K$504,"Ja")&gt;0,", "&amp;REGLER!$I$9,"")&amp;IF(COUNTIFS(MATCHER!$B$5:$B$504,A143,MATCHER!$D$5:$D$504,C143,MATCHER!$J$5:$J$504,REGLER!$I$10,MATCHER!$K$5:$K$504,"Ja")+COUNTIFS(MATCHER!$B$5:$B$504,A143,MATCHER!$D$5:$D$504,C143,MATCHER!$J$5:$J$504,REGLER!$I$10&amp;" 2",MATCHER!$K$5:$K$504,"Ja")&gt;0,", "&amp;REGLER!$I$10,"")&amp;IF(COUNTIFS(MATCHER!$B$5:$B$504,A143,MATCHER!$D$5:$D$504,C143,MATCHER!$J$5:$J$504,REGLER!$I$11,MATCHER!$K$5:$K$504,"Ja")+COUNTIFS(MATCHER!$B$5:$B$504,A143,MATCHER!$D$5:$D$504,C143,MATCHER!$J$5:$J$504,REGLER!$I$11&amp;" 2",MATCHER!$K$5:$K$504,"Ja")&gt;0,", "&amp;REGLER!$I$11,"")&amp;IF(COUNTIFS(MATCHER!$B$5:$B$504,A143,MATCHER!$D$5:$D$504,C143,MATCHER!$J$5:$J$504,REGLER!$I$12,MATCHER!$K$5:$K$504,"Ja")+COUNTIFS(MATCHER!$B$5:$B$504,A143,MATCHER!$D$5:$D$504,C143,MATCHER!$J$5:$J$504,REGLER!$I$12&amp;" 2",MATCHER!$K$5:$K$504,"Ja")&gt;0,", "&amp;REGLER!$I$12,"")&amp;IF(COUNTIFS(MATCHER!$B$5:$B$504,A143,MATCHER!$D$5:$D$504,C143,MATCHER!$J$5:$J$504,REGLER!$I$13,MATCHER!$K$5:$K$504,"Ja")+COUNTIFS(MATCHER!$B$5:$B$504,A143,MATCHER!$D$5:$D$504,C143,MATCHER!$J$5:$J$504,REGLER!$I$13&amp;" 2",MATCHER!$K$5:$K$504,"Ja")&gt;0,", "&amp;REGLER!$I$13,"")&amp;IF(COUNTIFS(MATCHER!$B$5:$B$504,A143,MATCHER!$D$5:$D$504,C143,MATCHER!$J$5:$J$504,REGLER!$I$14,MATCHER!$K$5:$K$504,"Ja")+COUNTIFS(MATCHER!$B$5:$B$504,A143,MATCHER!$D$5:$D$504,C143,MATCHER!$J$5:$J$504,REGLER!$I$14&amp;" 2",MATCHER!$K$5:$K$504,"Ja")&gt;0,", "&amp;REGLER!$I$14,"")&amp;IF(COUNTIFS(MATCHER!$B$5:$B$504,A143,MATCHER!$D$5:$D$504,C143,MATCHER!$J$5:$J$504,REGLER!$I$15,MATCHER!$K$5:$K$504,"Ja")+COUNTIFS(MATCHER!$B$5:$B$504,A143,MATCHER!$D$5:$D$504,C143,MATCHER!$J$5:$J$504,REGLER!$I$15&amp;" 2",MATCHER!$K$5:$K$504,"Ja")&gt;0,", "&amp;REGLER!$I$15,"")&amp;IF(COUNTIFS(MATCHER!$B$5:$B$504,A143,MATCHER!$D$5:$D$504,C143,MATCHER!$J$5:$J$504,REGLER!$I$16,MATCHER!$K$5:$K$504,"Ja")+COUNTIFS(MATCHER!$B$5:$B$504,A143,MATCHER!$D$5:$D$504,C143,MATCHER!$J$5:$J$504,REGLER!$I$16&amp;" 2",MATCHER!$K$5:$K$504,"Ja")&gt;0,", "&amp;REGLER!$I$16,"")&amp;IF(COUNTIFS(MATCHER!$B$5:$B$504,A143,MATCHER!$D$5:$D$504,C143,MATCHER!$J$5:$J$504,REGLER!$I$17,MATCHER!$K$5:$K$504,"Ja")+COUNTIFS(MATCHER!$B$5:$B$504,A143,MATCHER!$D$5:$D$504,C143,MATCHER!$J$5:$J$504,REGLER!$I$17&amp;" 2",MATCHER!$K$5:$K$504,"Ja")&gt;0,", "&amp;REGLER!$I$17,"")&amp;IF(COUNTIFS(MATCHER!$B$5:$B$504,A143,MATCHER!$D$5:$D$504,C143,MATCHER!$J$5:$J$504,REGLER!$I$18,MATCHER!$K$5:$K$504,"Ja")+COUNTIFS(MATCHER!$B$5:$B$504,A143,MATCHER!$D$5:$D$504,C143,MATCHER!$J$5:$J$504,REGLER!$I$18&amp;" 2",MATCHER!$K$5:$K$504,"Ja")&gt;0,", "&amp;REGLER!$I$18,"")&amp;IF(COUNTIFS(MATCHER!$B$5:$B$504,A143,MATCHER!$D$5:$D$504,C143,MATCHER!$J$5:$J$504,REGLER!$I$19,MATCHER!$K$5:$K$504,"Ja")+COUNTIFS(MATCHER!$B$5:$B$504,A143,MATCHER!$D$5:$D$504,C143,MATCHER!$J$5:$J$504,REGLER!$I$19&amp;" 2",MATCHER!$K$5:$K$504,"Ja")&gt;0,", "&amp;REGLER!$I$19,"")&amp;IF(COUNTIFS(MATCHER!$B$5:$B$504,A143,MATCHER!$D$5:$D$504,C143,MATCHER!$J$5:$J$504,REGLER!$I$20,MATCHER!$K$5:$K$504,"Ja")+COUNTIFS(MATCHER!$B$5:$B$504,A143,MATCHER!$D$5:$D$504,C143,MATCHER!$J$5:$J$504,REGLER!$I$20&amp;" 2",MATCHER!$K$5:$K$504,"Ja")&gt;0,", "&amp;REGLER!$I$20,"")&amp;IF(COUNTIFS(MATCHER!$B$5:$B$504,A143,MATCHER!$D$5:$D$504,C143,MATCHER!$J$5:$J$504,REGLER!$I$21,MATCHER!$K$5:$K$504,"Ja")+COUNTIFS(MATCHER!$B$5:$B$504,A143,MATCHER!$D$5:$D$504,C143,MATCHER!$J$5:$J$504,REGLER!$I$21&amp;" 2",MATCHER!$K$5:$K$504,"Ja")&gt;0,", "&amp;REGLER!$I$21,"")&amp;IF(COUNTIFS(MATCHER!$B$5:$B$504,A143,MATCHER!$D$5:$D$504,C143,MATCHER!$J$5:$J$504,REGLER!$I$22,MATCHER!$K$5:$K$504,"Ja")+COUNTIFS(MATCHER!$B$5:$B$504,A143,MATCHER!$D$5:$D$504,C143,MATCHER!$J$5:$J$504,REGLER!$I$22&amp;" 2",MATCHER!$K$5:$K$504,"Ja")&gt;0,", "&amp;REGLER!$I$22,"")&amp;IF(COUNTIFS(MATCHER!$B$5:$B$504,A143,MATCHER!$D$5:$D$504,C143,MATCHER!$J$5:$J$504,REGLER!$I$23,MATCHER!$K$5:$K$504,"Ja")+COUNTIFS(MATCHER!$B$5:$B$504,A143,MATCHER!$D$5:$D$504,C143,MATCHER!$J$5:$J$504,REGLER!$I$23&amp;" 2",MATCHER!$K$5:$K$504,"Ja")&gt;0,", "&amp;REGLER!$I$23,"")&amp;IF(COUNTIFS(MATCHER!$B$5:$B$504,A143,MATCHER!$D$5:$D$504,C143,MATCHER!$J$5:$J$504,REGLER!$I$24,MATCHER!$K$5:$K$504,"Ja")+COUNTIFS(MATCHER!$B$5:$B$504,A143,MATCHER!$D$5:$D$504,C143,MATCHER!$J$5:$J$504,REGLER!$I$24&amp;" 2",MATCHER!$K$5:$K$504,"Ja")&gt;0,", "&amp;REGLER!$I$24,"")&amp;IF(COUNTIFS(MATCHER!$B$5:$B$504,A143,MATCHER!$D$5:$D$504,C143,MATCHER!$J$5:$J$504,REGLER!$I$25,MATCHER!$K$5:$K$504,"Ja")+COUNTIFS(MATCHER!$B$5:$B$504,A143,MATCHER!$D$5:$D$504,C143,MATCHER!$J$5:$J$504,REGLER!$I$25&amp;" 2",MATCHER!$K$5:$K$504,"Ja")&gt;0,", "&amp;REGLER!$I$25,"")&amp;IF(COUNTIFS(MATCHER!$B$5:$B$504,A143,MATCHER!$D$5:$D$504,C143,MATCHER!$J$5:$J$504,REGLER!$I$26,MATCHER!$K$5:$K$504,"Ja")+COUNTIFS(MATCHER!$B$5:$B$504,A143,MATCHER!$D$5:$D$504,C143,MATCHER!$J$5:$J$504,REGLER!$I$26&amp;" 2",MATCHER!$K$5:$K$504,"Ja")&gt;0,", "&amp;REGLER!$I$26,""),3,1000)</f>
        <v>P12</v>
      </c>
      <c r="I143" s="46" t="s">
        <v>90</v>
      </c>
      <c r="J143" s="47" t="s">
        <v>117</v>
      </c>
      <c r="K143" s="48" t="s">
        <v>88</v>
      </c>
      <c r="L143" s="49"/>
      <c r="M143" s="50">
        <f>IF(O143&lt;&gt;O142,MAX(1,MIN(AA143,ROUNDUP(SUMPRODUCT(($O$5:$O$546=O143)*($I$5:$I$546="Ja")*($E$5:$E$546-$D$5:$D$546))*24/REGLER!$B$8,0))),"")</f>
        <v>1</v>
      </c>
      <c r="N143" s="50" t="str">
        <f t="shared" si="30"/>
        <v>Klar</v>
      </c>
      <c r="O143" s="15" t="s">
        <v>118</v>
      </c>
      <c r="P143" s="16">
        <v>0.33333333333333298</v>
      </c>
      <c r="Q143" s="16">
        <v>0.55208333333333304</v>
      </c>
      <c r="R143" s="15" t="str">
        <f>IFERROR(MATCH(1,INDEX((MATCHER!$B$5:$B$504=A143)*(MATCHER!$D$5:$D$504=C143)*(MATCHER!$K$5:$K$504="Ja")*(MATCHER!$C$5:$C$504&lt;E143)*(MATCHER!$M$5:$M$504&gt;D143),0),0),"")</f>
        <v/>
      </c>
      <c r="S143" s="15" t="str">
        <f>IF(R143="","",IFERROR(MATCH(1,INDEX((MATCHER!$B$5:$B$504=A143)*(MATCHER!$D$5:$D$504=C143)*(MATCHER!$K$5:$K$504="Ja")*(MATCHER!$C$5:$C$504&lt;E143)*(MATCHER!$M$5:$M$504&gt;D143)*(ROW(MATCHER!$A$5:$A$504)-ROW(MATCHER!$A$5)+1&gt;R143),0),0),""))</f>
        <v/>
      </c>
      <c r="T143" s="15" t="str">
        <f>IF(S143="","",IFERROR(MATCH(1,INDEX((MATCHER!$B$5:$B$504=A143)*(MATCHER!$D$5:$D$504=C143)*(MATCHER!$K$5:$K$504="Ja")*(MATCHER!$C$5:$C$504&lt;E143)*(MATCHER!$M$5:$M$504&gt;D143)*(ROW(MATCHER!$A$5:$A$504)-ROW(MATCHER!$A$5)+1&gt;S143),0),0),""))</f>
        <v/>
      </c>
      <c r="U143" s="15">
        <f t="shared" si="31"/>
        <v>1</v>
      </c>
      <c r="V143" s="15">
        <f>IF(OR(I143&lt;&gt;"Ja",J143=""),"",COUNTIFS($O$5:O143,O143,$U$5:U143,1))</f>
        <v>1</v>
      </c>
      <c r="W143" s="15" t="str">
        <f t="shared" si="32"/>
        <v>2026-11-07 | Tallbackaskolan|1</v>
      </c>
      <c r="X143" s="16" t="str">
        <f t="shared" si="33"/>
        <v/>
      </c>
      <c r="Y143" s="15">
        <f>IF(OR(I143&lt;&gt;"Ja",J143=""),0,IF(COUNTIFS($O$5:O143,O143,$I$5:I143,"Ja",$J$5:J143,"&lt;&gt;")=1,1,0))</f>
        <v>1</v>
      </c>
      <c r="Z143" s="15">
        <f>IF(OR(I143&lt;&gt;"Ja",J143=""),0,IF(COUNTIFS(O143:$O$546,O143,I143:$I$546,"Ja",J143:$J$546,"&lt;&gt;")=1,1,0))</f>
        <v>0</v>
      </c>
      <c r="AA143" s="15">
        <f>IF(COUNTIFS(MATCHER!$B$5:$B$504,A143,MATCHER!$D$5:$D$504,C143,MATCHER!$J$5:$J$504,REGLER!$I$6,MATCHER!$K$5:$K$504,"Ja")+COUNTIFS(MATCHER!$B$5:$B$504,A143,MATCHER!$D$5:$D$504,C143,MATCHER!$J$5:$J$504,REGLER!$I$6&amp;" 2",MATCHER!$K$5:$K$504,"Ja")&gt;0,1,0)+IF(COUNTIFS(MATCHER!$B$5:$B$504,A143,MATCHER!$D$5:$D$504,C143,MATCHER!$J$5:$J$504,REGLER!$I$7,MATCHER!$K$5:$K$504,"Ja")+COUNTIFS(MATCHER!$B$5:$B$504,A143,MATCHER!$D$5:$D$504,C143,MATCHER!$J$5:$J$504,REGLER!$I$7&amp;" 2",MATCHER!$K$5:$K$504,"Ja")&gt;0,1,0)+IF(COUNTIFS(MATCHER!$B$5:$B$504,A143,MATCHER!$D$5:$D$504,C143,MATCHER!$J$5:$J$504,REGLER!$I$8,MATCHER!$K$5:$K$504,"Ja")+COUNTIFS(MATCHER!$B$5:$B$504,A143,MATCHER!$D$5:$D$504,C143,MATCHER!$J$5:$J$504,REGLER!$I$8&amp;" 2",MATCHER!$K$5:$K$504,"Ja")&gt;0,1,0)+IF(COUNTIFS(MATCHER!$B$5:$B$504,A143,MATCHER!$D$5:$D$504,C143,MATCHER!$J$5:$J$504,REGLER!$I$9,MATCHER!$K$5:$K$504,"Ja")+COUNTIFS(MATCHER!$B$5:$B$504,A143,MATCHER!$D$5:$D$504,C143,MATCHER!$J$5:$J$504,REGLER!$I$9&amp;" 2",MATCHER!$K$5:$K$504,"Ja")&gt;0,1,0)+IF(COUNTIFS(MATCHER!$B$5:$B$504,A143,MATCHER!$D$5:$D$504,C143,MATCHER!$J$5:$J$504,REGLER!$I$10,MATCHER!$K$5:$K$504,"Ja")+COUNTIFS(MATCHER!$B$5:$B$504,A143,MATCHER!$D$5:$D$504,C143,MATCHER!$J$5:$J$504,REGLER!$I$10&amp;" 2",MATCHER!$K$5:$K$504,"Ja")&gt;0,1,0)+IF(COUNTIFS(MATCHER!$B$5:$B$504,A143,MATCHER!$D$5:$D$504,C143,MATCHER!$J$5:$J$504,REGLER!$I$11,MATCHER!$K$5:$K$504,"Ja")+COUNTIFS(MATCHER!$B$5:$B$504,A143,MATCHER!$D$5:$D$504,C143,MATCHER!$J$5:$J$504,REGLER!$I$11&amp;" 2",MATCHER!$K$5:$K$504,"Ja")&gt;0,1,0)+IF(COUNTIFS(MATCHER!$B$5:$B$504,A143,MATCHER!$D$5:$D$504,C143,MATCHER!$J$5:$J$504,REGLER!$I$12,MATCHER!$K$5:$K$504,"Ja")+COUNTIFS(MATCHER!$B$5:$B$504,A143,MATCHER!$D$5:$D$504,C143,MATCHER!$J$5:$J$504,REGLER!$I$12&amp;" 2",MATCHER!$K$5:$K$504,"Ja")&gt;0,1,0)+IF(COUNTIFS(MATCHER!$B$5:$B$504,A143,MATCHER!$D$5:$D$504,C143,MATCHER!$J$5:$J$504,REGLER!$I$13,MATCHER!$K$5:$K$504,"Ja")+COUNTIFS(MATCHER!$B$5:$B$504,A143,MATCHER!$D$5:$D$504,C143,MATCHER!$J$5:$J$504,REGLER!$I$13&amp;" 2",MATCHER!$K$5:$K$504,"Ja")&gt;0,1,0)+IF(COUNTIFS(MATCHER!$B$5:$B$504,A143,MATCHER!$D$5:$D$504,C143,MATCHER!$J$5:$J$504,REGLER!$I$14,MATCHER!$K$5:$K$504,"Ja")+COUNTIFS(MATCHER!$B$5:$B$504,A143,MATCHER!$D$5:$D$504,C143,MATCHER!$J$5:$J$504,REGLER!$I$14&amp;" 2",MATCHER!$K$5:$K$504,"Ja")&gt;0,1,0)+IF(COUNTIFS(MATCHER!$B$5:$B$504,A143,MATCHER!$D$5:$D$504,C143,MATCHER!$J$5:$J$504,REGLER!$I$15,MATCHER!$K$5:$K$504,"Ja")+COUNTIFS(MATCHER!$B$5:$B$504,A143,MATCHER!$D$5:$D$504,C143,MATCHER!$J$5:$J$504,REGLER!$I$15&amp;" 2",MATCHER!$K$5:$K$504,"Ja")&gt;0,1,0)+IF(COUNTIFS(MATCHER!$B$5:$B$504,A143,MATCHER!$D$5:$D$504,C143,MATCHER!$J$5:$J$504,REGLER!$I$16,MATCHER!$K$5:$K$504,"Ja")+COUNTIFS(MATCHER!$B$5:$B$504,A143,MATCHER!$D$5:$D$504,C143,MATCHER!$J$5:$J$504,REGLER!$I$16&amp;" 2",MATCHER!$K$5:$K$504,"Ja")&gt;0,1,0)+IF(COUNTIFS(MATCHER!$B$5:$B$504,A143,MATCHER!$D$5:$D$504,C143,MATCHER!$J$5:$J$504,REGLER!$I$17,MATCHER!$K$5:$K$504,"Ja")+COUNTIFS(MATCHER!$B$5:$B$504,A143,MATCHER!$D$5:$D$504,C143,MATCHER!$J$5:$J$504,REGLER!$I$17&amp;" 2",MATCHER!$K$5:$K$504,"Ja")&gt;0,1,0)+IF(COUNTIFS(MATCHER!$B$5:$B$504,A143,MATCHER!$D$5:$D$504,C143,MATCHER!$J$5:$J$504,REGLER!$I$18,MATCHER!$K$5:$K$504,"Ja")+COUNTIFS(MATCHER!$B$5:$B$504,A143,MATCHER!$D$5:$D$504,C143,MATCHER!$J$5:$J$504,REGLER!$I$18&amp;" 2",MATCHER!$K$5:$K$504,"Ja")&gt;0,1,0)+IF(COUNTIFS(MATCHER!$B$5:$B$504,A143,MATCHER!$D$5:$D$504,C143,MATCHER!$J$5:$J$504,REGLER!$I$19,MATCHER!$K$5:$K$504,"Ja")+COUNTIFS(MATCHER!$B$5:$B$504,A143,MATCHER!$D$5:$D$504,C143,MATCHER!$J$5:$J$504,REGLER!$I$19&amp;" 2",MATCHER!$K$5:$K$504,"Ja")&gt;0,1,0)+IF(COUNTIFS(MATCHER!$B$5:$B$504,A143,MATCHER!$D$5:$D$504,C143,MATCHER!$J$5:$J$504,REGLER!$I$20,MATCHER!$K$5:$K$504,"Ja")+COUNTIFS(MATCHER!$B$5:$B$504,A143,MATCHER!$D$5:$D$504,C143,MATCHER!$J$5:$J$504,REGLER!$I$20&amp;" 2",MATCHER!$K$5:$K$504,"Ja")&gt;0,1,0)+IF(COUNTIFS(MATCHER!$B$5:$B$504,A143,MATCHER!$D$5:$D$504,C143,MATCHER!$J$5:$J$504,REGLER!$I$21,MATCHER!$K$5:$K$504,"Ja")+COUNTIFS(MATCHER!$B$5:$B$504,A143,MATCHER!$D$5:$D$504,C143,MATCHER!$J$5:$J$504,REGLER!$I$21&amp;" 2",MATCHER!$K$5:$K$504,"Ja")&gt;0,1,0)+IF(COUNTIFS(MATCHER!$B$5:$B$504,A143,MATCHER!$D$5:$D$504,C143,MATCHER!$J$5:$J$504,REGLER!$I$22,MATCHER!$K$5:$K$504,"Ja")+COUNTIFS(MATCHER!$B$5:$B$504,A143,MATCHER!$D$5:$D$504,C143,MATCHER!$J$5:$J$504,REGLER!$I$22&amp;" 2",MATCHER!$K$5:$K$504,"Ja")&gt;0,1,0)+IF(COUNTIFS(MATCHER!$B$5:$B$504,A143,MATCHER!$D$5:$D$504,C143,MATCHER!$J$5:$J$504,REGLER!$I$23,MATCHER!$K$5:$K$504,"Ja")+COUNTIFS(MATCHER!$B$5:$B$504,A143,MATCHER!$D$5:$D$504,C143,MATCHER!$J$5:$J$504,REGLER!$I$23&amp;" 2",MATCHER!$K$5:$K$504,"Ja")&gt;0,1,0)+IF(COUNTIFS(MATCHER!$B$5:$B$504,A143,MATCHER!$D$5:$D$504,C143,MATCHER!$J$5:$J$504,REGLER!$I$24,MATCHER!$K$5:$K$504,"Ja")+COUNTIFS(MATCHER!$B$5:$B$504,A143,MATCHER!$D$5:$D$504,C143,MATCHER!$J$5:$J$504,REGLER!$I$24&amp;" 2",MATCHER!$K$5:$K$504,"Ja")&gt;0,1,0)+IF(COUNTIFS(MATCHER!$B$5:$B$504,A143,MATCHER!$D$5:$D$504,C143,MATCHER!$J$5:$J$504,REGLER!$I$25,MATCHER!$K$5:$K$504,"Ja")+COUNTIFS(MATCHER!$B$5:$B$504,A143,MATCHER!$D$5:$D$504,C143,MATCHER!$J$5:$J$504,REGLER!$I$25&amp;" 2",MATCHER!$K$5:$K$504,"Ja")&gt;0,1,0)+IF(COUNTIFS(MATCHER!$B$5:$B$504,A143,MATCHER!$D$5:$D$504,C143,MATCHER!$J$5:$J$504,REGLER!$I$26,MATCHER!$K$5:$K$504,"Ja")+COUNTIFS(MATCHER!$B$5:$B$504,A143,MATCHER!$D$5:$D$504,C143,MATCHER!$J$5:$J$504,REGLER!$I$26&amp;" 2",MATCHER!$K$5:$K$504,"Ja")&gt;0,1,0)</f>
        <v>1</v>
      </c>
      <c r="AB143" s="15">
        <f>IF(U143&lt;&gt;1,"",COUNTIF($U$5:U143,1))</f>
        <v>16</v>
      </c>
      <c r="AC143" s="15" t="str">
        <f t="shared" si="34"/>
        <v/>
      </c>
      <c r="AD143" s="15" t="str">
        <f t="shared" si="35"/>
        <v>Vanligt café</v>
      </c>
      <c r="AE143" s="15">
        <f t="shared" si="36"/>
        <v>5.2500000000000018</v>
      </c>
      <c r="AF143" t="str">
        <f>IF(T143="","",IFERROR(MATCH(1,INDEX((MATCHER!$B$5:$B$504=A143)*(MATCHER!$D$5:$D$504=C143)*(MATCHER!$K$5:$K$504="Ja")*(MATCHER!$C$5:$C$504&lt;E143)*(MATCHER!$M$5:$M$504&gt;D143)*(ROW(MATCHER!$A$5:$A$504)-ROW(MATCHER!$A$5)+1&gt;T143),0),0),""))</f>
        <v/>
      </c>
    </row>
    <row r="144" spans="1:32" ht="26">
      <c r="A144" s="42">
        <v>46333</v>
      </c>
      <c r="B144" s="43" t="s">
        <v>85</v>
      </c>
      <c r="C144" s="43" t="s">
        <v>110</v>
      </c>
      <c r="D144" s="44">
        <v>0.35416666666666702</v>
      </c>
      <c r="E144" s="44">
        <v>0.375</v>
      </c>
      <c r="F144" s="45" t="str">
        <f>IF(R144="","",HOUR(INDEX(MATCHER!$C$5:$C$504,R144))&amp;":"&amp;IF(MINUTE(INDEX(MATCHER!$C$5:$C$504,R144))&lt;10,"0","")&amp;MINUTE(INDEX(MATCHER!$C$5:$C$504,R144))&amp;" "&amp;INDEX(MATCHER!$H$5:$H$504,R144)&amp;" – "&amp;INDEX(MATCHER!$I$5:$I$504,R144))&amp;IF(S144="",""," | "&amp;HOUR(INDEX(MATCHER!$C$5:$C$504,S144))&amp;":"&amp;IF(MINUTE(INDEX(MATCHER!$C$5:$C$504,S144))&lt;10,"0","")&amp;MINUTE(INDEX(MATCHER!$C$5:$C$504,S144))&amp;" "&amp;INDEX(MATCHER!$H$5:$H$504,S144)&amp;" – "&amp;INDEX(MATCHER!$I$5:$I$504,S144))&amp;IF(T144="",""," | "&amp;HOUR(INDEX(MATCHER!$C$5:$C$504,T144))&amp;":"&amp;IF(MINUTE(INDEX(MATCHER!$C$5:$C$504,T144))&lt;10,"0","")&amp;MINUTE(INDEX(MATCHER!$C$5:$C$504,T144))&amp;" "&amp;INDEX(MATCHER!$H$5:$H$504,T144)&amp;" – "&amp;INDEX(MATCHER!$I$5:$I$504,T144))&amp;IF(AF144="",""," | "&amp;HOUR(INDEX(MATCHER!$C$5:$C$504,AF144))&amp;":"&amp;IF(MINUTE(INDEX(MATCHER!$C$5:$C$504,AF144))&lt;10,"0","")&amp;MINUTE(INDEX(MATCHER!$C$5:$C$504,AF144))&amp;" "&amp;INDEX(MATCHER!$H$5:$H$504,AF144)&amp;" – "&amp;INDEX(MATCHER!$I$5:$I$504,AF144))</f>
        <v/>
      </c>
      <c r="G144" s="45" t="str">
        <f>MID(IF(R144="","",IF(OR(INDEX(MATCHER!$J$5:$J$504,R144)=""),""," / "&amp;INDEX(MATCHER!$J$5:$J$504,R144)))&amp;IF(S144="","",IF(OR(INDEX(MATCHER!$J$5:$J$504,S144)="",INDEX(MATCHER!$J$5:$J$504,S144)=IFERROR(INDEX(MATCHER!$J$5:$J$504,R144),"")),""," / "&amp;INDEX(MATCHER!$J$5:$J$504,S144)))&amp;IF(T144="","",IF(OR(INDEX(MATCHER!$J$5:$J$504,T144)="",INDEX(MATCHER!$J$5:$J$504,T144)=IFERROR(INDEX(MATCHER!$J$5:$J$504,R144),""),INDEX(MATCHER!$J$5:$J$504,T144)=IFERROR(INDEX(MATCHER!$J$5:$J$504,S144),"")),""," / "&amp;INDEX(MATCHER!$J$5:$J$504,T144)))&amp;IF(AF144="","",IF(OR(INDEX(MATCHER!$J$5:$J$504,AF144)="",INDEX(MATCHER!$J$5:$J$504,AF144)=IFERROR(INDEX(MATCHER!$J$5:$J$504,R144),""),INDEX(MATCHER!$J$5:$J$504,AF144)=IFERROR(INDEX(MATCHER!$J$5:$J$504,S144),""),INDEX(MATCHER!$J$5:$J$504,AF144)=IFERROR(INDEX(MATCHER!$J$5:$J$504,T144),"")),""," / "&amp;INDEX(MATCHER!$J$5:$J$504,AF144))),4,1000)</f>
        <v/>
      </c>
      <c r="H144" s="45" t="str">
        <f t="shared" ref="H144:H153" si="37">H143</f>
        <v>P12</v>
      </c>
      <c r="I144" s="46" t="s">
        <v>90</v>
      </c>
      <c r="J144" s="47" t="s">
        <v>117</v>
      </c>
      <c r="K144" s="48"/>
      <c r="L144" s="49"/>
      <c r="M144" s="50" t="str">
        <f>IF(O144&lt;&gt;O143,MAX(1,MIN(AA144,ROUNDUP(SUMPRODUCT(($O$5:$O$546=O144)*($I$5:$I$546="Ja")*($E$5:$E$546-$D$5:$D$546))*24/REGLER!$B$8,0))),"")</f>
        <v/>
      </c>
      <c r="N144" s="50" t="str">
        <f t="shared" si="30"/>
        <v>Klar</v>
      </c>
      <c r="O144" s="15" t="s">
        <v>118</v>
      </c>
      <c r="P144" s="16">
        <v>0.33333333333333298</v>
      </c>
      <c r="Q144" s="16">
        <v>0.55208333333333304</v>
      </c>
      <c r="R144" s="15" t="str">
        <f>IFERROR(MATCH(1,INDEX((MATCHER!$B$5:$B$504=A144)*(MATCHER!$D$5:$D$504=C144)*(MATCHER!$K$5:$K$504="Ja")*(MATCHER!$C$5:$C$504&lt;E144)*(MATCHER!$M$5:$M$504&gt;D144),0),0),"")</f>
        <v/>
      </c>
      <c r="S144" s="15" t="str">
        <f>IF(R144="","",IFERROR(MATCH(1,INDEX((MATCHER!$B$5:$B$504=A144)*(MATCHER!$D$5:$D$504=C144)*(MATCHER!$K$5:$K$504="Ja")*(MATCHER!$C$5:$C$504&lt;E144)*(MATCHER!$M$5:$M$504&gt;D144)*(ROW(MATCHER!$A$5:$A$504)-ROW(MATCHER!$A$5)+1&gt;R144),0),0),""))</f>
        <v/>
      </c>
      <c r="T144" s="15" t="str">
        <f>IF(S144="","",IFERROR(MATCH(1,INDEX((MATCHER!$B$5:$B$504=A144)*(MATCHER!$D$5:$D$504=C144)*(MATCHER!$K$5:$K$504="Ja")*(MATCHER!$C$5:$C$504&lt;E144)*(MATCHER!$M$5:$M$504&gt;D144)*(ROW(MATCHER!$A$5:$A$504)-ROW(MATCHER!$A$5)+1&gt;S144),0),0),""))</f>
        <v/>
      </c>
      <c r="U144" s="15">
        <f t="shared" si="31"/>
        <v>0</v>
      </c>
      <c r="V144" s="15">
        <f>IF(OR(I144&lt;&gt;"Ja",J144=""),"",COUNTIFS($O$5:O144,O144,$U$5:U144,1))</f>
        <v>1</v>
      </c>
      <c r="W144" s="15" t="str">
        <f t="shared" si="32"/>
        <v>2026-11-07 | Tallbackaskolan|1</v>
      </c>
      <c r="X144" s="16" t="str">
        <f t="shared" si="33"/>
        <v/>
      </c>
      <c r="Y144" s="15">
        <f>IF(OR(I144&lt;&gt;"Ja",J144=""),0,IF(COUNTIFS($O$5:O144,O144,$I$5:I144,"Ja",$J$5:J144,"&lt;&gt;")=1,1,0))</f>
        <v>0</v>
      </c>
      <c r="Z144" s="15">
        <f>IF(OR(I144&lt;&gt;"Ja",J144=""),0,IF(COUNTIFS(O144:$O$546,O144,I144:$I$546,"Ja",J144:$J$546,"&lt;&gt;")=1,1,0))</f>
        <v>0</v>
      </c>
      <c r="AA144" s="15">
        <f t="shared" ref="AA144:AA153" si="38">AA143</f>
        <v>1</v>
      </c>
      <c r="AB144" s="15" t="str">
        <f>IF(U144&lt;&gt;1,"",COUNTIF($U$5:U144,1))</f>
        <v/>
      </c>
      <c r="AC144" s="15" t="str">
        <f t="shared" si="34"/>
        <v/>
      </c>
      <c r="AD144" s="15" t="str">
        <f t="shared" si="35"/>
        <v>Vanligt café</v>
      </c>
      <c r="AE144" s="15" t="str">
        <f t="shared" si="36"/>
        <v/>
      </c>
      <c r="AF144" t="str">
        <f>IF(T144="","",IFERROR(MATCH(1,INDEX((MATCHER!$B$5:$B$504=A144)*(MATCHER!$D$5:$D$504=C144)*(MATCHER!$K$5:$K$504="Ja")*(MATCHER!$C$5:$C$504&lt;E144)*(MATCHER!$M$5:$M$504&gt;D144)*(ROW(MATCHER!$A$5:$A$504)-ROW(MATCHER!$A$5)+1&gt;T144),0),0),""))</f>
        <v/>
      </c>
    </row>
    <row r="145" spans="1:32" ht="26">
      <c r="A145" s="42">
        <v>46333</v>
      </c>
      <c r="B145" s="43" t="s">
        <v>85</v>
      </c>
      <c r="C145" s="43" t="s">
        <v>110</v>
      </c>
      <c r="D145" s="44">
        <v>0.375</v>
      </c>
      <c r="E145" s="44">
        <v>0.39583333333333298</v>
      </c>
      <c r="F145" s="45" t="str">
        <f>IF(R145="","",HOUR(INDEX(MATCHER!$C$5:$C$504,R145))&amp;":"&amp;IF(MINUTE(INDEX(MATCHER!$C$5:$C$504,R145))&lt;10,"0","")&amp;MINUTE(INDEX(MATCHER!$C$5:$C$504,R145))&amp;" "&amp;INDEX(MATCHER!$H$5:$H$504,R145)&amp;" – "&amp;INDEX(MATCHER!$I$5:$I$504,R145))&amp;IF(S145="",""," | "&amp;HOUR(INDEX(MATCHER!$C$5:$C$504,S145))&amp;":"&amp;IF(MINUTE(INDEX(MATCHER!$C$5:$C$504,S145))&lt;10,"0","")&amp;MINUTE(INDEX(MATCHER!$C$5:$C$504,S145))&amp;" "&amp;INDEX(MATCHER!$H$5:$H$504,S145)&amp;" – "&amp;INDEX(MATCHER!$I$5:$I$504,S145))&amp;IF(T145="",""," | "&amp;HOUR(INDEX(MATCHER!$C$5:$C$504,T145))&amp;":"&amp;IF(MINUTE(INDEX(MATCHER!$C$5:$C$504,T145))&lt;10,"0","")&amp;MINUTE(INDEX(MATCHER!$C$5:$C$504,T145))&amp;" "&amp;INDEX(MATCHER!$H$5:$H$504,T145)&amp;" – "&amp;INDEX(MATCHER!$I$5:$I$504,T145))&amp;IF(AF145="",""," | "&amp;HOUR(INDEX(MATCHER!$C$5:$C$504,AF145))&amp;":"&amp;IF(MINUTE(INDEX(MATCHER!$C$5:$C$504,AF145))&lt;10,"0","")&amp;MINUTE(INDEX(MATCHER!$C$5:$C$504,AF145))&amp;" "&amp;INDEX(MATCHER!$H$5:$H$504,AF145)&amp;" – "&amp;INDEX(MATCHER!$I$5:$I$504,AF145))</f>
        <v>9:00 AIK – Täby HBK</v>
      </c>
      <c r="G145" s="45" t="str">
        <f>MID(IF(R145="","",IF(OR(INDEX(MATCHER!$J$5:$J$504,R145)=""),""," / "&amp;INDEX(MATCHER!$J$5:$J$504,R145)))&amp;IF(S145="","",IF(OR(INDEX(MATCHER!$J$5:$J$504,S145)="",INDEX(MATCHER!$J$5:$J$504,S145)=IFERROR(INDEX(MATCHER!$J$5:$J$504,R145),"")),""," / "&amp;INDEX(MATCHER!$J$5:$J$504,S145)))&amp;IF(T145="","",IF(OR(INDEX(MATCHER!$J$5:$J$504,T145)="",INDEX(MATCHER!$J$5:$J$504,T145)=IFERROR(INDEX(MATCHER!$J$5:$J$504,R145),""),INDEX(MATCHER!$J$5:$J$504,T145)=IFERROR(INDEX(MATCHER!$J$5:$J$504,S145),"")),""," / "&amp;INDEX(MATCHER!$J$5:$J$504,T145)))&amp;IF(AF145="","",IF(OR(INDEX(MATCHER!$J$5:$J$504,AF145)="",INDEX(MATCHER!$J$5:$J$504,AF145)=IFERROR(INDEX(MATCHER!$J$5:$J$504,R145),""),INDEX(MATCHER!$J$5:$J$504,AF145)=IFERROR(INDEX(MATCHER!$J$5:$J$504,S145),""),INDEX(MATCHER!$J$5:$J$504,AF145)=IFERROR(INDEX(MATCHER!$J$5:$J$504,T145),"")),""," / "&amp;INDEX(MATCHER!$J$5:$J$504,AF145))),4,1000)</f>
        <v>P12</v>
      </c>
      <c r="H145" s="45" t="str">
        <f t="shared" si="37"/>
        <v>P12</v>
      </c>
      <c r="I145" s="46" t="s">
        <v>90</v>
      </c>
      <c r="J145" s="47" t="s">
        <v>117</v>
      </c>
      <c r="K145" s="48"/>
      <c r="L145" s="49"/>
      <c r="M145" s="50" t="str">
        <f>IF(O145&lt;&gt;O144,MAX(1,MIN(AA145,ROUNDUP(SUMPRODUCT(($O$5:$O$546=O145)*($I$5:$I$546="Ja")*($E$5:$E$546-$D$5:$D$546))*24/REGLER!$B$8,0))),"")</f>
        <v/>
      </c>
      <c r="N145" s="50" t="str">
        <f t="shared" si="30"/>
        <v>Klar</v>
      </c>
      <c r="O145" s="15" t="s">
        <v>118</v>
      </c>
      <c r="P145" s="16">
        <v>0.33333333333333298</v>
      </c>
      <c r="Q145" s="16">
        <v>0.55208333333333304</v>
      </c>
      <c r="R145" s="15">
        <f>IFERROR(MATCH(1,INDEX((MATCHER!$B$5:$B$504=A145)*(MATCHER!$D$5:$D$504=C145)*(MATCHER!$K$5:$K$504="Ja")*(MATCHER!$C$5:$C$504&lt;E145)*(MATCHER!$M$5:$M$504&gt;D145),0),0),"")</f>
        <v>47</v>
      </c>
      <c r="S145" s="15" t="str">
        <f>IF(R145="","",IFERROR(MATCH(1,INDEX((MATCHER!$B$5:$B$504=A145)*(MATCHER!$D$5:$D$504=C145)*(MATCHER!$K$5:$K$504="Ja")*(MATCHER!$C$5:$C$504&lt;E145)*(MATCHER!$M$5:$M$504&gt;D145)*(ROW(MATCHER!$A$5:$A$504)-ROW(MATCHER!$A$5)+1&gt;R145),0),0),""))</f>
        <v/>
      </c>
      <c r="T145" s="15" t="str">
        <f>IF(S145="","",IFERROR(MATCH(1,INDEX((MATCHER!$B$5:$B$504=A145)*(MATCHER!$D$5:$D$504=C145)*(MATCHER!$K$5:$K$504="Ja")*(MATCHER!$C$5:$C$504&lt;E145)*(MATCHER!$M$5:$M$504&gt;D145)*(ROW(MATCHER!$A$5:$A$504)-ROW(MATCHER!$A$5)+1&gt;S145),0),0),""))</f>
        <v/>
      </c>
      <c r="U145" s="15">
        <f t="shared" si="31"/>
        <v>0</v>
      </c>
      <c r="V145" s="15">
        <f>IF(OR(I145&lt;&gt;"Ja",J145=""),"",COUNTIFS($O$5:O145,O145,$U$5:U145,1))</f>
        <v>1</v>
      </c>
      <c r="W145" s="15" t="str">
        <f t="shared" si="32"/>
        <v>2026-11-07 | Tallbackaskolan|1</v>
      </c>
      <c r="X145" s="16" t="str">
        <f t="shared" si="33"/>
        <v/>
      </c>
      <c r="Y145" s="15">
        <f>IF(OR(I145&lt;&gt;"Ja",J145=""),0,IF(COUNTIFS($O$5:O145,O145,$I$5:I145,"Ja",$J$5:J145,"&lt;&gt;")=1,1,0))</f>
        <v>0</v>
      </c>
      <c r="Z145" s="15">
        <f>IF(OR(I145&lt;&gt;"Ja",J145=""),0,IF(COUNTIFS(O145:$O$546,O145,I145:$I$546,"Ja",J145:$J$546,"&lt;&gt;")=1,1,0))</f>
        <v>0</v>
      </c>
      <c r="AA145" s="15">
        <f t="shared" si="38"/>
        <v>1</v>
      </c>
      <c r="AB145" s="15" t="str">
        <f>IF(U145&lt;&gt;1,"",COUNTIF($U$5:U145,1))</f>
        <v/>
      </c>
      <c r="AC145" s="15" t="str">
        <f t="shared" si="34"/>
        <v/>
      </c>
      <c r="AD145" s="15" t="str">
        <f t="shared" si="35"/>
        <v>Vanligt café</v>
      </c>
      <c r="AE145" s="15" t="str">
        <f t="shared" si="36"/>
        <v/>
      </c>
      <c r="AF145" t="str">
        <f>IF(T145="","",IFERROR(MATCH(1,INDEX((MATCHER!$B$5:$B$504=A145)*(MATCHER!$D$5:$D$504=C145)*(MATCHER!$K$5:$K$504="Ja")*(MATCHER!$C$5:$C$504&lt;E145)*(MATCHER!$M$5:$M$504&gt;D145)*(ROW(MATCHER!$A$5:$A$504)-ROW(MATCHER!$A$5)+1&gt;T145),0),0),""))</f>
        <v/>
      </c>
    </row>
    <row r="146" spans="1:32" ht="26">
      <c r="A146" s="42">
        <v>46333</v>
      </c>
      <c r="B146" s="43" t="s">
        <v>85</v>
      </c>
      <c r="C146" s="43" t="s">
        <v>110</v>
      </c>
      <c r="D146" s="44">
        <v>0.39583333333333298</v>
      </c>
      <c r="E146" s="44">
        <v>0.41666666666666702</v>
      </c>
      <c r="F146" s="45" t="str">
        <f>IF(R146="","",HOUR(INDEX(MATCHER!$C$5:$C$504,R146))&amp;":"&amp;IF(MINUTE(INDEX(MATCHER!$C$5:$C$504,R146))&lt;10,"0","")&amp;MINUTE(INDEX(MATCHER!$C$5:$C$504,R146))&amp;" "&amp;INDEX(MATCHER!$H$5:$H$504,R146)&amp;" – "&amp;INDEX(MATCHER!$I$5:$I$504,R146))&amp;IF(S146="",""," | "&amp;HOUR(INDEX(MATCHER!$C$5:$C$504,S146))&amp;":"&amp;IF(MINUTE(INDEX(MATCHER!$C$5:$C$504,S146))&lt;10,"0","")&amp;MINUTE(INDEX(MATCHER!$C$5:$C$504,S146))&amp;" "&amp;INDEX(MATCHER!$H$5:$H$504,S146)&amp;" – "&amp;INDEX(MATCHER!$I$5:$I$504,S146))&amp;IF(T146="",""," | "&amp;HOUR(INDEX(MATCHER!$C$5:$C$504,T146))&amp;":"&amp;IF(MINUTE(INDEX(MATCHER!$C$5:$C$504,T146))&lt;10,"0","")&amp;MINUTE(INDEX(MATCHER!$C$5:$C$504,T146))&amp;" "&amp;INDEX(MATCHER!$H$5:$H$504,T146)&amp;" – "&amp;INDEX(MATCHER!$I$5:$I$504,T146))&amp;IF(AF146="",""," | "&amp;HOUR(INDEX(MATCHER!$C$5:$C$504,AF146))&amp;":"&amp;IF(MINUTE(INDEX(MATCHER!$C$5:$C$504,AF146))&lt;10,"0","")&amp;MINUTE(INDEX(MATCHER!$C$5:$C$504,AF146))&amp;" "&amp;INDEX(MATCHER!$H$5:$H$504,AF146)&amp;" – "&amp;INDEX(MATCHER!$I$5:$I$504,AF146))</f>
        <v>9:00 AIK – Täby HBK</v>
      </c>
      <c r="G146" s="45" t="str">
        <f>MID(IF(R146="","",IF(OR(INDEX(MATCHER!$J$5:$J$504,R146)=""),""," / "&amp;INDEX(MATCHER!$J$5:$J$504,R146)))&amp;IF(S146="","",IF(OR(INDEX(MATCHER!$J$5:$J$504,S146)="",INDEX(MATCHER!$J$5:$J$504,S146)=IFERROR(INDEX(MATCHER!$J$5:$J$504,R146),"")),""," / "&amp;INDEX(MATCHER!$J$5:$J$504,S146)))&amp;IF(T146="","",IF(OR(INDEX(MATCHER!$J$5:$J$504,T146)="",INDEX(MATCHER!$J$5:$J$504,T146)=IFERROR(INDEX(MATCHER!$J$5:$J$504,R146),""),INDEX(MATCHER!$J$5:$J$504,T146)=IFERROR(INDEX(MATCHER!$J$5:$J$504,S146),"")),""," / "&amp;INDEX(MATCHER!$J$5:$J$504,T146)))&amp;IF(AF146="","",IF(OR(INDEX(MATCHER!$J$5:$J$504,AF146)="",INDEX(MATCHER!$J$5:$J$504,AF146)=IFERROR(INDEX(MATCHER!$J$5:$J$504,R146),""),INDEX(MATCHER!$J$5:$J$504,AF146)=IFERROR(INDEX(MATCHER!$J$5:$J$504,S146),""),INDEX(MATCHER!$J$5:$J$504,AF146)=IFERROR(INDEX(MATCHER!$J$5:$J$504,T146),"")),""," / "&amp;INDEX(MATCHER!$J$5:$J$504,AF146))),4,1000)</f>
        <v>P12</v>
      </c>
      <c r="H146" s="45" t="str">
        <f t="shared" si="37"/>
        <v>P12</v>
      </c>
      <c r="I146" s="46" t="s">
        <v>90</v>
      </c>
      <c r="J146" s="47" t="s">
        <v>117</v>
      </c>
      <c r="K146" s="48"/>
      <c r="L146" s="49"/>
      <c r="M146" s="50" t="str">
        <f>IF(O146&lt;&gt;O145,MAX(1,MIN(AA146,ROUNDUP(SUMPRODUCT(($O$5:$O$546=O146)*($I$5:$I$546="Ja")*($E$5:$E$546-$D$5:$D$546))*24/REGLER!$B$8,0))),"")</f>
        <v/>
      </c>
      <c r="N146" s="50" t="str">
        <f t="shared" si="30"/>
        <v>Klar</v>
      </c>
      <c r="O146" s="15" t="s">
        <v>118</v>
      </c>
      <c r="P146" s="16">
        <v>0.33333333333333298</v>
      </c>
      <c r="Q146" s="16">
        <v>0.55208333333333304</v>
      </c>
      <c r="R146" s="15">
        <f>IFERROR(MATCH(1,INDEX((MATCHER!$B$5:$B$504=A146)*(MATCHER!$D$5:$D$504=C146)*(MATCHER!$K$5:$K$504="Ja")*(MATCHER!$C$5:$C$504&lt;E146)*(MATCHER!$M$5:$M$504&gt;D146),0),0),"")</f>
        <v>47</v>
      </c>
      <c r="S146" s="15" t="str">
        <f>IF(R146="","",IFERROR(MATCH(1,INDEX((MATCHER!$B$5:$B$504=A146)*(MATCHER!$D$5:$D$504=C146)*(MATCHER!$K$5:$K$504="Ja")*(MATCHER!$C$5:$C$504&lt;E146)*(MATCHER!$M$5:$M$504&gt;D146)*(ROW(MATCHER!$A$5:$A$504)-ROW(MATCHER!$A$5)+1&gt;R146),0),0),""))</f>
        <v/>
      </c>
      <c r="T146" s="15" t="str">
        <f>IF(S146="","",IFERROR(MATCH(1,INDEX((MATCHER!$B$5:$B$504=A146)*(MATCHER!$D$5:$D$504=C146)*(MATCHER!$K$5:$K$504="Ja")*(MATCHER!$C$5:$C$504&lt;E146)*(MATCHER!$M$5:$M$504&gt;D146)*(ROW(MATCHER!$A$5:$A$504)-ROW(MATCHER!$A$5)+1&gt;S146),0),0),""))</f>
        <v/>
      </c>
      <c r="U146" s="15">
        <f t="shared" si="31"/>
        <v>0</v>
      </c>
      <c r="V146" s="15">
        <f>IF(OR(I146&lt;&gt;"Ja",J146=""),"",COUNTIFS($O$5:O146,O146,$U$5:U146,1))</f>
        <v>1</v>
      </c>
      <c r="W146" s="15" t="str">
        <f t="shared" si="32"/>
        <v>2026-11-07 | Tallbackaskolan|1</v>
      </c>
      <c r="X146" s="16" t="str">
        <f t="shared" si="33"/>
        <v/>
      </c>
      <c r="Y146" s="15">
        <f>IF(OR(I146&lt;&gt;"Ja",J146=""),0,IF(COUNTIFS($O$5:O146,O146,$I$5:I146,"Ja",$J$5:J146,"&lt;&gt;")=1,1,0))</f>
        <v>0</v>
      </c>
      <c r="Z146" s="15">
        <f>IF(OR(I146&lt;&gt;"Ja",J146=""),0,IF(COUNTIFS(O146:$O$546,O146,I146:$I$546,"Ja",J146:$J$546,"&lt;&gt;")=1,1,0))</f>
        <v>0</v>
      </c>
      <c r="AA146" s="15">
        <f t="shared" si="38"/>
        <v>1</v>
      </c>
      <c r="AB146" s="15" t="str">
        <f>IF(U146&lt;&gt;1,"",COUNTIF($U$5:U146,1))</f>
        <v/>
      </c>
      <c r="AC146" s="15" t="str">
        <f t="shared" si="34"/>
        <v/>
      </c>
      <c r="AD146" s="15" t="str">
        <f t="shared" si="35"/>
        <v>Vanligt café</v>
      </c>
      <c r="AE146" s="15" t="str">
        <f t="shared" si="36"/>
        <v/>
      </c>
      <c r="AF146" t="str">
        <f>IF(T146="","",IFERROR(MATCH(1,INDEX((MATCHER!$B$5:$B$504=A146)*(MATCHER!$D$5:$D$504=C146)*(MATCHER!$K$5:$K$504="Ja")*(MATCHER!$C$5:$C$504&lt;E146)*(MATCHER!$M$5:$M$504&gt;D146)*(ROW(MATCHER!$A$5:$A$504)-ROW(MATCHER!$A$5)+1&gt;T146),0),0),""))</f>
        <v/>
      </c>
    </row>
    <row r="147" spans="1:32" ht="26">
      <c r="A147" s="42">
        <v>46333</v>
      </c>
      <c r="B147" s="43" t="s">
        <v>85</v>
      </c>
      <c r="C147" s="43" t="s">
        <v>110</v>
      </c>
      <c r="D147" s="44">
        <v>0.41666666666666702</v>
      </c>
      <c r="E147" s="44">
        <v>0.4375</v>
      </c>
      <c r="F147" s="45" t="str">
        <f>IF(R147="","",HOUR(INDEX(MATCHER!$C$5:$C$504,R147))&amp;":"&amp;IF(MINUTE(INDEX(MATCHER!$C$5:$C$504,R147))&lt;10,"0","")&amp;MINUTE(INDEX(MATCHER!$C$5:$C$504,R147))&amp;" "&amp;INDEX(MATCHER!$H$5:$H$504,R147)&amp;" – "&amp;INDEX(MATCHER!$I$5:$I$504,R147))&amp;IF(S147="",""," | "&amp;HOUR(INDEX(MATCHER!$C$5:$C$504,S147))&amp;":"&amp;IF(MINUTE(INDEX(MATCHER!$C$5:$C$504,S147))&lt;10,"0","")&amp;MINUTE(INDEX(MATCHER!$C$5:$C$504,S147))&amp;" "&amp;INDEX(MATCHER!$H$5:$H$504,S147)&amp;" – "&amp;INDEX(MATCHER!$I$5:$I$504,S147))&amp;IF(T147="",""," | "&amp;HOUR(INDEX(MATCHER!$C$5:$C$504,T147))&amp;":"&amp;IF(MINUTE(INDEX(MATCHER!$C$5:$C$504,T147))&lt;10,"0","")&amp;MINUTE(INDEX(MATCHER!$C$5:$C$504,T147))&amp;" "&amp;INDEX(MATCHER!$H$5:$H$504,T147)&amp;" – "&amp;INDEX(MATCHER!$I$5:$I$504,T147))&amp;IF(AF147="",""," | "&amp;HOUR(INDEX(MATCHER!$C$5:$C$504,AF147))&amp;":"&amp;IF(MINUTE(INDEX(MATCHER!$C$5:$C$504,AF147))&lt;10,"0","")&amp;MINUTE(INDEX(MATCHER!$C$5:$C$504,AF147))&amp;" "&amp;INDEX(MATCHER!$H$5:$H$504,AF147)&amp;" – "&amp;INDEX(MATCHER!$I$5:$I$504,AF147))</f>
        <v>10:00 Vallentuna HK – IK Bolton 1</v>
      </c>
      <c r="G147" s="45" t="str">
        <f>MID(IF(R147="","",IF(OR(INDEX(MATCHER!$J$5:$J$504,R147)=""),""," / "&amp;INDEX(MATCHER!$J$5:$J$504,R147)))&amp;IF(S147="","",IF(OR(INDEX(MATCHER!$J$5:$J$504,S147)="",INDEX(MATCHER!$J$5:$J$504,S147)=IFERROR(INDEX(MATCHER!$J$5:$J$504,R147),"")),""," / "&amp;INDEX(MATCHER!$J$5:$J$504,S147)))&amp;IF(T147="","",IF(OR(INDEX(MATCHER!$J$5:$J$504,T147)="",INDEX(MATCHER!$J$5:$J$504,T147)=IFERROR(INDEX(MATCHER!$J$5:$J$504,R147),""),INDEX(MATCHER!$J$5:$J$504,T147)=IFERROR(INDEX(MATCHER!$J$5:$J$504,S147),"")),""," / "&amp;INDEX(MATCHER!$J$5:$J$504,T147)))&amp;IF(AF147="","",IF(OR(INDEX(MATCHER!$J$5:$J$504,AF147)="",INDEX(MATCHER!$J$5:$J$504,AF147)=IFERROR(INDEX(MATCHER!$J$5:$J$504,R147),""),INDEX(MATCHER!$J$5:$J$504,AF147)=IFERROR(INDEX(MATCHER!$J$5:$J$504,S147),""),INDEX(MATCHER!$J$5:$J$504,AF147)=IFERROR(INDEX(MATCHER!$J$5:$J$504,T147),"")),""," / "&amp;INDEX(MATCHER!$J$5:$J$504,AF147))),4,1000)</f>
        <v/>
      </c>
      <c r="H147" s="45" t="str">
        <f t="shared" si="37"/>
        <v>P12</v>
      </c>
      <c r="I147" s="46" t="s">
        <v>90</v>
      </c>
      <c r="J147" s="47" t="s">
        <v>117</v>
      </c>
      <c r="K147" s="48"/>
      <c r="L147" s="49"/>
      <c r="M147" s="50" t="str">
        <f>IF(O147&lt;&gt;O146,MAX(1,MIN(AA147,ROUNDUP(SUMPRODUCT(($O$5:$O$546=O147)*($I$5:$I$546="Ja")*($E$5:$E$546-$D$5:$D$546))*24/REGLER!$B$8,0))),"")</f>
        <v/>
      </c>
      <c r="N147" s="50" t="str">
        <f t="shared" si="30"/>
        <v>Klar</v>
      </c>
      <c r="O147" s="15" t="s">
        <v>118</v>
      </c>
      <c r="P147" s="16">
        <v>0.33333333333333298</v>
      </c>
      <c r="Q147" s="16">
        <v>0.55208333333333304</v>
      </c>
      <c r="R147" s="15">
        <f>IFERROR(MATCH(1,INDEX((MATCHER!$B$5:$B$504=A147)*(MATCHER!$D$5:$D$504=C147)*(MATCHER!$K$5:$K$504="Ja")*(MATCHER!$C$5:$C$504&lt;E147)*(MATCHER!$M$5:$M$504&gt;D147),0),0),"")</f>
        <v>48</v>
      </c>
      <c r="S147" s="15" t="str">
        <f>IF(R147="","",IFERROR(MATCH(1,INDEX((MATCHER!$B$5:$B$504=A147)*(MATCHER!$D$5:$D$504=C147)*(MATCHER!$K$5:$K$504="Ja")*(MATCHER!$C$5:$C$504&lt;E147)*(MATCHER!$M$5:$M$504&gt;D147)*(ROW(MATCHER!$A$5:$A$504)-ROW(MATCHER!$A$5)+1&gt;R147),0),0),""))</f>
        <v/>
      </c>
      <c r="T147" s="15" t="str">
        <f>IF(S147="","",IFERROR(MATCH(1,INDEX((MATCHER!$B$5:$B$504=A147)*(MATCHER!$D$5:$D$504=C147)*(MATCHER!$K$5:$K$504="Ja")*(MATCHER!$C$5:$C$504&lt;E147)*(MATCHER!$M$5:$M$504&gt;D147)*(ROW(MATCHER!$A$5:$A$504)-ROW(MATCHER!$A$5)+1&gt;S147),0),0),""))</f>
        <v/>
      </c>
      <c r="U147" s="15">
        <f t="shared" si="31"/>
        <v>0</v>
      </c>
      <c r="V147" s="15">
        <f>IF(OR(I147&lt;&gt;"Ja",J147=""),"",COUNTIFS($O$5:O147,O147,$U$5:U147,1))</f>
        <v>1</v>
      </c>
      <c r="W147" s="15" t="str">
        <f t="shared" si="32"/>
        <v>2026-11-07 | Tallbackaskolan|1</v>
      </c>
      <c r="X147" s="16" t="str">
        <f t="shared" si="33"/>
        <v/>
      </c>
      <c r="Y147" s="15">
        <f>IF(OR(I147&lt;&gt;"Ja",J147=""),0,IF(COUNTIFS($O$5:O147,O147,$I$5:I147,"Ja",$J$5:J147,"&lt;&gt;")=1,1,0))</f>
        <v>0</v>
      </c>
      <c r="Z147" s="15">
        <f>IF(OR(I147&lt;&gt;"Ja",J147=""),0,IF(COUNTIFS(O147:$O$546,O147,I147:$I$546,"Ja",J147:$J$546,"&lt;&gt;")=1,1,0))</f>
        <v>0</v>
      </c>
      <c r="AA147" s="15">
        <f t="shared" si="38"/>
        <v>1</v>
      </c>
      <c r="AB147" s="15" t="str">
        <f>IF(U147&lt;&gt;1,"",COUNTIF($U$5:U147,1))</f>
        <v/>
      </c>
      <c r="AC147" s="15" t="str">
        <f t="shared" si="34"/>
        <v/>
      </c>
      <c r="AD147" s="15" t="str">
        <f t="shared" si="35"/>
        <v>Vanligt café</v>
      </c>
      <c r="AE147" s="15" t="str">
        <f t="shared" si="36"/>
        <v/>
      </c>
      <c r="AF147" t="str">
        <f>IF(T147="","",IFERROR(MATCH(1,INDEX((MATCHER!$B$5:$B$504=A147)*(MATCHER!$D$5:$D$504=C147)*(MATCHER!$K$5:$K$504="Ja")*(MATCHER!$C$5:$C$504&lt;E147)*(MATCHER!$M$5:$M$504&gt;D147)*(ROW(MATCHER!$A$5:$A$504)-ROW(MATCHER!$A$5)+1&gt;T147),0),0),""))</f>
        <v/>
      </c>
    </row>
    <row r="148" spans="1:32" ht="26">
      <c r="A148" s="42">
        <v>46333</v>
      </c>
      <c r="B148" s="43" t="s">
        <v>85</v>
      </c>
      <c r="C148" s="43" t="s">
        <v>110</v>
      </c>
      <c r="D148" s="44">
        <v>0.4375</v>
      </c>
      <c r="E148" s="44">
        <v>0.45833333333333298</v>
      </c>
      <c r="F148" s="45" t="str">
        <f>IF(R148="","",HOUR(INDEX(MATCHER!$C$5:$C$504,R148))&amp;":"&amp;IF(MINUTE(INDEX(MATCHER!$C$5:$C$504,R148))&lt;10,"0","")&amp;MINUTE(INDEX(MATCHER!$C$5:$C$504,R148))&amp;" "&amp;INDEX(MATCHER!$H$5:$H$504,R148)&amp;" – "&amp;INDEX(MATCHER!$I$5:$I$504,R148))&amp;IF(S148="",""," | "&amp;HOUR(INDEX(MATCHER!$C$5:$C$504,S148))&amp;":"&amp;IF(MINUTE(INDEX(MATCHER!$C$5:$C$504,S148))&lt;10,"0","")&amp;MINUTE(INDEX(MATCHER!$C$5:$C$504,S148))&amp;" "&amp;INDEX(MATCHER!$H$5:$H$504,S148)&amp;" – "&amp;INDEX(MATCHER!$I$5:$I$504,S148))&amp;IF(T148="",""," | "&amp;HOUR(INDEX(MATCHER!$C$5:$C$504,T148))&amp;":"&amp;IF(MINUTE(INDEX(MATCHER!$C$5:$C$504,T148))&lt;10,"0","")&amp;MINUTE(INDEX(MATCHER!$C$5:$C$504,T148))&amp;" "&amp;INDEX(MATCHER!$H$5:$H$504,T148)&amp;" – "&amp;INDEX(MATCHER!$I$5:$I$504,T148))&amp;IF(AF148="",""," | "&amp;HOUR(INDEX(MATCHER!$C$5:$C$504,AF148))&amp;":"&amp;IF(MINUTE(INDEX(MATCHER!$C$5:$C$504,AF148))&lt;10,"0","")&amp;MINUTE(INDEX(MATCHER!$C$5:$C$504,AF148))&amp;" "&amp;INDEX(MATCHER!$H$5:$H$504,AF148)&amp;" – "&amp;INDEX(MATCHER!$I$5:$I$504,AF148))</f>
        <v>10:00 Vallentuna HK – IK Bolton 1</v>
      </c>
      <c r="G148" s="45" t="str">
        <f>MID(IF(R148="","",IF(OR(INDEX(MATCHER!$J$5:$J$504,R148)=""),""," / "&amp;INDEX(MATCHER!$J$5:$J$504,R148)))&amp;IF(S148="","",IF(OR(INDEX(MATCHER!$J$5:$J$504,S148)="",INDEX(MATCHER!$J$5:$J$504,S148)=IFERROR(INDEX(MATCHER!$J$5:$J$504,R148),"")),""," / "&amp;INDEX(MATCHER!$J$5:$J$504,S148)))&amp;IF(T148="","",IF(OR(INDEX(MATCHER!$J$5:$J$504,T148)="",INDEX(MATCHER!$J$5:$J$504,T148)=IFERROR(INDEX(MATCHER!$J$5:$J$504,R148),""),INDEX(MATCHER!$J$5:$J$504,T148)=IFERROR(INDEX(MATCHER!$J$5:$J$504,S148),"")),""," / "&amp;INDEX(MATCHER!$J$5:$J$504,T148)))&amp;IF(AF148="","",IF(OR(INDEX(MATCHER!$J$5:$J$504,AF148)="",INDEX(MATCHER!$J$5:$J$504,AF148)=IFERROR(INDEX(MATCHER!$J$5:$J$504,R148),""),INDEX(MATCHER!$J$5:$J$504,AF148)=IFERROR(INDEX(MATCHER!$J$5:$J$504,S148),""),INDEX(MATCHER!$J$5:$J$504,AF148)=IFERROR(INDEX(MATCHER!$J$5:$J$504,T148),"")),""," / "&amp;INDEX(MATCHER!$J$5:$J$504,AF148))),4,1000)</f>
        <v/>
      </c>
      <c r="H148" s="45" t="str">
        <f t="shared" si="37"/>
        <v>P12</v>
      </c>
      <c r="I148" s="46" t="s">
        <v>90</v>
      </c>
      <c r="J148" s="47" t="s">
        <v>117</v>
      </c>
      <c r="K148" s="48"/>
      <c r="L148" s="49"/>
      <c r="M148" s="50" t="str">
        <f>IF(O148&lt;&gt;O147,MAX(1,MIN(AA148,ROUNDUP(SUMPRODUCT(($O$5:$O$546=O148)*($I$5:$I$546="Ja")*($E$5:$E$546-$D$5:$D$546))*24/REGLER!$B$8,0))),"")</f>
        <v/>
      </c>
      <c r="N148" s="50" t="str">
        <f t="shared" si="30"/>
        <v>Klar</v>
      </c>
      <c r="O148" s="15" t="s">
        <v>118</v>
      </c>
      <c r="P148" s="16">
        <v>0.33333333333333298</v>
      </c>
      <c r="Q148" s="16">
        <v>0.55208333333333304</v>
      </c>
      <c r="R148" s="15">
        <f>IFERROR(MATCH(1,INDEX((MATCHER!$B$5:$B$504=A148)*(MATCHER!$D$5:$D$504=C148)*(MATCHER!$K$5:$K$504="Ja")*(MATCHER!$C$5:$C$504&lt;E148)*(MATCHER!$M$5:$M$504&gt;D148),0),0),"")</f>
        <v>48</v>
      </c>
      <c r="S148" s="15" t="str">
        <f>IF(R148="","",IFERROR(MATCH(1,INDEX((MATCHER!$B$5:$B$504=A148)*(MATCHER!$D$5:$D$504=C148)*(MATCHER!$K$5:$K$504="Ja")*(MATCHER!$C$5:$C$504&lt;E148)*(MATCHER!$M$5:$M$504&gt;D148)*(ROW(MATCHER!$A$5:$A$504)-ROW(MATCHER!$A$5)+1&gt;R148),0),0),""))</f>
        <v/>
      </c>
      <c r="T148" s="15" t="str">
        <f>IF(S148="","",IFERROR(MATCH(1,INDEX((MATCHER!$B$5:$B$504=A148)*(MATCHER!$D$5:$D$504=C148)*(MATCHER!$K$5:$K$504="Ja")*(MATCHER!$C$5:$C$504&lt;E148)*(MATCHER!$M$5:$M$504&gt;D148)*(ROW(MATCHER!$A$5:$A$504)-ROW(MATCHER!$A$5)+1&gt;S148),0),0),""))</f>
        <v/>
      </c>
      <c r="U148" s="15">
        <f t="shared" si="31"/>
        <v>0</v>
      </c>
      <c r="V148" s="15">
        <f>IF(OR(I148&lt;&gt;"Ja",J148=""),"",COUNTIFS($O$5:O148,O148,$U$5:U148,1))</f>
        <v>1</v>
      </c>
      <c r="W148" s="15" t="str">
        <f t="shared" si="32"/>
        <v>2026-11-07 | Tallbackaskolan|1</v>
      </c>
      <c r="X148" s="16" t="str">
        <f t="shared" si="33"/>
        <v/>
      </c>
      <c r="Y148" s="15">
        <f>IF(OR(I148&lt;&gt;"Ja",J148=""),0,IF(COUNTIFS($O$5:O148,O148,$I$5:I148,"Ja",$J$5:J148,"&lt;&gt;")=1,1,0))</f>
        <v>0</v>
      </c>
      <c r="Z148" s="15">
        <f>IF(OR(I148&lt;&gt;"Ja",J148=""),0,IF(COUNTIFS(O148:$O$546,O148,I148:$I$546,"Ja",J148:$J$546,"&lt;&gt;")=1,1,0))</f>
        <v>0</v>
      </c>
      <c r="AA148" s="15">
        <f t="shared" si="38"/>
        <v>1</v>
      </c>
      <c r="AB148" s="15" t="str">
        <f>IF(U148&lt;&gt;1,"",COUNTIF($U$5:U148,1))</f>
        <v/>
      </c>
      <c r="AC148" s="15" t="str">
        <f t="shared" si="34"/>
        <v/>
      </c>
      <c r="AD148" s="15" t="str">
        <f t="shared" si="35"/>
        <v>Vanligt café</v>
      </c>
      <c r="AE148" s="15" t="str">
        <f t="shared" si="36"/>
        <v/>
      </c>
      <c r="AF148" t="str">
        <f>IF(T148="","",IFERROR(MATCH(1,INDEX((MATCHER!$B$5:$B$504=A148)*(MATCHER!$D$5:$D$504=C148)*(MATCHER!$K$5:$K$504="Ja")*(MATCHER!$C$5:$C$504&lt;E148)*(MATCHER!$M$5:$M$504&gt;D148)*(ROW(MATCHER!$A$5:$A$504)-ROW(MATCHER!$A$5)+1&gt;T148),0),0),""))</f>
        <v/>
      </c>
    </row>
    <row r="149" spans="1:32" ht="26">
      <c r="A149" s="42">
        <v>46333</v>
      </c>
      <c r="B149" s="43" t="s">
        <v>85</v>
      </c>
      <c r="C149" s="43" t="s">
        <v>110</v>
      </c>
      <c r="D149" s="44">
        <v>0.45833333333333298</v>
      </c>
      <c r="E149" s="44">
        <v>0.47916666666666702</v>
      </c>
      <c r="F149" s="45" t="str">
        <f>IF(R149="","",HOUR(INDEX(MATCHER!$C$5:$C$504,R149))&amp;":"&amp;IF(MINUTE(INDEX(MATCHER!$C$5:$C$504,R149))&lt;10,"0","")&amp;MINUTE(INDEX(MATCHER!$C$5:$C$504,R149))&amp;" "&amp;INDEX(MATCHER!$H$5:$H$504,R149)&amp;" – "&amp;INDEX(MATCHER!$I$5:$I$504,R149))&amp;IF(S149="",""," | "&amp;HOUR(INDEX(MATCHER!$C$5:$C$504,S149))&amp;":"&amp;IF(MINUTE(INDEX(MATCHER!$C$5:$C$504,S149))&lt;10,"0","")&amp;MINUTE(INDEX(MATCHER!$C$5:$C$504,S149))&amp;" "&amp;INDEX(MATCHER!$H$5:$H$504,S149)&amp;" – "&amp;INDEX(MATCHER!$I$5:$I$504,S149))&amp;IF(T149="",""," | "&amp;HOUR(INDEX(MATCHER!$C$5:$C$504,T149))&amp;":"&amp;IF(MINUTE(INDEX(MATCHER!$C$5:$C$504,T149))&lt;10,"0","")&amp;MINUTE(INDEX(MATCHER!$C$5:$C$504,T149))&amp;" "&amp;INDEX(MATCHER!$H$5:$H$504,T149)&amp;" – "&amp;INDEX(MATCHER!$I$5:$I$504,T149))&amp;IF(AF149="",""," | "&amp;HOUR(INDEX(MATCHER!$C$5:$C$504,AF149))&amp;":"&amp;IF(MINUTE(INDEX(MATCHER!$C$5:$C$504,AF149))&lt;10,"0","")&amp;MINUTE(INDEX(MATCHER!$C$5:$C$504,AF149))&amp;" "&amp;INDEX(MATCHER!$H$5:$H$504,AF149)&amp;" – "&amp;INDEX(MATCHER!$I$5:$I$504,AF149))</f>
        <v>11:15 Täby HBK – Vallentuna HK</v>
      </c>
      <c r="G149" s="45" t="str">
        <f>MID(IF(R149="","",IF(OR(INDEX(MATCHER!$J$5:$J$504,R149)=""),""," / "&amp;INDEX(MATCHER!$J$5:$J$504,R149)))&amp;IF(S149="","",IF(OR(INDEX(MATCHER!$J$5:$J$504,S149)="",INDEX(MATCHER!$J$5:$J$504,S149)=IFERROR(INDEX(MATCHER!$J$5:$J$504,R149),"")),""," / "&amp;INDEX(MATCHER!$J$5:$J$504,S149)))&amp;IF(T149="","",IF(OR(INDEX(MATCHER!$J$5:$J$504,T149)="",INDEX(MATCHER!$J$5:$J$504,T149)=IFERROR(INDEX(MATCHER!$J$5:$J$504,R149),""),INDEX(MATCHER!$J$5:$J$504,T149)=IFERROR(INDEX(MATCHER!$J$5:$J$504,S149),"")),""," / "&amp;INDEX(MATCHER!$J$5:$J$504,T149)))&amp;IF(AF149="","",IF(OR(INDEX(MATCHER!$J$5:$J$504,AF149)="",INDEX(MATCHER!$J$5:$J$504,AF149)=IFERROR(INDEX(MATCHER!$J$5:$J$504,R149),""),INDEX(MATCHER!$J$5:$J$504,AF149)=IFERROR(INDEX(MATCHER!$J$5:$J$504,S149),""),INDEX(MATCHER!$J$5:$J$504,AF149)=IFERROR(INDEX(MATCHER!$J$5:$J$504,T149),"")),""," / "&amp;INDEX(MATCHER!$J$5:$J$504,AF149))),4,1000)</f>
        <v/>
      </c>
      <c r="H149" s="45" t="str">
        <f t="shared" si="37"/>
        <v>P12</v>
      </c>
      <c r="I149" s="46" t="s">
        <v>90</v>
      </c>
      <c r="J149" s="47" t="s">
        <v>117</v>
      </c>
      <c r="K149" s="48"/>
      <c r="L149" s="49"/>
      <c r="M149" s="50" t="str">
        <f>IF(O149&lt;&gt;O148,MAX(1,MIN(AA149,ROUNDUP(SUMPRODUCT(($O$5:$O$546=O149)*($I$5:$I$546="Ja")*($E$5:$E$546-$D$5:$D$546))*24/REGLER!$B$8,0))),"")</f>
        <v/>
      </c>
      <c r="N149" s="50" t="str">
        <f t="shared" si="30"/>
        <v>Klar</v>
      </c>
      <c r="O149" s="15" t="s">
        <v>118</v>
      </c>
      <c r="P149" s="16">
        <v>0.33333333333333298</v>
      </c>
      <c r="Q149" s="16">
        <v>0.55208333333333304</v>
      </c>
      <c r="R149" s="15">
        <f>IFERROR(MATCH(1,INDEX((MATCHER!$B$5:$B$504=A149)*(MATCHER!$D$5:$D$504=C149)*(MATCHER!$K$5:$K$504="Ja")*(MATCHER!$C$5:$C$504&lt;E149)*(MATCHER!$M$5:$M$504&gt;D149),0),0),"")</f>
        <v>49</v>
      </c>
      <c r="S149" s="15" t="str">
        <f>IF(R149="","",IFERROR(MATCH(1,INDEX((MATCHER!$B$5:$B$504=A149)*(MATCHER!$D$5:$D$504=C149)*(MATCHER!$K$5:$K$504="Ja")*(MATCHER!$C$5:$C$504&lt;E149)*(MATCHER!$M$5:$M$504&gt;D149)*(ROW(MATCHER!$A$5:$A$504)-ROW(MATCHER!$A$5)+1&gt;R149),0),0),""))</f>
        <v/>
      </c>
      <c r="T149" s="15" t="str">
        <f>IF(S149="","",IFERROR(MATCH(1,INDEX((MATCHER!$B$5:$B$504=A149)*(MATCHER!$D$5:$D$504=C149)*(MATCHER!$K$5:$K$504="Ja")*(MATCHER!$C$5:$C$504&lt;E149)*(MATCHER!$M$5:$M$504&gt;D149)*(ROW(MATCHER!$A$5:$A$504)-ROW(MATCHER!$A$5)+1&gt;S149),0),0),""))</f>
        <v/>
      </c>
      <c r="U149" s="15">
        <f t="shared" si="31"/>
        <v>0</v>
      </c>
      <c r="V149" s="15">
        <f>IF(OR(I149&lt;&gt;"Ja",J149=""),"",COUNTIFS($O$5:O149,O149,$U$5:U149,1))</f>
        <v>1</v>
      </c>
      <c r="W149" s="15" t="str">
        <f t="shared" si="32"/>
        <v>2026-11-07 | Tallbackaskolan|1</v>
      </c>
      <c r="X149" s="16" t="str">
        <f t="shared" si="33"/>
        <v/>
      </c>
      <c r="Y149" s="15">
        <f>IF(OR(I149&lt;&gt;"Ja",J149=""),0,IF(COUNTIFS($O$5:O149,O149,$I$5:I149,"Ja",$J$5:J149,"&lt;&gt;")=1,1,0))</f>
        <v>0</v>
      </c>
      <c r="Z149" s="15">
        <f>IF(OR(I149&lt;&gt;"Ja",J149=""),0,IF(COUNTIFS(O149:$O$546,O149,I149:$I$546,"Ja",J149:$J$546,"&lt;&gt;")=1,1,0))</f>
        <v>0</v>
      </c>
      <c r="AA149" s="15">
        <f t="shared" si="38"/>
        <v>1</v>
      </c>
      <c r="AB149" s="15" t="str">
        <f>IF(U149&lt;&gt;1,"",COUNTIF($U$5:U149,1))</f>
        <v/>
      </c>
      <c r="AC149" s="15" t="str">
        <f t="shared" si="34"/>
        <v/>
      </c>
      <c r="AD149" s="15" t="str">
        <f t="shared" si="35"/>
        <v>Vanligt café</v>
      </c>
      <c r="AE149" s="15" t="str">
        <f t="shared" si="36"/>
        <v/>
      </c>
      <c r="AF149" t="str">
        <f>IF(T149="","",IFERROR(MATCH(1,INDEX((MATCHER!$B$5:$B$504=A149)*(MATCHER!$D$5:$D$504=C149)*(MATCHER!$K$5:$K$504="Ja")*(MATCHER!$C$5:$C$504&lt;E149)*(MATCHER!$M$5:$M$504&gt;D149)*(ROW(MATCHER!$A$5:$A$504)-ROW(MATCHER!$A$5)+1&gt;T149),0),0),""))</f>
        <v/>
      </c>
    </row>
    <row r="150" spans="1:32" ht="26">
      <c r="A150" s="42">
        <v>46333</v>
      </c>
      <c r="B150" s="43" t="s">
        <v>85</v>
      </c>
      <c r="C150" s="43" t="s">
        <v>110</v>
      </c>
      <c r="D150" s="44">
        <v>0.47916666666666702</v>
      </c>
      <c r="E150" s="44">
        <v>0.5</v>
      </c>
      <c r="F150" s="45" t="str">
        <f>IF(R150="","",HOUR(INDEX(MATCHER!$C$5:$C$504,R150))&amp;":"&amp;IF(MINUTE(INDEX(MATCHER!$C$5:$C$504,R150))&lt;10,"0","")&amp;MINUTE(INDEX(MATCHER!$C$5:$C$504,R150))&amp;" "&amp;INDEX(MATCHER!$H$5:$H$504,R150)&amp;" – "&amp;INDEX(MATCHER!$I$5:$I$504,R150))&amp;IF(S150="",""," | "&amp;HOUR(INDEX(MATCHER!$C$5:$C$504,S150))&amp;":"&amp;IF(MINUTE(INDEX(MATCHER!$C$5:$C$504,S150))&lt;10,"0","")&amp;MINUTE(INDEX(MATCHER!$C$5:$C$504,S150))&amp;" "&amp;INDEX(MATCHER!$H$5:$H$504,S150)&amp;" – "&amp;INDEX(MATCHER!$I$5:$I$504,S150))&amp;IF(T150="",""," | "&amp;HOUR(INDEX(MATCHER!$C$5:$C$504,T150))&amp;":"&amp;IF(MINUTE(INDEX(MATCHER!$C$5:$C$504,T150))&lt;10,"0","")&amp;MINUTE(INDEX(MATCHER!$C$5:$C$504,T150))&amp;" "&amp;INDEX(MATCHER!$H$5:$H$504,T150)&amp;" – "&amp;INDEX(MATCHER!$I$5:$I$504,T150))&amp;IF(AF150="",""," | "&amp;HOUR(INDEX(MATCHER!$C$5:$C$504,AF150))&amp;":"&amp;IF(MINUTE(INDEX(MATCHER!$C$5:$C$504,AF150))&lt;10,"0","")&amp;MINUTE(INDEX(MATCHER!$C$5:$C$504,AF150))&amp;" "&amp;INDEX(MATCHER!$H$5:$H$504,AF150)&amp;" – "&amp;INDEX(MATCHER!$I$5:$I$504,AF150))</f>
        <v>11:15 Täby HBK – Vallentuna HK</v>
      </c>
      <c r="G150" s="45" t="str">
        <f>MID(IF(R150="","",IF(OR(INDEX(MATCHER!$J$5:$J$504,R150)=""),""," / "&amp;INDEX(MATCHER!$J$5:$J$504,R150)))&amp;IF(S150="","",IF(OR(INDEX(MATCHER!$J$5:$J$504,S150)="",INDEX(MATCHER!$J$5:$J$504,S150)=IFERROR(INDEX(MATCHER!$J$5:$J$504,R150),"")),""," / "&amp;INDEX(MATCHER!$J$5:$J$504,S150)))&amp;IF(T150="","",IF(OR(INDEX(MATCHER!$J$5:$J$504,T150)="",INDEX(MATCHER!$J$5:$J$504,T150)=IFERROR(INDEX(MATCHER!$J$5:$J$504,R150),""),INDEX(MATCHER!$J$5:$J$504,T150)=IFERROR(INDEX(MATCHER!$J$5:$J$504,S150),"")),""," / "&amp;INDEX(MATCHER!$J$5:$J$504,T150)))&amp;IF(AF150="","",IF(OR(INDEX(MATCHER!$J$5:$J$504,AF150)="",INDEX(MATCHER!$J$5:$J$504,AF150)=IFERROR(INDEX(MATCHER!$J$5:$J$504,R150),""),INDEX(MATCHER!$J$5:$J$504,AF150)=IFERROR(INDEX(MATCHER!$J$5:$J$504,S150),""),INDEX(MATCHER!$J$5:$J$504,AF150)=IFERROR(INDEX(MATCHER!$J$5:$J$504,T150),"")),""," / "&amp;INDEX(MATCHER!$J$5:$J$504,AF150))),4,1000)</f>
        <v/>
      </c>
      <c r="H150" s="45" t="str">
        <f t="shared" si="37"/>
        <v>P12</v>
      </c>
      <c r="I150" s="46" t="s">
        <v>90</v>
      </c>
      <c r="J150" s="47" t="s">
        <v>117</v>
      </c>
      <c r="K150" s="48"/>
      <c r="L150" s="49"/>
      <c r="M150" s="50" t="str">
        <f>IF(O150&lt;&gt;O149,MAX(1,MIN(AA150,ROUNDUP(SUMPRODUCT(($O$5:$O$546=O150)*($I$5:$I$546="Ja")*($E$5:$E$546-$D$5:$D$546))*24/REGLER!$B$8,0))),"")</f>
        <v/>
      </c>
      <c r="N150" s="50" t="str">
        <f t="shared" si="30"/>
        <v>Klar</v>
      </c>
      <c r="O150" s="15" t="s">
        <v>118</v>
      </c>
      <c r="P150" s="16">
        <v>0.33333333333333298</v>
      </c>
      <c r="Q150" s="16">
        <v>0.55208333333333304</v>
      </c>
      <c r="R150" s="15">
        <f>IFERROR(MATCH(1,INDEX((MATCHER!$B$5:$B$504=A150)*(MATCHER!$D$5:$D$504=C150)*(MATCHER!$K$5:$K$504="Ja")*(MATCHER!$C$5:$C$504&lt;E150)*(MATCHER!$M$5:$M$504&gt;D150),0),0),"")</f>
        <v>49</v>
      </c>
      <c r="S150" s="15" t="str">
        <f>IF(R150="","",IFERROR(MATCH(1,INDEX((MATCHER!$B$5:$B$504=A150)*(MATCHER!$D$5:$D$504=C150)*(MATCHER!$K$5:$K$504="Ja")*(MATCHER!$C$5:$C$504&lt;E150)*(MATCHER!$M$5:$M$504&gt;D150)*(ROW(MATCHER!$A$5:$A$504)-ROW(MATCHER!$A$5)+1&gt;R150),0),0),""))</f>
        <v/>
      </c>
      <c r="T150" s="15" t="str">
        <f>IF(S150="","",IFERROR(MATCH(1,INDEX((MATCHER!$B$5:$B$504=A150)*(MATCHER!$D$5:$D$504=C150)*(MATCHER!$K$5:$K$504="Ja")*(MATCHER!$C$5:$C$504&lt;E150)*(MATCHER!$M$5:$M$504&gt;D150)*(ROW(MATCHER!$A$5:$A$504)-ROW(MATCHER!$A$5)+1&gt;S150),0),0),""))</f>
        <v/>
      </c>
      <c r="U150" s="15">
        <f t="shared" si="31"/>
        <v>0</v>
      </c>
      <c r="V150" s="15">
        <f>IF(OR(I150&lt;&gt;"Ja",J150=""),"",COUNTIFS($O$5:O150,O150,$U$5:U150,1))</f>
        <v>1</v>
      </c>
      <c r="W150" s="15" t="str">
        <f t="shared" si="32"/>
        <v>2026-11-07 | Tallbackaskolan|1</v>
      </c>
      <c r="X150" s="16" t="str">
        <f t="shared" si="33"/>
        <v/>
      </c>
      <c r="Y150" s="15">
        <f>IF(OR(I150&lt;&gt;"Ja",J150=""),0,IF(COUNTIFS($O$5:O150,O150,$I$5:I150,"Ja",$J$5:J150,"&lt;&gt;")=1,1,0))</f>
        <v>0</v>
      </c>
      <c r="Z150" s="15">
        <f>IF(OR(I150&lt;&gt;"Ja",J150=""),0,IF(COUNTIFS(O150:$O$546,O150,I150:$I$546,"Ja",J150:$J$546,"&lt;&gt;")=1,1,0))</f>
        <v>0</v>
      </c>
      <c r="AA150" s="15">
        <f t="shared" si="38"/>
        <v>1</v>
      </c>
      <c r="AB150" s="15" t="str">
        <f>IF(U150&lt;&gt;1,"",COUNTIF($U$5:U150,1))</f>
        <v/>
      </c>
      <c r="AC150" s="15" t="str">
        <f t="shared" si="34"/>
        <v/>
      </c>
      <c r="AD150" s="15" t="str">
        <f t="shared" si="35"/>
        <v>Vanligt café</v>
      </c>
      <c r="AE150" s="15" t="str">
        <f t="shared" si="36"/>
        <v/>
      </c>
      <c r="AF150" t="str">
        <f>IF(T150="","",IFERROR(MATCH(1,INDEX((MATCHER!$B$5:$B$504=A150)*(MATCHER!$D$5:$D$504=C150)*(MATCHER!$K$5:$K$504="Ja")*(MATCHER!$C$5:$C$504&lt;E150)*(MATCHER!$M$5:$M$504&gt;D150)*(ROW(MATCHER!$A$5:$A$504)-ROW(MATCHER!$A$5)+1&gt;T150),0),0),""))</f>
        <v/>
      </c>
    </row>
    <row r="151" spans="1:32" ht="26">
      <c r="A151" s="42">
        <v>46333</v>
      </c>
      <c r="B151" s="43" t="s">
        <v>85</v>
      </c>
      <c r="C151" s="43" t="s">
        <v>110</v>
      </c>
      <c r="D151" s="44">
        <v>0.5</v>
      </c>
      <c r="E151" s="44">
        <v>0.52083333333333304</v>
      </c>
      <c r="F151" s="45" t="str">
        <f>IF(R151="","",HOUR(INDEX(MATCHER!$C$5:$C$504,R151))&amp;":"&amp;IF(MINUTE(INDEX(MATCHER!$C$5:$C$504,R151))&lt;10,"0","")&amp;MINUTE(INDEX(MATCHER!$C$5:$C$504,R151))&amp;" "&amp;INDEX(MATCHER!$H$5:$H$504,R151)&amp;" – "&amp;INDEX(MATCHER!$I$5:$I$504,R151))&amp;IF(S151="",""," | "&amp;HOUR(INDEX(MATCHER!$C$5:$C$504,S151))&amp;":"&amp;IF(MINUTE(INDEX(MATCHER!$C$5:$C$504,S151))&lt;10,"0","")&amp;MINUTE(INDEX(MATCHER!$C$5:$C$504,S151))&amp;" "&amp;INDEX(MATCHER!$H$5:$H$504,S151)&amp;" – "&amp;INDEX(MATCHER!$I$5:$I$504,S151))&amp;IF(T151="",""," | "&amp;HOUR(INDEX(MATCHER!$C$5:$C$504,T151))&amp;":"&amp;IF(MINUTE(INDEX(MATCHER!$C$5:$C$504,T151))&lt;10,"0","")&amp;MINUTE(INDEX(MATCHER!$C$5:$C$504,T151))&amp;" "&amp;INDEX(MATCHER!$H$5:$H$504,T151)&amp;" – "&amp;INDEX(MATCHER!$I$5:$I$504,T151))&amp;IF(AF151="",""," | "&amp;HOUR(INDEX(MATCHER!$C$5:$C$504,AF151))&amp;":"&amp;IF(MINUTE(INDEX(MATCHER!$C$5:$C$504,AF151))&lt;10,"0","")&amp;MINUTE(INDEX(MATCHER!$C$5:$C$504,AF151))&amp;" "&amp;INDEX(MATCHER!$H$5:$H$504,AF151)&amp;" – "&amp;INDEX(MATCHER!$I$5:$I$504,AF151))</f>
        <v>12:15 AIK – IK Bolton 1</v>
      </c>
      <c r="G151" s="45" t="str">
        <f>MID(IF(R151="","",IF(OR(INDEX(MATCHER!$J$5:$J$504,R151)=""),""," / "&amp;INDEX(MATCHER!$J$5:$J$504,R151)))&amp;IF(S151="","",IF(OR(INDEX(MATCHER!$J$5:$J$504,S151)="",INDEX(MATCHER!$J$5:$J$504,S151)=IFERROR(INDEX(MATCHER!$J$5:$J$504,R151),"")),""," / "&amp;INDEX(MATCHER!$J$5:$J$504,S151)))&amp;IF(T151="","",IF(OR(INDEX(MATCHER!$J$5:$J$504,T151)="",INDEX(MATCHER!$J$5:$J$504,T151)=IFERROR(INDEX(MATCHER!$J$5:$J$504,R151),""),INDEX(MATCHER!$J$5:$J$504,T151)=IFERROR(INDEX(MATCHER!$J$5:$J$504,S151),"")),""," / "&amp;INDEX(MATCHER!$J$5:$J$504,T151)))&amp;IF(AF151="","",IF(OR(INDEX(MATCHER!$J$5:$J$504,AF151)="",INDEX(MATCHER!$J$5:$J$504,AF151)=IFERROR(INDEX(MATCHER!$J$5:$J$504,R151),""),INDEX(MATCHER!$J$5:$J$504,AF151)=IFERROR(INDEX(MATCHER!$J$5:$J$504,S151),""),INDEX(MATCHER!$J$5:$J$504,AF151)=IFERROR(INDEX(MATCHER!$J$5:$J$504,T151),"")),""," / "&amp;INDEX(MATCHER!$J$5:$J$504,AF151))),4,1000)</f>
        <v>P12</v>
      </c>
      <c r="H151" s="45" t="str">
        <f t="shared" si="37"/>
        <v>P12</v>
      </c>
      <c r="I151" s="46" t="s">
        <v>90</v>
      </c>
      <c r="J151" s="47" t="s">
        <v>117</v>
      </c>
      <c r="K151" s="48"/>
      <c r="L151" s="49"/>
      <c r="M151" s="50" t="str">
        <f>IF(O151&lt;&gt;O150,MAX(1,MIN(AA151,ROUNDUP(SUMPRODUCT(($O$5:$O$546=O151)*($I$5:$I$546="Ja")*($E$5:$E$546-$D$5:$D$546))*24/REGLER!$B$8,0))),"")</f>
        <v/>
      </c>
      <c r="N151" s="50" t="str">
        <f t="shared" si="30"/>
        <v>Klar</v>
      </c>
      <c r="O151" s="15" t="s">
        <v>118</v>
      </c>
      <c r="P151" s="16">
        <v>0.33333333333333298</v>
      </c>
      <c r="Q151" s="16">
        <v>0.55208333333333304</v>
      </c>
      <c r="R151" s="15">
        <f>IFERROR(MATCH(1,INDEX((MATCHER!$B$5:$B$504=A151)*(MATCHER!$D$5:$D$504=C151)*(MATCHER!$K$5:$K$504="Ja")*(MATCHER!$C$5:$C$504&lt;E151)*(MATCHER!$M$5:$M$504&gt;D151),0),0),"")</f>
        <v>50</v>
      </c>
      <c r="S151" s="15" t="str">
        <f>IF(R151="","",IFERROR(MATCH(1,INDEX((MATCHER!$B$5:$B$504=A151)*(MATCHER!$D$5:$D$504=C151)*(MATCHER!$K$5:$K$504="Ja")*(MATCHER!$C$5:$C$504&lt;E151)*(MATCHER!$M$5:$M$504&gt;D151)*(ROW(MATCHER!$A$5:$A$504)-ROW(MATCHER!$A$5)+1&gt;R151),0),0),""))</f>
        <v/>
      </c>
      <c r="T151" s="15" t="str">
        <f>IF(S151="","",IFERROR(MATCH(1,INDEX((MATCHER!$B$5:$B$504=A151)*(MATCHER!$D$5:$D$504=C151)*(MATCHER!$K$5:$K$504="Ja")*(MATCHER!$C$5:$C$504&lt;E151)*(MATCHER!$M$5:$M$504&gt;D151)*(ROW(MATCHER!$A$5:$A$504)-ROW(MATCHER!$A$5)+1&gt;S151),0),0),""))</f>
        <v/>
      </c>
      <c r="U151" s="15">
        <f t="shared" si="31"/>
        <v>0</v>
      </c>
      <c r="V151" s="15">
        <f>IF(OR(I151&lt;&gt;"Ja",J151=""),"",COUNTIFS($O$5:O151,O151,$U$5:U151,1))</f>
        <v>1</v>
      </c>
      <c r="W151" s="15" t="str">
        <f t="shared" si="32"/>
        <v>2026-11-07 | Tallbackaskolan|1</v>
      </c>
      <c r="X151" s="16" t="str">
        <f t="shared" si="33"/>
        <v/>
      </c>
      <c r="Y151" s="15">
        <f>IF(OR(I151&lt;&gt;"Ja",J151=""),0,IF(COUNTIFS($O$5:O151,O151,$I$5:I151,"Ja",$J$5:J151,"&lt;&gt;")=1,1,0))</f>
        <v>0</v>
      </c>
      <c r="Z151" s="15">
        <f>IF(OR(I151&lt;&gt;"Ja",J151=""),0,IF(COUNTIFS(O151:$O$546,O151,I151:$I$546,"Ja",J151:$J$546,"&lt;&gt;")=1,1,0))</f>
        <v>0</v>
      </c>
      <c r="AA151" s="15">
        <f t="shared" si="38"/>
        <v>1</v>
      </c>
      <c r="AB151" s="15" t="str">
        <f>IF(U151&lt;&gt;1,"",COUNTIF($U$5:U151,1))</f>
        <v/>
      </c>
      <c r="AC151" s="15" t="str">
        <f t="shared" si="34"/>
        <v/>
      </c>
      <c r="AD151" s="15" t="str">
        <f t="shared" si="35"/>
        <v>Vanligt café</v>
      </c>
      <c r="AE151" s="15" t="str">
        <f t="shared" si="36"/>
        <v/>
      </c>
      <c r="AF151" t="str">
        <f>IF(T151="","",IFERROR(MATCH(1,INDEX((MATCHER!$B$5:$B$504=A151)*(MATCHER!$D$5:$D$504=C151)*(MATCHER!$K$5:$K$504="Ja")*(MATCHER!$C$5:$C$504&lt;E151)*(MATCHER!$M$5:$M$504&gt;D151)*(ROW(MATCHER!$A$5:$A$504)-ROW(MATCHER!$A$5)+1&gt;T151),0),0),""))</f>
        <v/>
      </c>
    </row>
    <row r="152" spans="1:32" ht="26">
      <c r="A152" s="42">
        <v>46333</v>
      </c>
      <c r="B152" s="43" t="s">
        <v>85</v>
      </c>
      <c r="C152" s="43" t="s">
        <v>110</v>
      </c>
      <c r="D152" s="44">
        <v>0.52083333333333304</v>
      </c>
      <c r="E152" s="44">
        <v>0.54166666666666696</v>
      </c>
      <c r="F152" s="45" t="str">
        <f>IF(R152="","",HOUR(INDEX(MATCHER!$C$5:$C$504,R152))&amp;":"&amp;IF(MINUTE(INDEX(MATCHER!$C$5:$C$504,R152))&lt;10,"0","")&amp;MINUTE(INDEX(MATCHER!$C$5:$C$504,R152))&amp;" "&amp;INDEX(MATCHER!$H$5:$H$504,R152)&amp;" – "&amp;INDEX(MATCHER!$I$5:$I$504,R152))&amp;IF(S152="",""," | "&amp;HOUR(INDEX(MATCHER!$C$5:$C$504,S152))&amp;":"&amp;IF(MINUTE(INDEX(MATCHER!$C$5:$C$504,S152))&lt;10,"0","")&amp;MINUTE(INDEX(MATCHER!$C$5:$C$504,S152))&amp;" "&amp;INDEX(MATCHER!$H$5:$H$504,S152)&amp;" – "&amp;INDEX(MATCHER!$I$5:$I$504,S152))&amp;IF(T152="",""," | "&amp;HOUR(INDEX(MATCHER!$C$5:$C$504,T152))&amp;":"&amp;IF(MINUTE(INDEX(MATCHER!$C$5:$C$504,T152))&lt;10,"0","")&amp;MINUTE(INDEX(MATCHER!$C$5:$C$504,T152))&amp;" "&amp;INDEX(MATCHER!$H$5:$H$504,T152)&amp;" – "&amp;INDEX(MATCHER!$I$5:$I$504,T152))&amp;IF(AF152="",""," | "&amp;HOUR(INDEX(MATCHER!$C$5:$C$504,AF152))&amp;":"&amp;IF(MINUTE(INDEX(MATCHER!$C$5:$C$504,AF152))&lt;10,"0","")&amp;MINUTE(INDEX(MATCHER!$C$5:$C$504,AF152))&amp;" "&amp;INDEX(MATCHER!$H$5:$H$504,AF152)&amp;" – "&amp;INDEX(MATCHER!$I$5:$I$504,AF152))</f>
        <v>12:15 AIK – IK Bolton 1</v>
      </c>
      <c r="G152" s="45" t="str">
        <f>MID(IF(R152="","",IF(OR(INDEX(MATCHER!$J$5:$J$504,R152)=""),""," / "&amp;INDEX(MATCHER!$J$5:$J$504,R152)))&amp;IF(S152="","",IF(OR(INDEX(MATCHER!$J$5:$J$504,S152)="",INDEX(MATCHER!$J$5:$J$504,S152)=IFERROR(INDEX(MATCHER!$J$5:$J$504,R152),"")),""," / "&amp;INDEX(MATCHER!$J$5:$J$504,S152)))&amp;IF(T152="","",IF(OR(INDEX(MATCHER!$J$5:$J$504,T152)="",INDEX(MATCHER!$J$5:$J$504,T152)=IFERROR(INDEX(MATCHER!$J$5:$J$504,R152),""),INDEX(MATCHER!$J$5:$J$504,T152)=IFERROR(INDEX(MATCHER!$J$5:$J$504,S152),"")),""," / "&amp;INDEX(MATCHER!$J$5:$J$504,T152)))&amp;IF(AF152="","",IF(OR(INDEX(MATCHER!$J$5:$J$504,AF152)="",INDEX(MATCHER!$J$5:$J$504,AF152)=IFERROR(INDEX(MATCHER!$J$5:$J$504,R152),""),INDEX(MATCHER!$J$5:$J$504,AF152)=IFERROR(INDEX(MATCHER!$J$5:$J$504,S152),""),INDEX(MATCHER!$J$5:$J$504,AF152)=IFERROR(INDEX(MATCHER!$J$5:$J$504,T152),"")),""," / "&amp;INDEX(MATCHER!$J$5:$J$504,AF152))),4,1000)</f>
        <v>P12</v>
      </c>
      <c r="H152" s="45" t="str">
        <f t="shared" si="37"/>
        <v>P12</v>
      </c>
      <c r="I152" s="46" t="s">
        <v>90</v>
      </c>
      <c r="J152" s="47" t="s">
        <v>117</v>
      </c>
      <c r="K152" s="48"/>
      <c r="L152" s="49"/>
      <c r="M152" s="50" t="str">
        <f>IF(O152&lt;&gt;O151,MAX(1,MIN(AA152,ROUNDUP(SUMPRODUCT(($O$5:$O$546=O152)*($I$5:$I$546="Ja")*($E$5:$E$546-$D$5:$D$546))*24/REGLER!$B$8,0))),"")</f>
        <v/>
      </c>
      <c r="N152" s="50" t="str">
        <f t="shared" si="30"/>
        <v>Klar</v>
      </c>
      <c r="O152" s="15" t="s">
        <v>118</v>
      </c>
      <c r="P152" s="16">
        <v>0.33333333333333298</v>
      </c>
      <c r="Q152" s="16">
        <v>0.55208333333333304</v>
      </c>
      <c r="R152" s="15">
        <f>IFERROR(MATCH(1,INDEX((MATCHER!$B$5:$B$504=A152)*(MATCHER!$D$5:$D$504=C152)*(MATCHER!$K$5:$K$504="Ja")*(MATCHER!$C$5:$C$504&lt;E152)*(MATCHER!$M$5:$M$504&gt;D152),0),0),"")</f>
        <v>50</v>
      </c>
      <c r="S152" s="15" t="str">
        <f>IF(R152="","",IFERROR(MATCH(1,INDEX((MATCHER!$B$5:$B$504=A152)*(MATCHER!$D$5:$D$504=C152)*(MATCHER!$K$5:$K$504="Ja")*(MATCHER!$C$5:$C$504&lt;E152)*(MATCHER!$M$5:$M$504&gt;D152)*(ROW(MATCHER!$A$5:$A$504)-ROW(MATCHER!$A$5)+1&gt;R152),0),0),""))</f>
        <v/>
      </c>
      <c r="T152" s="15" t="str">
        <f>IF(S152="","",IFERROR(MATCH(1,INDEX((MATCHER!$B$5:$B$504=A152)*(MATCHER!$D$5:$D$504=C152)*(MATCHER!$K$5:$K$504="Ja")*(MATCHER!$C$5:$C$504&lt;E152)*(MATCHER!$M$5:$M$504&gt;D152)*(ROW(MATCHER!$A$5:$A$504)-ROW(MATCHER!$A$5)+1&gt;S152),0),0),""))</f>
        <v/>
      </c>
      <c r="U152" s="15">
        <f t="shared" si="31"/>
        <v>0</v>
      </c>
      <c r="V152" s="15">
        <f>IF(OR(I152&lt;&gt;"Ja",J152=""),"",COUNTIFS($O$5:O152,O152,$U$5:U152,1))</f>
        <v>1</v>
      </c>
      <c r="W152" s="15" t="str">
        <f t="shared" si="32"/>
        <v>2026-11-07 | Tallbackaskolan|1</v>
      </c>
      <c r="X152" s="16" t="str">
        <f t="shared" si="33"/>
        <v/>
      </c>
      <c r="Y152" s="15">
        <f>IF(OR(I152&lt;&gt;"Ja",J152=""),0,IF(COUNTIFS($O$5:O152,O152,$I$5:I152,"Ja",$J$5:J152,"&lt;&gt;")=1,1,0))</f>
        <v>0</v>
      </c>
      <c r="Z152" s="15">
        <f>IF(OR(I152&lt;&gt;"Ja",J152=""),0,IF(COUNTIFS(O152:$O$546,O152,I152:$I$546,"Ja",J152:$J$546,"&lt;&gt;")=1,1,0))</f>
        <v>0</v>
      </c>
      <c r="AA152" s="15">
        <f t="shared" si="38"/>
        <v>1</v>
      </c>
      <c r="AB152" s="15" t="str">
        <f>IF(U152&lt;&gt;1,"",COUNTIF($U$5:U152,1))</f>
        <v/>
      </c>
      <c r="AC152" s="15" t="str">
        <f t="shared" si="34"/>
        <v/>
      </c>
      <c r="AD152" s="15" t="str">
        <f t="shared" si="35"/>
        <v>Vanligt café</v>
      </c>
      <c r="AE152" s="15" t="str">
        <f t="shared" si="36"/>
        <v/>
      </c>
      <c r="AF152" t="str">
        <f>IF(T152="","",IFERROR(MATCH(1,INDEX((MATCHER!$B$5:$B$504=A152)*(MATCHER!$D$5:$D$504=C152)*(MATCHER!$K$5:$K$504="Ja")*(MATCHER!$C$5:$C$504&lt;E152)*(MATCHER!$M$5:$M$504&gt;D152)*(ROW(MATCHER!$A$5:$A$504)-ROW(MATCHER!$A$5)+1&gt;T152),0),0),""))</f>
        <v/>
      </c>
    </row>
    <row r="153" spans="1:32" ht="26.5" thickBot="1">
      <c r="A153" s="52">
        <v>46333</v>
      </c>
      <c r="B153" s="53" t="s">
        <v>85</v>
      </c>
      <c r="C153" s="53" t="s">
        <v>110</v>
      </c>
      <c r="D153" s="54">
        <v>0.54166666666666696</v>
      </c>
      <c r="E153" s="54">
        <v>0.55208333333333304</v>
      </c>
      <c r="F153" s="55" t="str">
        <f>IF(R153="","",HOUR(INDEX(MATCHER!$C$5:$C$504,R153))&amp;":"&amp;IF(MINUTE(INDEX(MATCHER!$C$5:$C$504,R153))&lt;10,"0","")&amp;MINUTE(INDEX(MATCHER!$C$5:$C$504,R153))&amp;" "&amp;INDEX(MATCHER!$H$5:$H$504,R153)&amp;" – "&amp;INDEX(MATCHER!$I$5:$I$504,R153))&amp;IF(S153="",""," | "&amp;HOUR(INDEX(MATCHER!$C$5:$C$504,S153))&amp;":"&amp;IF(MINUTE(INDEX(MATCHER!$C$5:$C$504,S153))&lt;10,"0","")&amp;MINUTE(INDEX(MATCHER!$C$5:$C$504,S153))&amp;" "&amp;INDEX(MATCHER!$H$5:$H$504,S153)&amp;" – "&amp;INDEX(MATCHER!$I$5:$I$504,S153))&amp;IF(T153="",""," | "&amp;HOUR(INDEX(MATCHER!$C$5:$C$504,T153))&amp;":"&amp;IF(MINUTE(INDEX(MATCHER!$C$5:$C$504,T153))&lt;10,"0","")&amp;MINUTE(INDEX(MATCHER!$C$5:$C$504,T153))&amp;" "&amp;INDEX(MATCHER!$H$5:$H$504,T153)&amp;" – "&amp;INDEX(MATCHER!$I$5:$I$504,T153))&amp;IF(AF153="",""," | "&amp;HOUR(INDEX(MATCHER!$C$5:$C$504,AF153))&amp;":"&amp;IF(MINUTE(INDEX(MATCHER!$C$5:$C$504,AF153))&lt;10,"0","")&amp;MINUTE(INDEX(MATCHER!$C$5:$C$504,AF153))&amp;" "&amp;INDEX(MATCHER!$H$5:$H$504,AF153)&amp;" – "&amp;INDEX(MATCHER!$I$5:$I$504,AF153))</f>
        <v/>
      </c>
      <c r="G153" s="55" t="str">
        <f>MID(IF(R153="","",IF(OR(INDEX(MATCHER!$J$5:$J$504,R153)=""),""," / "&amp;INDEX(MATCHER!$J$5:$J$504,R153)))&amp;IF(S153="","",IF(OR(INDEX(MATCHER!$J$5:$J$504,S153)="",INDEX(MATCHER!$J$5:$J$504,S153)=IFERROR(INDEX(MATCHER!$J$5:$J$504,R153),"")),""," / "&amp;INDEX(MATCHER!$J$5:$J$504,S153)))&amp;IF(T153="","",IF(OR(INDEX(MATCHER!$J$5:$J$504,T153)="",INDEX(MATCHER!$J$5:$J$504,T153)=IFERROR(INDEX(MATCHER!$J$5:$J$504,R153),""),INDEX(MATCHER!$J$5:$J$504,T153)=IFERROR(INDEX(MATCHER!$J$5:$J$504,S153),"")),""," / "&amp;INDEX(MATCHER!$J$5:$J$504,T153)))&amp;IF(AF153="","",IF(OR(INDEX(MATCHER!$J$5:$J$504,AF153)="",INDEX(MATCHER!$J$5:$J$504,AF153)=IFERROR(INDEX(MATCHER!$J$5:$J$504,R153),""),INDEX(MATCHER!$J$5:$J$504,AF153)=IFERROR(INDEX(MATCHER!$J$5:$J$504,S153),""),INDEX(MATCHER!$J$5:$J$504,AF153)=IFERROR(INDEX(MATCHER!$J$5:$J$504,T153),"")),""," / "&amp;INDEX(MATCHER!$J$5:$J$504,AF153))),4,1000)</f>
        <v/>
      </c>
      <c r="H153" s="55" t="str">
        <f t="shared" si="37"/>
        <v>P12</v>
      </c>
      <c r="I153" s="56" t="s">
        <v>90</v>
      </c>
      <c r="J153" s="57" t="s">
        <v>117</v>
      </c>
      <c r="K153" s="58"/>
      <c r="L153" s="59"/>
      <c r="M153" s="60" t="str">
        <f>IF(O153&lt;&gt;O152,MAX(1,MIN(AA153,ROUNDUP(SUMPRODUCT(($O$5:$O$546=O153)*($I$5:$I$546="Ja")*($E$5:$E$546-$D$5:$D$546))*24/REGLER!$B$8,0))),"")</f>
        <v/>
      </c>
      <c r="N153" s="60" t="str">
        <f t="shared" si="30"/>
        <v>Klar</v>
      </c>
      <c r="O153" s="15" t="s">
        <v>118</v>
      </c>
      <c r="P153" s="16">
        <v>0.33333333333333298</v>
      </c>
      <c r="Q153" s="16">
        <v>0.55208333333333304</v>
      </c>
      <c r="R153" s="15" t="str">
        <f>IFERROR(MATCH(1,INDEX((MATCHER!$B$5:$B$504=A153)*(MATCHER!$D$5:$D$504=C153)*(MATCHER!$K$5:$K$504="Ja")*(MATCHER!$C$5:$C$504&lt;E153)*(MATCHER!$M$5:$M$504&gt;D153),0),0),"")</f>
        <v/>
      </c>
      <c r="S153" s="15" t="str">
        <f>IF(R153="","",IFERROR(MATCH(1,INDEX((MATCHER!$B$5:$B$504=A153)*(MATCHER!$D$5:$D$504=C153)*(MATCHER!$K$5:$K$504="Ja")*(MATCHER!$C$5:$C$504&lt;E153)*(MATCHER!$M$5:$M$504&gt;D153)*(ROW(MATCHER!$A$5:$A$504)-ROW(MATCHER!$A$5)+1&gt;R153),0),0),""))</f>
        <v/>
      </c>
      <c r="T153" s="15" t="str">
        <f>IF(S153="","",IFERROR(MATCH(1,INDEX((MATCHER!$B$5:$B$504=A153)*(MATCHER!$D$5:$D$504=C153)*(MATCHER!$K$5:$K$504="Ja")*(MATCHER!$C$5:$C$504&lt;E153)*(MATCHER!$M$5:$M$504&gt;D153)*(ROW(MATCHER!$A$5:$A$504)-ROW(MATCHER!$A$5)+1&gt;S153),0),0),""))</f>
        <v/>
      </c>
      <c r="U153" s="15">
        <f t="shared" si="31"/>
        <v>0</v>
      </c>
      <c r="V153" s="15">
        <f>IF(OR(I153&lt;&gt;"Ja",J153=""),"",COUNTIFS($O$5:O153,O153,$U$5:U153,1))</f>
        <v>1</v>
      </c>
      <c r="W153" s="15" t="str">
        <f t="shared" si="32"/>
        <v>2026-11-07 | Tallbackaskolan|1</v>
      </c>
      <c r="X153" s="16">
        <f t="shared" si="33"/>
        <v>0.55208333333333304</v>
      </c>
      <c r="Y153" s="15">
        <f>IF(OR(I153&lt;&gt;"Ja",J153=""),0,IF(COUNTIFS($O$5:O153,O153,$I$5:I153,"Ja",$J$5:J153,"&lt;&gt;")=1,1,0))</f>
        <v>0</v>
      </c>
      <c r="Z153" s="15">
        <f>IF(OR(I153&lt;&gt;"Ja",J153=""),0,IF(COUNTIFS(O153:$O$546,O153,I153:$I$546,"Ja",J153:$J$546,"&lt;&gt;")=1,1,0))</f>
        <v>1</v>
      </c>
      <c r="AA153" s="15">
        <f t="shared" si="38"/>
        <v>1</v>
      </c>
      <c r="AB153" s="15" t="str">
        <f>IF(U153&lt;&gt;1,"",COUNTIF($U$5:U153,1))</f>
        <v/>
      </c>
      <c r="AC153" s="15" t="str">
        <f t="shared" si="34"/>
        <v>2026-11-07 | Tallbackaskolan|1</v>
      </c>
      <c r="AD153" s="15" t="str">
        <f t="shared" si="35"/>
        <v>Vanligt café</v>
      </c>
      <c r="AE153" s="15" t="str">
        <f t="shared" si="36"/>
        <v/>
      </c>
      <c r="AF153" t="str">
        <f>IF(T153="","",IFERROR(MATCH(1,INDEX((MATCHER!$B$5:$B$504=A153)*(MATCHER!$D$5:$D$504=C153)*(MATCHER!$K$5:$K$504="Ja")*(MATCHER!$C$5:$C$504&lt;E153)*(MATCHER!$M$5:$M$504&gt;D153)*(ROW(MATCHER!$A$5:$A$504)-ROW(MATCHER!$A$5)+1&gt;T153),0),0),""))</f>
        <v/>
      </c>
    </row>
    <row r="154" spans="1:32" ht="26">
      <c r="A154" s="42">
        <v>46333</v>
      </c>
      <c r="B154" s="43" t="s">
        <v>85</v>
      </c>
      <c r="C154" s="43" t="s">
        <v>86</v>
      </c>
      <c r="D154" s="44">
        <v>0.33333333333333298</v>
      </c>
      <c r="E154" s="44">
        <v>0.35416666666666702</v>
      </c>
      <c r="F154" s="45" t="str">
        <f>IF(R154="","",HOUR(INDEX(MATCHER!$C$5:$C$504,R154))&amp;":"&amp;IF(MINUTE(INDEX(MATCHER!$C$5:$C$504,R154))&lt;10,"0","")&amp;MINUTE(INDEX(MATCHER!$C$5:$C$504,R154))&amp;" "&amp;INDEX(MATCHER!$H$5:$H$504,R154)&amp;" – "&amp;INDEX(MATCHER!$I$5:$I$504,R154))&amp;IF(S154="",""," | "&amp;HOUR(INDEX(MATCHER!$C$5:$C$504,S154))&amp;":"&amp;IF(MINUTE(INDEX(MATCHER!$C$5:$C$504,S154))&lt;10,"0","")&amp;MINUTE(INDEX(MATCHER!$C$5:$C$504,S154))&amp;" "&amp;INDEX(MATCHER!$H$5:$H$504,S154)&amp;" – "&amp;INDEX(MATCHER!$I$5:$I$504,S154))&amp;IF(T154="",""," | "&amp;HOUR(INDEX(MATCHER!$C$5:$C$504,T154))&amp;":"&amp;IF(MINUTE(INDEX(MATCHER!$C$5:$C$504,T154))&lt;10,"0","")&amp;MINUTE(INDEX(MATCHER!$C$5:$C$504,T154))&amp;" "&amp;INDEX(MATCHER!$H$5:$H$504,T154)&amp;" – "&amp;INDEX(MATCHER!$I$5:$I$504,T154))&amp;IF(AF154="",""," | "&amp;HOUR(INDEX(MATCHER!$C$5:$C$504,AF154))&amp;":"&amp;IF(MINUTE(INDEX(MATCHER!$C$5:$C$504,AF154))&lt;10,"0","")&amp;MINUTE(INDEX(MATCHER!$C$5:$C$504,AF154))&amp;" "&amp;INDEX(MATCHER!$H$5:$H$504,AF154)&amp;" – "&amp;INDEX(MATCHER!$I$5:$I$504,AF154))</f>
        <v/>
      </c>
      <c r="G154" s="45" t="str">
        <f>MID(IF(R154="","",IF(OR(INDEX(MATCHER!$J$5:$J$504,R154)=""),""," / "&amp;INDEX(MATCHER!$J$5:$J$504,R154)))&amp;IF(S154="","",IF(OR(INDEX(MATCHER!$J$5:$J$504,S154)="",INDEX(MATCHER!$J$5:$J$504,S154)=IFERROR(INDEX(MATCHER!$J$5:$J$504,R154),"")),""," / "&amp;INDEX(MATCHER!$J$5:$J$504,S154)))&amp;IF(T154="","",IF(OR(INDEX(MATCHER!$J$5:$J$504,T154)="",INDEX(MATCHER!$J$5:$J$504,T154)=IFERROR(INDEX(MATCHER!$J$5:$J$504,R154),""),INDEX(MATCHER!$J$5:$J$504,T154)=IFERROR(INDEX(MATCHER!$J$5:$J$504,S154),"")),""," / "&amp;INDEX(MATCHER!$J$5:$J$504,T154)))&amp;IF(AF154="","",IF(OR(INDEX(MATCHER!$J$5:$J$504,AF154)="",INDEX(MATCHER!$J$5:$J$504,AF154)=IFERROR(INDEX(MATCHER!$J$5:$J$504,R154),""),INDEX(MATCHER!$J$5:$J$504,AF154)=IFERROR(INDEX(MATCHER!$J$5:$J$504,S154),""),INDEX(MATCHER!$J$5:$J$504,AF154)=IFERROR(INDEX(MATCHER!$J$5:$J$504,T154),"")),""," / "&amp;INDEX(MATCHER!$J$5:$J$504,AF154))),4,1000)</f>
        <v/>
      </c>
      <c r="H154" s="45" t="str">
        <f>MID(IF(COUNTIFS(MATCHER!$B$5:$B$504,A154,MATCHER!$D$5:$D$504,C154,MATCHER!$J$5:$J$504,REGLER!$I$6,MATCHER!$K$5:$K$504,"Ja")+COUNTIFS(MATCHER!$B$5:$B$504,A154,MATCHER!$D$5:$D$504,C154,MATCHER!$J$5:$J$504,REGLER!$I$6&amp;" 2",MATCHER!$K$5:$K$504,"Ja")&gt;0,", "&amp;REGLER!$I$6,"")&amp;IF(COUNTIFS(MATCHER!$B$5:$B$504,A154,MATCHER!$D$5:$D$504,C154,MATCHER!$J$5:$J$504,REGLER!$I$7,MATCHER!$K$5:$K$504,"Ja")+COUNTIFS(MATCHER!$B$5:$B$504,A154,MATCHER!$D$5:$D$504,C154,MATCHER!$J$5:$J$504,REGLER!$I$7&amp;" 2",MATCHER!$K$5:$K$504,"Ja")&gt;0,", "&amp;REGLER!$I$7,"")&amp;IF(COUNTIFS(MATCHER!$B$5:$B$504,A154,MATCHER!$D$5:$D$504,C154,MATCHER!$J$5:$J$504,REGLER!$I$8,MATCHER!$K$5:$K$504,"Ja")+COUNTIFS(MATCHER!$B$5:$B$504,A154,MATCHER!$D$5:$D$504,C154,MATCHER!$J$5:$J$504,REGLER!$I$8&amp;" 2",MATCHER!$K$5:$K$504,"Ja")&gt;0,", "&amp;REGLER!$I$8,"")&amp;IF(COUNTIFS(MATCHER!$B$5:$B$504,A154,MATCHER!$D$5:$D$504,C154,MATCHER!$J$5:$J$504,REGLER!$I$9,MATCHER!$K$5:$K$504,"Ja")+COUNTIFS(MATCHER!$B$5:$B$504,A154,MATCHER!$D$5:$D$504,C154,MATCHER!$J$5:$J$504,REGLER!$I$9&amp;" 2",MATCHER!$K$5:$K$504,"Ja")&gt;0,", "&amp;REGLER!$I$9,"")&amp;IF(COUNTIFS(MATCHER!$B$5:$B$504,A154,MATCHER!$D$5:$D$504,C154,MATCHER!$J$5:$J$504,REGLER!$I$10,MATCHER!$K$5:$K$504,"Ja")+COUNTIFS(MATCHER!$B$5:$B$504,A154,MATCHER!$D$5:$D$504,C154,MATCHER!$J$5:$J$504,REGLER!$I$10&amp;" 2",MATCHER!$K$5:$K$504,"Ja")&gt;0,", "&amp;REGLER!$I$10,"")&amp;IF(COUNTIFS(MATCHER!$B$5:$B$504,A154,MATCHER!$D$5:$D$504,C154,MATCHER!$J$5:$J$504,REGLER!$I$11,MATCHER!$K$5:$K$504,"Ja")+COUNTIFS(MATCHER!$B$5:$B$504,A154,MATCHER!$D$5:$D$504,C154,MATCHER!$J$5:$J$504,REGLER!$I$11&amp;" 2",MATCHER!$K$5:$K$504,"Ja")&gt;0,", "&amp;REGLER!$I$11,"")&amp;IF(COUNTIFS(MATCHER!$B$5:$B$504,A154,MATCHER!$D$5:$D$504,C154,MATCHER!$J$5:$J$504,REGLER!$I$12,MATCHER!$K$5:$K$504,"Ja")+COUNTIFS(MATCHER!$B$5:$B$504,A154,MATCHER!$D$5:$D$504,C154,MATCHER!$J$5:$J$504,REGLER!$I$12&amp;" 2",MATCHER!$K$5:$K$504,"Ja")&gt;0,", "&amp;REGLER!$I$12,"")&amp;IF(COUNTIFS(MATCHER!$B$5:$B$504,A154,MATCHER!$D$5:$D$504,C154,MATCHER!$J$5:$J$504,REGLER!$I$13,MATCHER!$K$5:$K$504,"Ja")+COUNTIFS(MATCHER!$B$5:$B$504,A154,MATCHER!$D$5:$D$504,C154,MATCHER!$J$5:$J$504,REGLER!$I$13&amp;" 2",MATCHER!$K$5:$K$504,"Ja")&gt;0,", "&amp;REGLER!$I$13,"")&amp;IF(COUNTIFS(MATCHER!$B$5:$B$504,A154,MATCHER!$D$5:$D$504,C154,MATCHER!$J$5:$J$504,REGLER!$I$14,MATCHER!$K$5:$K$504,"Ja")+COUNTIFS(MATCHER!$B$5:$B$504,A154,MATCHER!$D$5:$D$504,C154,MATCHER!$J$5:$J$504,REGLER!$I$14&amp;" 2",MATCHER!$K$5:$K$504,"Ja")&gt;0,", "&amp;REGLER!$I$14,"")&amp;IF(COUNTIFS(MATCHER!$B$5:$B$504,A154,MATCHER!$D$5:$D$504,C154,MATCHER!$J$5:$J$504,REGLER!$I$15,MATCHER!$K$5:$K$504,"Ja")+COUNTIFS(MATCHER!$B$5:$B$504,A154,MATCHER!$D$5:$D$504,C154,MATCHER!$J$5:$J$504,REGLER!$I$15&amp;" 2",MATCHER!$K$5:$K$504,"Ja")&gt;0,", "&amp;REGLER!$I$15,"")&amp;IF(COUNTIFS(MATCHER!$B$5:$B$504,A154,MATCHER!$D$5:$D$504,C154,MATCHER!$J$5:$J$504,REGLER!$I$16,MATCHER!$K$5:$K$504,"Ja")+COUNTIFS(MATCHER!$B$5:$B$504,A154,MATCHER!$D$5:$D$504,C154,MATCHER!$J$5:$J$504,REGLER!$I$16&amp;" 2",MATCHER!$K$5:$K$504,"Ja")&gt;0,", "&amp;REGLER!$I$16,"")&amp;IF(COUNTIFS(MATCHER!$B$5:$B$504,A154,MATCHER!$D$5:$D$504,C154,MATCHER!$J$5:$J$504,REGLER!$I$17,MATCHER!$K$5:$K$504,"Ja")+COUNTIFS(MATCHER!$B$5:$B$504,A154,MATCHER!$D$5:$D$504,C154,MATCHER!$J$5:$J$504,REGLER!$I$17&amp;" 2",MATCHER!$K$5:$K$504,"Ja")&gt;0,", "&amp;REGLER!$I$17,"")&amp;IF(COUNTIFS(MATCHER!$B$5:$B$504,A154,MATCHER!$D$5:$D$504,C154,MATCHER!$J$5:$J$504,REGLER!$I$18,MATCHER!$K$5:$K$504,"Ja")+COUNTIFS(MATCHER!$B$5:$B$504,A154,MATCHER!$D$5:$D$504,C154,MATCHER!$J$5:$J$504,REGLER!$I$18&amp;" 2",MATCHER!$K$5:$K$504,"Ja")&gt;0,", "&amp;REGLER!$I$18,"")&amp;IF(COUNTIFS(MATCHER!$B$5:$B$504,A154,MATCHER!$D$5:$D$504,C154,MATCHER!$J$5:$J$504,REGLER!$I$19,MATCHER!$K$5:$K$504,"Ja")+COUNTIFS(MATCHER!$B$5:$B$504,A154,MATCHER!$D$5:$D$504,C154,MATCHER!$J$5:$J$504,REGLER!$I$19&amp;" 2",MATCHER!$K$5:$K$504,"Ja")&gt;0,", "&amp;REGLER!$I$19,"")&amp;IF(COUNTIFS(MATCHER!$B$5:$B$504,A154,MATCHER!$D$5:$D$504,C154,MATCHER!$J$5:$J$504,REGLER!$I$20,MATCHER!$K$5:$K$504,"Ja")+COUNTIFS(MATCHER!$B$5:$B$504,A154,MATCHER!$D$5:$D$504,C154,MATCHER!$J$5:$J$504,REGLER!$I$20&amp;" 2",MATCHER!$K$5:$K$504,"Ja")&gt;0,", "&amp;REGLER!$I$20,"")&amp;IF(COUNTIFS(MATCHER!$B$5:$B$504,A154,MATCHER!$D$5:$D$504,C154,MATCHER!$J$5:$J$504,REGLER!$I$21,MATCHER!$K$5:$K$504,"Ja")+COUNTIFS(MATCHER!$B$5:$B$504,A154,MATCHER!$D$5:$D$504,C154,MATCHER!$J$5:$J$504,REGLER!$I$21&amp;" 2",MATCHER!$K$5:$K$504,"Ja")&gt;0,", "&amp;REGLER!$I$21,"")&amp;IF(COUNTIFS(MATCHER!$B$5:$B$504,A154,MATCHER!$D$5:$D$504,C154,MATCHER!$J$5:$J$504,REGLER!$I$22,MATCHER!$K$5:$K$504,"Ja")+COUNTIFS(MATCHER!$B$5:$B$504,A154,MATCHER!$D$5:$D$504,C154,MATCHER!$J$5:$J$504,REGLER!$I$22&amp;" 2",MATCHER!$K$5:$K$504,"Ja")&gt;0,", "&amp;REGLER!$I$22,"")&amp;IF(COUNTIFS(MATCHER!$B$5:$B$504,A154,MATCHER!$D$5:$D$504,C154,MATCHER!$J$5:$J$504,REGLER!$I$23,MATCHER!$K$5:$K$504,"Ja")+COUNTIFS(MATCHER!$B$5:$B$504,A154,MATCHER!$D$5:$D$504,C154,MATCHER!$J$5:$J$504,REGLER!$I$23&amp;" 2",MATCHER!$K$5:$K$504,"Ja")&gt;0,", "&amp;REGLER!$I$23,"")&amp;IF(COUNTIFS(MATCHER!$B$5:$B$504,A154,MATCHER!$D$5:$D$504,C154,MATCHER!$J$5:$J$504,REGLER!$I$24,MATCHER!$K$5:$K$504,"Ja")+COUNTIFS(MATCHER!$B$5:$B$504,A154,MATCHER!$D$5:$D$504,C154,MATCHER!$J$5:$J$504,REGLER!$I$24&amp;" 2",MATCHER!$K$5:$K$504,"Ja")&gt;0,", "&amp;REGLER!$I$24,"")&amp;IF(COUNTIFS(MATCHER!$B$5:$B$504,A154,MATCHER!$D$5:$D$504,C154,MATCHER!$J$5:$J$504,REGLER!$I$25,MATCHER!$K$5:$K$504,"Ja")+COUNTIFS(MATCHER!$B$5:$B$504,A154,MATCHER!$D$5:$D$504,C154,MATCHER!$J$5:$J$504,REGLER!$I$25&amp;" 2",MATCHER!$K$5:$K$504,"Ja")&gt;0,", "&amp;REGLER!$I$25,"")&amp;IF(COUNTIFS(MATCHER!$B$5:$B$504,A154,MATCHER!$D$5:$D$504,C154,MATCHER!$J$5:$J$504,REGLER!$I$26,MATCHER!$K$5:$K$504,"Ja")+COUNTIFS(MATCHER!$B$5:$B$504,A154,MATCHER!$D$5:$D$504,C154,MATCHER!$J$5:$J$504,REGLER!$I$26&amp;" 2",MATCHER!$K$5:$K$504,"Ja")&gt;0,", "&amp;REGLER!$I$26,""),3,1000)</f>
        <v>U8, F13, F14</v>
      </c>
      <c r="I154" s="46" t="s">
        <v>90</v>
      </c>
      <c r="J154" s="47" t="s">
        <v>148</v>
      </c>
      <c r="K154" s="48" t="s">
        <v>88</v>
      </c>
      <c r="L154" s="49"/>
      <c r="M154" s="50">
        <f>IF(O154&lt;&gt;O153,MAX(1,MIN(AA154,ROUNDUP(SUMPRODUCT(($O$5:$O$546=O154)*($I$5:$I$546="Ja")*($E$5:$E$546-$D$5:$D$546))*24/REGLER!$B$8,0))),"")</f>
        <v>3</v>
      </c>
      <c r="N154" s="50" t="str">
        <f t="shared" si="30"/>
        <v>Klar</v>
      </c>
      <c r="O154" s="15" t="s">
        <v>119</v>
      </c>
      <c r="P154" s="16">
        <v>0.33333333333333298</v>
      </c>
      <c r="Q154" s="16">
        <v>0.625</v>
      </c>
      <c r="R154" s="15" t="str">
        <f>IFERROR(MATCH(1,INDEX((MATCHER!$B$5:$B$504=A154)*(MATCHER!$D$5:$D$504=C154)*(MATCHER!$K$5:$K$504="Ja")*(MATCHER!$C$5:$C$504&lt;E154)*(MATCHER!$M$5:$M$504&gt;D154),0),0),"")</f>
        <v/>
      </c>
      <c r="S154" s="15" t="str">
        <f>IF(R154="","",IFERROR(MATCH(1,INDEX((MATCHER!$B$5:$B$504=A154)*(MATCHER!$D$5:$D$504=C154)*(MATCHER!$K$5:$K$504="Ja")*(MATCHER!$C$5:$C$504&lt;E154)*(MATCHER!$M$5:$M$504&gt;D154)*(ROW(MATCHER!$A$5:$A$504)-ROW(MATCHER!$A$5)+1&gt;R154),0),0),""))</f>
        <v/>
      </c>
      <c r="T154" s="15" t="str">
        <f>IF(S154="","",IFERROR(MATCH(1,INDEX((MATCHER!$B$5:$B$504=A154)*(MATCHER!$D$5:$D$504=C154)*(MATCHER!$K$5:$K$504="Ja")*(MATCHER!$C$5:$C$504&lt;E154)*(MATCHER!$M$5:$M$504&gt;D154)*(ROW(MATCHER!$A$5:$A$504)-ROW(MATCHER!$A$5)+1&gt;S154),0),0),""))</f>
        <v/>
      </c>
      <c r="U154" s="15">
        <f t="shared" si="31"/>
        <v>1</v>
      </c>
      <c r="V154" s="15">
        <f>IF(OR(I154&lt;&gt;"Ja",J154=""),"",COUNTIFS($O$5:O154,O154,$U$5:U154,1))</f>
        <v>1</v>
      </c>
      <c r="W154" s="15" t="str">
        <f t="shared" si="32"/>
        <v>2026-11-07 | Ulriksdalshallen|1</v>
      </c>
      <c r="X154" s="16" t="str">
        <f t="shared" si="33"/>
        <v/>
      </c>
      <c r="Y154" s="15">
        <f>IF(OR(I154&lt;&gt;"Ja",J154=""),0,IF(COUNTIFS($O$5:O154,O154,$I$5:I154,"Ja",$J$5:J154,"&lt;&gt;")=1,1,0))</f>
        <v>1</v>
      </c>
      <c r="Z154" s="15">
        <f>IF(OR(I154&lt;&gt;"Ja",J154=""),0,IF(COUNTIFS(O154:$O$546,O154,I154:$I$546,"Ja",J154:$J$546,"&lt;&gt;")=1,1,0))</f>
        <v>0</v>
      </c>
      <c r="AA154" s="15">
        <f>IF(COUNTIFS(MATCHER!$B$5:$B$504,A154,MATCHER!$D$5:$D$504,C154,MATCHER!$J$5:$J$504,REGLER!$I$6,MATCHER!$K$5:$K$504,"Ja")+COUNTIFS(MATCHER!$B$5:$B$504,A154,MATCHER!$D$5:$D$504,C154,MATCHER!$J$5:$J$504,REGLER!$I$6&amp;" 2",MATCHER!$K$5:$K$504,"Ja")&gt;0,1,0)+IF(COUNTIFS(MATCHER!$B$5:$B$504,A154,MATCHER!$D$5:$D$504,C154,MATCHER!$J$5:$J$504,REGLER!$I$7,MATCHER!$K$5:$K$504,"Ja")+COUNTIFS(MATCHER!$B$5:$B$504,A154,MATCHER!$D$5:$D$504,C154,MATCHER!$J$5:$J$504,REGLER!$I$7&amp;" 2",MATCHER!$K$5:$K$504,"Ja")&gt;0,1,0)+IF(COUNTIFS(MATCHER!$B$5:$B$504,A154,MATCHER!$D$5:$D$504,C154,MATCHER!$J$5:$J$504,REGLER!$I$8,MATCHER!$K$5:$K$504,"Ja")+COUNTIFS(MATCHER!$B$5:$B$504,A154,MATCHER!$D$5:$D$504,C154,MATCHER!$J$5:$J$504,REGLER!$I$8&amp;" 2",MATCHER!$K$5:$K$504,"Ja")&gt;0,1,0)+IF(COUNTIFS(MATCHER!$B$5:$B$504,A154,MATCHER!$D$5:$D$504,C154,MATCHER!$J$5:$J$504,REGLER!$I$9,MATCHER!$K$5:$K$504,"Ja")+COUNTIFS(MATCHER!$B$5:$B$504,A154,MATCHER!$D$5:$D$504,C154,MATCHER!$J$5:$J$504,REGLER!$I$9&amp;" 2",MATCHER!$K$5:$K$504,"Ja")&gt;0,1,0)+IF(COUNTIFS(MATCHER!$B$5:$B$504,A154,MATCHER!$D$5:$D$504,C154,MATCHER!$J$5:$J$504,REGLER!$I$10,MATCHER!$K$5:$K$504,"Ja")+COUNTIFS(MATCHER!$B$5:$B$504,A154,MATCHER!$D$5:$D$504,C154,MATCHER!$J$5:$J$504,REGLER!$I$10&amp;" 2",MATCHER!$K$5:$K$504,"Ja")&gt;0,1,0)+IF(COUNTIFS(MATCHER!$B$5:$B$504,A154,MATCHER!$D$5:$D$504,C154,MATCHER!$J$5:$J$504,REGLER!$I$11,MATCHER!$K$5:$K$504,"Ja")+COUNTIFS(MATCHER!$B$5:$B$504,A154,MATCHER!$D$5:$D$504,C154,MATCHER!$J$5:$J$504,REGLER!$I$11&amp;" 2",MATCHER!$K$5:$K$504,"Ja")&gt;0,1,0)+IF(COUNTIFS(MATCHER!$B$5:$B$504,A154,MATCHER!$D$5:$D$504,C154,MATCHER!$J$5:$J$504,REGLER!$I$12,MATCHER!$K$5:$K$504,"Ja")+COUNTIFS(MATCHER!$B$5:$B$504,A154,MATCHER!$D$5:$D$504,C154,MATCHER!$J$5:$J$504,REGLER!$I$12&amp;" 2",MATCHER!$K$5:$K$504,"Ja")&gt;0,1,0)+IF(COUNTIFS(MATCHER!$B$5:$B$504,A154,MATCHER!$D$5:$D$504,C154,MATCHER!$J$5:$J$504,REGLER!$I$13,MATCHER!$K$5:$K$504,"Ja")+COUNTIFS(MATCHER!$B$5:$B$504,A154,MATCHER!$D$5:$D$504,C154,MATCHER!$J$5:$J$504,REGLER!$I$13&amp;" 2",MATCHER!$K$5:$K$504,"Ja")&gt;0,1,0)+IF(COUNTIFS(MATCHER!$B$5:$B$504,A154,MATCHER!$D$5:$D$504,C154,MATCHER!$J$5:$J$504,REGLER!$I$14,MATCHER!$K$5:$K$504,"Ja")+COUNTIFS(MATCHER!$B$5:$B$504,A154,MATCHER!$D$5:$D$504,C154,MATCHER!$J$5:$J$504,REGLER!$I$14&amp;" 2",MATCHER!$K$5:$K$504,"Ja")&gt;0,1,0)+IF(COUNTIFS(MATCHER!$B$5:$B$504,A154,MATCHER!$D$5:$D$504,C154,MATCHER!$J$5:$J$504,REGLER!$I$15,MATCHER!$K$5:$K$504,"Ja")+COUNTIFS(MATCHER!$B$5:$B$504,A154,MATCHER!$D$5:$D$504,C154,MATCHER!$J$5:$J$504,REGLER!$I$15&amp;" 2",MATCHER!$K$5:$K$504,"Ja")&gt;0,1,0)+IF(COUNTIFS(MATCHER!$B$5:$B$504,A154,MATCHER!$D$5:$D$504,C154,MATCHER!$J$5:$J$504,REGLER!$I$16,MATCHER!$K$5:$K$504,"Ja")+COUNTIFS(MATCHER!$B$5:$B$504,A154,MATCHER!$D$5:$D$504,C154,MATCHER!$J$5:$J$504,REGLER!$I$16&amp;" 2",MATCHER!$K$5:$K$504,"Ja")&gt;0,1,0)+IF(COUNTIFS(MATCHER!$B$5:$B$504,A154,MATCHER!$D$5:$D$504,C154,MATCHER!$J$5:$J$504,REGLER!$I$17,MATCHER!$K$5:$K$504,"Ja")+COUNTIFS(MATCHER!$B$5:$B$504,A154,MATCHER!$D$5:$D$504,C154,MATCHER!$J$5:$J$504,REGLER!$I$17&amp;" 2",MATCHER!$K$5:$K$504,"Ja")&gt;0,1,0)+IF(COUNTIFS(MATCHER!$B$5:$B$504,A154,MATCHER!$D$5:$D$504,C154,MATCHER!$J$5:$J$504,REGLER!$I$18,MATCHER!$K$5:$K$504,"Ja")+COUNTIFS(MATCHER!$B$5:$B$504,A154,MATCHER!$D$5:$D$504,C154,MATCHER!$J$5:$J$504,REGLER!$I$18&amp;" 2",MATCHER!$K$5:$K$504,"Ja")&gt;0,1,0)+IF(COUNTIFS(MATCHER!$B$5:$B$504,A154,MATCHER!$D$5:$D$504,C154,MATCHER!$J$5:$J$504,REGLER!$I$19,MATCHER!$K$5:$K$504,"Ja")+COUNTIFS(MATCHER!$B$5:$B$504,A154,MATCHER!$D$5:$D$504,C154,MATCHER!$J$5:$J$504,REGLER!$I$19&amp;" 2",MATCHER!$K$5:$K$504,"Ja")&gt;0,1,0)+IF(COUNTIFS(MATCHER!$B$5:$B$504,A154,MATCHER!$D$5:$D$504,C154,MATCHER!$J$5:$J$504,REGLER!$I$20,MATCHER!$K$5:$K$504,"Ja")+COUNTIFS(MATCHER!$B$5:$B$504,A154,MATCHER!$D$5:$D$504,C154,MATCHER!$J$5:$J$504,REGLER!$I$20&amp;" 2",MATCHER!$K$5:$K$504,"Ja")&gt;0,1,0)+IF(COUNTIFS(MATCHER!$B$5:$B$504,A154,MATCHER!$D$5:$D$504,C154,MATCHER!$J$5:$J$504,REGLER!$I$21,MATCHER!$K$5:$K$504,"Ja")+COUNTIFS(MATCHER!$B$5:$B$504,A154,MATCHER!$D$5:$D$504,C154,MATCHER!$J$5:$J$504,REGLER!$I$21&amp;" 2",MATCHER!$K$5:$K$504,"Ja")&gt;0,1,0)+IF(COUNTIFS(MATCHER!$B$5:$B$504,A154,MATCHER!$D$5:$D$504,C154,MATCHER!$J$5:$J$504,REGLER!$I$22,MATCHER!$K$5:$K$504,"Ja")+COUNTIFS(MATCHER!$B$5:$B$504,A154,MATCHER!$D$5:$D$504,C154,MATCHER!$J$5:$J$504,REGLER!$I$22&amp;" 2",MATCHER!$K$5:$K$504,"Ja")&gt;0,1,0)+IF(COUNTIFS(MATCHER!$B$5:$B$504,A154,MATCHER!$D$5:$D$504,C154,MATCHER!$J$5:$J$504,REGLER!$I$23,MATCHER!$K$5:$K$504,"Ja")+COUNTIFS(MATCHER!$B$5:$B$504,A154,MATCHER!$D$5:$D$504,C154,MATCHER!$J$5:$J$504,REGLER!$I$23&amp;" 2",MATCHER!$K$5:$K$504,"Ja")&gt;0,1,0)+IF(COUNTIFS(MATCHER!$B$5:$B$504,A154,MATCHER!$D$5:$D$504,C154,MATCHER!$J$5:$J$504,REGLER!$I$24,MATCHER!$K$5:$K$504,"Ja")+COUNTIFS(MATCHER!$B$5:$B$504,A154,MATCHER!$D$5:$D$504,C154,MATCHER!$J$5:$J$504,REGLER!$I$24&amp;" 2",MATCHER!$K$5:$K$504,"Ja")&gt;0,1,0)+IF(COUNTIFS(MATCHER!$B$5:$B$504,A154,MATCHER!$D$5:$D$504,C154,MATCHER!$J$5:$J$504,REGLER!$I$25,MATCHER!$K$5:$K$504,"Ja")+COUNTIFS(MATCHER!$B$5:$B$504,A154,MATCHER!$D$5:$D$504,C154,MATCHER!$J$5:$J$504,REGLER!$I$25&amp;" 2",MATCHER!$K$5:$K$504,"Ja")&gt;0,1,0)+IF(COUNTIFS(MATCHER!$B$5:$B$504,A154,MATCHER!$D$5:$D$504,C154,MATCHER!$J$5:$J$504,REGLER!$I$26,MATCHER!$K$5:$K$504,"Ja")+COUNTIFS(MATCHER!$B$5:$B$504,A154,MATCHER!$D$5:$D$504,C154,MATCHER!$J$5:$J$504,REGLER!$I$26&amp;" 2",MATCHER!$K$5:$K$504,"Ja")&gt;0,1,0)</f>
        <v>3</v>
      </c>
      <c r="AB154" s="15">
        <f>IF(U154&lt;&gt;1,"",COUNTIF($U$5:U154,1))</f>
        <v>17</v>
      </c>
      <c r="AC154" s="15" t="str">
        <f t="shared" si="34"/>
        <v/>
      </c>
      <c r="AD154" s="15" t="str">
        <f t="shared" si="35"/>
        <v>Vanligt café</v>
      </c>
      <c r="AE154" s="15">
        <f t="shared" si="36"/>
        <v>4.0000000000000089</v>
      </c>
      <c r="AF154" t="str">
        <f>IF(T154="","",IFERROR(MATCH(1,INDEX((MATCHER!$B$5:$B$504=A154)*(MATCHER!$D$5:$D$504=C154)*(MATCHER!$K$5:$K$504="Ja")*(MATCHER!$C$5:$C$504&lt;E154)*(MATCHER!$M$5:$M$504&gt;D154)*(ROW(MATCHER!$A$5:$A$504)-ROW(MATCHER!$A$5)+1&gt;T154),0),0),""))</f>
        <v/>
      </c>
    </row>
    <row r="155" spans="1:32" ht="26">
      <c r="A155" s="42">
        <v>46333</v>
      </c>
      <c r="B155" s="43" t="s">
        <v>85</v>
      </c>
      <c r="C155" s="43" t="s">
        <v>86</v>
      </c>
      <c r="D155" s="44">
        <v>0.35416666666666702</v>
      </c>
      <c r="E155" s="44">
        <v>0.375</v>
      </c>
      <c r="F155" s="45" t="str">
        <f>IF(R155="","",HOUR(INDEX(MATCHER!$C$5:$C$504,R155))&amp;":"&amp;IF(MINUTE(INDEX(MATCHER!$C$5:$C$504,R155))&lt;10,"0","")&amp;MINUTE(INDEX(MATCHER!$C$5:$C$504,R155))&amp;" "&amp;INDEX(MATCHER!$H$5:$H$504,R155)&amp;" – "&amp;INDEX(MATCHER!$I$5:$I$504,R155))&amp;IF(S155="",""," | "&amp;HOUR(INDEX(MATCHER!$C$5:$C$504,S155))&amp;":"&amp;IF(MINUTE(INDEX(MATCHER!$C$5:$C$504,S155))&lt;10,"0","")&amp;MINUTE(INDEX(MATCHER!$C$5:$C$504,S155))&amp;" "&amp;INDEX(MATCHER!$H$5:$H$504,S155)&amp;" – "&amp;INDEX(MATCHER!$I$5:$I$504,S155))&amp;IF(T155="",""," | "&amp;HOUR(INDEX(MATCHER!$C$5:$C$504,T155))&amp;":"&amp;IF(MINUTE(INDEX(MATCHER!$C$5:$C$504,T155))&lt;10,"0","")&amp;MINUTE(INDEX(MATCHER!$C$5:$C$504,T155))&amp;" "&amp;INDEX(MATCHER!$H$5:$H$504,T155)&amp;" – "&amp;INDEX(MATCHER!$I$5:$I$504,T155))&amp;IF(AF155="",""," | "&amp;HOUR(INDEX(MATCHER!$C$5:$C$504,AF155))&amp;":"&amp;IF(MINUTE(INDEX(MATCHER!$C$5:$C$504,AF155))&lt;10,"0","")&amp;MINUTE(INDEX(MATCHER!$C$5:$C$504,AF155))&amp;" "&amp;INDEX(MATCHER!$H$5:$H$504,AF155)&amp;" – "&amp;INDEX(MATCHER!$I$5:$I$504,AF155))</f>
        <v/>
      </c>
      <c r="G155" s="45" t="str">
        <f>MID(IF(R155="","",IF(OR(INDEX(MATCHER!$J$5:$J$504,R155)=""),""," / "&amp;INDEX(MATCHER!$J$5:$J$504,R155)))&amp;IF(S155="","",IF(OR(INDEX(MATCHER!$J$5:$J$504,S155)="",INDEX(MATCHER!$J$5:$J$504,S155)=IFERROR(INDEX(MATCHER!$J$5:$J$504,R155),"")),""," / "&amp;INDEX(MATCHER!$J$5:$J$504,S155)))&amp;IF(T155="","",IF(OR(INDEX(MATCHER!$J$5:$J$504,T155)="",INDEX(MATCHER!$J$5:$J$504,T155)=IFERROR(INDEX(MATCHER!$J$5:$J$504,R155),""),INDEX(MATCHER!$J$5:$J$504,T155)=IFERROR(INDEX(MATCHER!$J$5:$J$504,S155),"")),""," / "&amp;INDEX(MATCHER!$J$5:$J$504,T155)))&amp;IF(AF155="","",IF(OR(INDEX(MATCHER!$J$5:$J$504,AF155)="",INDEX(MATCHER!$J$5:$J$504,AF155)=IFERROR(INDEX(MATCHER!$J$5:$J$504,R155),""),INDEX(MATCHER!$J$5:$J$504,AF155)=IFERROR(INDEX(MATCHER!$J$5:$J$504,S155),""),INDEX(MATCHER!$J$5:$J$504,AF155)=IFERROR(INDEX(MATCHER!$J$5:$J$504,T155),"")),""," / "&amp;INDEX(MATCHER!$J$5:$J$504,AF155))),4,1000)</f>
        <v/>
      </c>
      <c r="H155" s="45" t="str">
        <f t="shared" ref="H155:H167" si="39">H154</f>
        <v>U8, F13, F14</v>
      </c>
      <c r="I155" s="46" t="s">
        <v>90</v>
      </c>
      <c r="J155" s="47" t="s">
        <v>148</v>
      </c>
      <c r="K155" s="48"/>
      <c r="L155" s="49"/>
      <c r="M155" s="50" t="str">
        <f>IF(O155&lt;&gt;O154,MAX(1,MIN(AA155,ROUNDUP(SUMPRODUCT(($O$5:$O$546=O155)*($I$5:$I$546="Ja")*($E$5:$E$546-$D$5:$D$546))*24/REGLER!$B$8,0))),"")</f>
        <v/>
      </c>
      <c r="N155" s="50" t="str">
        <f t="shared" si="30"/>
        <v>Klar</v>
      </c>
      <c r="O155" s="15" t="s">
        <v>119</v>
      </c>
      <c r="P155" s="16">
        <v>0.33333333333333298</v>
      </c>
      <c r="Q155" s="16">
        <v>0.625</v>
      </c>
      <c r="R155" s="15" t="str">
        <f>IFERROR(MATCH(1,INDEX((MATCHER!$B$5:$B$504=A155)*(MATCHER!$D$5:$D$504=C155)*(MATCHER!$K$5:$K$504="Ja")*(MATCHER!$C$5:$C$504&lt;E155)*(MATCHER!$M$5:$M$504&gt;D155),0),0),"")</f>
        <v/>
      </c>
      <c r="S155" s="15" t="str">
        <f>IF(R155="","",IFERROR(MATCH(1,INDEX((MATCHER!$B$5:$B$504=A155)*(MATCHER!$D$5:$D$504=C155)*(MATCHER!$K$5:$K$504="Ja")*(MATCHER!$C$5:$C$504&lt;E155)*(MATCHER!$M$5:$M$504&gt;D155)*(ROW(MATCHER!$A$5:$A$504)-ROW(MATCHER!$A$5)+1&gt;R155),0),0),""))</f>
        <v/>
      </c>
      <c r="T155" s="15" t="str">
        <f>IF(S155="","",IFERROR(MATCH(1,INDEX((MATCHER!$B$5:$B$504=A155)*(MATCHER!$D$5:$D$504=C155)*(MATCHER!$K$5:$K$504="Ja")*(MATCHER!$C$5:$C$504&lt;E155)*(MATCHER!$M$5:$M$504&gt;D155)*(ROW(MATCHER!$A$5:$A$504)-ROW(MATCHER!$A$5)+1&gt;S155),0),0),""))</f>
        <v/>
      </c>
      <c r="U155" s="15">
        <f t="shared" si="31"/>
        <v>0</v>
      </c>
      <c r="V155" s="15">
        <f>IF(OR(I155&lt;&gt;"Ja",J155=""),"",COUNTIFS($O$5:O155,O155,$U$5:U155,1))</f>
        <v>1</v>
      </c>
      <c r="W155" s="15" t="str">
        <f t="shared" si="32"/>
        <v>2026-11-07 | Ulriksdalshallen|1</v>
      </c>
      <c r="X155" s="16" t="str">
        <f t="shared" si="33"/>
        <v/>
      </c>
      <c r="Y155" s="15">
        <f>IF(OR(I155&lt;&gt;"Ja",J155=""),0,IF(COUNTIFS($O$5:O155,O155,$I$5:I155,"Ja",$J$5:J155,"&lt;&gt;")=1,1,0))</f>
        <v>0</v>
      </c>
      <c r="Z155" s="15">
        <f>IF(OR(I155&lt;&gt;"Ja",J155=""),0,IF(COUNTIFS(O155:$O$546,O155,I155:$I$546,"Ja",J155:$J$546,"&lt;&gt;")=1,1,0))</f>
        <v>0</v>
      </c>
      <c r="AA155" s="15">
        <f t="shared" ref="AA155:AA167" si="40">AA154</f>
        <v>3</v>
      </c>
      <c r="AB155" s="15" t="str">
        <f>IF(U155&lt;&gt;1,"",COUNTIF($U$5:U155,1))</f>
        <v/>
      </c>
      <c r="AC155" s="15" t="str">
        <f t="shared" si="34"/>
        <v/>
      </c>
      <c r="AD155" s="15" t="str">
        <f t="shared" si="35"/>
        <v>Vanligt café</v>
      </c>
      <c r="AE155" s="15" t="str">
        <f t="shared" si="36"/>
        <v/>
      </c>
      <c r="AF155" t="str">
        <f>IF(T155="","",IFERROR(MATCH(1,INDEX((MATCHER!$B$5:$B$504=A155)*(MATCHER!$D$5:$D$504=C155)*(MATCHER!$K$5:$K$504="Ja")*(MATCHER!$C$5:$C$504&lt;E155)*(MATCHER!$M$5:$M$504&gt;D155)*(ROW(MATCHER!$A$5:$A$504)-ROW(MATCHER!$A$5)+1&gt;T155),0),0),""))</f>
        <v/>
      </c>
    </row>
    <row r="156" spans="1:32" ht="39">
      <c r="A156" s="42">
        <v>46333</v>
      </c>
      <c r="B156" s="43" t="s">
        <v>85</v>
      </c>
      <c r="C156" s="43" t="s">
        <v>86</v>
      </c>
      <c r="D156" s="44">
        <v>0.375</v>
      </c>
      <c r="E156" s="44">
        <v>0.39583333333333298</v>
      </c>
      <c r="F156" s="45" t="str">
        <f>IF(R156="","",HOUR(INDEX(MATCHER!$C$5:$C$504,R156))&amp;":"&amp;IF(MINUTE(INDEX(MATCHER!$C$5:$C$504,R156))&lt;10,"0","")&amp;MINUTE(INDEX(MATCHER!$C$5:$C$504,R156))&amp;" "&amp;INDEX(MATCHER!$H$5:$H$504,R156)&amp;" – "&amp;INDEX(MATCHER!$I$5:$I$504,R156))&amp;IF(S156="",""," | "&amp;HOUR(INDEX(MATCHER!$C$5:$C$504,S156))&amp;":"&amp;IF(MINUTE(INDEX(MATCHER!$C$5:$C$504,S156))&lt;10,"0","")&amp;MINUTE(INDEX(MATCHER!$C$5:$C$504,S156))&amp;" "&amp;INDEX(MATCHER!$H$5:$H$504,S156)&amp;" – "&amp;INDEX(MATCHER!$I$5:$I$504,S156))&amp;IF(T156="",""," | "&amp;HOUR(INDEX(MATCHER!$C$5:$C$504,T156))&amp;":"&amp;IF(MINUTE(INDEX(MATCHER!$C$5:$C$504,T156))&lt;10,"0","")&amp;MINUTE(INDEX(MATCHER!$C$5:$C$504,T156))&amp;" "&amp;INDEX(MATCHER!$H$5:$H$504,T156)&amp;" – "&amp;INDEX(MATCHER!$I$5:$I$504,T156))&amp;IF(AF156="",""," | "&amp;HOUR(INDEX(MATCHER!$C$5:$C$504,AF156))&amp;":"&amp;IF(MINUTE(INDEX(MATCHER!$C$5:$C$504,AF156))&lt;10,"0","")&amp;MINUTE(INDEX(MATCHER!$C$5:$C$504,AF156))&amp;" "&amp;INDEX(MATCHER!$H$5:$H$504,AF156)&amp;" – "&amp;INDEX(MATCHER!$I$5:$I$504,AF156))</f>
        <v>9:00 AIK F8 – IK Bolton F8 1 | 9:00 Skånela IF Röd Flick – Skånela IF vit Flick | 9:00 Spånga HK 1 – AIK F8</v>
      </c>
      <c r="G156" s="45" t="str">
        <f>MID(IF(R156="","",IF(OR(INDEX(MATCHER!$J$5:$J$504,R156)=""),""," / "&amp;INDEX(MATCHER!$J$5:$J$504,R156)))&amp;IF(S156="","",IF(OR(INDEX(MATCHER!$J$5:$J$504,S156)="",INDEX(MATCHER!$J$5:$J$504,S156)=IFERROR(INDEX(MATCHER!$J$5:$J$504,R156),"")),""," / "&amp;INDEX(MATCHER!$J$5:$J$504,S156)))&amp;IF(T156="","",IF(OR(INDEX(MATCHER!$J$5:$J$504,T156)="",INDEX(MATCHER!$J$5:$J$504,T156)=IFERROR(INDEX(MATCHER!$J$5:$J$504,R156),""),INDEX(MATCHER!$J$5:$J$504,T156)=IFERROR(INDEX(MATCHER!$J$5:$J$504,S156),"")),""," / "&amp;INDEX(MATCHER!$J$5:$J$504,T156)))&amp;IF(AF156="","",IF(OR(INDEX(MATCHER!$J$5:$J$504,AF156)="",INDEX(MATCHER!$J$5:$J$504,AF156)=IFERROR(INDEX(MATCHER!$J$5:$J$504,R156),""),INDEX(MATCHER!$J$5:$J$504,AF156)=IFERROR(INDEX(MATCHER!$J$5:$J$504,S156),""),INDEX(MATCHER!$J$5:$J$504,AF156)=IFERROR(INDEX(MATCHER!$J$5:$J$504,T156),"")),""," / "&amp;INDEX(MATCHER!$J$5:$J$504,AF156))),4,1000)</f>
        <v>U8</v>
      </c>
      <c r="H156" s="45" t="str">
        <f t="shared" si="39"/>
        <v>U8, F13, F14</v>
      </c>
      <c r="I156" s="46" t="s">
        <v>90</v>
      </c>
      <c r="J156" s="47" t="s">
        <v>148</v>
      </c>
      <c r="K156" s="48"/>
      <c r="L156" s="49"/>
      <c r="M156" s="50" t="str">
        <f>IF(O156&lt;&gt;O155,MAX(1,MIN(AA156,ROUNDUP(SUMPRODUCT(($O$5:$O$546=O156)*($I$5:$I$546="Ja")*($E$5:$E$546-$D$5:$D$546))*24/REGLER!$B$8,0))),"")</f>
        <v/>
      </c>
      <c r="N156" s="50" t="str">
        <f t="shared" si="30"/>
        <v>Klar</v>
      </c>
      <c r="O156" s="15" t="s">
        <v>119</v>
      </c>
      <c r="P156" s="16">
        <v>0.33333333333333298</v>
      </c>
      <c r="Q156" s="16">
        <v>0.625</v>
      </c>
      <c r="R156" s="15">
        <f>IFERROR(MATCH(1,INDEX((MATCHER!$B$5:$B$504=A156)*(MATCHER!$D$5:$D$504=C156)*(MATCHER!$K$5:$K$504="Ja")*(MATCHER!$C$5:$C$504&lt;E156)*(MATCHER!$M$5:$M$504&gt;D156),0),0),"")</f>
        <v>51</v>
      </c>
      <c r="S156" s="15">
        <f>IF(R156="","",IFERROR(MATCH(1,INDEX((MATCHER!$B$5:$B$504=A156)*(MATCHER!$D$5:$D$504=C156)*(MATCHER!$K$5:$K$504="Ja")*(MATCHER!$C$5:$C$504&lt;E156)*(MATCHER!$M$5:$M$504&gt;D156)*(ROW(MATCHER!$A$5:$A$504)-ROW(MATCHER!$A$5)+1&gt;R156),0),0),""))</f>
        <v>52</v>
      </c>
      <c r="T156" s="15">
        <f>IF(S156="","",IFERROR(MATCH(1,INDEX((MATCHER!$B$5:$B$504=A156)*(MATCHER!$D$5:$D$504=C156)*(MATCHER!$K$5:$K$504="Ja")*(MATCHER!$C$5:$C$504&lt;E156)*(MATCHER!$M$5:$M$504&gt;D156)*(ROW(MATCHER!$A$5:$A$504)-ROW(MATCHER!$A$5)+1&gt;S156),0),0),""))</f>
        <v>53</v>
      </c>
      <c r="U156" s="15">
        <f t="shared" si="31"/>
        <v>0</v>
      </c>
      <c r="V156" s="15">
        <f>IF(OR(I156&lt;&gt;"Ja",J156=""),"",COUNTIFS($O$5:O156,O156,$U$5:U156,1))</f>
        <v>1</v>
      </c>
      <c r="W156" s="15" t="str">
        <f t="shared" si="32"/>
        <v>2026-11-07 | Ulriksdalshallen|1</v>
      </c>
      <c r="X156" s="16" t="str">
        <f t="shared" si="33"/>
        <v/>
      </c>
      <c r="Y156" s="15">
        <f>IF(OR(I156&lt;&gt;"Ja",J156=""),0,IF(COUNTIFS($O$5:O156,O156,$I$5:I156,"Ja",$J$5:J156,"&lt;&gt;")=1,1,0))</f>
        <v>0</v>
      </c>
      <c r="Z156" s="15">
        <f>IF(OR(I156&lt;&gt;"Ja",J156=""),0,IF(COUNTIFS(O156:$O$546,O156,I156:$I$546,"Ja",J156:$J$546,"&lt;&gt;")=1,1,0))</f>
        <v>0</v>
      </c>
      <c r="AA156" s="15">
        <f t="shared" si="40"/>
        <v>3</v>
      </c>
      <c r="AB156" s="15" t="str">
        <f>IF(U156&lt;&gt;1,"",COUNTIF($U$5:U156,1))</f>
        <v/>
      </c>
      <c r="AC156" s="15" t="str">
        <f t="shared" si="34"/>
        <v/>
      </c>
      <c r="AD156" s="15" t="str">
        <f t="shared" si="35"/>
        <v>Vanligt café</v>
      </c>
      <c r="AE156" s="15" t="str">
        <f t="shared" si="36"/>
        <v/>
      </c>
      <c r="AF156" t="str">
        <f>IF(T156="","",IFERROR(MATCH(1,INDEX((MATCHER!$B$5:$B$504=A156)*(MATCHER!$D$5:$D$504=C156)*(MATCHER!$K$5:$K$504="Ja")*(MATCHER!$C$5:$C$504&lt;E156)*(MATCHER!$M$5:$M$504&gt;D156)*(ROW(MATCHER!$A$5:$A$504)-ROW(MATCHER!$A$5)+1&gt;T156),0),0),""))</f>
        <v/>
      </c>
    </row>
    <row r="157" spans="1:32" ht="26">
      <c r="A157" s="42">
        <v>46333</v>
      </c>
      <c r="B157" s="43" t="s">
        <v>85</v>
      </c>
      <c r="C157" s="43" t="s">
        <v>86</v>
      </c>
      <c r="D157" s="44">
        <v>0.39583333333333298</v>
      </c>
      <c r="E157" s="44">
        <v>0.41666666666666702</v>
      </c>
      <c r="F157" s="45" t="str">
        <f>IF(R157="","",HOUR(INDEX(MATCHER!$C$5:$C$504,R157))&amp;":"&amp;IF(MINUTE(INDEX(MATCHER!$C$5:$C$504,R157))&lt;10,"0","")&amp;MINUTE(INDEX(MATCHER!$C$5:$C$504,R157))&amp;" "&amp;INDEX(MATCHER!$H$5:$H$504,R157)&amp;" – "&amp;INDEX(MATCHER!$I$5:$I$504,R157))&amp;IF(S157="",""," | "&amp;HOUR(INDEX(MATCHER!$C$5:$C$504,S157))&amp;":"&amp;IF(MINUTE(INDEX(MATCHER!$C$5:$C$504,S157))&lt;10,"0","")&amp;MINUTE(INDEX(MATCHER!$C$5:$C$504,S157))&amp;" "&amp;INDEX(MATCHER!$H$5:$H$504,S157)&amp;" – "&amp;INDEX(MATCHER!$I$5:$I$504,S157))&amp;IF(T157="",""," | "&amp;HOUR(INDEX(MATCHER!$C$5:$C$504,T157))&amp;":"&amp;IF(MINUTE(INDEX(MATCHER!$C$5:$C$504,T157))&lt;10,"0","")&amp;MINUTE(INDEX(MATCHER!$C$5:$C$504,T157))&amp;" "&amp;INDEX(MATCHER!$H$5:$H$504,T157)&amp;" – "&amp;INDEX(MATCHER!$I$5:$I$504,T157))&amp;IF(AF157="",""," | "&amp;HOUR(INDEX(MATCHER!$C$5:$C$504,AF157))&amp;":"&amp;IF(MINUTE(INDEX(MATCHER!$C$5:$C$504,AF157))&lt;10,"0","")&amp;MINUTE(INDEX(MATCHER!$C$5:$C$504,AF157))&amp;" "&amp;INDEX(MATCHER!$H$5:$H$504,AF157)&amp;" – "&amp;INDEX(MATCHER!$I$5:$I$504,AF157))</f>
        <v/>
      </c>
      <c r="G157" s="45" t="str">
        <f>MID(IF(R157="","",IF(OR(INDEX(MATCHER!$J$5:$J$504,R157)=""),""," / "&amp;INDEX(MATCHER!$J$5:$J$504,R157)))&amp;IF(S157="","",IF(OR(INDEX(MATCHER!$J$5:$J$504,S157)="",INDEX(MATCHER!$J$5:$J$504,S157)=IFERROR(INDEX(MATCHER!$J$5:$J$504,R157),"")),""," / "&amp;INDEX(MATCHER!$J$5:$J$504,S157)))&amp;IF(T157="","",IF(OR(INDEX(MATCHER!$J$5:$J$504,T157)="",INDEX(MATCHER!$J$5:$J$504,T157)=IFERROR(INDEX(MATCHER!$J$5:$J$504,R157),""),INDEX(MATCHER!$J$5:$J$504,T157)=IFERROR(INDEX(MATCHER!$J$5:$J$504,S157),"")),""," / "&amp;INDEX(MATCHER!$J$5:$J$504,T157)))&amp;IF(AF157="","",IF(OR(INDEX(MATCHER!$J$5:$J$504,AF157)="",INDEX(MATCHER!$J$5:$J$504,AF157)=IFERROR(INDEX(MATCHER!$J$5:$J$504,R157),""),INDEX(MATCHER!$J$5:$J$504,AF157)=IFERROR(INDEX(MATCHER!$J$5:$J$504,S157),""),INDEX(MATCHER!$J$5:$J$504,AF157)=IFERROR(INDEX(MATCHER!$J$5:$J$504,T157),"")),""," / "&amp;INDEX(MATCHER!$J$5:$J$504,AF157))),4,1000)</f>
        <v/>
      </c>
      <c r="H157" s="45" t="str">
        <f t="shared" si="39"/>
        <v>U8, F13, F14</v>
      </c>
      <c r="I157" s="46" t="s">
        <v>90</v>
      </c>
      <c r="J157" s="47" t="s">
        <v>148</v>
      </c>
      <c r="K157" s="48"/>
      <c r="L157" s="49"/>
      <c r="M157" s="50" t="str">
        <f>IF(O157&lt;&gt;O156,MAX(1,MIN(AA157,ROUNDUP(SUMPRODUCT(($O$5:$O$546=O157)*($I$5:$I$546="Ja")*($E$5:$E$546-$D$5:$D$546))*24/REGLER!$B$8,0))),"")</f>
        <v/>
      </c>
      <c r="N157" s="50" t="str">
        <f t="shared" si="30"/>
        <v>Klar</v>
      </c>
      <c r="O157" s="15" t="s">
        <v>119</v>
      </c>
      <c r="P157" s="16">
        <v>0.33333333333333298</v>
      </c>
      <c r="Q157" s="16">
        <v>0.625</v>
      </c>
      <c r="R157" s="15" t="str">
        <f>IFERROR(MATCH(1,INDEX((MATCHER!$B$5:$B$504=A157)*(MATCHER!$D$5:$D$504=C157)*(MATCHER!$K$5:$K$504="Ja")*(MATCHER!$C$5:$C$504&lt;E157)*(MATCHER!$M$5:$M$504&gt;D157),0),0),"")</f>
        <v/>
      </c>
      <c r="S157" s="15" t="str">
        <f>IF(R157="","",IFERROR(MATCH(1,INDEX((MATCHER!$B$5:$B$504=A157)*(MATCHER!$D$5:$D$504=C157)*(MATCHER!$K$5:$K$504="Ja")*(MATCHER!$C$5:$C$504&lt;E157)*(MATCHER!$M$5:$M$504&gt;D157)*(ROW(MATCHER!$A$5:$A$504)-ROW(MATCHER!$A$5)+1&gt;R157),0),0),""))</f>
        <v/>
      </c>
      <c r="T157" s="15" t="str">
        <f>IF(S157="","",IFERROR(MATCH(1,INDEX((MATCHER!$B$5:$B$504=A157)*(MATCHER!$D$5:$D$504=C157)*(MATCHER!$K$5:$K$504="Ja")*(MATCHER!$C$5:$C$504&lt;E157)*(MATCHER!$M$5:$M$504&gt;D157)*(ROW(MATCHER!$A$5:$A$504)-ROW(MATCHER!$A$5)+1&gt;S157),0),0),""))</f>
        <v/>
      </c>
      <c r="U157" s="15">
        <f t="shared" si="31"/>
        <v>0</v>
      </c>
      <c r="V157" s="15">
        <f>IF(OR(I157&lt;&gt;"Ja",J157=""),"",COUNTIFS($O$5:O157,O157,$U$5:U157,1))</f>
        <v>1</v>
      </c>
      <c r="W157" s="15" t="str">
        <f t="shared" si="32"/>
        <v>2026-11-07 | Ulriksdalshallen|1</v>
      </c>
      <c r="X157" s="16" t="str">
        <f t="shared" si="33"/>
        <v/>
      </c>
      <c r="Y157" s="15">
        <f>IF(OR(I157&lt;&gt;"Ja",J157=""),0,IF(COUNTIFS($O$5:O157,O157,$I$5:I157,"Ja",$J$5:J157,"&lt;&gt;")=1,1,0))</f>
        <v>0</v>
      </c>
      <c r="Z157" s="15">
        <f>IF(OR(I157&lt;&gt;"Ja",J157=""),0,IF(COUNTIFS(O157:$O$546,O157,I157:$I$546,"Ja",J157:$J$546,"&lt;&gt;")=1,1,0))</f>
        <v>0</v>
      </c>
      <c r="AA157" s="15">
        <f t="shared" si="40"/>
        <v>3</v>
      </c>
      <c r="AB157" s="15" t="str">
        <f>IF(U157&lt;&gt;1,"",COUNTIF($U$5:U157,1))</f>
        <v/>
      </c>
      <c r="AC157" s="15" t="str">
        <f t="shared" si="34"/>
        <v/>
      </c>
      <c r="AD157" s="15" t="str">
        <f t="shared" si="35"/>
        <v>Vanligt café</v>
      </c>
      <c r="AE157" s="15" t="str">
        <f t="shared" si="36"/>
        <v/>
      </c>
      <c r="AF157" t="str">
        <f>IF(T157="","",IFERROR(MATCH(1,INDEX((MATCHER!$B$5:$B$504=A157)*(MATCHER!$D$5:$D$504=C157)*(MATCHER!$K$5:$K$504="Ja")*(MATCHER!$C$5:$C$504&lt;E157)*(MATCHER!$M$5:$M$504&gt;D157)*(ROW(MATCHER!$A$5:$A$504)-ROW(MATCHER!$A$5)+1&gt;T157),0),0),""))</f>
        <v/>
      </c>
    </row>
    <row r="158" spans="1:32" ht="26">
      <c r="A158" s="42">
        <v>46333</v>
      </c>
      <c r="B158" s="43" t="s">
        <v>85</v>
      </c>
      <c r="C158" s="43" t="s">
        <v>86</v>
      </c>
      <c r="D158" s="44">
        <v>0.41666666666666702</v>
      </c>
      <c r="E158" s="44">
        <v>0.4375</v>
      </c>
      <c r="F158" s="45" t="str">
        <f>IF(R158="","",HOUR(INDEX(MATCHER!$C$5:$C$504,R158))&amp;":"&amp;IF(MINUTE(INDEX(MATCHER!$C$5:$C$504,R158))&lt;10,"0","")&amp;MINUTE(INDEX(MATCHER!$C$5:$C$504,R158))&amp;" "&amp;INDEX(MATCHER!$H$5:$H$504,R158)&amp;" – "&amp;INDEX(MATCHER!$I$5:$I$504,R158))&amp;IF(S158="",""," | "&amp;HOUR(INDEX(MATCHER!$C$5:$C$504,S158))&amp;":"&amp;IF(MINUTE(INDEX(MATCHER!$C$5:$C$504,S158))&lt;10,"0","")&amp;MINUTE(INDEX(MATCHER!$C$5:$C$504,S158))&amp;" "&amp;INDEX(MATCHER!$H$5:$H$504,S158)&amp;" – "&amp;INDEX(MATCHER!$I$5:$I$504,S158))&amp;IF(T158="",""," | "&amp;HOUR(INDEX(MATCHER!$C$5:$C$504,T158))&amp;":"&amp;IF(MINUTE(INDEX(MATCHER!$C$5:$C$504,T158))&lt;10,"0","")&amp;MINUTE(INDEX(MATCHER!$C$5:$C$504,T158))&amp;" "&amp;INDEX(MATCHER!$H$5:$H$504,T158)&amp;" – "&amp;INDEX(MATCHER!$I$5:$I$504,T158))&amp;IF(AF158="",""," | "&amp;HOUR(INDEX(MATCHER!$C$5:$C$504,AF158))&amp;":"&amp;IF(MINUTE(INDEX(MATCHER!$C$5:$C$504,AF158))&lt;10,"0","")&amp;MINUTE(INDEX(MATCHER!$C$5:$C$504,AF158))&amp;" "&amp;INDEX(MATCHER!$H$5:$H$504,AF158)&amp;" – "&amp;INDEX(MATCHER!$I$5:$I$504,AF158))</f>
        <v/>
      </c>
      <c r="G158" s="45" t="str">
        <f>MID(IF(R158="","",IF(OR(INDEX(MATCHER!$J$5:$J$504,R158)=""),""," / "&amp;INDEX(MATCHER!$J$5:$J$504,R158)))&amp;IF(S158="","",IF(OR(INDEX(MATCHER!$J$5:$J$504,S158)="",INDEX(MATCHER!$J$5:$J$504,S158)=IFERROR(INDEX(MATCHER!$J$5:$J$504,R158),"")),""," / "&amp;INDEX(MATCHER!$J$5:$J$504,S158)))&amp;IF(T158="","",IF(OR(INDEX(MATCHER!$J$5:$J$504,T158)="",INDEX(MATCHER!$J$5:$J$504,T158)=IFERROR(INDEX(MATCHER!$J$5:$J$504,R158),""),INDEX(MATCHER!$J$5:$J$504,T158)=IFERROR(INDEX(MATCHER!$J$5:$J$504,S158),"")),""," / "&amp;INDEX(MATCHER!$J$5:$J$504,T158)))&amp;IF(AF158="","",IF(OR(INDEX(MATCHER!$J$5:$J$504,AF158)="",INDEX(MATCHER!$J$5:$J$504,AF158)=IFERROR(INDEX(MATCHER!$J$5:$J$504,R158),""),INDEX(MATCHER!$J$5:$J$504,AF158)=IFERROR(INDEX(MATCHER!$J$5:$J$504,S158),""),INDEX(MATCHER!$J$5:$J$504,AF158)=IFERROR(INDEX(MATCHER!$J$5:$J$504,T158),"")),""," / "&amp;INDEX(MATCHER!$J$5:$J$504,AF158))),4,1000)</f>
        <v/>
      </c>
      <c r="H158" s="45" t="str">
        <f t="shared" si="39"/>
        <v>U8, F13, F14</v>
      </c>
      <c r="I158" s="46" t="s">
        <v>90</v>
      </c>
      <c r="J158" s="47" t="s">
        <v>148</v>
      </c>
      <c r="K158" s="48"/>
      <c r="L158" s="49"/>
      <c r="M158" s="50" t="str">
        <f>IF(O158&lt;&gt;O157,MAX(1,MIN(AA158,ROUNDUP(SUMPRODUCT(($O$5:$O$546=O158)*($I$5:$I$546="Ja")*($E$5:$E$546-$D$5:$D$546))*24/REGLER!$B$8,0))),"")</f>
        <v/>
      </c>
      <c r="N158" s="50" t="str">
        <f t="shared" si="30"/>
        <v>Klar</v>
      </c>
      <c r="O158" s="15" t="s">
        <v>119</v>
      </c>
      <c r="P158" s="16">
        <v>0.33333333333333298</v>
      </c>
      <c r="Q158" s="16">
        <v>0.625</v>
      </c>
      <c r="R158" s="15" t="str">
        <f>IFERROR(MATCH(1,INDEX((MATCHER!$B$5:$B$504=A158)*(MATCHER!$D$5:$D$504=C158)*(MATCHER!$K$5:$K$504="Ja")*(MATCHER!$C$5:$C$504&lt;E158)*(MATCHER!$M$5:$M$504&gt;D158),0),0),"")</f>
        <v/>
      </c>
      <c r="S158" s="15" t="str">
        <f>IF(R158="","",IFERROR(MATCH(1,INDEX((MATCHER!$B$5:$B$504=A158)*(MATCHER!$D$5:$D$504=C158)*(MATCHER!$K$5:$K$504="Ja")*(MATCHER!$C$5:$C$504&lt;E158)*(MATCHER!$M$5:$M$504&gt;D158)*(ROW(MATCHER!$A$5:$A$504)-ROW(MATCHER!$A$5)+1&gt;R158),0),0),""))</f>
        <v/>
      </c>
      <c r="T158" s="15" t="str">
        <f>IF(S158="","",IFERROR(MATCH(1,INDEX((MATCHER!$B$5:$B$504=A158)*(MATCHER!$D$5:$D$504=C158)*(MATCHER!$K$5:$K$504="Ja")*(MATCHER!$C$5:$C$504&lt;E158)*(MATCHER!$M$5:$M$504&gt;D158)*(ROW(MATCHER!$A$5:$A$504)-ROW(MATCHER!$A$5)+1&gt;S158),0),0),""))</f>
        <v/>
      </c>
      <c r="U158" s="15">
        <f t="shared" si="31"/>
        <v>0</v>
      </c>
      <c r="V158" s="15">
        <f>IF(OR(I158&lt;&gt;"Ja",J158=""),"",COUNTIFS($O$5:O158,O158,$U$5:U158,1))</f>
        <v>1</v>
      </c>
      <c r="W158" s="15" t="str">
        <f t="shared" si="32"/>
        <v>2026-11-07 | Ulriksdalshallen|1</v>
      </c>
      <c r="X158" s="16" t="str">
        <f t="shared" si="33"/>
        <v/>
      </c>
      <c r="Y158" s="15">
        <f>IF(OR(I158&lt;&gt;"Ja",J158=""),0,IF(COUNTIFS($O$5:O158,O158,$I$5:I158,"Ja",$J$5:J158,"&lt;&gt;")=1,1,0))</f>
        <v>0</v>
      </c>
      <c r="Z158" s="15">
        <f>IF(OR(I158&lt;&gt;"Ja",J158=""),0,IF(COUNTIFS(O158:$O$546,O158,I158:$I$546,"Ja",J158:$J$546,"&lt;&gt;")=1,1,0))</f>
        <v>0</v>
      </c>
      <c r="AA158" s="15">
        <f t="shared" si="40"/>
        <v>3</v>
      </c>
      <c r="AB158" s="15" t="str">
        <f>IF(U158&lt;&gt;1,"",COUNTIF($U$5:U158,1))</f>
        <v/>
      </c>
      <c r="AC158" s="15" t="str">
        <f t="shared" si="34"/>
        <v/>
      </c>
      <c r="AD158" s="15" t="str">
        <f t="shared" si="35"/>
        <v>Vanligt café</v>
      </c>
      <c r="AE158" s="15" t="str">
        <f t="shared" si="36"/>
        <v/>
      </c>
      <c r="AF158" t="str">
        <f>IF(T158="","",IFERROR(MATCH(1,INDEX((MATCHER!$B$5:$B$504=A158)*(MATCHER!$D$5:$D$504=C158)*(MATCHER!$K$5:$K$504="Ja")*(MATCHER!$C$5:$C$504&lt;E158)*(MATCHER!$M$5:$M$504&gt;D158)*(ROW(MATCHER!$A$5:$A$504)-ROW(MATCHER!$A$5)+1&gt;T158),0),0),""))</f>
        <v/>
      </c>
    </row>
    <row r="159" spans="1:32" ht="26">
      <c r="A159" s="42">
        <v>46333</v>
      </c>
      <c r="B159" s="43" t="s">
        <v>85</v>
      </c>
      <c r="C159" s="43" t="s">
        <v>86</v>
      </c>
      <c r="D159" s="44">
        <v>0.4375</v>
      </c>
      <c r="E159" s="44">
        <v>0.45833333333333298</v>
      </c>
      <c r="F159" s="45" t="str">
        <f>IF(R159="","",HOUR(INDEX(MATCHER!$C$5:$C$504,R159))&amp;":"&amp;IF(MINUTE(INDEX(MATCHER!$C$5:$C$504,R159))&lt;10,"0","")&amp;MINUTE(INDEX(MATCHER!$C$5:$C$504,R159))&amp;" "&amp;INDEX(MATCHER!$H$5:$H$504,R159)&amp;" – "&amp;INDEX(MATCHER!$I$5:$I$504,R159))&amp;IF(S159="",""," | "&amp;HOUR(INDEX(MATCHER!$C$5:$C$504,S159))&amp;":"&amp;IF(MINUTE(INDEX(MATCHER!$C$5:$C$504,S159))&lt;10,"0","")&amp;MINUTE(INDEX(MATCHER!$C$5:$C$504,S159))&amp;" "&amp;INDEX(MATCHER!$H$5:$H$504,S159)&amp;" – "&amp;INDEX(MATCHER!$I$5:$I$504,S159))&amp;IF(T159="",""," | "&amp;HOUR(INDEX(MATCHER!$C$5:$C$504,T159))&amp;":"&amp;IF(MINUTE(INDEX(MATCHER!$C$5:$C$504,T159))&lt;10,"0","")&amp;MINUTE(INDEX(MATCHER!$C$5:$C$504,T159))&amp;" "&amp;INDEX(MATCHER!$H$5:$H$504,T159)&amp;" – "&amp;INDEX(MATCHER!$I$5:$I$504,T159))&amp;IF(AF159="",""," | "&amp;HOUR(INDEX(MATCHER!$C$5:$C$504,AF159))&amp;":"&amp;IF(MINUTE(INDEX(MATCHER!$C$5:$C$504,AF159))&lt;10,"0","")&amp;MINUTE(INDEX(MATCHER!$C$5:$C$504,AF159))&amp;" "&amp;INDEX(MATCHER!$H$5:$H$504,AF159)&amp;" – "&amp;INDEX(MATCHER!$I$5:$I$504,AF159))</f>
        <v/>
      </c>
      <c r="G159" s="45" t="str">
        <f>MID(IF(R159="","",IF(OR(INDEX(MATCHER!$J$5:$J$504,R159)=""),""," / "&amp;INDEX(MATCHER!$J$5:$J$504,R159)))&amp;IF(S159="","",IF(OR(INDEX(MATCHER!$J$5:$J$504,S159)="",INDEX(MATCHER!$J$5:$J$504,S159)=IFERROR(INDEX(MATCHER!$J$5:$J$504,R159),"")),""," / "&amp;INDEX(MATCHER!$J$5:$J$504,S159)))&amp;IF(T159="","",IF(OR(INDEX(MATCHER!$J$5:$J$504,T159)="",INDEX(MATCHER!$J$5:$J$504,T159)=IFERROR(INDEX(MATCHER!$J$5:$J$504,R159),""),INDEX(MATCHER!$J$5:$J$504,T159)=IFERROR(INDEX(MATCHER!$J$5:$J$504,S159),"")),""," / "&amp;INDEX(MATCHER!$J$5:$J$504,T159)))&amp;IF(AF159="","",IF(OR(INDEX(MATCHER!$J$5:$J$504,AF159)="",INDEX(MATCHER!$J$5:$J$504,AF159)=IFERROR(INDEX(MATCHER!$J$5:$J$504,R159),""),INDEX(MATCHER!$J$5:$J$504,AF159)=IFERROR(INDEX(MATCHER!$J$5:$J$504,S159),""),INDEX(MATCHER!$J$5:$J$504,AF159)=IFERROR(INDEX(MATCHER!$J$5:$J$504,T159),"")),""," / "&amp;INDEX(MATCHER!$J$5:$J$504,AF159))),4,1000)</f>
        <v/>
      </c>
      <c r="H159" s="45" t="str">
        <f t="shared" si="39"/>
        <v>U8, F13, F14</v>
      </c>
      <c r="I159" s="46" t="s">
        <v>90</v>
      </c>
      <c r="J159" s="47" t="s">
        <v>148</v>
      </c>
      <c r="K159" s="48"/>
      <c r="L159" s="49"/>
      <c r="M159" s="50" t="str">
        <f>IF(O159&lt;&gt;O158,MAX(1,MIN(AA159,ROUNDUP(SUMPRODUCT(($O$5:$O$546=O159)*($I$5:$I$546="Ja")*($E$5:$E$546-$D$5:$D$546))*24/REGLER!$B$8,0))),"")</f>
        <v/>
      </c>
      <c r="N159" s="50" t="str">
        <f t="shared" si="30"/>
        <v>Klar</v>
      </c>
      <c r="O159" s="15" t="s">
        <v>119</v>
      </c>
      <c r="P159" s="16">
        <v>0.33333333333333298</v>
      </c>
      <c r="Q159" s="16">
        <v>0.625</v>
      </c>
      <c r="R159" s="15" t="str">
        <f>IFERROR(MATCH(1,INDEX((MATCHER!$B$5:$B$504=A159)*(MATCHER!$D$5:$D$504=C159)*(MATCHER!$K$5:$K$504="Ja")*(MATCHER!$C$5:$C$504&lt;E159)*(MATCHER!$M$5:$M$504&gt;D159),0),0),"")</f>
        <v/>
      </c>
      <c r="S159" s="15" t="str">
        <f>IF(R159="","",IFERROR(MATCH(1,INDEX((MATCHER!$B$5:$B$504=A159)*(MATCHER!$D$5:$D$504=C159)*(MATCHER!$K$5:$K$504="Ja")*(MATCHER!$C$5:$C$504&lt;E159)*(MATCHER!$M$5:$M$504&gt;D159)*(ROW(MATCHER!$A$5:$A$504)-ROW(MATCHER!$A$5)+1&gt;R159),0),0),""))</f>
        <v/>
      </c>
      <c r="T159" s="15" t="str">
        <f>IF(S159="","",IFERROR(MATCH(1,INDEX((MATCHER!$B$5:$B$504=A159)*(MATCHER!$D$5:$D$504=C159)*(MATCHER!$K$5:$K$504="Ja")*(MATCHER!$C$5:$C$504&lt;E159)*(MATCHER!$M$5:$M$504&gt;D159)*(ROW(MATCHER!$A$5:$A$504)-ROW(MATCHER!$A$5)+1&gt;S159),0),0),""))</f>
        <v/>
      </c>
      <c r="U159" s="15">
        <f t="shared" si="31"/>
        <v>0</v>
      </c>
      <c r="V159" s="15">
        <f>IF(OR(I159&lt;&gt;"Ja",J159=""),"",COUNTIFS($O$5:O159,O159,$U$5:U159,1))</f>
        <v>1</v>
      </c>
      <c r="W159" s="15" t="str">
        <f t="shared" si="32"/>
        <v>2026-11-07 | Ulriksdalshallen|1</v>
      </c>
      <c r="X159" s="16" t="str">
        <f t="shared" si="33"/>
        <v/>
      </c>
      <c r="Y159" s="15">
        <f>IF(OR(I159&lt;&gt;"Ja",J159=""),0,IF(COUNTIFS($O$5:O159,O159,$I$5:I159,"Ja",$J$5:J159,"&lt;&gt;")=1,1,0))</f>
        <v>0</v>
      </c>
      <c r="Z159" s="15">
        <f>IF(OR(I159&lt;&gt;"Ja",J159=""),0,IF(COUNTIFS(O159:$O$546,O159,I159:$I$546,"Ja",J159:$J$546,"&lt;&gt;")=1,1,0))</f>
        <v>0</v>
      </c>
      <c r="AA159" s="15">
        <f t="shared" si="40"/>
        <v>3</v>
      </c>
      <c r="AB159" s="15" t="str">
        <f>IF(U159&lt;&gt;1,"",COUNTIF($U$5:U159,1))</f>
        <v/>
      </c>
      <c r="AC159" s="15" t="str">
        <f t="shared" si="34"/>
        <v/>
      </c>
      <c r="AD159" s="15" t="str">
        <f t="shared" si="35"/>
        <v>Vanligt café</v>
      </c>
      <c r="AE159" s="15" t="str">
        <f t="shared" si="36"/>
        <v/>
      </c>
      <c r="AF159" t="str">
        <f>IF(T159="","",IFERROR(MATCH(1,INDEX((MATCHER!$B$5:$B$504=A159)*(MATCHER!$D$5:$D$504=C159)*(MATCHER!$K$5:$K$504="Ja")*(MATCHER!$C$5:$C$504&lt;E159)*(MATCHER!$M$5:$M$504&gt;D159)*(ROW(MATCHER!$A$5:$A$504)-ROW(MATCHER!$A$5)+1&gt;T159),0),0),""))</f>
        <v/>
      </c>
    </row>
    <row r="160" spans="1:32" ht="26">
      <c r="A160" s="42">
        <v>46333</v>
      </c>
      <c r="B160" s="43" t="s">
        <v>85</v>
      </c>
      <c r="C160" s="43" t="s">
        <v>86</v>
      </c>
      <c r="D160" s="44">
        <v>0.45833333333333298</v>
      </c>
      <c r="E160" s="44">
        <v>0.47916666666666702</v>
      </c>
      <c r="F160" s="45" t="str">
        <f>IF(R160="","",HOUR(INDEX(MATCHER!$C$5:$C$504,R160))&amp;":"&amp;IF(MINUTE(INDEX(MATCHER!$C$5:$C$504,R160))&lt;10,"0","")&amp;MINUTE(INDEX(MATCHER!$C$5:$C$504,R160))&amp;" "&amp;INDEX(MATCHER!$H$5:$H$504,R160)&amp;" – "&amp;INDEX(MATCHER!$I$5:$I$504,R160))&amp;IF(S160="",""," | "&amp;HOUR(INDEX(MATCHER!$C$5:$C$504,S160))&amp;":"&amp;IF(MINUTE(INDEX(MATCHER!$C$5:$C$504,S160))&lt;10,"0","")&amp;MINUTE(INDEX(MATCHER!$C$5:$C$504,S160))&amp;" "&amp;INDEX(MATCHER!$H$5:$H$504,S160)&amp;" – "&amp;INDEX(MATCHER!$I$5:$I$504,S160))&amp;IF(T160="",""," | "&amp;HOUR(INDEX(MATCHER!$C$5:$C$504,T160))&amp;":"&amp;IF(MINUTE(INDEX(MATCHER!$C$5:$C$504,T160))&lt;10,"0","")&amp;MINUTE(INDEX(MATCHER!$C$5:$C$504,T160))&amp;" "&amp;INDEX(MATCHER!$H$5:$H$504,T160)&amp;" – "&amp;INDEX(MATCHER!$I$5:$I$504,T160))&amp;IF(AF160="",""," | "&amp;HOUR(INDEX(MATCHER!$C$5:$C$504,AF160))&amp;":"&amp;IF(MINUTE(INDEX(MATCHER!$C$5:$C$504,AF160))&lt;10,"0","")&amp;MINUTE(INDEX(MATCHER!$C$5:$C$504,AF160))&amp;" "&amp;INDEX(MATCHER!$H$5:$H$504,AF160)&amp;" – "&amp;INDEX(MATCHER!$I$5:$I$504,AF160))</f>
        <v/>
      </c>
      <c r="G160" s="45" t="str">
        <f>MID(IF(R160="","",IF(OR(INDEX(MATCHER!$J$5:$J$504,R160)=""),""," / "&amp;INDEX(MATCHER!$J$5:$J$504,R160)))&amp;IF(S160="","",IF(OR(INDEX(MATCHER!$J$5:$J$504,S160)="",INDEX(MATCHER!$J$5:$J$504,S160)=IFERROR(INDEX(MATCHER!$J$5:$J$504,R160),"")),""," / "&amp;INDEX(MATCHER!$J$5:$J$504,S160)))&amp;IF(T160="","",IF(OR(INDEX(MATCHER!$J$5:$J$504,T160)="",INDEX(MATCHER!$J$5:$J$504,T160)=IFERROR(INDEX(MATCHER!$J$5:$J$504,R160),""),INDEX(MATCHER!$J$5:$J$504,T160)=IFERROR(INDEX(MATCHER!$J$5:$J$504,S160),"")),""," / "&amp;INDEX(MATCHER!$J$5:$J$504,T160)))&amp;IF(AF160="","",IF(OR(INDEX(MATCHER!$J$5:$J$504,AF160)="",INDEX(MATCHER!$J$5:$J$504,AF160)=IFERROR(INDEX(MATCHER!$J$5:$J$504,R160),""),INDEX(MATCHER!$J$5:$J$504,AF160)=IFERROR(INDEX(MATCHER!$J$5:$J$504,S160),""),INDEX(MATCHER!$J$5:$J$504,AF160)=IFERROR(INDEX(MATCHER!$J$5:$J$504,T160),"")),""," / "&amp;INDEX(MATCHER!$J$5:$J$504,AF160))),4,1000)</f>
        <v/>
      </c>
      <c r="H160" s="45" t="str">
        <f t="shared" si="39"/>
        <v>U8, F13, F14</v>
      </c>
      <c r="I160" s="46" t="s">
        <v>90</v>
      </c>
      <c r="J160" s="47" t="s">
        <v>148</v>
      </c>
      <c r="K160" s="48"/>
      <c r="L160" s="49"/>
      <c r="M160" s="50" t="str">
        <f>IF(O160&lt;&gt;O159,MAX(1,MIN(AA160,ROUNDUP(SUMPRODUCT(($O$5:$O$546=O160)*($I$5:$I$546="Ja")*($E$5:$E$546-$D$5:$D$546))*24/REGLER!$B$8,0))),"")</f>
        <v/>
      </c>
      <c r="N160" s="50" t="str">
        <f t="shared" si="30"/>
        <v>Klar</v>
      </c>
      <c r="O160" s="15" t="s">
        <v>119</v>
      </c>
      <c r="P160" s="16">
        <v>0.33333333333333298</v>
      </c>
      <c r="Q160" s="16">
        <v>0.625</v>
      </c>
      <c r="R160" s="15" t="str">
        <f>IFERROR(MATCH(1,INDEX((MATCHER!$B$5:$B$504=A160)*(MATCHER!$D$5:$D$504=C160)*(MATCHER!$K$5:$K$504="Ja")*(MATCHER!$C$5:$C$504&lt;E160)*(MATCHER!$M$5:$M$504&gt;D160),0),0),"")</f>
        <v/>
      </c>
      <c r="S160" s="15" t="str">
        <f>IF(R160="","",IFERROR(MATCH(1,INDEX((MATCHER!$B$5:$B$504=A160)*(MATCHER!$D$5:$D$504=C160)*(MATCHER!$K$5:$K$504="Ja")*(MATCHER!$C$5:$C$504&lt;E160)*(MATCHER!$M$5:$M$504&gt;D160)*(ROW(MATCHER!$A$5:$A$504)-ROW(MATCHER!$A$5)+1&gt;R160),0),0),""))</f>
        <v/>
      </c>
      <c r="T160" s="15" t="str">
        <f>IF(S160="","",IFERROR(MATCH(1,INDEX((MATCHER!$B$5:$B$504=A160)*(MATCHER!$D$5:$D$504=C160)*(MATCHER!$K$5:$K$504="Ja")*(MATCHER!$C$5:$C$504&lt;E160)*(MATCHER!$M$5:$M$504&gt;D160)*(ROW(MATCHER!$A$5:$A$504)-ROW(MATCHER!$A$5)+1&gt;S160),0),0),""))</f>
        <v/>
      </c>
      <c r="U160" s="15">
        <f t="shared" si="31"/>
        <v>0</v>
      </c>
      <c r="V160" s="15">
        <f>IF(OR(I160&lt;&gt;"Ja",J160=""),"",COUNTIFS($O$5:O160,O160,$U$5:U160,1))</f>
        <v>1</v>
      </c>
      <c r="W160" s="15" t="str">
        <f t="shared" si="32"/>
        <v>2026-11-07 | Ulriksdalshallen|1</v>
      </c>
      <c r="X160" s="16" t="str">
        <f t="shared" si="33"/>
        <v/>
      </c>
      <c r="Y160" s="15">
        <f>IF(OR(I160&lt;&gt;"Ja",J160=""),0,IF(COUNTIFS($O$5:O160,O160,$I$5:I160,"Ja",$J$5:J160,"&lt;&gt;")=1,1,0))</f>
        <v>0</v>
      </c>
      <c r="Z160" s="15">
        <f>IF(OR(I160&lt;&gt;"Ja",J160=""),0,IF(COUNTIFS(O160:$O$546,O160,I160:$I$546,"Ja",J160:$J$546,"&lt;&gt;")=1,1,0))</f>
        <v>0</v>
      </c>
      <c r="AA160" s="15">
        <f t="shared" si="40"/>
        <v>3</v>
      </c>
      <c r="AB160" s="15" t="str">
        <f>IF(U160&lt;&gt;1,"",COUNTIF($U$5:U160,1))</f>
        <v/>
      </c>
      <c r="AC160" s="15" t="str">
        <f t="shared" si="34"/>
        <v/>
      </c>
      <c r="AD160" s="15" t="str">
        <f t="shared" si="35"/>
        <v>Vanligt café</v>
      </c>
      <c r="AE160" s="15" t="str">
        <f t="shared" si="36"/>
        <v/>
      </c>
      <c r="AF160" t="str">
        <f>IF(T160="","",IFERROR(MATCH(1,INDEX((MATCHER!$B$5:$B$504=A160)*(MATCHER!$D$5:$D$504=C160)*(MATCHER!$K$5:$K$504="Ja")*(MATCHER!$C$5:$C$504&lt;E160)*(MATCHER!$M$5:$M$504&gt;D160)*(ROW(MATCHER!$A$5:$A$504)-ROW(MATCHER!$A$5)+1&gt;T160),0),0),""))</f>
        <v/>
      </c>
    </row>
    <row r="161" spans="1:32" ht="26">
      <c r="A161" s="42">
        <v>46333</v>
      </c>
      <c r="B161" s="43" t="s">
        <v>85</v>
      </c>
      <c r="C161" s="43" t="s">
        <v>86</v>
      </c>
      <c r="D161" s="44">
        <v>0.47916666666666702</v>
      </c>
      <c r="E161" s="44">
        <v>0.5</v>
      </c>
      <c r="F161" s="45" t="str">
        <f>IF(R161="","",HOUR(INDEX(MATCHER!$C$5:$C$504,R161))&amp;":"&amp;IF(MINUTE(INDEX(MATCHER!$C$5:$C$504,R161))&lt;10,"0","")&amp;MINUTE(INDEX(MATCHER!$C$5:$C$504,R161))&amp;" "&amp;INDEX(MATCHER!$H$5:$H$504,R161)&amp;" – "&amp;INDEX(MATCHER!$I$5:$I$504,R161))&amp;IF(S161="",""," | "&amp;HOUR(INDEX(MATCHER!$C$5:$C$504,S161))&amp;":"&amp;IF(MINUTE(INDEX(MATCHER!$C$5:$C$504,S161))&lt;10,"0","")&amp;MINUTE(INDEX(MATCHER!$C$5:$C$504,S161))&amp;" "&amp;INDEX(MATCHER!$H$5:$H$504,S161)&amp;" – "&amp;INDEX(MATCHER!$I$5:$I$504,S161))&amp;IF(T161="",""," | "&amp;HOUR(INDEX(MATCHER!$C$5:$C$504,T161))&amp;":"&amp;IF(MINUTE(INDEX(MATCHER!$C$5:$C$504,T161))&lt;10,"0","")&amp;MINUTE(INDEX(MATCHER!$C$5:$C$504,T161))&amp;" "&amp;INDEX(MATCHER!$H$5:$H$504,T161)&amp;" – "&amp;INDEX(MATCHER!$I$5:$I$504,T161))&amp;IF(AF161="",""," | "&amp;HOUR(INDEX(MATCHER!$C$5:$C$504,AF161))&amp;":"&amp;IF(MINUTE(INDEX(MATCHER!$C$5:$C$504,AF161))&lt;10,"0","")&amp;MINUTE(INDEX(MATCHER!$C$5:$C$504,AF161))&amp;" "&amp;INDEX(MATCHER!$H$5:$H$504,AF161)&amp;" – "&amp;INDEX(MATCHER!$I$5:$I$504,AF161))</f>
        <v/>
      </c>
      <c r="G161" s="45" t="str">
        <f>MID(IF(R161="","",IF(OR(INDEX(MATCHER!$J$5:$J$504,R161)=""),""," / "&amp;INDEX(MATCHER!$J$5:$J$504,R161)))&amp;IF(S161="","",IF(OR(INDEX(MATCHER!$J$5:$J$504,S161)="",INDEX(MATCHER!$J$5:$J$504,S161)=IFERROR(INDEX(MATCHER!$J$5:$J$504,R161),"")),""," / "&amp;INDEX(MATCHER!$J$5:$J$504,S161)))&amp;IF(T161="","",IF(OR(INDEX(MATCHER!$J$5:$J$504,T161)="",INDEX(MATCHER!$J$5:$J$504,T161)=IFERROR(INDEX(MATCHER!$J$5:$J$504,R161),""),INDEX(MATCHER!$J$5:$J$504,T161)=IFERROR(INDEX(MATCHER!$J$5:$J$504,S161),"")),""," / "&amp;INDEX(MATCHER!$J$5:$J$504,T161)))&amp;IF(AF161="","",IF(OR(INDEX(MATCHER!$J$5:$J$504,AF161)="",INDEX(MATCHER!$J$5:$J$504,AF161)=IFERROR(INDEX(MATCHER!$J$5:$J$504,R161),""),INDEX(MATCHER!$J$5:$J$504,AF161)=IFERROR(INDEX(MATCHER!$J$5:$J$504,S161),""),INDEX(MATCHER!$J$5:$J$504,AF161)=IFERROR(INDEX(MATCHER!$J$5:$J$504,T161),"")),""," / "&amp;INDEX(MATCHER!$J$5:$J$504,AF161))),4,1000)</f>
        <v/>
      </c>
      <c r="H161" s="45" t="str">
        <f t="shared" si="39"/>
        <v>U8, F13, F14</v>
      </c>
      <c r="I161" s="46" t="s">
        <v>90</v>
      </c>
      <c r="J161" s="47" t="s">
        <v>148</v>
      </c>
      <c r="K161" s="48"/>
      <c r="L161" s="49"/>
      <c r="M161" s="50" t="str">
        <f>IF(O161&lt;&gt;O160,MAX(1,MIN(AA161,ROUNDUP(SUMPRODUCT(($O$5:$O$546=O161)*($I$5:$I$546="Ja")*($E$5:$E$546-$D$5:$D$546))*24/REGLER!$B$8,0))),"")</f>
        <v/>
      </c>
      <c r="N161" s="50" t="str">
        <f t="shared" si="30"/>
        <v>Klar</v>
      </c>
      <c r="O161" s="15" t="s">
        <v>119</v>
      </c>
      <c r="P161" s="16">
        <v>0.33333333333333298</v>
      </c>
      <c r="Q161" s="16">
        <v>0.625</v>
      </c>
      <c r="R161" s="15" t="str">
        <f>IFERROR(MATCH(1,INDEX((MATCHER!$B$5:$B$504=A161)*(MATCHER!$D$5:$D$504=C161)*(MATCHER!$K$5:$K$504="Ja")*(MATCHER!$C$5:$C$504&lt;E161)*(MATCHER!$M$5:$M$504&gt;D161),0),0),"")</f>
        <v/>
      </c>
      <c r="S161" s="15" t="str">
        <f>IF(R161="","",IFERROR(MATCH(1,INDEX((MATCHER!$B$5:$B$504=A161)*(MATCHER!$D$5:$D$504=C161)*(MATCHER!$K$5:$K$504="Ja")*(MATCHER!$C$5:$C$504&lt;E161)*(MATCHER!$M$5:$M$504&gt;D161)*(ROW(MATCHER!$A$5:$A$504)-ROW(MATCHER!$A$5)+1&gt;R161),0),0),""))</f>
        <v/>
      </c>
      <c r="T161" s="15" t="str">
        <f>IF(S161="","",IFERROR(MATCH(1,INDEX((MATCHER!$B$5:$B$504=A161)*(MATCHER!$D$5:$D$504=C161)*(MATCHER!$K$5:$K$504="Ja")*(MATCHER!$C$5:$C$504&lt;E161)*(MATCHER!$M$5:$M$504&gt;D161)*(ROW(MATCHER!$A$5:$A$504)-ROW(MATCHER!$A$5)+1&gt;S161),0),0),""))</f>
        <v/>
      </c>
      <c r="U161" s="15">
        <f t="shared" si="31"/>
        <v>0</v>
      </c>
      <c r="V161" s="15">
        <f>IF(OR(I161&lt;&gt;"Ja",J161=""),"",COUNTIFS($O$5:O161,O161,$U$5:U161,1))</f>
        <v>1</v>
      </c>
      <c r="W161" s="15" t="str">
        <f t="shared" si="32"/>
        <v>2026-11-07 | Ulriksdalshallen|1</v>
      </c>
      <c r="X161" s="16">
        <f t="shared" si="33"/>
        <v>0.5</v>
      </c>
      <c r="Y161" s="15">
        <f>IF(OR(I161&lt;&gt;"Ja",J161=""),0,IF(COUNTIFS($O$5:O161,O161,$I$5:I161,"Ja",$J$5:J161,"&lt;&gt;")=1,1,0))</f>
        <v>0</v>
      </c>
      <c r="Z161" s="15">
        <f>IF(OR(I161&lt;&gt;"Ja",J161=""),0,IF(COUNTIFS(O161:$O$546,O161,I161:$I$546,"Ja",J161:$J$546,"&lt;&gt;")=1,1,0))</f>
        <v>0</v>
      </c>
      <c r="AA161" s="15">
        <f t="shared" si="40"/>
        <v>3</v>
      </c>
      <c r="AB161" s="15" t="str">
        <f>IF(U161&lt;&gt;1,"",COUNTIF($U$5:U161,1))</f>
        <v/>
      </c>
      <c r="AC161" s="15" t="str">
        <f t="shared" si="34"/>
        <v>2026-11-07 | Ulriksdalshallen|1</v>
      </c>
      <c r="AD161" s="15" t="str">
        <f t="shared" si="35"/>
        <v>Vanligt café</v>
      </c>
      <c r="AE161" s="15" t="str">
        <f t="shared" si="36"/>
        <v/>
      </c>
      <c r="AF161" t="str">
        <f>IF(T161="","",IFERROR(MATCH(1,INDEX((MATCHER!$B$5:$B$504=A161)*(MATCHER!$D$5:$D$504=C161)*(MATCHER!$K$5:$K$504="Ja")*(MATCHER!$C$5:$C$504&lt;E161)*(MATCHER!$M$5:$M$504&gt;D161)*(ROW(MATCHER!$A$5:$A$504)-ROW(MATCHER!$A$5)+1&gt;T161),0),0),""))</f>
        <v/>
      </c>
    </row>
    <row r="162" spans="1:32" ht="26">
      <c r="A162" s="42">
        <v>46333</v>
      </c>
      <c r="B162" s="43" t="s">
        <v>85</v>
      </c>
      <c r="C162" s="43" t="s">
        <v>86</v>
      </c>
      <c r="D162" s="44">
        <v>0.5</v>
      </c>
      <c r="E162" s="44">
        <v>0.52083333333333304</v>
      </c>
      <c r="F162" s="45" t="str">
        <f>IF(R162="","",HOUR(INDEX(MATCHER!$C$5:$C$504,R162))&amp;":"&amp;IF(MINUTE(INDEX(MATCHER!$C$5:$C$504,R162))&lt;10,"0","")&amp;MINUTE(INDEX(MATCHER!$C$5:$C$504,R162))&amp;" "&amp;INDEX(MATCHER!$H$5:$H$504,R162)&amp;" – "&amp;INDEX(MATCHER!$I$5:$I$504,R162))&amp;IF(S162="",""," | "&amp;HOUR(INDEX(MATCHER!$C$5:$C$504,S162))&amp;":"&amp;IF(MINUTE(INDEX(MATCHER!$C$5:$C$504,S162))&lt;10,"0","")&amp;MINUTE(INDEX(MATCHER!$C$5:$C$504,S162))&amp;" "&amp;INDEX(MATCHER!$H$5:$H$504,S162)&amp;" – "&amp;INDEX(MATCHER!$I$5:$I$504,S162))&amp;IF(T162="",""," | "&amp;HOUR(INDEX(MATCHER!$C$5:$C$504,T162))&amp;":"&amp;IF(MINUTE(INDEX(MATCHER!$C$5:$C$504,T162))&lt;10,"0","")&amp;MINUTE(INDEX(MATCHER!$C$5:$C$504,T162))&amp;" "&amp;INDEX(MATCHER!$H$5:$H$504,T162)&amp;" – "&amp;INDEX(MATCHER!$I$5:$I$504,T162))&amp;IF(AF162="",""," | "&amp;HOUR(INDEX(MATCHER!$C$5:$C$504,AF162))&amp;":"&amp;IF(MINUTE(INDEX(MATCHER!$C$5:$C$504,AF162))&lt;10,"0","")&amp;MINUTE(INDEX(MATCHER!$C$5:$C$504,AF162))&amp;" "&amp;INDEX(MATCHER!$H$5:$H$504,AF162)&amp;" – "&amp;INDEX(MATCHER!$I$5:$I$504,AF162))</f>
        <v/>
      </c>
      <c r="G162" s="45" t="str">
        <f>MID(IF(R162="","",IF(OR(INDEX(MATCHER!$J$5:$J$504,R162)=""),""," / "&amp;INDEX(MATCHER!$J$5:$J$504,R162)))&amp;IF(S162="","",IF(OR(INDEX(MATCHER!$J$5:$J$504,S162)="",INDEX(MATCHER!$J$5:$J$504,S162)=IFERROR(INDEX(MATCHER!$J$5:$J$504,R162),"")),""," / "&amp;INDEX(MATCHER!$J$5:$J$504,S162)))&amp;IF(T162="","",IF(OR(INDEX(MATCHER!$J$5:$J$504,T162)="",INDEX(MATCHER!$J$5:$J$504,T162)=IFERROR(INDEX(MATCHER!$J$5:$J$504,R162),""),INDEX(MATCHER!$J$5:$J$504,T162)=IFERROR(INDEX(MATCHER!$J$5:$J$504,S162),"")),""," / "&amp;INDEX(MATCHER!$J$5:$J$504,T162)))&amp;IF(AF162="","",IF(OR(INDEX(MATCHER!$J$5:$J$504,AF162)="",INDEX(MATCHER!$J$5:$J$504,AF162)=IFERROR(INDEX(MATCHER!$J$5:$J$504,R162),""),INDEX(MATCHER!$J$5:$J$504,AF162)=IFERROR(INDEX(MATCHER!$J$5:$J$504,S162),""),INDEX(MATCHER!$J$5:$J$504,AF162)=IFERROR(INDEX(MATCHER!$J$5:$J$504,T162),"")),""," / "&amp;INDEX(MATCHER!$J$5:$J$504,AF162))),4,1000)</f>
        <v/>
      </c>
      <c r="H162" s="45" t="str">
        <f t="shared" si="39"/>
        <v>U8, F13, F14</v>
      </c>
      <c r="I162" s="46" t="s">
        <v>90</v>
      </c>
      <c r="J162" s="47" t="s">
        <v>97</v>
      </c>
      <c r="K162" s="48"/>
      <c r="L162" s="49"/>
      <c r="M162" s="50" t="str">
        <f>IF(O162&lt;&gt;O161,MAX(1,MIN(AA162,ROUNDUP(SUMPRODUCT(($O$5:$O$546=O162)*($I$5:$I$546="Ja")*($E$5:$E$546-$D$5:$D$546))*24/REGLER!$B$8,0))),"")</f>
        <v/>
      </c>
      <c r="N162" s="50" t="str">
        <f t="shared" si="30"/>
        <v>Klar</v>
      </c>
      <c r="O162" s="15" t="s">
        <v>119</v>
      </c>
      <c r="P162" s="16">
        <v>0.33333333333333298</v>
      </c>
      <c r="Q162" s="16">
        <v>0.625</v>
      </c>
      <c r="R162" s="15" t="str">
        <f>IFERROR(MATCH(1,INDEX((MATCHER!$B$5:$B$504=A162)*(MATCHER!$D$5:$D$504=C162)*(MATCHER!$K$5:$K$504="Ja")*(MATCHER!$C$5:$C$504&lt;E162)*(MATCHER!$M$5:$M$504&gt;D162),0),0),"")</f>
        <v/>
      </c>
      <c r="S162" s="15" t="str">
        <f>IF(R162="","",IFERROR(MATCH(1,INDEX((MATCHER!$B$5:$B$504=A162)*(MATCHER!$D$5:$D$504=C162)*(MATCHER!$K$5:$K$504="Ja")*(MATCHER!$C$5:$C$504&lt;E162)*(MATCHER!$M$5:$M$504&gt;D162)*(ROW(MATCHER!$A$5:$A$504)-ROW(MATCHER!$A$5)+1&gt;R162),0),0),""))</f>
        <v/>
      </c>
      <c r="T162" s="15" t="str">
        <f>IF(S162="","",IFERROR(MATCH(1,INDEX((MATCHER!$B$5:$B$504=A162)*(MATCHER!$D$5:$D$504=C162)*(MATCHER!$K$5:$K$504="Ja")*(MATCHER!$C$5:$C$504&lt;E162)*(MATCHER!$M$5:$M$504&gt;D162)*(ROW(MATCHER!$A$5:$A$504)-ROW(MATCHER!$A$5)+1&gt;S162),0),0),""))</f>
        <v/>
      </c>
      <c r="U162" s="15">
        <f t="shared" si="31"/>
        <v>1</v>
      </c>
      <c r="V162" s="15">
        <f>IF(OR(I162&lt;&gt;"Ja",J162=""),"",COUNTIFS($O$5:O162,O162,$U$5:U162,1))</f>
        <v>2</v>
      </c>
      <c r="W162" s="15" t="str">
        <f t="shared" si="32"/>
        <v>2026-11-07 | Ulriksdalshallen|2</v>
      </c>
      <c r="X162" s="16" t="str">
        <f t="shared" si="33"/>
        <v/>
      </c>
      <c r="Y162" s="15">
        <f>IF(OR(I162&lt;&gt;"Ja",J162=""),0,IF(COUNTIFS($O$5:O162,O162,$I$5:I162,"Ja",$J$5:J162,"&lt;&gt;")=1,1,0))</f>
        <v>0</v>
      </c>
      <c r="Z162" s="15">
        <f>IF(OR(I162&lt;&gt;"Ja",J162=""),0,IF(COUNTIFS(O162:$O$546,O162,I162:$I$546,"Ja",J162:$J$546,"&lt;&gt;")=1,1,0))</f>
        <v>0</v>
      </c>
      <c r="AA162" s="15">
        <f t="shared" si="40"/>
        <v>3</v>
      </c>
      <c r="AB162" s="15">
        <f>IF(U162&lt;&gt;1,"",COUNTIF($U$5:U162,1))</f>
        <v>18</v>
      </c>
      <c r="AC162" s="15" t="str">
        <f t="shared" si="34"/>
        <v/>
      </c>
      <c r="AD162" s="15" t="str">
        <f t="shared" si="35"/>
        <v>Vanligt café</v>
      </c>
      <c r="AE162" s="15">
        <f t="shared" si="36"/>
        <v>3</v>
      </c>
      <c r="AF162" t="str">
        <f>IF(T162="","",IFERROR(MATCH(1,INDEX((MATCHER!$B$5:$B$504=A162)*(MATCHER!$D$5:$D$504=C162)*(MATCHER!$K$5:$K$504="Ja")*(MATCHER!$C$5:$C$504&lt;E162)*(MATCHER!$M$5:$M$504&gt;D162)*(ROW(MATCHER!$A$5:$A$504)-ROW(MATCHER!$A$5)+1&gt;T162),0),0),""))</f>
        <v/>
      </c>
    </row>
    <row r="163" spans="1:32" ht="26">
      <c r="A163" s="42">
        <v>46333</v>
      </c>
      <c r="B163" s="43" t="s">
        <v>85</v>
      </c>
      <c r="C163" s="43" t="s">
        <v>86</v>
      </c>
      <c r="D163" s="44">
        <v>0.52083333333333304</v>
      </c>
      <c r="E163" s="44">
        <v>0.54166666666666696</v>
      </c>
      <c r="F163" s="45" t="str">
        <f>IF(R163="","",HOUR(INDEX(MATCHER!$C$5:$C$504,R163))&amp;":"&amp;IF(MINUTE(INDEX(MATCHER!$C$5:$C$504,R163))&lt;10,"0","")&amp;MINUTE(INDEX(MATCHER!$C$5:$C$504,R163))&amp;" "&amp;INDEX(MATCHER!$H$5:$H$504,R163)&amp;" – "&amp;INDEX(MATCHER!$I$5:$I$504,R163))&amp;IF(S163="",""," | "&amp;HOUR(INDEX(MATCHER!$C$5:$C$504,S163))&amp;":"&amp;IF(MINUTE(INDEX(MATCHER!$C$5:$C$504,S163))&lt;10,"0","")&amp;MINUTE(INDEX(MATCHER!$C$5:$C$504,S163))&amp;" "&amp;INDEX(MATCHER!$H$5:$H$504,S163)&amp;" – "&amp;INDEX(MATCHER!$I$5:$I$504,S163))&amp;IF(T163="",""," | "&amp;HOUR(INDEX(MATCHER!$C$5:$C$504,T163))&amp;":"&amp;IF(MINUTE(INDEX(MATCHER!$C$5:$C$504,T163))&lt;10,"0","")&amp;MINUTE(INDEX(MATCHER!$C$5:$C$504,T163))&amp;" "&amp;INDEX(MATCHER!$H$5:$H$504,T163)&amp;" – "&amp;INDEX(MATCHER!$I$5:$I$504,T163))&amp;IF(AF163="",""," | "&amp;HOUR(INDEX(MATCHER!$C$5:$C$504,AF163))&amp;":"&amp;IF(MINUTE(INDEX(MATCHER!$C$5:$C$504,AF163))&lt;10,"0","")&amp;MINUTE(INDEX(MATCHER!$C$5:$C$504,AF163))&amp;" "&amp;INDEX(MATCHER!$H$5:$H$504,AF163)&amp;" – "&amp;INDEX(MATCHER!$I$5:$I$504,AF163))</f>
        <v>12:30 AIK 2 – Åkersberga HK</v>
      </c>
      <c r="G163" s="45" t="str">
        <f>MID(IF(R163="","",IF(OR(INDEX(MATCHER!$J$5:$J$504,R163)=""),""," / "&amp;INDEX(MATCHER!$J$5:$J$504,R163)))&amp;IF(S163="","",IF(OR(INDEX(MATCHER!$J$5:$J$504,S163)="",INDEX(MATCHER!$J$5:$J$504,S163)=IFERROR(INDEX(MATCHER!$J$5:$J$504,R163),"")),""," / "&amp;INDEX(MATCHER!$J$5:$J$504,S163)))&amp;IF(T163="","",IF(OR(INDEX(MATCHER!$J$5:$J$504,T163)="",INDEX(MATCHER!$J$5:$J$504,T163)=IFERROR(INDEX(MATCHER!$J$5:$J$504,R163),""),INDEX(MATCHER!$J$5:$J$504,T163)=IFERROR(INDEX(MATCHER!$J$5:$J$504,S163),"")),""," / "&amp;INDEX(MATCHER!$J$5:$J$504,T163)))&amp;IF(AF163="","",IF(OR(INDEX(MATCHER!$J$5:$J$504,AF163)="",INDEX(MATCHER!$J$5:$J$504,AF163)=IFERROR(INDEX(MATCHER!$J$5:$J$504,R163),""),INDEX(MATCHER!$J$5:$J$504,AF163)=IFERROR(INDEX(MATCHER!$J$5:$J$504,S163),""),INDEX(MATCHER!$J$5:$J$504,AF163)=IFERROR(INDEX(MATCHER!$J$5:$J$504,T163),"")),""," / "&amp;INDEX(MATCHER!$J$5:$J$504,AF163))),4,1000)</f>
        <v>F13 2</v>
      </c>
      <c r="H163" s="45" t="str">
        <f t="shared" si="39"/>
        <v>U8, F13, F14</v>
      </c>
      <c r="I163" s="46" t="s">
        <v>90</v>
      </c>
      <c r="J163" s="47" t="s">
        <v>97</v>
      </c>
      <c r="K163" s="48"/>
      <c r="L163" s="49"/>
      <c r="M163" s="50" t="str">
        <f>IF(O163&lt;&gt;O162,MAX(1,MIN(AA163,ROUNDUP(SUMPRODUCT(($O$5:$O$546=O163)*($I$5:$I$546="Ja")*($E$5:$E$546-$D$5:$D$546))*24/REGLER!$B$8,0))),"")</f>
        <v/>
      </c>
      <c r="N163" s="50" t="str">
        <f t="shared" si="30"/>
        <v>Klar</v>
      </c>
      <c r="O163" s="15" t="s">
        <v>119</v>
      </c>
      <c r="P163" s="16">
        <v>0.33333333333333298</v>
      </c>
      <c r="Q163" s="16">
        <v>0.625</v>
      </c>
      <c r="R163" s="15">
        <f>IFERROR(MATCH(1,INDEX((MATCHER!$B$5:$B$504=A163)*(MATCHER!$D$5:$D$504=C163)*(MATCHER!$K$5:$K$504="Ja")*(MATCHER!$C$5:$C$504&lt;E163)*(MATCHER!$M$5:$M$504&gt;D163),0),0),"")</f>
        <v>54</v>
      </c>
      <c r="S163" s="15" t="str">
        <f>IF(R163="","",IFERROR(MATCH(1,INDEX((MATCHER!$B$5:$B$504=A163)*(MATCHER!$D$5:$D$504=C163)*(MATCHER!$K$5:$K$504="Ja")*(MATCHER!$C$5:$C$504&lt;E163)*(MATCHER!$M$5:$M$504&gt;D163)*(ROW(MATCHER!$A$5:$A$504)-ROW(MATCHER!$A$5)+1&gt;R163),0),0),""))</f>
        <v/>
      </c>
      <c r="T163" s="15" t="str">
        <f>IF(S163="","",IFERROR(MATCH(1,INDEX((MATCHER!$B$5:$B$504=A163)*(MATCHER!$D$5:$D$504=C163)*(MATCHER!$K$5:$K$504="Ja")*(MATCHER!$C$5:$C$504&lt;E163)*(MATCHER!$M$5:$M$504&gt;D163)*(ROW(MATCHER!$A$5:$A$504)-ROW(MATCHER!$A$5)+1&gt;S163),0),0),""))</f>
        <v/>
      </c>
      <c r="U163" s="15">
        <f t="shared" si="31"/>
        <v>0</v>
      </c>
      <c r="V163" s="15">
        <f>IF(OR(I163&lt;&gt;"Ja",J163=""),"",COUNTIFS($O$5:O163,O163,$U$5:U163,1))</f>
        <v>2</v>
      </c>
      <c r="W163" s="15" t="str">
        <f t="shared" si="32"/>
        <v>2026-11-07 | Ulriksdalshallen|2</v>
      </c>
      <c r="X163" s="16" t="str">
        <f t="shared" si="33"/>
        <v/>
      </c>
      <c r="Y163" s="15">
        <f>IF(OR(I163&lt;&gt;"Ja",J163=""),0,IF(COUNTIFS($O$5:O163,O163,$I$5:I163,"Ja",$J$5:J163,"&lt;&gt;")=1,1,0))</f>
        <v>0</v>
      </c>
      <c r="Z163" s="15">
        <f>IF(OR(I163&lt;&gt;"Ja",J163=""),0,IF(COUNTIFS(O163:$O$546,O163,I163:$I$546,"Ja",J163:$J$546,"&lt;&gt;")=1,1,0))</f>
        <v>0</v>
      </c>
      <c r="AA163" s="15">
        <f t="shared" si="40"/>
        <v>3</v>
      </c>
      <c r="AB163" s="15" t="str">
        <f>IF(U163&lt;&gt;1,"",COUNTIF($U$5:U163,1))</f>
        <v/>
      </c>
      <c r="AC163" s="15" t="str">
        <f t="shared" si="34"/>
        <v/>
      </c>
      <c r="AD163" s="15" t="str">
        <f t="shared" si="35"/>
        <v>Vanligt café</v>
      </c>
      <c r="AE163" s="15" t="str">
        <f t="shared" si="36"/>
        <v/>
      </c>
      <c r="AF163" t="str">
        <f>IF(T163="","",IFERROR(MATCH(1,INDEX((MATCHER!$B$5:$B$504=A163)*(MATCHER!$D$5:$D$504=C163)*(MATCHER!$K$5:$K$504="Ja")*(MATCHER!$C$5:$C$504&lt;E163)*(MATCHER!$M$5:$M$504&gt;D163)*(ROW(MATCHER!$A$5:$A$504)-ROW(MATCHER!$A$5)+1&gt;T163),0),0),""))</f>
        <v/>
      </c>
    </row>
    <row r="164" spans="1:32" ht="26">
      <c r="A164" s="42">
        <v>46333</v>
      </c>
      <c r="B164" s="43" t="s">
        <v>85</v>
      </c>
      <c r="C164" s="43" t="s">
        <v>86</v>
      </c>
      <c r="D164" s="44">
        <v>0.54166666666666696</v>
      </c>
      <c r="E164" s="44">
        <v>0.5625</v>
      </c>
      <c r="F164" s="45" t="str">
        <f>IF(R164="","",HOUR(INDEX(MATCHER!$C$5:$C$504,R164))&amp;":"&amp;IF(MINUTE(INDEX(MATCHER!$C$5:$C$504,R164))&lt;10,"0","")&amp;MINUTE(INDEX(MATCHER!$C$5:$C$504,R164))&amp;" "&amp;INDEX(MATCHER!$H$5:$H$504,R164)&amp;" – "&amp;INDEX(MATCHER!$I$5:$I$504,R164))&amp;IF(S164="",""," | "&amp;HOUR(INDEX(MATCHER!$C$5:$C$504,S164))&amp;":"&amp;IF(MINUTE(INDEX(MATCHER!$C$5:$C$504,S164))&lt;10,"0","")&amp;MINUTE(INDEX(MATCHER!$C$5:$C$504,S164))&amp;" "&amp;INDEX(MATCHER!$H$5:$H$504,S164)&amp;" – "&amp;INDEX(MATCHER!$I$5:$I$504,S164))&amp;IF(T164="",""," | "&amp;HOUR(INDEX(MATCHER!$C$5:$C$504,T164))&amp;":"&amp;IF(MINUTE(INDEX(MATCHER!$C$5:$C$504,T164))&lt;10,"0","")&amp;MINUTE(INDEX(MATCHER!$C$5:$C$504,T164))&amp;" "&amp;INDEX(MATCHER!$H$5:$H$504,T164)&amp;" – "&amp;INDEX(MATCHER!$I$5:$I$504,T164))&amp;IF(AF164="",""," | "&amp;HOUR(INDEX(MATCHER!$C$5:$C$504,AF164))&amp;":"&amp;IF(MINUTE(INDEX(MATCHER!$C$5:$C$504,AF164))&lt;10,"0","")&amp;MINUTE(INDEX(MATCHER!$C$5:$C$504,AF164))&amp;" "&amp;INDEX(MATCHER!$H$5:$H$504,AF164)&amp;" – "&amp;INDEX(MATCHER!$I$5:$I$504,AF164))</f>
        <v>12:30 AIK 2 – Åkersberga HK</v>
      </c>
      <c r="G164" s="45" t="str">
        <f>MID(IF(R164="","",IF(OR(INDEX(MATCHER!$J$5:$J$504,R164)=""),""," / "&amp;INDEX(MATCHER!$J$5:$J$504,R164)))&amp;IF(S164="","",IF(OR(INDEX(MATCHER!$J$5:$J$504,S164)="",INDEX(MATCHER!$J$5:$J$504,S164)=IFERROR(INDEX(MATCHER!$J$5:$J$504,R164),"")),""," / "&amp;INDEX(MATCHER!$J$5:$J$504,S164)))&amp;IF(T164="","",IF(OR(INDEX(MATCHER!$J$5:$J$504,T164)="",INDEX(MATCHER!$J$5:$J$504,T164)=IFERROR(INDEX(MATCHER!$J$5:$J$504,R164),""),INDEX(MATCHER!$J$5:$J$504,T164)=IFERROR(INDEX(MATCHER!$J$5:$J$504,S164),"")),""," / "&amp;INDEX(MATCHER!$J$5:$J$504,T164)))&amp;IF(AF164="","",IF(OR(INDEX(MATCHER!$J$5:$J$504,AF164)="",INDEX(MATCHER!$J$5:$J$504,AF164)=IFERROR(INDEX(MATCHER!$J$5:$J$504,R164),""),INDEX(MATCHER!$J$5:$J$504,AF164)=IFERROR(INDEX(MATCHER!$J$5:$J$504,S164),""),INDEX(MATCHER!$J$5:$J$504,AF164)=IFERROR(INDEX(MATCHER!$J$5:$J$504,T164),"")),""," / "&amp;INDEX(MATCHER!$J$5:$J$504,AF164))),4,1000)</f>
        <v>F13 2</v>
      </c>
      <c r="H164" s="45" t="str">
        <f t="shared" si="39"/>
        <v>U8, F13, F14</v>
      </c>
      <c r="I164" s="46" t="s">
        <v>90</v>
      </c>
      <c r="J164" s="47" t="s">
        <v>97</v>
      </c>
      <c r="K164" s="48"/>
      <c r="L164" s="49"/>
      <c r="M164" s="50" t="str">
        <f>IF(O164&lt;&gt;O163,MAX(1,MIN(AA164,ROUNDUP(SUMPRODUCT(($O$5:$O$546=O164)*($I$5:$I$546="Ja")*($E$5:$E$546-$D$5:$D$546))*24/REGLER!$B$8,0))),"")</f>
        <v/>
      </c>
      <c r="N164" s="50" t="str">
        <f t="shared" si="30"/>
        <v>Klar</v>
      </c>
      <c r="O164" s="15" t="s">
        <v>119</v>
      </c>
      <c r="P164" s="16">
        <v>0.33333333333333298</v>
      </c>
      <c r="Q164" s="16">
        <v>0.625</v>
      </c>
      <c r="R164" s="15">
        <f>IFERROR(MATCH(1,INDEX((MATCHER!$B$5:$B$504=A164)*(MATCHER!$D$5:$D$504=C164)*(MATCHER!$K$5:$K$504="Ja")*(MATCHER!$C$5:$C$504&lt;E164)*(MATCHER!$M$5:$M$504&gt;D164),0),0),"")</f>
        <v>54</v>
      </c>
      <c r="S164" s="15" t="str">
        <f>IF(R164="","",IFERROR(MATCH(1,INDEX((MATCHER!$B$5:$B$504=A164)*(MATCHER!$D$5:$D$504=C164)*(MATCHER!$K$5:$K$504="Ja")*(MATCHER!$C$5:$C$504&lt;E164)*(MATCHER!$M$5:$M$504&gt;D164)*(ROW(MATCHER!$A$5:$A$504)-ROW(MATCHER!$A$5)+1&gt;R164),0),0),""))</f>
        <v/>
      </c>
      <c r="T164" s="15" t="str">
        <f>IF(S164="","",IFERROR(MATCH(1,INDEX((MATCHER!$B$5:$B$504=A164)*(MATCHER!$D$5:$D$504=C164)*(MATCHER!$K$5:$K$504="Ja")*(MATCHER!$C$5:$C$504&lt;E164)*(MATCHER!$M$5:$M$504&gt;D164)*(ROW(MATCHER!$A$5:$A$504)-ROW(MATCHER!$A$5)+1&gt;S164),0),0),""))</f>
        <v/>
      </c>
      <c r="U164" s="15">
        <f t="shared" si="31"/>
        <v>0</v>
      </c>
      <c r="V164" s="15">
        <f>IF(OR(I164&lt;&gt;"Ja",J164=""),"",COUNTIFS($O$5:O164,O164,$U$5:U164,1))</f>
        <v>2</v>
      </c>
      <c r="W164" s="15" t="str">
        <f t="shared" si="32"/>
        <v>2026-11-07 | Ulriksdalshallen|2</v>
      </c>
      <c r="X164" s="16" t="str">
        <f t="shared" si="33"/>
        <v/>
      </c>
      <c r="Y164" s="15">
        <f>IF(OR(I164&lt;&gt;"Ja",J164=""),0,IF(COUNTIFS($O$5:O164,O164,$I$5:I164,"Ja",$J$5:J164,"&lt;&gt;")=1,1,0))</f>
        <v>0</v>
      </c>
      <c r="Z164" s="15">
        <f>IF(OR(I164&lt;&gt;"Ja",J164=""),0,IF(COUNTIFS(O164:$O$546,O164,I164:$I$546,"Ja",J164:$J$546,"&lt;&gt;")=1,1,0))</f>
        <v>0</v>
      </c>
      <c r="AA164" s="15">
        <f t="shared" si="40"/>
        <v>3</v>
      </c>
      <c r="AB164" s="15" t="str">
        <f>IF(U164&lt;&gt;1,"",COUNTIF($U$5:U164,1))</f>
        <v/>
      </c>
      <c r="AC164" s="15" t="str">
        <f t="shared" si="34"/>
        <v/>
      </c>
      <c r="AD164" s="15" t="str">
        <f t="shared" si="35"/>
        <v>Vanligt café</v>
      </c>
      <c r="AE164" s="15" t="str">
        <f t="shared" si="36"/>
        <v/>
      </c>
      <c r="AF164" t="str">
        <f>IF(T164="","",IFERROR(MATCH(1,INDEX((MATCHER!$B$5:$B$504=A164)*(MATCHER!$D$5:$D$504=C164)*(MATCHER!$K$5:$K$504="Ja")*(MATCHER!$C$5:$C$504&lt;E164)*(MATCHER!$M$5:$M$504&gt;D164)*(ROW(MATCHER!$A$5:$A$504)-ROW(MATCHER!$A$5)+1&gt;T164),0),0),""))</f>
        <v/>
      </c>
    </row>
    <row r="165" spans="1:32" ht="26">
      <c r="A165" s="42">
        <v>46333</v>
      </c>
      <c r="B165" s="43" t="s">
        <v>85</v>
      </c>
      <c r="C165" s="43" t="s">
        <v>86</v>
      </c>
      <c r="D165" s="44">
        <v>0.5625</v>
      </c>
      <c r="E165" s="44">
        <v>0.58333333333333304</v>
      </c>
      <c r="F165" s="45" t="str">
        <f>IF(R165="","",HOUR(INDEX(MATCHER!$C$5:$C$504,R165))&amp;":"&amp;IF(MINUTE(INDEX(MATCHER!$C$5:$C$504,R165))&lt;10,"0","")&amp;MINUTE(INDEX(MATCHER!$C$5:$C$504,R165))&amp;" "&amp;INDEX(MATCHER!$H$5:$H$504,R165)&amp;" – "&amp;INDEX(MATCHER!$I$5:$I$504,R165))&amp;IF(S165="",""," | "&amp;HOUR(INDEX(MATCHER!$C$5:$C$504,S165))&amp;":"&amp;IF(MINUTE(INDEX(MATCHER!$C$5:$C$504,S165))&lt;10,"0","")&amp;MINUTE(INDEX(MATCHER!$C$5:$C$504,S165))&amp;" "&amp;INDEX(MATCHER!$H$5:$H$504,S165)&amp;" – "&amp;INDEX(MATCHER!$I$5:$I$504,S165))&amp;IF(T165="",""," | "&amp;HOUR(INDEX(MATCHER!$C$5:$C$504,T165))&amp;":"&amp;IF(MINUTE(INDEX(MATCHER!$C$5:$C$504,T165))&lt;10,"0","")&amp;MINUTE(INDEX(MATCHER!$C$5:$C$504,T165))&amp;" "&amp;INDEX(MATCHER!$H$5:$H$504,T165)&amp;" – "&amp;INDEX(MATCHER!$I$5:$I$504,T165))&amp;IF(AF165="",""," | "&amp;HOUR(INDEX(MATCHER!$C$5:$C$504,AF165))&amp;":"&amp;IF(MINUTE(INDEX(MATCHER!$C$5:$C$504,AF165))&lt;10,"0","")&amp;MINUTE(INDEX(MATCHER!$C$5:$C$504,AF165))&amp;" "&amp;INDEX(MATCHER!$H$5:$H$504,AF165)&amp;" – "&amp;INDEX(MATCHER!$I$5:$I$504,AF165))</f>
        <v>13:45 AIK – Åkersberga HK</v>
      </c>
      <c r="G165" s="45" t="str">
        <f>MID(IF(R165="","",IF(OR(INDEX(MATCHER!$J$5:$J$504,R165)=""),""," / "&amp;INDEX(MATCHER!$J$5:$J$504,R165)))&amp;IF(S165="","",IF(OR(INDEX(MATCHER!$J$5:$J$504,S165)="",INDEX(MATCHER!$J$5:$J$504,S165)=IFERROR(INDEX(MATCHER!$J$5:$J$504,R165),"")),""," / "&amp;INDEX(MATCHER!$J$5:$J$504,S165)))&amp;IF(T165="","",IF(OR(INDEX(MATCHER!$J$5:$J$504,T165)="",INDEX(MATCHER!$J$5:$J$504,T165)=IFERROR(INDEX(MATCHER!$J$5:$J$504,R165),""),INDEX(MATCHER!$J$5:$J$504,T165)=IFERROR(INDEX(MATCHER!$J$5:$J$504,S165),"")),""," / "&amp;INDEX(MATCHER!$J$5:$J$504,T165)))&amp;IF(AF165="","",IF(OR(INDEX(MATCHER!$J$5:$J$504,AF165)="",INDEX(MATCHER!$J$5:$J$504,AF165)=IFERROR(INDEX(MATCHER!$J$5:$J$504,R165),""),INDEX(MATCHER!$J$5:$J$504,AF165)=IFERROR(INDEX(MATCHER!$J$5:$J$504,S165),""),INDEX(MATCHER!$J$5:$J$504,AF165)=IFERROR(INDEX(MATCHER!$J$5:$J$504,T165),"")),""," / "&amp;INDEX(MATCHER!$J$5:$J$504,AF165))),4,1000)</f>
        <v>F14</v>
      </c>
      <c r="H165" s="45" t="str">
        <f t="shared" si="39"/>
        <v>U8, F13, F14</v>
      </c>
      <c r="I165" s="46" t="s">
        <v>90</v>
      </c>
      <c r="J165" s="47" t="s">
        <v>97</v>
      </c>
      <c r="K165" s="48"/>
      <c r="L165" s="49"/>
      <c r="M165" s="50" t="str">
        <f>IF(O165&lt;&gt;O164,MAX(1,MIN(AA165,ROUNDUP(SUMPRODUCT(($O$5:$O$546=O165)*($I$5:$I$546="Ja")*($E$5:$E$546-$D$5:$D$546))*24/REGLER!$B$8,0))),"")</f>
        <v/>
      </c>
      <c r="N165" s="50" t="str">
        <f t="shared" si="30"/>
        <v>Klar</v>
      </c>
      <c r="O165" s="15" t="s">
        <v>119</v>
      </c>
      <c r="P165" s="16">
        <v>0.33333333333333298</v>
      </c>
      <c r="Q165" s="16">
        <v>0.625</v>
      </c>
      <c r="R165" s="15">
        <f>IFERROR(MATCH(1,INDEX((MATCHER!$B$5:$B$504=A165)*(MATCHER!$D$5:$D$504=C165)*(MATCHER!$K$5:$K$504="Ja")*(MATCHER!$C$5:$C$504&lt;E165)*(MATCHER!$M$5:$M$504&gt;D165),0),0),"")</f>
        <v>55</v>
      </c>
      <c r="S165" s="15" t="str">
        <f>IF(R165="","",IFERROR(MATCH(1,INDEX((MATCHER!$B$5:$B$504=A165)*(MATCHER!$D$5:$D$504=C165)*(MATCHER!$K$5:$K$504="Ja")*(MATCHER!$C$5:$C$504&lt;E165)*(MATCHER!$M$5:$M$504&gt;D165)*(ROW(MATCHER!$A$5:$A$504)-ROW(MATCHER!$A$5)+1&gt;R165),0),0),""))</f>
        <v/>
      </c>
      <c r="T165" s="15" t="str">
        <f>IF(S165="","",IFERROR(MATCH(1,INDEX((MATCHER!$B$5:$B$504=A165)*(MATCHER!$D$5:$D$504=C165)*(MATCHER!$K$5:$K$504="Ja")*(MATCHER!$C$5:$C$504&lt;E165)*(MATCHER!$M$5:$M$504&gt;D165)*(ROW(MATCHER!$A$5:$A$504)-ROW(MATCHER!$A$5)+1&gt;S165),0),0),""))</f>
        <v/>
      </c>
      <c r="U165" s="15">
        <f t="shared" si="31"/>
        <v>0</v>
      </c>
      <c r="V165" s="15">
        <f>IF(OR(I165&lt;&gt;"Ja",J165=""),"",COUNTIFS($O$5:O165,O165,$U$5:U165,1))</f>
        <v>2</v>
      </c>
      <c r="W165" s="15" t="str">
        <f t="shared" si="32"/>
        <v>2026-11-07 | Ulriksdalshallen|2</v>
      </c>
      <c r="X165" s="16" t="str">
        <f t="shared" si="33"/>
        <v/>
      </c>
      <c r="Y165" s="15">
        <f>IF(OR(I165&lt;&gt;"Ja",J165=""),0,IF(COUNTIFS($O$5:O165,O165,$I$5:I165,"Ja",$J$5:J165,"&lt;&gt;")=1,1,0))</f>
        <v>0</v>
      </c>
      <c r="Z165" s="15">
        <f>IF(OR(I165&lt;&gt;"Ja",J165=""),0,IF(COUNTIFS(O165:$O$546,O165,I165:$I$546,"Ja",J165:$J$546,"&lt;&gt;")=1,1,0))</f>
        <v>0</v>
      </c>
      <c r="AA165" s="15">
        <f t="shared" si="40"/>
        <v>3</v>
      </c>
      <c r="AB165" s="15" t="str">
        <f>IF(U165&lt;&gt;1,"",COUNTIF($U$5:U165,1))</f>
        <v/>
      </c>
      <c r="AC165" s="15" t="str">
        <f t="shared" si="34"/>
        <v/>
      </c>
      <c r="AD165" s="15" t="str">
        <f t="shared" si="35"/>
        <v>Vanligt café</v>
      </c>
      <c r="AE165" s="15" t="str">
        <f t="shared" si="36"/>
        <v/>
      </c>
      <c r="AF165" t="str">
        <f>IF(T165="","",IFERROR(MATCH(1,INDEX((MATCHER!$B$5:$B$504=A165)*(MATCHER!$D$5:$D$504=C165)*(MATCHER!$K$5:$K$504="Ja")*(MATCHER!$C$5:$C$504&lt;E165)*(MATCHER!$M$5:$M$504&gt;D165)*(ROW(MATCHER!$A$5:$A$504)-ROW(MATCHER!$A$5)+1&gt;T165),0),0),""))</f>
        <v/>
      </c>
    </row>
    <row r="166" spans="1:32" ht="26">
      <c r="A166" s="42">
        <v>46333</v>
      </c>
      <c r="B166" s="43" t="s">
        <v>85</v>
      </c>
      <c r="C166" s="43" t="s">
        <v>86</v>
      </c>
      <c r="D166" s="44">
        <v>0.58333333333333304</v>
      </c>
      <c r="E166" s="44">
        <v>0.60416666666666696</v>
      </c>
      <c r="F166" s="45" t="str">
        <f>IF(R166="","",HOUR(INDEX(MATCHER!$C$5:$C$504,R166))&amp;":"&amp;IF(MINUTE(INDEX(MATCHER!$C$5:$C$504,R166))&lt;10,"0","")&amp;MINUTE(INDEX(MATCHER!$C$5:$C$504,R166))&amp;" "&amp;INDEX(MATCHER!$H$5:$H$504,R166)&amp;" – "&amp;INDEX(MATCHER!$I$5:$I$504,R166))&amp;IF(S166="",""," | "&amp;HOUR(INDEX(MATCHER!$C$5:$C$504,S166))&amp;":"&amp;IF(MINUTE(INDEX(MATCHER!$C$5:$C$504,S166))&lt;10,"0","")&amp;MINUTE(INDEX(MATCHER!$C$5:$C$504,S166))&amp;" "&amp;INDEX(MATCHER!$H$5:$H$504,S166)&amp;" – "&amp;INDEX(MATCHER!$I$5:$I$504,S166))&amp;IF(T166="",""," | "&amp;HOUR(INDEX(MATCHER!$C$5:$C$504,T166))&amp;":"&amp;IF(MINUTE(INDEX(MATCHER!$C$5:$C$504,T166))&lt;10,"0","")&amp;MINUTE(INDEX(MATCHER!$C$5:$C$504,T166))&amp;" "&amp;INDEX(MATCHER!$H$5:$H$504,T166)&amp;" – "&amp;INDEX(MATCHER!$I$5:$I$504,T166))&amp;IF(AF166="",""," | "&amp;HOUR(INDEX(MATCHER!$C$5:$C$504,AF166))&amp;":"&amp;IF(MINUTE(INDEX(MATCHER!$C$5:$C$504,AF166))&lt;10,"0","")&amp;MINUTE(INDEX(MATCHER!$C$5:$C$504,AF166))&amp;" "&amp;INDEX(MATCHER!$H$5:$H$504,AF166)&amp;" – "&amp;INDEX(MATCHER!$I$5:$I$504,AF166))</f>
        <v>13:45 AIK – Åkersberga HK</v>
      </c>
      <c r="G166" s="45" t="str">
        <f>MID(IF(R166="","",IF(OR(INDEX(MATCHER!$J$5:$J$504,R166)=""),""," / "&amp;INDEX(MATCHER!$J$5:$J$504,R166)))&amp;IF(S166="","",IF(OR(INDEX(MATCHER!$J$5:$J$504,S166)="",INDEX(MATCHER!$J$5:$J$504,S166)=IFERROR(INDEX(MATCHER!$J$5:$J$504,R166),"")),""," / "&amp;INDEX(MATCHER!$J$5:$J$504,S166)))&amp;IF(T166="","",IF(OR(INDEX(MATCHER!$J$5:$J$504,T166)="",INDEX(MATCHER!$J$5:$J$504,T166)=IFERROR(INDEX(MATCHER!$J$5:$J$504,R166),""),INDEX(MATCHER!$J$5:$J$504,T166)=IFERROR(INDEX(MATCHER!$J$5:$J$504,S166),"")),""," / "&amp;INDEX(MATCHER!$J$5:$J$504,T166)))&amp;IF(AF166="","",IF(OR(INDEX(MATCHER!$J$5:$J$504,AF166)="",INDEX(MATCHER!$J$5:$J$504,AF166)=IFERROR(INDEX(MATCHER!$J$5:$J$504,R166),""),INDEX(MATCHER!$J$5:$J$504,AF166)=IFERROR(INDEX(MATCHER!$J$5:$J$504,S166),""),INDEX(MATCHER!$J$5:$J$504,AF166)=IFERROR(INDEX(MATCHER!$J$5:$J$504,T166),"")),""," / "&amp;INDEX(MATCHER!$J$5:$J$504,AF166))),4,1000)</f>
        <v>F14</v>
      </c>
      <c r="H166" s="45" t="str">
        <f t="shared" si="39"/>
        <v>U8, F13, F14</v>
      </c>
      <c r="I166" s="46" t="s">
        <v>90</v>
      </c>
      <c r="J166" s="47" t="s">
        <v>97</v>
      </c>
      <c r="K166" s="48"/>
      <c r="L166" s="49"/>
      <c r="M166" s="50" t="str">
        <f>IF(O166&lt;&gt;O165,MAX(1,MIN(AA166,ROUNDUP(SUMPRODUCT(($O$5:$O$546=O166)*($I$5:$I$546="Ja")*($E$5:$E$546-$D$5:$D$546))*24/REGLER!$B$8,0))),"")</f>
        <v/>
      </c>
      <c r="N166" s="50" t="str">
        <f t="shared" si="30"/>
        <v>Klar</v>
      </c>
      <c r="O166" s="15" t="s">
        <v>119</v>
      </c>
      <c r="P166" s="16">
        <v>0.33333333333333298</v>
      </c>
      <c r="Q166" s="16">
        <v>0.625</v>
      </c>
      <c r="R166" s="15">
        <f>IFERROR(MATCH(1,INDEX((MATCHER!$B$5:$B$504=A166)*(MATCHER!$D$5:$D$504=C166)*(MATCHER!$K$5:$K$504="Ja")*(MATCHER!$C$5:$C$504&lt;E166)*(MATCHER!$M$5:$M$504&gt;D166),0),0),"")</f>
        <v>55</v>
      </c>
      <c r="S166" s="15" t="str">
        <f>IF(R166="","",IFERROR(MATCH(1,INDEX((MATCHER!$B$5:$B$504=A166)*(MATCHER!$D$5:$D$504=C166)*(MATCHER!$K$5:$K$504="Ja")*(MATCHER!$C$5:$C$504&lt;E166)*(MATCHER!$M$5:$M$504&gt;D166)*(ROW(MATCHER!$A$5:$A$504)-ROW(MATCHER!$A$5)+1&gt;R166),0),0),""))</f>
        <v/>
      </c>
      <c r="T166" s="15" t="str">
        <f>IF(S166="","",IFERROR(MATCH(1,INDEX((MATCHER!$B$5:$B$504=A166)*(MATCHER!$D$5:$D$504=C166)*(MATCHER!$K$5:$K$504="Ja")*(MATCHER!$C$5:$C$504&lt;E166)*(MATCHER!$M$5:$M$504&gt;D166)*(ROW(MATCHER!$A$5:$A$504)-ROW(MATCHER!$A$5)+1&gt;S166),0),0),""))</f>
        <v/>
      </c>
      <c r="U166" s="15">
        <f t="shared" si="31"/>
        <v>0</v>
      </c>
      <c r="V166" s="15">
        <f>IF(OR(I166&lt;&gt;"Ja",J166=""),"",COUNTIFS($O$5:O166,O166,$U$5:U166,1))</f>
        <v>2</v>
      </c>
      <c r="W166" s="15" t="str">
        <f t="shared" si="32"/>
        <v>2026-11-07 | Ulriksdalshallen|2</v>
      </c>
      <c r="X166" s="16" t="str">
        <f t="shared" si="33"/>
        <v/>
      </c>
      <c r="Y166" s="15">
        <f>IF(OR(I166&lt;&gt;"Ja",J166=""),0,IF(COUNTIFS($O$5:O166,O166,$I$5:I166,"Ja",$J$5:J166,"&lt;&gt;")=1,1,0))</f>
        <v>0</v>
      </c>
      <c r="Z166" s="15">
        <f>IF(OR(I166&lt;&gt;"Ja",J166=""),0,IF(COUNTIFS(O166:$O$546,O166,I166:$I$546,"Ja",J166:$J$546,"&lt;&gt;")=1,1,0))</f>
        <v>0</v>
      </c>
      <c r="AA166" s="15">
        <f t="shared" si="40"/>
        <v>3</v>
      </c>
      <c r="AB166" s="15" t="str">
        <f>IF(U166&lt;&gt;1,"",COUNTIF($U$5:U166,1))</f>
        <v/>
      </c>
      <c r="AC166" s="15" t="str">
        <f t="shared" si="34"/>
        <v/>
      </c>
      <c r="AD166" s="15" t="str">
        <f t="shared" si="35"/>
        <v>Vanligt café</v>
      </c>
      <c r="AE166" s="15" t="str">
        <f t="shared" si="36"/>
        <v/>
      </c>
      <c r="AF166" t="str">
        <f>IF(T166="","",IFERROR(MATCH(1,INDEX((MATCHER!$B$5:$B$504=A166)*(MATCHER!$D$5:$D$504=C166)*(MATCHER!$K$5:$K$504="Ja")*(MATCHER!$C$5:$C$504&lt;E166)*(MATCHER!$M$5:$M$504&gt;D166)*(ROW(MATCHER!$A$5:$A$504)-ROW(MATCHER!$A$5)+1&gt;T166),0),0),""))</f>
        <v/>
      </c>
    </row>
    <row r="167" spans="1:32" ht="26.5" thickBot="1">
      <c r="A167" s="52">
        <v>46333</v>
      </c>
      <c r="B167" s="53" t="s">
        <v>85</v>
      </c>
      <c r="C167" s="53" t="s">
        <v>86</v>
      </c>
      <c r="D167" s="54">
        <v>0.60416666666666696</v>
      </c>
      <c r="E167" s="54">
        <v>0.625</v>
      </c>
      <c r="F167" s="55" t="str">
        <f>IF(R167="","",HOUR(INDEX(MATCHER!$C$5:$C$504,R167))&amp;":"&amp;IF(MINUTE(INDEX(MATCHER!$C$5:$C$504,R167))&lt;10,"0","")&amp;MINUTE(INDEX(MATCHER!$C$5:$C$504,R167))&amp;" "&amp;INDEX(MATCHER!$H$5:$H$504,R167)&amp;" – "&amp;INDEX(MATCHER!$I$5:$I$504,R167))&amp;IF(S167="",""," | "&amp;HOUR(INDEX(MATCHER!$C$5:$C$504,S167))&amp;":"&amp;IF(MINUTE(INDEX(MATCHER!$C$5:$C$504,S167))&lt;10,"0","")&amp;MINUTE(INDEX(MATCHER!$C$5:$C$504,S167))&amp;" "&amp;INDEX(MATCHER!$H$5:$H$504,S167)&amp;" – "&amp;INDEX(MATCHER!$I$5:$I$504,S167))&amp;IF(T167="",""," | "&amp;HOUR(INDEX(MATCHER!$C$5:$C$504,T167))&amp;":"&amp;IF(MINUTE(INDEX(MATCHER!$C$5:$C$504,T167))&lt;10,"0","")&amp;MINUTE(INDEX(MATCHER!$C$5:$C$504,T167))&amp;" "&amp;INDEX(MATCHER!$H$5:$H$504,T167)&amp;" – "&amp;INDEX(MATCHER!$I$5:$I$504,T167))&amp;IF(AF167="",""," | "&amp;HOUR(INDEX(MATCHER!$C$5:$C$504,AF167))&amp;":"&amp;IF(MINUTE(INDEX(MATCHER!$C$5:$C$504,AF167))&lt;10,"0","")&amp;MINUTE(INDEX(MATCHER!$C$5:$C$504,AF167))&amp;" "&amp;INDEX(MATCHER!$H$5:$H$504,AF167)&amp;" – "&amp;INDEX(MATCHER!$I$5:$I$504,AF167))</f>
        <v/>
      </c>
      <c r="G167" s="55" t="str">
        <f>MID(IF(R167="","",IF(OR(INDEX(MATCHER!$J$5:$J$504,R167)=""),""," / "&amp;INDEX(MATCHER!$J$5:$J$504,R167)))&amp;IF(S167="","",IF(OR(INDEX(MATCHER!$J$5:$J$504,S167)="",INDEX(MATCHER!$J$5:$J$504,S167)=IFERROR(INDEX(MATCHER!$J$5:$J$504,R167),"")),""," / "&amp;INDEX(MATCHER!$J$5:$J$504,S167)))&amp;IF(T167="","",IF(OR(INDEX(MATCHER!$J$5:$J$504,T167)="",INDEX(MATCHER!$J$5:$J$504,T167)=IFERROR(INDEX(MATCHER!$J$5:$J$504,R167),""),INDEX(MATCHER!$J$5:$J$504,T167)=IFERROR(INDEX(MATCHER!$J$5:$J$504,S167),"")),""," / "&amp;INDEX(MATCHER!$J$5:$J$504,T167)))&amp;IF(AF167="","",IF(OR(INDEX(MATCHER!$J$5:$J$504,AF167)="",INDEX(MATCHER!$J$5:$J$504,AF167)=IFERROR(INDEX(MATCHER!$J$5:$J$504,R167),""),INDEX(MATCHER!$J$5:$J$504,AF167)=IFERROR(INDEX(MATCHER!$J$5:$J$504,S167),""),INDEX(MATCHER!$J$5:$J$504,AF167)=IFERROR(INDEX(MATCHER!$J$5:$J$504,T167),"")),""," / "&amp;INDEX(MATCHER!$J$5:$J$504,AF167))),4,1000)</f>
        <v/>
      </c>
      <c r="H167" s="55" t="str">
        <f t="shared" si="39"/>
        <v>U8, F13, F14</v>
      </c>
      <c r="I167" s="56" t="s">
        <v>90</v>
      </c>
      <c r="J167" s="57" t="s">
        <v>97</v>
      </c>
      <c r="K167" s="58"/>
      <c r="L167" s="59"/>
      <c r="M167" s="60" t="str">
        <f>IF(O167&lt;&gt;O166,MAX(1,MIN(AA167,ROUNDUP(SUMPRODUCT(($O$5:$O$546=O167)*($I$5:$I$546="Ja")*($E$5:$E$546-$D$5:$D$546))*24/REGLER!$B$8,0))),"")</f>
        <v/>
      </c>
      <c r="N167" s="60" t="str">
        <f t="shared" si="30"/>
        <v>Klar</v>
      </c>
      <c r="O167" s="15" t="s">
        <v>119</v>
      </c>
      <c r="P167" s="16">
        <v>0.33333333333333298</v>
      </c>
      <c r="Q167" s="16">
        <v>0.625</v>
      </c>
      <c r="R167" s="15" t="str">
        <f>IFERROR(MATCH(1,INDEX((MATCHER!$B$5:$B$504=A167)*(MATCHER!$D$5:$D$504=C167)*(MATCHER!$K$5:$K$504="Ja")*(MATCHER!$C$5:$C$504&lt;E167)*(MATCHER!$M$5:$M$504&gt;D167),0),0),"")</f>
        <v/>
      </c>
      <c r="S167" s="15" t="str">
        <f>IF(R167="","",IFERROR(MATCH(1,INDEX((MATCHER!$B$5:$B$504=A167)*(MATCHER!$D$5:$D$504=C167)*(MATCHER!$K$5:$K$504="Ja")*(MATCHER!$C$5:$C$504&lt;E167)*(MATCHER!$M$5:$M$504&gt;D167)*(ROW(MATCHER!$A$5:$A$504)-ROW(MATCHER!$A$5)+1&gt;R167),0),0),""))</f>
        <v/>
      </c>
      <c r="T167" s="15" t="str">
        <f>IF(S167="","",IFERROR(MATCH(1,INDEX((MATCHER!$B$5:$B$504=A167)*(MATCHER!$D$5:$D$504=C167)*(MATCHER!$K$5:$K$504="Ja")*(MATCHER!$C$5:$C$504&lt;E167)*(MATCHER!$M$5:$M$504&gt;D167)*(ROW(MATCHER!$A$5:$A$504)-ROW(MATCHER!$A$5)+1&gt;S167),0),0),""))</f>
        <v/>
      </c>
      <c r="U167" s="15">
        <f t="shared" si="31"/>
        <v>0</v>
      </c>
      <c r="V167" s="15">
        <f>IF(OR(I167&lt;&gt;"Ja",J167=""),"",COUNTIFS($O$5:O167,O167,$U$5:U167,1))</f>
        <v>2</v>
      </c>
      <c r="W167" s="15" t="str">
        <f t="shared" si="32"/>
        <v>2026-11-07 | Ulriksdalshallen|2</v>
      </c>
      <c r="X167" s="16">
        <f t="shared" si="33"/>
        <v>0.625</v>
      </c>
      <c r="Y167" s="15">
        <f>IF(OR(I167&lt;&gt;"Ja",J167=""),0,IF(COUNTIFS($O$5:O167,O167,$I$5:I167,"Ja",$J$5:J167,"&lt;&gt;")=1,1,0))</f>
        <v>0</v>
      </c>
      <c r="Z167" s="15">
        <f>IF(OR(I167&lt;&gt;"Ja",J167=""),0,IF(COUNTIFS(O167:$O$546,O167,I167:$I$546,"Ja",J167:$J$546,"&lt;&gt;")=1,1,0))</f>
        <v>1</v>
      </c>
      <c r="AA167" s="15">
        <f t="shared" si="40"/>
        <v>3</v>
      </c>
      <c r="AB167" s="15" t="str">
        <f>IF(U167&lt;&gt;1,"",COUNTIF($U$5:U167,1))</f>
        <v/>
      </c>
      <c r="AC167" s="15" t="str">
        <f t="shared" si="34"/>
        <v>2026-11-07 | Ulriksdalshallen|2</v>
      </c>
      <c r="AD167" s="15" t="str">
        <f t="shared" si="35"/>
        <v>Vanligt café</v>
      </c>
      <c r="AE167" s="15" t="str">
        <f t="shared" si="36"/>
        <v/>
      </c>
      <c r="AF167" t="str">
        <f>IF(T167="","",IFERROR(MATCH(1,INDEX((MATCHER!$B$5:$B$504=A167)*(MATCHER!$D$5:$D$504=C167)*(MATCHER!$K$5:$K$504="Ja")*(MATCHER!$C$5:$C$504&lt;E167)*(MATCHER!$M$5:$M$504&gt;D167)*(ROW(MATCHER!$A$5:$A$504)-ROW(MATCHER!$A$5)+1&gt;T167),0),0),""))</f>
        <v/>
      </c>
    </row>
    <row r="168" spans="1:32" ht="26">
      <c r="A168" s="42">
        <v>46336</v>
      </c>
      <c r="B168" s="43" t="s">
        <v>104</v>
      </c>
      <c r="C168" s="43" t="s">
        <v>110</v>
      </c>
      <c r="D168" s="44">
        <v>0.83333333333333304</v>
      </c>
      <c r="E168" s="44">
        <v>0.85416666666666696</v>
      </c>
      <c r="F168" s="45" t="str">
        <f>IF(R168="","",HOUR(INDEX(MATCHER!$C$5:$C$504,R168))&amp;":"&amp;IF(MINUTE(INDEX(MATCHER!$C$5:$C$504,R168))&lt;10,"0","")&amp;MINUTE(INDEX(MATCHER!$C$5:$C$504,R168))&amp;" "&amp;INDEX(MATCHER!$H$5:$H$504,R168)&amp;" – "&amp;INDEX(MATCHER!$I$5:$I$504,R168))&amp;IF(S168="",""," | "&amp;HOUR(INDEX(MATCHER!$C$5:$C$504,S168))&amp;":"&amp;IF(MINUTE(INDEX(MATCHER!$C$5:$C$504,S168))&lt;10,"0","")&amp;MINUTE(INDEX(MATCHER!$C$5:$C$504,S168))&amp;" "&amp;INDEX(MATCHER!$H$5:$H$504,S168)&amp;" – "&amp;INDEX(MATCHER!$I$5:$I$504,S168))&amp;IF(T168="",""," | "&amp;HOUR(INDEX(MATCHER!$C$5:$C$504,T168))&amp;":"&amp;IF(MINUTE(INDEX(MATCHER!$C$5:$C$504,T168))&lt;10,"0","")&amp;MINUTE(INDEX(MATCHER!$C$5:$C$504,T168))&amp;" "&amp;INDEX(MATCHER!$H$5:$H$504,T168)&amp;" – "&amp;INDEX(MATCHER!$I$5:$I$504,T168))&amp;IF(AF168="",""," | "&amp;HOUR(INDEX(MATCHER!$C$5:$C$504,AF168))&amp;":"&amp;IF(MINUTE(INDEX(MATCHER!$C$5:$C$504,AF168))&lt;10,"0","")&amp;MINUTE(INDEX(MATCHER!$C$5:$C$504,AF168))&amp;" "&amp;INDEX(MATCHER!$H$5:$H$504,AF168)&amp;" – "&amp;INDEX(MATCHER!$I$5:$I$504,AF168))</f>
        <v/>
      </c>
      <c r="G168" s="45" t="str">
        <f>MID(IF(R168="","",IF(OR(INDEX(MATCHER!$J$5:$J$504,R168)=""),""," / "&amp;INDEX(MATCHER!$J$5:$J$504,R168)))&amp;IF(S168="","",IF(OR(INDEX(MATCHER!$J$5:$J$504,S168)="",INDEX(MATCHER!$J$5:$J$504,S168)=IFERROR(INDEX(MATCHER!$J$5:$J$504,R168),"")),""," / "&amp;INDEX(MATCHER!$J$5:$J$504,S168)))&amp;IF(T168="","",IF(OR(INDEX(MATCHER!$J$5:$J$504,T168)="",INDEX(MATCHER!$J$5:$J$504,T168)=IFERROR(INDEX(MATCHER!$J$5:$J$504,R168),""),INDEX(MATCHER!$J$5:$J$504,T168)=IFERROR(INDEX(MATCHER!$J$5:$J$504,S168),"")),""," / "&amp;INDEX(MATCHER!$J$5:$J$504,T168)))&amp;IF(AF168="","",IF(OR(INDEX(MATCHER!$J$5:$J$504,AF168)="",INDEX(MATCHER!$J$5:$J$504,AF168)=IFERROR(INDEX(MATCHER!$J$5:$J$504,R168),""),INDEX(MATCHER!$J$5:$J$504,AF168)=IFERROR(INDEX(MATCHER!$J$5:$J$504,S168),""),INDEX(MATCHER!$J$5:$J$504,AF168)=IFERROR(INDEX(MATCHER!$J$5:$J$504,T168),"")),""," / "&amp;INDEX(MATCHER!$J$5:$J$504,AF168))),4,1000)</f>
        <v/>
      </c>
      <c r="H168" s="45" t="str">
        <f>MID(IF(COUNTIFS(MATCHER!$B$5:$B$504,A168,MATCHER!$D$5:$D$504,C168,MATCHER!$J$5:$J$504,REGLER!$I$6,MATCHER!$K$5:$K$504,"Ja")+COUNTIFS(MATCHER!$B$5:$B$504,A168,MATCHER!$D$5:$D$504,C168,MATCHER!$J$5:$J$504,REGLER!$I$6&amp;" 2",MATCHER!$K$5:$K$504,"Ja")&gt;0,", "&amp;REGLER!$I$6,"")&amp;IF(COUNTIFS(MATCHER!$B$5:$B$504,A168,MATCHER!$D$5:$D$504,C168,MATCHER!$J$5:$J$504,REGLER!$I$7,MATCHER!$K$5:$K$504,"Ja")+COUNTIFS(MATCHER!$B$5:$B$504,A168,MATCHER!$D$5:$D$504,C168,MATCHER!$J$5:$J$504,REGLER!$I$7&amp;" 2",MATCHER!$K$5:$K$504,"Ja")&gt;0,", "&amp;REGLER!$I$7,"")&amp;IF(COUNTIFS(MATCHER!$B$5:$B$504,A168,MATCHER!$D$5:$D$504,C168,MATCHER!$J$5:$J$504,REGLER!$I$8,MATCHER!$K$5:$K$504,"Ja")+COUNTIFS(MATCHER!$B$5:$B$504,A168,MATCHER!$D$5:$D$504,C168,MATCHER!$J$5:$J$504,REGLER!$I$8&amp;" 2",MATCHER!$K$5:$K$504,"Ja")&gt;0,", "&amp;REGLER!$I$8,"")&amp;IF(COUNTIFS(MATCHER!$B$5:$B$504,A168,MATCHER!$D$5:$D$504,C168,MATCHER!$J$5:$J$504,REGLER!$I$9,MATCHER!$K$5:$K$504,"Ja")+COUNTIFS(MATCHER!$B$5:$B$504,A168,MATCHER!$D$5:$D$504,C168,MATCHER!$J$5:$J$504,REGLER!$I$9&amp;" 2",MATCHER!$K$5:$K$504,"Ja")&gt;0,", "&amp;REGLER!$I$9,"")&amp;IF(COUNTIFS(MATCHER!$B$5:$B$504,A168,MATCHER!$D$5:$D$504,C168,MATCHER!$J$5:$J$504,REGLER!$I$10,MATCHER!$K$5:$K$504,"Ja")+COUNTIFS(MATCHER!$B$5:$B$504,A168,MATCHER!$D$5:$D$504,C168,MATCHER!$J$5:$J$504,REGLER!$I$10&amp;" 2",MATCHER!$K$5:$K$504,"Ja")&gt;0,", "&amp;REGLER!$I$10,"")&amp;IF(COUNTIFS(MATCHER!$B$5:$B$504,A168,MATCHER!$D$5:$D$504,C168,MATCHER!$J$5:$J$504,REGLER!$I$11,MATCHER!$K$5:$K$504,"Ja")+COUNTIFS(MATCHER!$B$5:$B$504,A168,MATCHER!$D$5:$D$504,C168,MATCHER!$J$5:$J$504,REGLER!$I$11&amp;" 2",MATCHER!$K$5:$K$504,"Ja")&gt;0,", "&amp;REGLER!$I$11,"")&amp;IF(COUNTIFS(MATCHER!$B$5:$B$504,A168,MATCHER!$D$5:$D$504,C168,MATCHER!$J$5:$J$504,REGLER!$I$12,MATCHER!$K$5:$K$504,"Ja")+COUNTIFS(MATCHER!$B$5:$B$504,A168,MATCHER!$D$5:$D$504,C168,MATCHER!$J$5:$J$504,REGLER!$I$12&amp;" 2",MATCHER!$K$5:$K$504,"Ja")&gt;0,", "&amp;REGLER!$I$12,"")&amp;IF(COUNTIFS(MATCHER!$B$5:$B$504,A168,MATCHER!$D$5:$D$504,C168,MATCHER!$J$5:$J$504,REGLER!$I$13,MATCHER!$K$5:$K$504,"Ja")+COUNTIFS(MATCHER!$B$5:$B$504,A168,MATCHER!$D$5:$D$504,C168,MATCHER!$J$5:$J$504,REGLER!$I$13&amp;" 2",MATCHER!$K$5:$K$504,"Ja")&gt;0,", "&amp;REGLER!$I$13,"")&amp;IF(COUNTIFS(MATCHER!$B$5:$B$504,A168,MATCHER!$D$5:$D$504,C168,MATCHER!$J$5:$J$504,REGLER!$I$14,MATCHER!$K$5:$K$504,"Ja")+COUNTIFS(MATCHER!$B$5:$B$504,A168,MATCHER!$D$5:$D$504,C168,MATCHER!$J$5:$J$504,REGLER!$I$14&amp;" 2",MATCHER!$K$5:$K$504,"Ja")&gt;0,", "&amp;REGLER!$I$14,"")&amp;IF(COUNTIFS(MATCHER!$B$5:$B$504,A168,MATCHER!$D$5:$D$504,C168,MATCHER!$J$5:$J$504,REGLER!$I$15,MATCHER!$K$5:$K$504,"Ja")+COUNTIFS(MATCHER!$B$5:$B$504,A168,MATCHER!$D$5:$D$504,C168,MATCHER!$J$5:$J$504,REGLER!$I$15&amp;" 2",MATCHER!$K$5:$K$504,"Ja")&gt;0,", "&amp;REGLER!$I$15,"")&amp;IF(COUNTIFS(MATCHER!$B$5:$B$504,A168,MATCHER!$D$5:$D$504,C168,MATCHER!$J$5:$J$504,REGLER!$I$16,MATCHER!$K$5:$K$504,"Ja")+COUNTIFS(MATCHER!$B$5:$B$504,A168,MATCHER!$D$5:$D$504,C168,MATCHER!$J$5:$J$504,REGLER!$I$16&amp;" 2",MATCHER!$K$5:$K$504,"Ja")&gt;0,", "&amp;REGLER!$I$16,"")&amp;IF(COUNTIFS(MATCHER!$B$5:$B$504,A168,MATCHER!$D$5:$D$504,C168,MATCHER!$J$5:$J$504,REGLER!$I$17,MATCHER!$K$5:$K$504,"Ja")+COUNTIFS(MATCHER!$B$5:$B$504,A168,MATCHER!$D$5:$D$504,C168,MATCHER!$J$5:$J$504,REGLER!$I$17&amp;" 2",MATCHER!$K$5:$K$504,"Ja")&gt;0,", "&amp;REGLER!$I$17,"")&amp;IF(COUNTIFS(MATCHER!$B$5:$B$504,A168,MATCHER!$D$5:$D$504,C168,MATCHER!$J$5:$J$504,REGLER!$I$18,MATCHER!$K$5:$K$504,"Ja")+COUNTIFS(MATCHER!$B$5:$B$504,A168,MATCHER!$D$5:$D$504,C168,MATCHER!$J$5:$J$504,REGLER!$I$18&amp;" 2",MATCHER!$K$5:$K$504,"Ja")&gt;0,", "&amp;REGLER!$I$18,"")&amp;IF(COUNTIFS(MATCHER!$B$5:$B$504,A168,MATCHER!$D$5:$D$504,C168,MATCHER!$J$5:$J$504,REGLER!$I$19,MATCHER!$K$5:$K$504,"Ja")+COUNTIFS(MATCHER!$B$5:$B$504,A168,MATCHER!$D$5:$D$504,C168,MATCHER!$J$5:$J$504,REGLER!$I$19&amp;" 2",MATCHER!$K$5:$K$504,"Ja")&gt;0,", "&amp;REGLER!$I$19,"")&amp;IF(COUNTIFS(MATCHER!$B$5:$B$504,A168,MATCHER!$D$5:$D$504,C168,MATCHER!$J$5:$J$504,REGLER!$I$20,MATCHER!$K$5:$K$504,"Ja")+COUNTIFS(MATCHER!$B$5:$B$504,A168,MATCHER!$D$5:$D$504,C168,MATCHER!$J$5:$J$504,REGLER!$I$20&amp;" 2",MATCHER!$K$5:$K$504,"Ja")&gt;0,", "&amp;REGLER!$I$20,"")&amp;IF(COUNTIFS(MATCHER!$B$5:$B$504,A168,MATCHER!$D$5:$D$504,C168,MATCHER!$J$5:$J$504,REGLER!$I$21,MATCHER!$K$5:$K$504,"Ja")+COUNTIFS(MATCHER!$B$5:$B$504,A168,MATCHER!$D$5:$D$504,C168,MATCHER!$J$5:$J$504,REGLER!$I$21&amp;" 2",MATCHER!$K$5:$K$504,"Ja")&gt;0,", "&amp;REGLER!$I$21,"")&amp;IF(COUNTIFS(MATCHER!$B$5:$B$504,A168,MATCHER!$D$5:$D$504,C168,MATCHER!$J$5:$J$504,REGLER!$I$22,MATCHER!$K$5:$K$504,"Ja")+COUNTIFS(MATCHER!$B$5:$B$504,A168,MATCHER!$D$5:$D$504,C168,MATCHER!$J$5:$J$504,REGLER!$I$22&amp;" 2",MATCHER!$K$5:$K$504,"Ja")&gt;0,", "&amp;REGLER!$I$22,"")&amp;IF(COUNTIFS(MATCHER!$B$5:$B$504,A168,MATCHER!$D$5:$D$504,C168,MATCHER!$J$5:$J$504,REGLER!$I$23,MATCHER!$K$5:$K$504,"Ja")+COUNTIFS(MATCHER!$B$5:$B$504,A168,MATCHER!$D$5:$D$504,C168,MATCHER!$J$5:$J$504,REGLER!$I$23&amp;" 2",MATCHER!$K$5:$K$504,"Ja")&gt;0,", "&amp;REGLER!$I$23,"")&amp;IF(COUNTIFS(MATCHER!$B$5:$B$504,A168,MATCHER!$D$5:$D$504,C168,MATCHER!$J$5:$J$504,REGLER!$I$24,MATCHER!$K$5:$K$504,"Ja")+COUNTIFS(MATCHER!$B$5:$B$504,A168,MATCHER!$D$5:$D$504,C168,MATCHER!$J$5:$J$504,REGLER!$I$24&amp;" 2",MATCHER!$K$5:$K$504,"Ja")&gt;0,", "&amp;REGLER!$I$24,"")&amp;IF(COUNTIFS(MATCHER!$B$5:$B$504,A168,MATCHER!$D$5:$D$504,C168,MATCHER!$J$5:$J$504,REGLER!$I$25,MATCHER!$K$5:$K$504,"Ja")+COUNTIFS(MATCHER!$B$5:$B$504,A168,MATCHER!$D$5:$D$504,C168,MATCHER!$J$5:$J$504,REGLER!$I$25&amp;" 2",MATCHER!$K$5:$K$504,"Ja")&gt;0,", "&amp;REGLER!$I$25,"")&amp;IF(COUNTIFS(MATCHER!$B$5:$B$504,A168,MATCHER!$D$5:$D$504,C168,MATCHER!$J$5:$J$504,REGLER!$I$26,MATCHER!$K$5:$K$504,"Ja")+COUNTIFS(MATCHER!$B$5:$B$504,A168,MATCHER!$D$5:$D$504,C168,MATCHER!$J$5:$J$504,REGLER!$I$26&amp;" 2",MATCHER!$K$5:$K$504,"Ja")&gt;0,", "&amp;REGLER!$I$26,""),3,1000)</f>
        <v>Dam</v>
      </c>
      <c r="I168" s="46" t="s">
        <v>87</v>
      </c>
      <c r="J168" s="47"/>
      <c r="K168" s="48" t="s">
        <v>98</v>
      </c>
      <c r="L168" s="49"/>
      <c r="M168" s="50">
        <f>IF(O168&lt;&gt;O167,MAX(1,MIN(AA168,ROUNDUP(SUMPRODUCT(($O$5:$O$546=O168)*($I$5:$I$546="Ja")*($E$5:$E$546-$D$5:$D$546))*24/REGLER!$B$8,0))),"")</f>
        <v>1</v>
      </c>
      <c r="N168" s="50" t="str">
        <f t="shared" si="30"/>
        <v>Ej öppet</v>
      </c>
      <c r="O168" s="15" t="s">
        <v>120</v>
      </c>
      <c r="P168" s="16">
        <v>0.83333333333333304</v>
      </c>
      <c r="Q168" s="16">
        <v>0.9375</v>
      </c>
      <c r="R168" s="15" t="str">
        <f>IFERROR(MATCH(1,INDEX((MATCHER!$B$5:$B$504=A168)*(MATCHER!$D$5:$D$504=C168)*(MATCHER!$K$5:$K$504="Ja")*(MATCHER!$C$5:$C$504&lt;E168)*(MATCHER!$M$5:$M$504&gt;D168),0),0),"")</f>
        <v/>
      </c>
      <c r="S168" s="15" t="str">
        <f>IF(R168="","",IFERROR(MATCH(1,INDEX((MATCHER!$B$5:$B$504=A168)*(MATCHER!$D$5:$D$504=C168)*(MATCHER!$K$5:$K$504="Ja")*(MATCHER!$C$5:$C$504&lt;E168)*(MATCHER!$M$5:$M$504&gt;D168)*(ROW(MATCHER!$A$5:$A$504)-ROW(MATCHER!$A$5)+1&gt;R168),0),0),""))</f>
        <v/>
      </c>
      <c r="T168" s="15" t="str">
        <f>IF(S168="","",IFERROR(MATCH(1,INDEX((MATCHER!$B$5:$B$504=A168)*(MATCHER!$D$5:$D$504=C168)*(MATCHER!$K$5:$K$504="Ja")*(MATCHER!$C$5:$C$504&lt;E168)*(MATCHER!$M$5:$M$504&gt;D168)*(ROW(MATCHER!$A$5:$A$504)-ROW(MATCHER!$A$5)+1&gt;S168),0),0),""))</f>
        <v/>
      </c>
      <c r="U168" s="15" t="str">
        <f t="shared" si="31"/>
        <v/>
      </c>
      <c r="V168" s="15" t="str">
        <f>IF(OR(I168&lt;&gt;"Ja",J168=""),"",COUNTIFS($O$5:O168,O168,$U$5:U168,1))</f>
        <v/>
      </c>
      <c r="W168" s="15" t="str">
        <f t="shared" si="32"/>
        <v/>
      </c>
      <c r="X168" s="16" t="str">
        <f t="shared" si="33"/>
        <v/>
      </c>
      <c r="Y168" s="15">
        <f>IF(OR(I168&lt;&gt;"Ja",J168=""),0,IF(COUNTIFS($O$5:O168,O168,$I$5:I168,"Ja",$J$5:J168,"&lt;&gt;")=1,1,0))</f>
        <v>0</v>
      </c>
      <c r="Z168" s="15">
        <f>IF(OR(I168&lt;&gt;"Ja",J168=""),0,IF(COUNTIFS(O168:$O$546,O168,I168:$I$546,"Ja",J168:$J$546,"&lt;&gt;")=1,1,0))</f>
        <v>0</v>
      </c>
      <c r="AA168" s="15">
        <f>IF(COUNTIFS(MATCHER!$B$5:$B$504,A168,MATCHER!$D$5:$D$504,C168,MATCHER!$J$5:$J$504,REGLER!$I$6,MATCHER!$K$5:$K$504,"Ja")+COUNTIFS(MATCHER!$B$5:$B$504,A168,MATCHER!$D$5:$D$504,C168,MATCHER!$J$5:$J$504,REGLER!$I$6&amp;" 2",MATCHER!$K$5:$K$504,"Ja")&gt;0,1,0)+IF(COUNTIFS(MATCHER!$B$5:$B$504,A168,MATCHER!$D$5:$D$504,C168,MATCHER!$J$5:$J$504,REGLER!$I$7,MATCHER!$K$5:$K$504,"Ja")+COUNTIFS(MATCHER!$B$5:$B$504,A168,MATCHER!$D$5:$D$504,C168,MATCHER!$J$5:$J$504,REGLER!$I$7&amp;" 2",MATCHER!$K$5:$K$504,"Ja")&gt;0,1,0)+IF(COUNTIFS(MATCHER!$B$5:$B$504,A168,MATCHER!$D$5:$D$504,C168,MATCHER!$J$5:$J$504,REGLER!$I$8,MATCHER!$K$5:$K$504,"Ja")+COUNTIFS(MATCHER!$B$5:$B$504,A168,MATCHER!$D$5:$D$504,C168,MATCHER!$J$5:$J$504,REGLER!$I$8&amp;" 2",MATCHER!$K$5:$K$504,"Ja")&gt;0,1,0)+IF(COUNTIFS(MATCHER!$B$5:$B$504,A168,MATCHER!$D$5:$D$504,C168,MATCHER!$J$5:$J$504,REGLER!$I$9,MATCHER!$K$5:$K$504,"Ja")+COUNTIFS(MATCHER!$B$5:$B$504,A168,MATCHER!$D$5:$D$504,C168,MATCHER!$J$5:$J$504,REGLER!$I$9&amp;" 2",MATCHER!$K$5:$K$504,"Ja")&gt;0,1,0)+IF(COUNTIFS(MATCHER!$B$5:$B$504,A168,MATCHER!$D$5:$D$504,C168,MATCHER!$J$5:$J$504,REGLER!$I$10,MATCHER!$K$5:$K$504,"Ja")+COUNTIFS(MATCHER!$B$5:$B$504,A168,MATCHER!$D$5:$D$504,C168,MATCHER!$J$5:$J$504,REGLER!$I$10&amp;" 2",MATCHER!$K$5:$K$504,"Ja")&gt;0,1,0)+IF(COUNTIFS(MATCHER!$B$5:$B$504,A168,MATCHER!$D$5:$D$504,C168,MATCHER!$J$5:$J$504,REGLER!$I$11,MATCHER!$K$5:$K$504,"Ja")+COUNTIFS(MATCHER!$B$5:$B$504,A168,MATCHER!$D$5:$D$504,C168,MATCHER!$J$5:$J$504,REGLER!$I$11&amp;" 2",MATCHER!$K$5:$K$504,"Ja")&gt;0,1,0)+IF(COUNTIFS(MATCHER!$B$5:$B$504,A168,MATCHER!$D$5:$D$504,C168,MATCHER!$J$5:$J$504,REGLER!$I$12,MATCHER!$K$5:$K$504,"Ja")+COUNTIFS(MATCHER!$B$5:$B$504,A168,MATCHER!$D$5:$D$504,C168,MATCHER!$J$5:$J$504,REGLER!$I$12&amp;" 2",MATCHER!$K$5:$K$504,"Ja")&gt;0,1,0)+IF(COUNTIFS(MATCHER!$B$5:$B$504,A168,MATCHER!$D$5:$D$504,C168,MATCHER!$J$5:$J$504,REGLER!$I$13,MATCHER!$K$5:$K$504,"Ja")+COUNTIFS(MATCHER!$B$5:$B$504,A168,MATCHER!$D$5:$D$504,C168,MATCHER!$J$5:$J$504,REGLER!$I$13&amp;" 2",MATCHER!$K$5:$K$504,"Ja")&gt;0,1,0)+IF(COUNTIFS(MATCHER!$B$5:$B$504,A168,MATCHER!$D$5:$D$504,C168,MATCHER!$J$5:$J$504,REGLER!$I$14,MATCHER!$K$5:$K$504,"Ja")+COUNTIFS(MATCHER!$B$5:$B$504,A168,MATCHER!$D$5:$D$504,C168,MATCHER!$J$5:$J$504,REGLER!$I$14&amp;" 2",MATCHER!$K$5:$K$504,"Ja")&gt;0,1,0)+IF(COUNTIFS(MATCHER!$B$5:$B$504,A168,MATCHER!$D$5:$D$504,C168,MATCHER!$J$5:$J$504,REGLER!$I$15,MATCHER!$K$5:$K$504,"Ja")+COUNTIFS(MATCHER!$B$5:$B$504,A168,MATCHER!$D$5:$D$504,C168,MATCHER!$J$5:$J$504,REGLER!$I$15&amp;" 2",MATCHER!$K$5:$K$504,"Ja")&gt;0,1,0)+IF(COUNTIFS(MATCHER!$B$5:$B$504,A168,MATCHER!$D$5:$D$504,C168,MATCHER!$J$5:$J$504,REGLER!$I$16,MATCHER!$K$5:$K$504,"Ja")+COUNTIFS(MATCHER!$B$5:$B$504,A168,MATCHER!$D$5:$D$504,C168,MATCHER!$J$5:$J$504,REGLER!$I$16&amp;" 2",MATCHER!$K$5:$K$504,"Ja")&gt;0,1,0)+IF(COUNTIFS(MATCHER!$B$5:$B$504,A168,MATCHER!$D$5:$D$504,C168,MATCHER!$J$5:$J$504,REGLER!$I$17,MATCHER!$K$5:$K$504,"Ja")+COUNTIFS(MATCHER!$B$5:$B$504,A168,MATCHER!$D$5:$D$504,C168,MATCHER!$J$5:$J$504,REGLER!$I$17&amp;" 2",MATCHER!$K$5:$K$504,"Ja")&gt;0,1,0)+IF(COUNTIFS(MATCHER!$B$5:$B$504,A168,MATCHER!$D$5:$D$504,C168,MATCHER!$J$5:$J$504,REGLER!$I$18,MATCHER!$K$5:$K$504,"Ja")+COUNTIFS(MATCHER!$B$5:$B$504,A168,MATCHER!$D$5:$D$504,C168,MATCHER!$J$5:$J$504,REGLER!$I$18&amp;" 2",MATCHER!$K$5:$K$504,"Ja")&gt;0,1,0)+IF(COUNTIFS(MATCHER!$B$5:$B$504,A168,MATCHER!$D$5:$D$504,C168,MATCHER!$J$5:$J$504,REGLER!$I$19,MATCHER!$K$5:$K$504,"Ja")+COUNTIFS(MATCHER!$B$5:$B$504,A168,MATCHER!$D$5:$D$504,C168,MATCHER!$J$5:$J$504,REGLER!$I$19&amp;" 2",MATCHER!$K$5:$K$504,"Ja")&gt;0,1,0)+IF(COUNTIFS(MATCHER!$B$5:$B$504,A168,MATCHER!$D$5:$D$504,C168,MATCHER!$J$5:$J$504,REGLER!$I$20,MATCHER!$K$5:$K$504,"Ja")+COUNTIFS(MATCHER!$B$5:$B$504,A168,MATCHER!$D$5:$D$504,C168,MATCHER!$J$5:$J$504,REGLER!$I$20&amp;" 2",MATCHER!$K$5:$K$504,"Ja")&gt;0,1,0)+IF(COUNTIFS(MATCHER!$B$5:$B$504,A168,MATCHER!$D$5:$D$504,C168,MATCHER!$J$5:$J$504,REGLER!$I$21,MATCHER!$K$5:$K$504,"Ja")+COUNTIFS(MATCHER!$B$5:$B$504,A168,MATCHER!$D$5:$D$504,C168,MATCHER!$J$5:$J$504,REGLER!$I$21&amp;" 2",MATCHER!$K$5:$K$504,"Ja")&gt;0,1,0)+IF(COUNTIFS(MATCHER!$B$5:$B$504,A168,MATCHER!$D$5:$D$504,C168,MATCHER!$J$5:$J$504,REGLER!$I$22,MATCHER!$K$5:$K$504,"Ja")+COUNTIFS(MATCHER!$B$5:$B$504,A168,MATCHER!$D$5:$D$504,C168,MATCHER!$J$5:$J$504,REGLER!$I$22&amp;" 2",MATCHER!$K$5:$K$504,"Ja")&gt;0,1,0)+IF(COUNTIFS(MATCHER!$B$5:$B$504,A168,MATCHER!$D$5:$D$504,C168,MATCHER!$J$5:$J$504,REGLER!$I$23,MATCHER!$K$5:$K$504,"Ja")+COUNTIFS(MATCHER!$B$5:$B$504,A168,MATCHER!$D$5:$D$504,C168,MATCHER!$J$5:$J$504,REGLER!$I$23&amp;" 2",MATCHER!$K$5:$K$504,"Ja")&gt;0,1,0)+IF(COUNTIFS(MATCHER!$B$5:$B$504,A168,MATCHER!$D$5:$D$504,C168,MATCHER!$J$5:$J$504,REGLER!$I$24,MATCHER!$K$5:$K$504,"Ja")+COUNTIFS(MATCHER!$B$5:$B$504,A168,MATCHER!$D$5:$D$504,C168,MATCHER!$J$5:$J$504,REGLER!$I$24&amp;" 2",MATCHER!$K$5:$K$504,"Ja")&gt;0,1,0)+IF(COUNTIFS(MATCHER!$B$5:$B$504,A168,MATCHER!$D$5:$D$504,C168,MATCHER!$J$5:$J$504,REGLER!$I$25,MATCHER!$K$5:$K$504,"Ja")+COUNTIFS(MATCHER!$B$5:$B$504,A168,MATCHER!$D$5:$D$504,C168,MATCHER!$J$5:$J$504,REGLER!$I$25&amp;" 2",MATCHER!$K$5:$K$504,"Ja")&gt;0,1,0)+IF(COUNTIFS(MATCHER!$B$5:$B$504,A168,MATCHER!$D$5:$D$504,C168,MATCHER!$J$5:$J$504,REGLER!$I$26,MATCHER!$K$5:$K$504,"Ja")+COUNTIFS(MATCHER!$B$5:$B$504,A168,MATCHER!$D$5:$D$504,C168,MATCHER!$J$5:$J$504,REGLER!$I$26&amp;" 2",MATCHER!$K$5:$K$504,"Ja")&gt;0,1,0)</f>
        <v>1</v>
      </c>
      <c r="AB168" s="15" t="str">
        <f>IF(U168&lt;&gt;1,"",COUNTIF($U$5:U168,1))</f>
        <v/>
      </c>
      <c r="AC168" s="15" t="str">
        <f t="shared" si="34"/>
        <v/>
      </c>
      <c r="AD168" s="15" t="str">
        <f t="shared" si="35"/>
        <v>Minicafé</v>
      </c>
      <c r="AE168" s="15" t="str">
        <f t="shared" si="36"/>
        <v/>
      </c>
      <c r="AF168" t="str">
        <f>IF(T168="","",IFERROR(MATCH(1,INDEX((MATCHER!$B$5:$B$504=A168)*(MATCHER!$D$5:$D$504=C168)*(MATCHER!$K$5:$K$504="Ja")*(MATCHER!$C$5:$C$504&lt;E168)*(MATCHER!$M$5:$M$504&gt;D168)*(ROW(MATCHER!$A$5:$A$504)-ROW(MATCHER!$A$5)+1&gt;T168),0),0),""))</f>
        <v/>
      </c>
    </row>
    <row r="169" spans="1:32" ht="26">
      <c r="A169" s="42">
        <v>46336</v>
      </c>
      <c r="B169" s="43" t="s">
        <v>104</v>
      </c>
      <c r="C169" s="43" t="s">
        <v>110</v>
      </c>
      <c r="D169" s="44">
        <v>0.85416666666666696</v>
      </c>
      <c r="E169" s="44">
        <v>0.875</v>
      </c>
      <c r="F169" s="45" t="str">
        <f>IF(R169="","",HOUR(INDEX(MATCHER!$C$5:$C$504,R169))&amp;":"&amp;IF(MINUTE(INDEX(MATCHER!$C$5:$C$504,R169))&lt;10,"0","")&amp;MINUTE(INDEX(MATCHER!$C$5:$C$504,R169))&amp;" "&amp;INDEX(MATCHER!$H$5:$H$504,R169)&amp;" – "&amp;INDEX(MATCHER!$I$5:$I$504,R169))&amp;IF(S169="",""," | "&amp;HOUR(INDEX(MATCHER!$C$5:$C$504,S169))&amp;":"&amp;IF(MINUTE(INDEX(MATCHER!$C$5:$C$504,S169))&lt;10,"0","")&amp;MINUTE(INDEX(MATCHER!$C$5:$C$504,S169))&amp;" "&amp;INDEX(MATCHER!$H$5:$H$504,S169)&amp;" – "&amp;INDEX(MATCHER!$I$5:$I$504,S169))&amp;IF(T169="",""," | "&amp;HOUR(INDEX(MATCHER!$C$5:$C$504,T169))&amp;":"&amp;IF(MINUTE(INDEX(MATCHER!$C$5:$C$504,T169))&lt;10,"0","")&amp;MINUTE(INDEX(MATCHER!$C$5:$C$504,T169))&amp;" "&amp;INDEX(MATCHER!$H$5:$H$504,T169)&amp;" – "&amp;INDEX(MATCHER!$I$5:$I$504,T169))&amp;IF(AF169="",""," | "&amp;HOUR(INDEX(MATCHER!$C$5:$C$504,AF169))&amp;":"&amp;IF(MINUTE(INDEX(MATCHER!$C$5:$C$504,AF169))&lt;10,"0","")&amp;MINUTE(INDEX(MATCHER!$C$5:$C$504,AF169))&amp;" "&amp;INDEX(MATCHER!$H$5:$H$504,AF169)&amp;" – "&amp;INDEX(MATCHER!$I$5:$I$504,AF169))</f>
        <v/>
      </c>
      <c r="G169" s="45" t="str">
        <f>MID(IF(R169="","",IF(OR(INDEX(MATCHER!$J$5:$J$504,R169)=""),""," / "&amp;INDEX(MATCHER!$J$5:$J$504,R169)))&amp;IF(S169="","",IF(OR(INDEX(MATCHER!$J$5:$J$504,S169)="",INDEX(MATCHER!$J$5:$J$504,S169)=IFERROR(INDEX(MATCHER!$J$5:$J$504,R169),"")),""," / "&amp;INDEX(MATCHER!$J$5:$J$504,S169)))&amp;IF(T169="","",IF(OR(INDEX(MATCHER!$J$5:$J$504,T169)="",INDEX(MATCHER!$J$5:$J$504,T169)=IFERROR(INDEX(MATCHER!$J$5:$J$504,R169),""),INDEX(MATCHER!$J$5:$J$504,T169)=IFERROR(INDEX(MATCHER!$J$5:$J$504,S169),"")),""," / "&amp;INDEX(MATCHER!$J$5:$J$504,T169)))&amp;IF(AF169="","",IF(OR(INDEX(MATCHER!$J$5:$J$504,AF169)="",INDEX(MATCHER!$J$5:$J$504,AF169)=IFERROR(INDEX(MATCHER!$J$5:$J$504,R169),""),INDEX(MATCHER!$J$5:$J$504,AF169)=IFERROR(INDEX(MATCHER!$J$5:$J$504,S169),""),INDEX(MATCHER!$J$5:$J$504,AF169)=IFERROR(INDEX(MATCHER!$J$5:$J$504,T169),"")),""," / "&amp;INDEX(MATCHER!$J$5:$J$504,AF169))),4,1000)</f>
        <v/>
      </c>
      <c r="H169" s="45" t="str">
        <f>H168</f>
        <v>Dam</v>
      </c>
      <c r="I169" s="46" t="s">
        <v>87</v>
      </c>
      <c r="J169" s="47"/>
      <c r="K169" s="48"/>
      <c r="L169" s="49"/>
      <c r="M169" s="50" t="str">
        <f>IF(O169&lt;&gt;O168,MAX(1,MIN(AA169,ROUNDUP(SUMPRODUCT(($O$5:$O$546=O169)*($I$5:$I$546="Ja")*($E$5:$E$546-$D$5:$D$546))*24/REGLER!$B$8,0))),"")</f>
        <v/>
      </c>
      <c r="N169" s="50" t="str">
        <f t="shared" si="30"/>
        <v>Ej öppet</v>
      </c>
      <c r="O169" s="15" t="s">
        <v>120</v>
      </c>
      <c r="P169" s="16">
        <v>0.83333333333333304</v>
      </c>
      <c r="Q169" s="16">
        <v>0.9375</v>
      </c>
      <c r="R169" s="15" t="str">
        <f>IFERROR(MATCH(1,INDEX((MATCHER!$B$5:$B$504=A169)*(MATCHER!$D$5:$D$504=C169)*(MATCHER!$K$5:$K$504="Ja")*(MATCHER!$C$5:$C$504&lt;E169)*(MATCHER!$M$5:$M$504&gt;D169),0),0),"")</f>
        <v/>
      </c>
      <c r="S169" s="15" t="str">
        <f>IF(R169="","",IFERROR(MATCH(1,INDEX((MATCHER!$B$5:$B$504=A169)*(MATCHER!$D$5:$D$504=C169)*(MATCHER!$K$5:$K$504="Ja")*(MATCHER!$C$5:$C$504&lt;E169)*(MATCHER!$M$5:$M$504&gt;D169)*(ROW(MATCHER!$A$5:$A$504)-ROW(MATCHER!$A$5)+1&gt;R169),0),0),""))</f>
        <v/>
      </c>
      <c r="T169" s="15" t="str">
        <f>IF(S169="","",IFERROR(MATCH(1,INDEX((MATCHER!$B$5:$B$504=A169)*(MATCHER!$D$5:$D$504=C169)*(MATCHER!$K$5:$K$504="Ja")*(MATCHER!$C$5:$C$504&lt;E169)*(MATCHER!$M$5:$M$504&gt;D169)*(ROW(MATCHER!$A$5:$A$504)-ROW(MATCHER!$A$5)+1&gt;S169),0),0),""))</f>
        <v/>
      </c>
      <c r="U169" s="15" t="str">
        <f t="shared" si="31"/>
        <v/>
      </c>
      <c r="V169" s="15" t="str">
        <f>IF(OR(I169&lt;&gt;"Ja",J169=""),"",COUNTIFS($O$5:O169,O169,$U$5:U169,1))</f>
        <v/>
      </c>
      <c r="W169" s="15" t="str">
        <f t="shared" si="32"/>
        <v/>
      </c>
      <c r="X169" s="16" t="str">
        <f t="shared" si="33"/>
        <v/>
      </c>
      <c r="Y169" s="15">
        <f>IF(OR(I169&lt;&gt;"Ja",J169=""),0,IF(COUNTIFS($O$5:O169,O169,$I$5:I169,"Ja",$J$5:J169,"&lt;&gt;")=1,1,0))</f>
        <v>0</v>
      </c>
      <c r="Z169" s="15">
        <f>IF(OR(I169&lt;&gt;"Ja",J169=""),0,IF(COUNTIFS(O169:$O$546,O169,I169:$I$546,"Ja",J169:$J$546,"&lt;&gt;")=1,1,0))</f>
        <v>0</v>
      </c>
      <c r="AA169" s="15">
        <f>AA168</f>
        <v>1</v>
      </c>
      <c r="AB169" s="15" t="str">
        <f>IF(U169&lt;&gt;1,"",COUNTIF($U$5:U169,1))</f>
        <v/>
      </c>
      <c r="AC169" s="15" t="str">
        <f t="shared" si="34"/>
        <v/>
      </c>
      <c r="AD169" s="15" t="str">
        <f t="shared" si="35"/>
        <v>Minicafé</v>
      </c>
      <c r="AE169" s="15" t="str">
        <f t="shared" si="36"/>
        <v/>
      </c>
      <c r="AF169" t="str">
        <f>IF(T169="","",IFERROR(MATCH(1,INDEX((MATCHER!$B$5:$B$504=A169)*(MATCHER!$D$5:$D$504=C169)*(MATCHER!$K$5:$K$504="Ja")*(MATCHER!$C$5:$C$504&lt;E169)*(MATCHER!$M$5:$M$504&gt;D169)*(ROW(MATCHER!$A$5:$A$504)-ROW(MATCHER!$A$5)+1&gt;T169),0),0),""))</f>
        <v/>
      </c>
    </row>
    <row r="170" spans="1:32" ht="26">
      <c r="A170" s="42">
        <v>46336</v>
      </c>
      <c r="B170" s="43" t="s">
        <v>104</v>
      </c>
      <c r="C170" s="43" t="s">
        <v>110</v>
      </c>
      <c r="D170" s="44">
        <v>0.875</v>
      </c>
      <c r="E170" s="44">
        <v>0.89583333333333304</v>
      </c>
      <c r="F170" s="45" t="str">
        <f>IF(R170="","",HOUR(INDEX(MATCHER!$C$5:$C$504,R170))&amp;":"&amp;IF(MINUTE(INDEX(MATCHER!$C$5:$C$504,R170))&lt;10,"0","")&amp;MINUTE(INDEX(MATCHER!$C$5:$C$504,R170))&amp;" "&amp;INDEX(MATCHER!$H$5:$H$504,R170)&amp;" – "&amp;INDEX(MATCHER!$I$5:$I$504,R170))&amp;IF(S170="",""," | "&amp;HOUR(INDEX(MATCHER!$C$5:$C$504,S170))&amp;":"&amp;IF(MINUTE(INDEX(MATCHER!$C$5:$C$504,S170))&lt;10,"0","")&amp;MINUTE(INDEX(MATCHER!$C$5:$C$504,S170))&amp;" "&amp;INDEX(MATCHER!$H$5:$H$504,S170)&amp;" – "&amp;INDEX(MATCHER!$I$5:$I$504,S170))&amp;IF(T170="",""," | "&amp;HOUR(INDEX(MATCHER!$C$5:$C$504,T170))&amp;":"&amp;IF(MINUTE(INDEX(MATCHER!$C$5:$C$504,T170))&lt;10,"0","")&amp;MINUTE(INDEX(MATCHER!$C$5:$C$504,T170))&amp;" "&amp;INDEX(MATCHER!$H$5:$H$504,T170)&amp;" – "&amp;INDEX(MATCHER!$I$5:$I$504,T170))&amp;IF(AF170="",""," | "&amp;HOUR(INDEX(MATCHER!$C$5:$C$504,AF170))&amp;":"&amp;IF(MINUTE(INDEX(MATCHER!$C$5:$C$504,AF170))&lt;10,"0","")&amp;MINUTE(INDEX(MATCHER!$C$5:$C$504,AF170))&amp;" "&amp;INDEX(MATCHER!$H$5:$H$504,AF170)&amp;" – "&amp;INDEX(MATCHER!$I$5:$I$504,AF170))</f>
        <v>21:00 AIK – Sollentuna HK</v>
      </c>
      <c r="G170" s="45" t="str">
        <f>MID(IF(R170="","",IF(OR(INDEX(MATCHER!$J$5:$J$504,R170)=""),""," / "&amp;INDEX(MATCHER!$J$5:$J$504,R170)))&amp;IF(S170="","",IF(OR(INDEX(MATCHER!$J$5:$J$504,S170)="",INDEX(MATCHER!$J$5:$J$504,S170)=IFERROR(INDEX(MATCHER!$J$5:$J$504,R170),"")),""," / "&amp;INDEX(MATCHER!$J$5:$J$504,S170)))&amp;IF(T170="","",IF(OR(INDEX(MATCHER!$J$5:$J$504,T170)="",INDEX(MATCHER!$J$5:$J$504,T170)=IFERROR(INDEX(MATCHER!$J$5:$J$504,R170),""),INDEX(MATCHER!$J$5:$J$504,T170)=IFERROR(INDEX(MATCHER!$J$5:$J$504,S170),"")),""," / "&amp;INDEX(MATCHER!$J$5:$J$504,T170)))&amp;IF(AF170="","",IF(OR(INDEX(MATCHER!$J$5:$J$504,AF170)="",INDEX(MATCHER!$J$5:$J$504,AF170)=IFERROR(INDEX(MATCHER!$J$5:$J$504,R170),""),INDEX(MATCHER!$J$5:$J$504,AF170)=IFERROR(INDEX(MATCHER!$J$5:$J$504,S170),""),INDEX(MATCHER!$J$5:$J$504,AF170)=IFERROR(INDEX(MATCHER!$J$5:$J$504,T170),"")),""," / "&amp;INDEX(MATCHER!$J$5:$J$504,AF170))),4,1000)</f>
        <v>Dam</v>
      </c>
      <c r="H170" s="45" t="str">
        <f>H169</f>
        <v>Dam</v>
      </c>
      <c r="I170" s="46" t="s">
        <v>87</v>
      </c>
      <c r="J170" s="47"/>
      <c r="K170" s="48"/>
      <c r="L170" s="49"/>
      <c r="M170" s="50" t="str">
        <f>IF(O170&lt;&gt;O169,MAX(1,MIN(AA170,ROUNDUP(SUMPRODUCT(($O$5:$O$546=O170)*($I$5:$I$546="Ja")*($E$5:$E$546-$D$5:$D$546))*24/REGLER!$B$8,0))),"")</f>
        <v/>
      </c>
      <c r="N170" s="50" t="str">
        <f t="shared" si="30"/>
        <v>Ej öppet</v>
      </c>
      <c r="O170" s="15" t="s">
        <v>120</v>
      </c>
      <c r="P170" s="16">
        <v>0.83333333333333304</v>
      </c>
      <c r="Q170" s="16">
        <v>0.9375</v>
      </c>
      <c r="R170" s="15">
        <f>IFERROR(MATCH(1,INDEX((MATCHER!$B$5:$B$504=A170)*(MATCHER!$D$5:$D$504=C170)*(MATCHER!$K$5:$K$504="Ja")*(MATCHER!$C$5:$C$504&lt;E170)*(MATCHER!$M$5:$M$504&gt;D170),0),0),"")</f>
        <v>56</v>
      </c>
      <c r="S170" s="15" t="str">
        <f>IF(R170="","",IFERROR(MATCH(1,INDEX((MATCHER!$B$5:$B$504=A170)*(MATCHER!$D$5:$D$504=C170)*(MATCHER!$K$5:$K$504="Ja")*(MATCHER!$C$5:$C$504&lt;E170)*(MATCHER!$M$5:$M$504&gt;D170)*(ROW(MATCHER!$A$5:$A$504)-ROW(MATCHER!$A$5)+1&gt;R170),0),0),""))</f>
        <v/>
      </c>
      <c r="T170" s="15" t="str">
        <f>IF(S170="","",IFERROR(MATCH(1,INDEX((MATCHER!$B$5:$B$504=A170)*(MATCHER!$D$5:$D$504=C170)*(MATCHER!$K$5:$K$504="Ja")*(MATCHER!$C$5:$C$504&lt;E170)*(MATCHER!$M$5:$M$504&gt;D170)*(ROW(MATCHER!$A$5:$A$504)-ROW(MATCHER!$A$5)+1&gt;S170),0),0),""))</f>
        <v/>
      </c>
      <c r="U170" s="15" t="str">
        <f t="shared" si="31"/>
        <v/>
      </c>
      <c r="V170" s="15" t="str">
        <f>IF(OR(I170&lt;&gt;"Ja",J170=""),"",COUNTIFS($O$5:O170,O170,$U$5:U170,1))</f>
        <v/>
      </c>
      <c r="W170" s="15" t="str">
        <f t="shared" si="32"/>
        <v/>
      </c>
      <c r="X170" s="16" t="str">
        <f t="shared" si="33"/>
        <v/>
      </c>
      <c r="Y170" s="15">
        <f>IF(OR(I170&lt;&gt;"Ja",J170=""),0,IF(COUNTIFS($O$5:O170,O170,$I$5:I170,"Ja",$J$5:J170,"&lt;&gt;")=1,1,0))</f>
        <v>0</v>
      </c>
      <c r="Z170" s="15">
        <f>IF(OR(I170&lt;&gt;"Ja",J170=""),0,IF(COUNTIFS(O170:$O$546,O170,I170:$I$546,"Ja",J170:$J$546,"&lt;&gt;")=1,1,0))</f>
        <v>0</v>
      </c>
      <c r="AA170" s="15">
        <f>AA169</f>
        <v>1</v>
      </c>
      <c r="AB170" s="15" t="str">
        <f>IF(U170&lt;&gt;1,"",COUNTIF($U$5:U170,1))</f>
        <v/>
      </c>
      <c r="AC170" s="15" t="str">
        <f t="shared" si="34"/>
        <v/>
      </c>
      <c r="AD170" s="15" t="str">
        <f t="shared" si="35"/>
        <v>Minicafé</v>
      </c>
      <c r="AE170" s="15" t="str">
        <f t="shared" si="36"/>
        <v/>
      </c>
      <c r="AF170" t="str">
        <f>IF(T170="","",IFERROR(MATCH(1,INDEX((MATCHER!$B$5:$B$504=A170)*(MATCHER!$D$5:$D$504=C170)*(MATCHER!$K$5:$K$504="Ja")*(MATCHER!$C$5:$C$504&lt;E170)*(MATCHER!$M$5:$M$504&gt;D170)*(ROW(MATCHER!$A$5:$A$504)-ROW(MATCHER!$A$5)+1&gt;T170),0),0),""))</f>
        <v/>
      </c>
    </row>
    <row r="171" spans="1:32" ht="26">
      <c r="A171" s="42">
        <v>46336</v>
      </c>
      <c r="B171" s="43" t="s">
        <v>104</v>
      </c>
      <c r="C171" s="43" t="s">
        <v>110</v>
      </c>
      <c r="D171" s="44">
        <v>0.89583333333333304</v>
      </c>
      <c r="E171" s="44">
        <v>0.91666666666666696</v>
      </c>
      <c r="F171" s="45" t="str">
        <f>IF(R171="","",HOUR(INDEX(MATCHER!$C$5:$C$504,R171))&amp;":"&amp;IF(MINUTE(INDEX(MATCHER!$C$5:$C$504,R171))&lt;10,"0","")&amp;MINUTE(INDEX(MATCHER!$C$5:$C$504,R171))&amp;" "&amp;INDEX(MATCHER!$H$5:$H$504,R171)&amp;" – "&amp;INDEX(MATCHER!$I$5:$I$504,R171))&amp;IF(S171="",""," | "&amp;HOUR(INDEX(MATCHER!$C$5:$C$504,S171))&amp;":"&amp;IF(MINUTE(INDEX(MATCHER!$C$5:$C$504,S171))&lt;10,"0","")&amp;MINUTE(INDEX(MATCHER!$C$5:$C$504,S171))&amp;" "&amp;INDEX(MATCHER!$H$5:$H$504,S171)&amp;" – "&amp;INDEX(MATCHER!$I$5:$I$504,S171))&amp;IF(T171="",""," | "&amp;HOUR(INDEX(MATCHER!$C$5:$C$504,T171))&amp;":"&amp;IF(MINUTE(INDEX(MATCHER!$C$5:$C$504,T171))&lt;10,"0","")&amp;MINUTE(INDEX(MATCHER!$C$5:$C$504,T171))&amp;" "&amp;INDEX(MATCHER!$H$5:$H$504,T171)&amp;" – "&amp;INDEX(MATCHER!$I$5:$I$504,T171))&amp;IF(AF171="",""," | "&amp;HOUR(INDEX(MATCHER!$C$5:$C$504,AF171))&amp;":"&amp;IF(MINUTE(INDEX(MATCHER!$C$5:$C$504,AF171))&lt;10,"0","")&amp;MINUTE(INDEX(MATCHER!$C$5:$C$504,AF171))&amp;" "&amp;INDEX(MATCHER!$H$5:$H$504,AF171)&amp;" – "&amp;INDEX(MATCHER!$I$5:$I$504,AF171))</f>
        <v>21:00 AIK – Sollentuna HK</v>
      </c>
      <c r="G171" s="45" t="str">
        <f>MID(IF(R171="","",IF(OR(INDEX(MATCHER!$J$5:$J$504,R171)=""),""," / "&amp;INDEX(MATCHER!$J$5:$J$504,R171)))&amp;IF(S171="","",IF(OR(INDEX(MATCHER!$J$5:$J$504,S171)="",INDEX(MATCHER!$J$5:$J$504,S171)=IFERROR(INDEX(MATCHER!$J$5:$J$504,R171),"")),""," / "&amp;INDEX(MATCHER!$J$5:$J$504,S171)))&amp;IF(T171="","",IF(OR(INDEX(MATCHER!$J$5:$J$504,T171)="",INDEX(MATCHER!$J$5:$J$504,T171)=IFERROR(INDEX(MATCHER!$J$5:$J$504,R171),""),INDEX(MATCHER!$J$5:$J$504,T171)=IFERROR(INDEX(MATCHER!$J$5:$J$504,S171),"")),""," / "&amp;INDEX(MATCHER!$J$5:$J$504,T171)))&amp;IF(AF171="","",IF(OR(INDEX(MATCHER!$J$5:$J$504,AF171)="",INDEX(MATCHER!$J$5:$J$504,AF171)=IFERROR(INDEX(MATCHER!$J$5:$J$504,R171),""),INDEX(MATCHER!$J$5:$J$504,AF171)=IFERROR(INDEX(MATCHER!$J$5:$J$504,S171),""),INDEX(MATCHER!$J$5:$J$504,AF171)=IFERROR(INDEX(MATCHER!$J$5:$J$504,T171),"")),""," / "&amp;INDEX(MATCHER!$J$5:$J$504,AF171))),4,1000)</f>
        <v>Dam</v>
      </c>
      <c r="H171" s="45" t="str">
        <f>H170</f>
        <v>Dam</v>
      </c>
      <c r="I171" s="46" t="s">
        <v>87</v>
      </c>
      <c r="J171" s="47"/>
      <c r="K171" s="48"/>
      <c r="L171" s="49"/>
      <c r="M171" s="50" t="str">
        <f>IF(O171&lt;&gt;O170,MAX(1,MIN(AA171,ROUNDUP(SUMPRODUCT(($O$5:$O$546=O171)*($I$5:$I$546="Ja")*($E$5:$E$546-$D$5:$D$546))*24/REGLER!$B$8,0))),"")</f>
        <v/>
      </c>
      <c r="N171" s="50" t="str">
        <f t="shared" si="30"/>
        <v>Ej öppet</v>
      </c>
      <c r="O171" s="15" t="s">
        <v>120</v>
      </c>
      <c r="P171" s="16">
        <v>0.83333333333333304</v>
      </c>
      <c r="Q171" s="16">
        <v>0.9375</v>
      </c>
      <c r="R171" s="15">
        <f>IFERROR(MATCH(1,INDEX((MATCHER!$B$5:$B$504=A171)*(MATCHER!$D$5:$D$504=C171)*(MATCHER!$K$5:$K$504="Ja")*(MATCHER!$C$5:$C$504&lt;E171)*(MATCHER!$M$5:$M$504&gt;D171),0),0),"")</f>
        <v>56</v>
      </c>
      <c r="S171" s="15" t="str">
        <f>IF(R171="","",IFERROR(MATCH(1,INDEX((MATCHER!$B$5:$B$504=A171)*(MATCHER!$D$5:$D$504=C171)*(MATCHER!$K$5:$K$504="Ja")*(MATCHER!$C$5:$C$504&lt;E171)*(MATCHER!$M$5:$M$504&gt;D171)*(ROW(MATCHER!$A$5:$A$504)-ROW(MATCHER!$A$5)+1&gt;R171),0),0),""))</f>
        <v/>
      </c>
      <c r="T171" s="15" t="str">
        <f>IF(S171="","",IFERROR(MATCH(1,INDEX((MATCHER!$B$5:$B$504=A171)*(MATCHER!$D$5:$D$504=C171)*(MATCHER!$K$5:$K$504="Ja")*(MATCHER!$C$5:$C$504&lt;E171)*(MATCHER!$M$5:$M$504&gt;D171)*(ROW(MATCHER!$A$5:$A$504)-ROW(MATCHER!$A$5)+1&gt;S171),0),0),""))</f>
        <v/>
      </c>
      <c r="U171" s="15" t="str">
        <f t="shared" si="31"/>
        <v/>
      </c>
      <c r="V171" s="15" t="str">
        <f>IF(OR(I171&lt;&gt;"Ja",J171=""),"",COUNTIFS($O$5:O171,O171,$U$5:U171,1))</f>
        <v/>
      </c>
      <c r="W171" s="15" t="str">
        <f t="shared" si="32"/>
        <v/>
      </c>
      <c r="X171" s="16" t="str">
        <f t="shared" si="33"/>
        <v/>
      </c>
      <c r="Y171" s="15">
        <f>IF(OR(I171&lt;&gt;"Ja",J171=""),0,IF(COUNTIFS($O$5:O171,O171,$I$5:I171,"Ja",$J$5:J171,"&lt;&gt;")=1,1,0))</f>
        <v>0</v>
      </c>
      <c r="Z171" s="15">
        <f>IF(OR(I171&lt;&gt;"Ja",J171=""),0,IF(COUNTIFS(O171:$O$546,O171,I171:$I$546,"Ja",J171:$J$546,"&lt;&gt;")=1,1,0))</f>
        <v>0</v>
      </c>
      <c r="AA171" s="15">
        <f>AA170</f>
        <v>1</v>
      </c>
      <c r="AB171" s="15" t="str">
        <f>IF(U171&lt;&gt;1,"",COUNTIF($U$5:U171,1))</f>
        <v/>
      </c>
      <c r="AC171" s="15" t="str">
        <f t="shared" si="34"/>
        <v/>
      </c>
      <c r="AD171" s="15" t="str">
        <f t="shared" si="35"/>
        <v>Minicafé</v>
      </c>
      <c r="AE171" s="15" t="str">
        <f t="shared" si="36"/>
        <v/>
      </c>
      <c r="AF171" t="str">
        <f>IF(T171="","",IFERROR(MATCH(1,INDEX((MATCHER!$B$5:$B$504=A171)*(MATCHER!$D$5:$D$504=C171)*(MATCHER!$K$5:$K$504="Ja")*(MATCHER!$C$5:$C$504&lt;E171)*(MATCHER!$M$5:$M$504&gt;D171)*(ROW(MATCHER!$A$5:$A$504)-ROW(MATCHER!$A$5)+1&gt;T171),0),0),""))</f>
        <v/>
      </c>
    </row>
    <row r="172" spans="1:32" ht="26.5" thickBot="1">
      <c r="A172" s="52">
        <v>46336</v>
      </c>
      <c r="B172" s="53" t="s">
        <v>104</v>
      </c>
      <c r="C172" s="53" t="s">
        <v>110</v>
      </c>
      <c r="D172" s="54">
        <v>0.91666666666666696</v>
      </c>
      <c r="E172" s="54">
        <v>0.9375</v>
      </c>
      <c r="F172" s="55" t="str">
        <f>IF(R172="","",HOUR(INDEX(MATCHER!$C$5:$C$504,R172))&amp;":"&amp;IF(MINUTE(INDEX(MATCHER!$C$5:$C$504,R172))&lt;10,"0","")&amp;MINUTE(INDEX(MATCHER!$C$5:$C$504,R172))&amp;" "&amp;INDEX(MATCHER!$H$5:$H$504,R172)&amp;" – "&amp;INDEX(MATCHER!$I$5:$I$504,R172))&amp;IF(S172="",""," | "&amp;HOUR(INDEX(MATCHER!$C$5:$C$504,S172))&amp;":"&amp;IF(MINUTE(INDEX(MATCHER!$C$5:$C$504,S172))&lt;10,"0","")&amp;MINUTE(INDEX(MATCHER!$C$5:$C$504,S172))&amp;" "&amp;INDEX(MATCHER!$H$5:$H$504,S172)&amp;" – "&amp;INDEX(MATCHER!$I$5:$I$504,S172))&amp;IF(T172="",""," | "&amp;HOUR(INDEX(MATCHER!$C$5:$C$504,T172))&amp;":"&amp;IF(MINUTE(INDEX(MATCHER!$C$5:$C$504,T172))&lt;10,"0","")&amp;MINUTE(INDEX(MATCHER!$C$5:$C$504,T172))&amp;" "&amp;INDEX(MATCHER!$H$5:$H$504,T172)&amp;" – "&amp;INDEX(MATCHER!$I$5:$I$504,T172))&amp;IF(AF172="",""," | "&amp;HOUR(INDEX(MATCHER!$C$5:$C$504,AF172))&amp;":"&amp;IF(MINUTE(INDEX(MATCHER!$C$5:$C$504,AF172))&lt;10,"0","")&amp;MINUTE(INDEX(MATCHER!$C$5:$C$504,AF172))&amp;" "&amp;INDEX(MATCHER!$H$5:$H$504,AF172)&amp;" – "&amp;INDEX(MATCHER!$I$5:$I$504,AF172))</f>
        <v>21:00 AIK – Sollentuna HK</v>
      </c>
      <c r="G172" s="55" t="str">
        <f>MID(IF(R172="","",IF(OR(INDEX(MATCHER!$J$5:$J$504,R172)=""),""," / "&amp;INDEX(MATCHER!$J$5:$J$504,R172)))&amp;IF(S172="","",IF(OR(INDEX(MATCHER!$J$5:$J$504,S172)="",INDEX(MATCHER!$J$5:$J$504,S172)=IFERROR(INDEX(MATCHER!$J$5:$J$504,R172),"")),""," / "&amp;INDEX(MATCHER!$J$5:$J$504,S172)))&amp;IF(T172="","",IF(OR(INDEX(MATCHER!$J$5:$J$504,T172)="",INDEX(MATCHER!$J$5:$J$504,T172)=IFERROR(INDEX(MATCHER!$J$5:$J$504,R172),""),INDEX(MATCHER!$J$5:$J$504,T172)=IFERROR(INDEX(MATCHER!$J$5:$J$504,S172),"")),""," / "&amp;INDEX(MATCHER!$J$5:$J$504,T172)))&amp;IF(AF172="","",IF(OR(INDEX(MATCHER!$J$5:$J$504,AF172)="",INDEX(MATCHER!$J$5:$J$504,AF172)=IFERROR(INDEX(MATCHER!$J$5:$J$504,R172),""),INDEX(MATCHER!$J$5:$J$504,AF172)=IFERROR(INDEX(MATCHER!$J$5:$J$504,S172),""),INDEX(MATCHER!$J$5:$J$504,AF172)=IFERROR(INDEX(MATCHER!$J$5:$J$504,T172),"")),""," / "&amp;INDEX(MATCHER!$J$5:$J$504,AF172))),4,1000)</f>
        <v>Dam</v>
      </c>
      <c r="H172" s="55" t="str">
        <f>H171</f>
        <v>Dam</v>
      </c>
      <c r="I172" s="56" t="s">
        <v>87</v>
      </c>
      <c r="J172" s="57"/>
      <c r="K172" s="58"/>
      <c r="L172" s="59"/>
      <c r="M172" s="60" t="str">
        <f>IF(O172&lt;&gt;O171,MAX(1,MIN(AA172,ROUNDUP(SUMPRODUCT(($O$5:$O$546=O172)*($I$5:$I$546="Ja")*($E$5:$E$546-$D$5:$D$546))*24/REGLER!$B$8,0))),"")</f>
        <v/>
      </c>
      <c r="N172" s="60" t="str">
        <f t="shared" si="30"/>
        <v>Ej öppet</v>
      </c>
      <c r="O172" s="15" t="s">
        <v>120</v>
      </c>
      <c r="P172" s="16">
        <v>0.83333333333333304</v>
      </c>
      <c r="Q172" s="16">
        <v>0.9375</v>
      </c>
      <c r="R172" s="15">
        <f>IFERROR(MATCH(1,INDEX((MATCHER!$B$5:$B$504=A172)*(MATCHER!$D$5:$D$504=C172)*(MATCHER!$K$5:$K$504="Ja")*(MATCHER!$C$5:$C$504&lt;E172)*(MATCHER!$M$5:$M$504&gt;D172),0),0),"")</f>
        <v>56</v>
      </c>
      <c r="S172" s="15" t="str">
        <f>IF(R172="","",IFERROR(MATCH(1,INDEX((MATCHER!$B$5:$B$504=A172)*(MATCHER!$D$5:$D$504=C172)*(MATCHER!$K$5:$K$504="Ja")*(MATCHER!$C$5:$C$504&lt;E172)*(MATCHER!$M$5:$M$504&gt;D172)*(ROW(MATCHER!$A$5:$A$504)-ROW(MATCHER!$A$5)+1&gt;R172),0),0),""))</f>
        <v/>
      </c>
      <c r="T172" s="15" t="str">
        <f>IF(S172="","",IFERROR(MATCH(1,INDEX((MATCHER!$B$5:$B$504=A172)*(MATCHER!$D$5:$D$504=C172)*(MATCHER!$K$5:$K$504="Ja")*(MATCHER!$C$5:$C$504&lt;E172)*(MATCHER!$M$5:$M$504&gt;D172)*(ROW(MATCHER!$A$5:$A$504)-ROW(MATCHER!$A$5)+1&gt;S172),0),0),""))</f>
        <v/>
      </c>
      <c r="U172" s="15" t="str">
        <f t="shared" si="31"/>
        <v/>
      </c>
      <c r="V172" s="15" t="str">
        <f>IF(OR(I172&lt;&gt;"Ja",J172=""),"",COUNTIFS($O$5:O172,O172,$U$5:U172,1))</f>
        <v/>
      </c>
      <c r="W172" s="15" t="str">
        <f t="shared" si="32"/>
        <v/>
      </c>
      <c r="X172" s="16" t="str">
        <f t="shared" si="33"/>
        <v/>
      </c>
      <c r="Y172" s="15">
        <f>IF(OR(I172&lt;&gt;"Ja",J172=""),0,IF(COUNTIFS($O$5:O172,O172,$I$5:I172,"Ja",$J$5:J172,"&lt;&gt;")=1,1,0))</f>
        <v>0</v>
      </c>
      <c r="Z172" s="15">
        <f>IF(OR(I172&lt;&gt;"Ja",J172=""),0,IF(COUNTIFS(O172:$O$546,O172,I172:$I$546,"Ja",J172:$J$546,"&lt;&gt;")=1,1,0))</f>
        <v>0</v>
      </c>
      <c r="AA172" s="15">
        <f>AA171</f>
        <v>1</v>
      </c>
      <c r="AB172" s="15" t="str">
        <f>IF(U172&lt;&gt;1,"",COUNTIF($U$5:U172,1))</f>
        <v/>
      </c>
      <c r="AC172" s="15" t="str">
        <f t="shared" si="34"/>
        <v/>
      </c>
      <c r="AD172" s="15" t="str">
        <f t="shared" si="35"/>
        <v>Minicafé</v>
      </c>
      <c r="AE172" s="15" t="str">
        <f t="shared" si="36"/>
        <v/>
      </c>
      <c r="AF172" t="str">
        <f>IF(T172="","",IFERROR(MATCH(1,INDEX((MATCHER!$B$5:$B$504=A172)*(MATCHER!$D$5:$D$504=C172)*(MATCHER!$K$5:$K$504="Ja")*(MATCHER!$C$5:$C$504&lt;E172)*(MATCHER!$M$5:$M$504&gt;D172)*(ROW(MATCHER!$A$5:$A$504)-ROW(MATCHER!$A$5)+1&gt;T172),0),0),""))</f>
        <v/>
      </c>
    </row>
    <row r="173" spans="1:32" ht="13">
      <c r="A173" s="42">
        <v>46340</v>
      </c>
      <c r="B173" s="43" t="s">
        <v>85</v>
      </c>
      <c r="C173" s="43" t="s">
        <v>94</v>
      </c>
      <c r="D173" s="44">
        <v>0.47916666666666702</v>
      </c>
      <c r="E173" s="44">
        <v>0.5</v>
      </c>
      <c r="F173" s="45" t="str">
        <f>IF(R173="","",HOUR(INDEX(MATCHER!$C$5:$C$504,R173))&amp;":"&amp;IF(MINUTE(INDEX(MATCHER!$C$5:$C$504,R173))&lt;10,"0","")&amp;MINUTE(INDEX(MATCHER!$C$5:$C$504,R173))&amp;" "&amp;INDEX(MATCHER!$H$5:$H$504,R173)&amp;" – "&amp;INDEX(MATCHER!$I$5:$I$504,R173))&amp;IF(S173="",""," | "&amp;HOUR(INDEX(MATCHER!$C$5:$C$504,S173))&amp;":"&amp;IF(MINUTE(INDEX(MATCHER!$C$5:$C$504,S173))&lt;10,"0","")&amp;MINUTE(INDEX(MATCHER!$C$5:$C$504,S173))&amp;" "&amp;INDEX(MATCHER!$H$5:$H$504,S173)&amp;" – "&amp;INDEX(MATCHER!$I$5:$I$504,S173))&amp;IF(T173="",""," | "&amp;HOUR(INDEX(MATCHER!$C$5:$C$504,T173))&amp;":"&amp;IF(MINUTE(INDEX(MATCHER!$C$5:$C$504,T173))&lt;10,"0","")&amp;MINUTE(INDEX(MATCHER!$C$5:$C$504,T173))&amp;" "&amp;INDEX(MATCHER!$H$5:$H$504,T173)&amp;" – "&amp;INDEX(MATCHER!$I$5:$I$504,T173))&amp;IF(AF173="",""," | "&amp;HOUR(INDEX(MATCHER!$C$5:$C$504,AF173))&amp;":"&amp;IF(MINUTE(INDEX(MATCHER!$C$5:$C$504,AF173))&lt;10,"0","")&amp;MINUTE(INDEX(MATCHER!$C$5:$C$504,AF173))&amp;" "&amp;INDEX(MATCHER!$H$5:$H$504,AF173)&amp;" – "&amp;INDEX(MATCHER!$I$5:$I$504,AF173))</f>
        <v/>
      </c>
      <c r="G173" s="45" t="str">
        <f>MID(IF(R173="","",IF(OR(INDEX(MATCHER!$J$5:$J$504,R173)=""),""," / "&amp;INDEX(MATCHER!$J$5:$J$504,R173)))&amp;IF(S173="","",IF(OR(INDEX(MATCHER!$J$5:$J$504,S173)="",INDEX(MATCHER!$J$5:$J$504,S173)=IFERROR(INDEX(MATCHER!$J$5:$J$504,R173),"")),""," / "&amp;INDEX(MATCHER!$J$5:$J$504,S173)))&amp;IF(T173="","",IF(OR(INDEX(MATCHER!$J$5:$J$504,T173)="",INDEX(MATCHER!$J$5:$J$504,T173)=IFERROR(INDEX(MATCHER!$J$5:$J$504,R173),""),INDEX(MATCHER!$J$5:$J$504,T173)=IFERROR(INDEX(MATCHER!$J$5:$J$504,S173),"")),""," / "&amp;INDEX(MATCHER!$J$5:$J$504,T173)))&amp;IF(AF173="","",IF(OR(INDEX(MATCHER!$J$5:$J$504,AF173)="",INDEX(MATCHER!$J$5:$J$504,AF173)=IFERROR(INDEX(MATCHER!$J$5:$J$504,R173),""),INDEX(MATCHER!$J$5:$J$504,AF173)=IFERROR(INDEX(MATCHER!$J$5:$J$504,S173),""),INDEX(MATCHER!$J$5:$J$504,AF173)=IFERROR(INDEX(MATCHER!$J$5:$J$504,T173),"")),""," / "&amp;INDEX(MATCHER!$J$5:$J$504,AF173))),4,1000)</f>
        <v/>
      </c>
      <c r="H173" s="45" t="str">
        <f>MID(IF(COUNTIFS(MATCHER!$B$5:$B$504,A173,MATCHER!$D$5:$D$504,C173,MATCHER!$J$5:$J$504,REGLER!$I$6,MATCHER!$K$5:$K$504,"Ja")+COUNTIFS(MATCHER!$B$5:$B$504,A173,MATCHER!$D$5:$D$504,C173,MATCHER!$J$5:$J$504,REGLER!$I$6&amp;" 2",MATCHER!$K$5:$K$504,"Ja")&gt;0,", "&amp;REGLER!$I$6,"")&amp;IF(COUNTIFS(MATCHER!$B$5:$B$504,A173,MATCHER!$D$5:$D$504,C173,MATCHER!$J$5:$J$504,REGLER!$I$7,MATCHER!$K$5:$K$504,"Ja")+COUNTIFS(MATCHER!$B$5:$B$504,A173,MATCHER!$D$5:$D$504,C173,MATCHER!$J$5:$J$504,REGLER!$I$7&amp;" 2",MATCHER!$K$5:$K$504,"Ja")&gt;0,", "&amp;REGLER!$I$7,"")&amp;IF(COUNTIFS(MATCHER!$B$5:$B$504,A173,MATCHER!$D$5:$D$504,C173,MATCHER!$J$5:$J$504,REGLER!$I$8,MATCHER!$K$5:$K$504,"Ja")+COUNTIFS(MATCHER!$B$5:$B$504,A173,MATCHER!$D$5:$D$504,C173,MATCHER!$J$5:$J$504,REGLER!$I$8&amp;" 2",MATCHER!$K$5:$K$504,"Ja")&gt;0,", "&amp;REGLER!$I$8,"")&amp;IF(COUNTIFS(MATCHER!$B$5:$B$504,A173,MATCHER!$D$5:$D$504,C173,MATCHER!$J$5:$J$504,REGLER!$I$9,MATCHER!$K$5:$K$504,"Ja")+COUNTIFS(MATCHER!$B$5:$B$504,A173,MATCHER!$D$5:$D$504,C173,MATCHER!$J$5:$J$504,REGLER!$I$9&amp;" 2",MATCHER!$K$5:$K$504,"Ja")&gt;0,", "&amp;REGLER!$I$9,"")&amp;IF(COUNTIFS(MATCHER!$B$5:$B$504,A173,MATCHER!$D$5:$D$504,C173,MATCHER!$J$5:$J$504,REGLER!$I$10,MATCHER!$K$5:$K$504,"Ja")+COUNTIFS(MATCHER!$B$5:$B$504,A173,MATCHER!$D$5:$D$504,C173,MATCHER!$J$5:$J$504,REGLER!$I$10&amp;" 2",MATCHER!$K$5:$K$504,"Ja")&gt;0,", "&amp;REGLER!$I$10,"")&amp;IF(COUNTIFS(MATCHER!$B$5:$B$504,A173,MATCHER!$D$5:$D$504,C173,MATCHER!$J$5:$J$504,REGLER!$I$11,MATCHER!$K$5:$K$504,"Ja")+COUNTIFS(MATCHER!$B$5:$B$504,A173,MATCHER!$D$5:$D$504,C173,MATCHER!$J$5:$J$504,REGLER!$I$11&amp;" 2",MATCHER!$K$5:$K$504,"Ja")&gt;0,", "&amp;REGLER!$I$11,"")&amp;IF(COUNTIFS(MATCHER!$B$5:$B$504,A173,MATCHER!$D$5:$D$504,C173,MATCHER!$J$5:$J$504,REGLER!$I$12,MATCHER!$K$5:$K$504,"Ja")+COUNTIFS(MATCHER!$B$5:$B$504,A173,MATCHER!$D$5:$D$504,C173,MATCHER!$J$5:$J$504,REGLER!$I$12&amp;" 2",MATCHER!$K$5:$K$504,"Ja")&gt;0,", "&amp;REGLER!$I$12,"")&amp;IF(COUNTIFS(MATCHER!$B$5:$B$504,A173,MATCHER!$D$5:$D$504,C173,MATCHER!$J$5:$J$504,REGLER!$I$13,MATCHER!$K$5:$K$504,"Ja")+COUNTIFS(MATCHER!$B$5:$B$504,A173,MATCHER!$D$5:$D$504,C173,MATCHER!$J$5:$J$504,REGLER!$I$13&amp;" 2",MATCHER!$K$5:$K$504,"Ja")&gt;0,", "&amp;REGLER!$I$13,"")&amp;IF(COUNTIFS(MATCHER!$B$5:$B$504,A173,MATCHER!$D$5:$D$504,C173,MATCHER!$J$5:$J$504,REGLER!$I$14,MATCHER!$K$5:$K$504,"Ja")+COUNTIFS(MATCHER!$B$5:$B$504,A173,MATCHER!$D$5:$D$504,C173,MATCHER!$J$5:$J$504,REGLER!$I$14&amp;" 2",MATCHER!$K$5:$K$504,"Ja")&gt;0,", "&amp;REGLER!$I$14,"")&amp;IF(COUNTIFS(MATCHER!$B$5:$B$504,A173,MATCHER!$D$5:$D$504,C173,MATCHER!$J$5:$J$504,REGLER!$I$15,MATCHER!$K$5:$K$504,"Ja")+COUNTIFS(MATCHER!$B$5:$B$504,A173,MATCHER!$D$5:$D$504,C173,MATCHER!$J$5:$J$504,REGLER!$I$15&amp;" 2",MATCHER!$K$5:$K$504,"Ja")&gt;0,", "&amp;REGLER!$I$15,"")&amp;IF(COUNTIFS(MATCHER!$B$5:$B$504,A173,MATCHER!$D$5:$D$504,C173,MATCHER!$J$5:$J$504,REGLER!$I$16,MATCHER!$K$5:$K$504,"Ja")+COUNTIFS(MATCHER!$B$5:$B$504,A173,MATCHER!$D$5:$D$504,C173,MATCHER!$J$5:$J$504,REGLER!$I$16&amp;" 2",MATCHER!$K$5:$K$504,"Ja")&gt;0,", "&amp;REGLER!$I$16,"")&amp;IF(COUNTIFS(MATCHER!$B$5:$B$504,A173,MATCHER!$D$5:$D$504,C173,MATCHER!$J$5:$J$504,REGLER!$I$17,MATCHER!$K$5:$K$504,"Ja")+COUNTIFS(MATCHER!$B$5:$B$504,A173,MATCHER!$D$5:$D$504,C173,MATCHER!$J$5:$J$504,REGLER!$I$17&amp;" 2",MATCHER!$K$5:$K$504,"Ja")&gt;0,", "&amp;REGLER!$I$17,"")&amp;IF(COUNTIFS(MATCHER!$B$5:$B$504,A173,MATCHER!$D$5:$D$504,C173,MATCHER!$J$5:$J$504,REGLER!$I$18,MATCHER!$K$5:$K$504,"Ja")+COUNTIFS(MATCHER!$B$5:$B$504,A173,MATCHER!$D$5:$D$504,C173,MATCHER!$J$5:$J$504,REGLER!$I$18&amp;" 2",MATCHER!$K$5:$K$504,"Ja")&gt;0,", "&amp;REGLER!$I$18,"")&amp;IF(COUNTIFS(MATCHER!$B$5:$B$504,A173,MATCHER!$D$5:$D$504,C173,MATCHER!$J$5:$J$504,REGLER!$I$19,MATCHER!$K$5:$K$504,"Ja")+COUNTIFS(MATCHER!$B$5:$B$504,A173,MATCHER!$D$5:$D$504,C173,MATCHER!$J$5:$J$504,REGLER!$I$19&amp;" 2",MATCHER!$K$5:$K$504,"Ja")&gt;0,", "&amp;REGLER!$I$19,"")&amp;IF(COUNTIFS(MATCHER!$B$5:$B$504,A173,MATCHER!$D$5:$D$504,C173,MATCHER!$J$5:$J$504,REGLER!$I$20,MATCHER!$K$5:$K$504,"Ja")+COUNTIFS(MATCHER!$B$5:$B$504,A173,MATCHER!$D$5:$D$504,C173,MATCHER!$J$5:$J$504,REGLER!$I$20&amp;" 2",MATCHER!$K$5:$K$504,"Ja")&gt;0,", "&amp;REGLER!$I$20,"")&amp;IF(COUNTIFS(MATCHER!$B$5:$B$504,A173,MATCHER!$D$5:$D$504,C173,MATCHER!$J$5:$J$504,REGLER!$I$21,MATCHER!$K$5:$K$504,"Ja")+COUNTIFS(MATCHER!$B$5:$B$504,A173,MATCHER!$D$5:$D$504,C173,MATCHER!$J$5:$J$504,REGLER!$I$21&amp;" 2",MATCHER!$K$5:$K$504,"Ja")&gt;0,", "&amp;REGLER!$I$21,"")&amp;IF(COUNTIFS(MATCHER!$B$5:$B$504,A173,MATCHER!$D$5:$D$504,C173,MATCHER!$J$5:$J$504,REGLER!$I$22,MATCHER!$K$5:$K$504,"Ja")+COUNTIFS(MATCHER!$B$5:$B$504,A173,MATCHER!$D$5:$D$504,C173,MATCHER!$J$5:$J$504,REGLER!$I$22&amp;" 2",MATCHER!$K$5:$K$504,"Ja")&gt;0,", "&amp;REGLER!$I$22,"")&amp;IF(COUNTIFS(MATCHER!$B$5:$B$504,A173,MATCHER!$D$5:$D$504,C173,MATCHER!$J$5:$J$504,REGLER!$I$23,MATCHER!$K$5:$K$504,"Ja")+COUNTIFS(MATCHER!$B$5:$B$504,A173,MATCHER!$D$5:$D$504,C173,MATCHER!$J$5:$J$504,REGLER!$I$23&amp;" 2",MATCHER!$K$5:$K$504,"Ja")&gt;0,", "&amp;REGLER!$I$23,"")&amp;IF(COUNTIFS(MATCHER!$B$5:$B$504,A173,MATCHER!$D$5:$D$504,C173,MATCHER!$J$5:$J$504,REGLER!$I$24,MATCHER!$K$5:$K$504,"Ja")+COUNTIFS(MATCHER!$B$5:$B$504,A173,MATCHER!$D$5:$D$504,C173,MATCHER!$J$5:$J$504,REGLER!$I$24&amp;" 2",MATCHER!$K$5:$K$504,"Ja")&gt;0,", "&amp;REGLER!$I$24,"")&amp;IF(COUNTIFS(MATCHER!$B$5:$B$504,A173,MATCHER!$D$5:$D$504,C173,MATCHER!$J$5:$J$504,REGLER!$I$25,MATCHER!$K$5:$K$504,"Ja")+COUNTIFS(MATCHER!$B$5:$B$504,A173,MATCHER!$D$5:$D$504,C173,MATCHER!$J$5:$J$504,REGLER!$I$25&amp;" 2",MATCHER!$K$5:$K$504,"Ja")&gt;0,", "&amp;REGLER!$I$25,"")&amp;IF(COUNTIFS(MATCHER!$B$5:$B$504,A173,MATCHER!$D$5:$D$504,C173,MATCHER!$J$5:$J$504,REGLER!$I$26,MATCHER!$K$5:$K$504,"Ja")+COUNTIFS(MATCHER!$B$5:$B$504,A173,MATCHER!$D$5:$D$504,C173,MATCHER!$J$5:$J$504,REGLER!$I$26&amp;" 2",MATCHER!$K$5:$K$504,"Ja")&gt;0,", "&amp;REGLER!$I$26,""),3,1000)</f>
        <v>F16, P16</v>
      </c>
      <c r="I173" s="46" t="s">
        <v>87</v>
      </c>
      <c r="J173" s="47"/>
      <c r="K173" s="48" t="s">
        <v>88</v>
      </c>
      <c r="L173" s="49"/>
      <c r="M173" s="50">
        <f>IF(O173&lt;&gt;O172,MAX(1,MIN(AA173,ROUNDUP(SUMPRODUCT(($O$5:$O$546=O173)*($I$5:$I$546="Ja")*($E$5:$E$546-$D$5:$D$546))*24/REGLER!$B$8,0))),"")</f>
        <v>2</v>
      </c>
      <c r="N173" s="50" t="str">
        <f t="shared" si="30"/>
        <v>Ej öppet</v>
      </c>
      <c r="O173" s="15" t="s">
        <v>121</v>
      </c>
      <c r="P173" s="16">
        <v>0.47916666666666702</v>
      </c>
      <c r="Q173" s="16">
        <v>0.625</v>
      </c>
      <c r="R173" s="15" t="str">
        <f>IFERROR(MATCH(1,INDEX((MATCHER!$B$5:$B$504=A173)*(MATCHER!$D$5:$D$504=C173)*(MATCHER!$K$5:$K$504="Ja")*(MATCHER!$C$5:$C$504&lt;E173)*(MATCHER!$M$5:$M$504&gt;D173),0),0),"")</f>
        <v/>
      </c>
      <c r="S173" s="15" t="str">
        <f>IF(R173="","",IFERROR(MATCH(1,INDEX((MATCHER!$B$5:$B$504=A173)*(MATCHER!$D$5:$D$504=C173)*(MATCHER!$K$5:$K$504="Ja")*(MATCHER!$C$5:$C$504&lt;E173)*(MATCHER!$M$5:$M$504&gt;D173)*(ROW(MATCHER!$A$5:$A$504)-ROW(MATCHER!$A$5)+1&gt;R173),0),0),""))</f>
        <v/>
      </c>
      <c r="T173" s="15" t="str">
        <f>IF(S173="","",IFERROR(MATCH(1,INDEX((MATCHER!$B$5:$B$504=A173)*(MATCHER!$D$5:$D$504=C173)*(MATCHER!$K$5:$K$504="Ja")*(MATCHER!$C$5:$C$504&lt;E173)*(MATCHER!$M$5:$M$504&gt;D173)*(ROW(MATCHER!$A$5:$A$504)-ROW(MATCHER!$A$5)+1&gt;S173),0),0),""))</f>
        <v/>
      </c>
      <c r="U173" s="15" t="str">
        <f t="shared" si="31"/>
        <v/>
      </c>
      <c r="V173" s="15" t="str">
        <f>IF(OR(I173&lt;&gt;"Ja",J173=""),"",COUNTIFS($O$5:O173,O173,$U$5:U173,1))</f>
        <v/>
      </c>
      <c r="W173" s="15" t="str">
        <f t="shared" si="32"/>
        <v/>
      </c>
      <c r="X173" s="16" t="str">
        <f t="shared" si="33"/>
        <v/>
      </c>
      <c r="Y173" s="15">
        <f>IF(OR(I173&lt;&gt;"Ja",J173=""),0,IF(COUNTIFS($O$5:O173,O173,$I$5:I173,"Ja",$J$5:J173,"&lt;&gt;")=1,1,0))</f>
        <v>0</v>
      </c>
      <c r="Z173" s="15">
        <f>IF(OR(I173&lt;&gt;"Ja",J173=""),0,IF(COUNTIFS(O173:$O$546,O173,I173:$I$546,"Ja",J173:$J$546,"&lt;&gt;")=1,1,0))</f>
        <v>0</v>
      </c>
      <c r="AA173" s="15">
        <f>IF(COUNTIFS(MATCHER!$B$5:$B$504,A173,MATCHER!$D$5:$D$504,C173,MATCHER!$J$5:$J$504,REGLER!$I$6,MATCHER!$K$5:$K$504,"Ja")+COUNTIFS(MATCHER!$B$5:$B$504,A173,MATCHER!$D$5:$D$504,C173,MATCHER!$J$5:$J$504,REGLER!$I$6&amp;" 2",MATCHER!$K$5:$K$504,"Ja")&gt;0,1,0)+IF(COUNTIFS(MATCHER!$B$5:$B$504,A173,MATCHER!$D$5:$D$504,C173,MATCHER!$J$5:$J$504,REGLER!$I$7,MATCHER!$K$5:$K$504,"Ja")+COUNTIFS(MATCHER!$B$5:$B$504,A173,MATCHER!$D$5:$D$504,C173,MATCHER!$J$5:$J$504,REGLER!$I$7&amp;" 2",MATCHER!$K$5:$K$504,"Ja")&gt;0,1,0)+IF(COUNTIFS(MATCHER!$B$5:$B$504,A173,MATCHER!$D$5:$D$504,C173,MATCHER!$J$5:$J$504,REGLER!$I$8,MATCHER!$K$5:$K$504,"Ja")+COUNTIFS(MATCHER!$B$5:$B$504,A173,MATCHER!$D$5:$D$504,C173,MATCHER!$J$5:$J$504,REGLER!$I$8&amp;" 2",MATCHER!$K$5:$K$504,"Ja")&gt;0,1,0)+IF(COUNTIFS(MATCHER!$B$5:$B$504,A173,MATCHER!$D$5:$D$504,C173,MATCHER!$J$5:$J$504,REGLER!$I$9,MATCHER!$K$5:$K$504,"Ja")+COUNTIFS(MATCHER!$B$5:$B$504,A173,MATCHER!$D$5:$D$504,C173,MATCHER!$J$5:$J$504,REGLER!$I$9&amp;" 2",MATCHER!$K$5:$K$504,"Ja")&gt;0,1,0)+IF(COUNTIFS(MATCHER!$B$5:$B$504,A173,MATCHER!$D$5:$D$504,C173,MATCHER!$J$5:$J$504,REGLER!$I$10,MATCHER!$K$5:$K$504,"Ja")+COUNTIFS(MATCHER!$B$5:$B$504,A173,MATCHER!$D$5:$D$504,C173,MATCHER!$J$5:$J$504,REGLER!$I$10&amp;" 2",MATCHER!$K$5:$K$504,"Ja")&gt;0,1,0)+IF(COUNTIFS(MATCHER!$B$5:$B$504,A173,MATCHER!$D$5:$D$504,C173,MATCHER!$J$5:$J$504,REGLER!$I$11,MATCHER!$K$5:$K$504,"Ja")+COUNTIFS(MATCHER!$B$5:$B$504,A173,MATCHER!$D$5:$D$504,C173,MATCHER!$J$5:$J$504,REGLER!$I$11&amp;" 2",MATCHER!$K$5:$K$504,"Ja")&gt;0,1,0)+IF(COUNTIFS(MATCHER!$B$5:$B$504,A173,MATCHER!$D$5:$D$504,C173,MATCHER!$J$5:$J$504,REGLER!$I$12,MATCHER!$K$5:$K$504,"Ja")+COUNTIFS(MATCHER!$B$5:$B$504,A173,MATCHER!$D$5:$D$504,C173,MATCHER!$J$5:$J$504,REGLER!$I$12&amp;" 2",MATCHER!$K$5:$K$504,"Ja")&gt;0,1,0)+IF(COUNTIFS(MATCHER!$B$5:$B$504,A173,MATCHER!$D$5:$D$504,C173,MATCHER!$J$5:$J$504,REGLER!$I$13,MATCHER!$K$5:$K$504,"Ja")+COUNTIFS(MATCHER!$B$5:$B$504,A173,MATCHER!$D$5:$D$504,C173,MATCHER!$J$5:$J$504,REGLER!$I$13&amp;" 2",MATCHER!$K$5:$K$504,"Ja")&gt;0,1,0)+IF(COUNTIFS(MATCHER!$B$5:$B$504,A173,MATCHER!$D$5:$D$504,C173,MATCHER!$J$5:$J$504,REGLER!$I$14,MATCHER!$K$5:$K$504,"Ja")+COUNTIFS(MATCHER!$B$5:$B$504,A173,MATCHER!$D$5:$D$504,C173,MATCHER!$J$5:$J$504,REGLER!$I$14&amp;" 2",MATCHER!$K$5:$K$504,"Ja")&gt;0,1,0)+IF(COUNTIFS(MATCHER!$B$5:$B$504,A173,MATCHER!$D$5:$D$504,C173,MATCHER!$J$5:$J$504,REGLER!$I$15,MATCHER!$K$5:$K$504,"Ja")+COUNTIFS(MATCHER!$B$5:$B$504,A173,MATCHER!$D$5:$D$504,C173,MATCHER!$J$5:$J$504,REGLER!$I$15&amp;" 2",MATCHER!$K$5:$K$504,"Ja")&gt;0,1,0)+IF(COUNTIFS(MATCHER!$B$5:$B$504,A173,MATCHER!$D$5:$D$504,C173,MATCHER!$J$5:$J$504,REGLER!$I$16,MATCHER!$K$5:$K$504,"Ja")+COUNTIFS(MATCHER!$B$5:$B$504,A173,MATCHER!$D$5:$D$504,C173,MATCHER!$J$5:$J$504,REGLER!$I$16&amp;" 2",MATCHER!$K$5:$K$504,"Ja")&gt;0,1,0)+IF(COUNTIFS(MATCHER!$B$5:$B$504,A173,MATCHER!$D$5:$D$504,C173,MATCHER!$J$5:$J$504,REGLER!$I$17,MATCHER!$K$5:$K$504,"Ja")+COUNTIFS(MATCHER!$B$5:$B$504,A173,MATCHER!$D$5:$D$504,C173,MATCHER!$J$5:$J$504,REGLER!$I$17&amp;" 2",MATCHER!$K$5:$K$504,"Ja")&gt;0,1,0)+IF(COUNTIFS(MATCHER!$B$5:$B$504,A173,MATCHER!$D$5:$D$504,C173,MATCHER!$J$5:$J$504,REGLER!$I$18,MATCHER!$K$5:$K$504,"Ja")+COUNTIFS(MATCHER!$B$5:$B$504,A173,MATCHER!$D$5:$D$504,C173,MATCHER!$J$5:$J$504,REGLER!$I$18&amp;" 2",MATCHER!$K$5:$K$504,"Ja")&gt;0,1,0)+IF(COUNTIFS(MATCHER!$B$5:$B$504,A173,MATCHER!$D$5:$D$504,C173,MATCHER!$J$5:$J$504,REGLER!$I$19,MATCHER!$K$5:$K$504,"Ja")+COUNTIFS(MATCHER!$B$5:$B$504,A173,MATCHER!$D$5:$D$504,C173,MATCHER!$J$5:$J$504,REGLER!$I$19&amp;" 2",MATCHER!$K$5:$K$504,"Ja")&gt;0,1,0)+IF(COUNTIFS(MATCHER!$B$5:$B$504,A173,MATCHER!$D$5:$D$504,C173,MATCHER!$J$5:$J$504,REGLER!$I$20,MATCHER!$K$5:$K$504,"Ja")+COUNTIFS(MATCHER!$B$5:$B$504,A173,MATCHER!$D$5:$D$504,C173,MATCHER!$J$5:$J$504,REGLER!$I$20&amp;" 2",MATCHER!$K$5:$K$504,"Ja")&gt;0,1,0)+IF(COUNTIFS(MATCHER!$B$5:$B$504,A173,MATCHER!$D$5:$D$504,C173,MATCHER!$J$5:$J$504,REGLER!$I$21,MATCHER!$K$5:$K$504,"Ja")+COUNTIFS(MATCHER!$B$5:$B$504,A173,MATCHER!$D$5:$D$504,C173,MATCHER!$J$5:$J$504,REGLER!$I$21&amp;" 2",MATCHER!$K$5:$K$504,"Ja")&gt;0,1,0)+IF(COUNTIFS(MATCHER!$B$5:$B$504,A173,MATCHER!$D$5:$D$504,C173,MATCHER!$J$5:$J$504,REGLER!$I$22,MATCHER!$K$5:$K$504,"Ja")+COUNTIFS(MATCHER!$B$5:$B$504,A173,MATCHER!$D$5:$D$504,C173,MATCHER!$J$5:$J$504,REGLER!$I$22&amp;" 2",MATCHER!$K$5:$K$504,"Ja")&gt;0,1,0)+IF(COUNTIFS(MATCHER!$B$5:$B$504,A173,MATCHER!$D$5:$D$504,C173,MATCHER!$J$5:$J$504,REGLER!$I$23,MATCHER!$K$5:$K$504,"Ja")+COUNTIFS(MATCHER!$B$5:$B$504,A173,MATCHER!$D$5:$D$504,C173,MATCHER!$J$5:$J$504,REGLER!$I$23&amp;" 2",MATCHER!$K$5:$K$504,"Ja")&gt;0,1,0)+IF(COUNTIFS(MATCHER!$B$5:$B$504,A173,MATCHER!$D$5:$D$504,C173,MATCHER!$J$5:$J$504,REGLER!$I$24,MATCHER!$K$5:$K$504,"Ja")+COUNTIFS(MATCHER!$B$5:$B$504,A173,MATCHER!$D$5:$D$504,C173,MATCHER!$J$5:$J$504,REGLER!$I$24&amp;" 2",MATCHER!$K$5:$K$504,"Ja")&gt;0,1,0)+IF(COUNTIFS(MATCHER!$B$5:$B$504,A173,MATCHER!$D$5:$D$504,C173,MATCHER!$J$5:$J$504,REGLER!$I$25,MATCHER!$K$5:$K$504,"Ja")+COUNTIFS(MATCHER!$B$5:$B$504,A173,MATCHER!$D$5:$D$504,C173,MATCHER!$J$5:$J$504,REGLER!$I$25&amp;" 2",MATCHER!$K$5:$K$504,"Ja")&gt;0,1,0)+IF(COUNTIFS(MATCHER!$B$5:$B$504,A173,MATCHER!$D$5:$D$504,C173,MATCHER!$J$5:$J$504,REGLER!$I$26,MATCHER!$K$5:$K$504,"Ja")+COUNTIFS(MATCHER!$B$5:$B$504,A173,MATCHER!$D$5:$D$504,C173,MATCHER!$J$5:$J$504,REGLER!$I$26&amp;" 2",MATCHER!$K$5:$K$504,"Ja")&gt;0,1,0)</f>
        <v>2</v>
      </c>
      <c r="AB173" s="15" t="str">
        <f>IF(U173&lt;&gt;1,"",COUNTIF($U$5:U173,1))</f>
        <v/>
      </c>
      <c r="AC173" s="15" t="str">
        <f t="shared" si="34"/>
        <v/>
      </c>
      <c r="AD173" s="15" t="str">
        <f t="shared" si="35"/>
        <v>Vanligt café</v>
      </c>
      <c r="AE173" s="15" t="str">
        <f t="shared" si="36"/>
        <v/>
      </c>
      <c r="AF173" t="str">
        <f>IF(T173="","",IFERROR(MATCH(1,INDEX((MATCHER!$B$5:$B$504=A173)*(MATCHER!$D$5:$D$504=C173)*(MATCHER!$K$5:$K$504="Ja")*(MATCHER!$C$5:$C$504&lt;E173)*(MATCHER!$M$5:$M$504&gt;D173)*(ROW(MATCHER!$A$5:$A$504)-ROW(MATCHER!$A$5)+1&gt;T173),0),0),""))</f>
        <v/>
      </c>
    </row>
    <row r="174" spans="1:32" ht="13">
      <c r="A174" s="42">
        <v>46340</v>
      </c>
      <c r="B174" s="43" t="s">
        <v>85</v>
      </c>
      <c r="C174" s="43" t="s">
        <v>94</v>
      </c>
      <c r="D174" s="44">
        <v>0.5</v>
      </c>
      <c r="E174" s="44">
        <v>0.52083333333333304</v>
      </c>
      <c r="F174" s="45" t="str">
        <f>IF(R174="","",HOUR(INDEX(MATCHER!$C$5:$C$504,R174))&amp;":"&amp;IF(MINUTE(INDEX(MATCHER!$C$5:$C$504,R174))&lt;10,"0","")&amp;MINUTE(INDEX(MATCHER!$C$5:$C$504,R174))&amp;" "&amp;INDEX(MATCHER!$H$5:$H$504,R174)&amp;" – "&amp;INDEX(MATCHER!$I$5:$I$504,R174))&amp;IF(S174="",""," | "&amp;HOUR(INDEX(MATCHER!$C$5:$C$504,S174))&amp;":"&amp;IF(MINUTE(INDEX(MATCHER!$C$5:$C$504,S174))&lt;10,"0","")&amp;MINUTE(INDEX(MATCHER!$C$5:$C$504,S174))&amp;" "&amp;INDEX(MATCHER!$H$5:$H$504,S174)&amp;" – "&amp;INDEX(MATCHER!$I$5:$I$504,S174))&amp;IF(T174="",""," | "&amp;HOUR(INDEX(MATCHER!$C$5:$C$504,T174))&amp;":"&amp;IF(MINUTE(INDEX(MATCHER!$C$5:$C$504,T174))&lt;10,"0","")&amp;MINUTE(INDEX(MATCHER!$C$5:$C$504,T174))&amp;" "&amp;INDEX(MATCHER!$H$5:$H$504,T174)&amp;" – "&amp;INDEX(MATCHER!$I$5:$I$504,T174))&amp;IF(AF174="",""," | "&amp;HOUR(INDEX(MATCHER!$C$5:$C$504,AF174))&amp;":"&amp;IF(MINUTE(INDEX(MATCHER!$C$5:$C$504,AF174))&lt;10,"0","")&amp;MINUTE(INDEX(MATCHER!$C$5:$C$504,AF174))&amp;" "&amp;INDEX(MATCHER!$H$5:$H$504,AF174)&amp;" – "&amp;INDEX(MATCHER!$I$5:$I$504,AF174))</f>
        <v>12:20 AIK 2 – Åkersberga HK</v>
      </c>
      <c r="G174" s="45" t="str">
        <f>MID(IF(R174="","",IF(OR(INDEX(MATCHER!$J$5:$J$504,R174)=""),""," / "&amp;INDEX(MATCHER!$J$5:$J$504,R174)))&amp;IF(S174="","",IF(OR(INDEX(MATCHER!$J$5:$J$504,S174)="",INDEX(MATCHER!$J$5:$J$504,S174)=IFERROR(INDEX(MATCHER!$J$5:$J$504,R174),"")),""," / "&amp;INDEX(MATCHER!$J$5:$J$504,S174)))&amp;IF(T174="","",IF(OR(INDEX(MATCHER!$J$5:$J$504,T174)="",INDEX(MATCHER!$J$5:$J$504,T174)=IFERROR(INDEX(MATCHER!$J$5:$J$504,R174),""),INDEX(MATCHER!$J$5:$J$504,T174)=IFERROR(INDEX(MATCHER!$J$5:$J$504,S174),"")),""," / "&amp;INDEX(MATCHER!$J$5:$J$504,T174)))&amp;IF(AF174="","",IF(OR(INDEX(MATCHER!$J$5:$J$504,AF174)="",INDEX(MATCHER!$J$5:$J$504,AF174)=IFERROR(INDEX(MATCHER!$J$5:$J$504,R174),""),INDEX(MATCHER!$J$5:$J$504,AF174)=IFERROR(INDEX(MATCHER!$J$5:$J$504,S174),""),INDEX(MATCHER!$J$5:$J$504,AF174)=IFERROR(INDEX(MATCHER!$J$5:$J$504,T174),"")),""," / "&amp;INDEX(MATCHER!$J$5:$J$504,AF174))),4,1000)</f>
        <v>F16 2</v>
      </c>
      <c r="H174" s="45" t="str">
        <f t="shared" ref="H174:H179" si="41">H173</f>
        <v>F16, P16</v>
      </c>
      <c r="I174" s="46" t="s">
        <v>90</v>
      </c>
      <c r="J174" s="47" t="s">
        <v>100</v>
      </c>
      <c r="K174" s="48"/>
      <c r="L174" s="49"/>
      <c r="M174" s="50" t="str">
        <f>IF(O174&lt;&gt;O173,MAX(1,MIN(AA174,ROUNDUP(SUMPRODUCT(($O$5:$O$546=O174)*($I$5:$I$546="Ja")*($E$5:$E$546-$D$5:$D$546))*24/REGLER!$B$8,0))),"")</f>
        <v/>
      </c>
      <c r="N174" s="50" t="str">
        <f t="shared" si="30"/>
        <v>Klar</v>
      </c>
      <c r="O174" s="15" t="s">
        <v>121</v>
      </c>
      <c r="P174" s="16">
        <v>0.47916666666666702</v>
      </c>
      <c r="Q174" s="16">
        <v>0.625</v>
      </c>
      <c r="R174" s="15">
        <f>IFERROR(MATCH(1,INDEX((MATCHER!$B$5:$B$504=A174)*(MATCHER!$D$5:$D$504=C174)*(MATCHER!$K$5:$K$504="Ja")*(MATCHER!$C$5:$C$504&lt;E174)*(MATCHER!$M$5:$M$504&gt;D174),0),0),"")</f>
        <v>57</v>
      </c>
      <c r="S174" s="15" t="str">
        <f>IF(R174="","",IFERROR(MATCH(1,INDEX((MATCHER!$B$5:$B$504=A174)*(MATCHER!$D$5:$D$504=C174)*(MATCHER!$K$5:$K$504="Ja")*(MATCHER!$C$5:$C$504&lt;E174)*(MATCHER!$M$5:$M$504&gt;D174)*(ROW(MATCHER!$A$5:$A$504)-ROW(MATCHER!$A$5)+1&gt;R174),0),0),""))</f>
        <v/>
      </c>
      <c r="T174" s="15" t="str">
        <f>IF(S174="","",IFERROR(MATCH(1,INDEX((MATCHER!$B$5:$B$504=A174)*(MATCHER!$D$5:$D$504=C174)*(MATCHER!$K$5:$K$504="Ja")*(MATCHER!$C$5:$C$504&lt;E174)*(MATCHER!$M$5:$M$504&gt;D174)*(ROW(MATCHER!$A$5:$A$504)-ROW(MATCHER!$A$5)+1&gt;S174),0),0),""))</f>
        <v/>
      </c>
      <c r="U174" s="15">
        <f t="shared" si="31"/>
        <v>1</v>
      </c>
      <c r="V174" s="15">
        <f>IF(OR(I174&lt;&gt;"Ja",J174=""),"",COUNTIFS($O$5:O174,O174,$U$5:U174,1))</f>
        <v>1</v>
      </c>
      <c r="W174" s="15" t="str">
        <f t="shared" si="32"/>
        <v>2026-11-14 | Råsta Park|1</v>
      </c>
      <c r="X174" s="16" t="str">
        <f t="shared" si="33"/>
        <v/>
      </c>
      <c r="Y174" s="15">
        <f>IF(OR(I174&lt;&gt;"Ja",J174=""),0,IF(COUNTIFS($O$5:O174,O174,$I$5:I174,"Ja",$J$5:J174,"&lt;&gt;")=1,1,0))</f>
        <v>1</v>
      </c>
      <c r="Z174" s="15">
        <f>IF(OR(I174&lt;&gt;"Ja",J174=""),0,IF(COUNTIFS(O174:$O$546,O174,I174:$I$546,"Ja",J174:$J$546,"&lt;&gt;")=1,1,0))</f>
        <v>0</v>
      </c>
      <c r="AA174" s="15">
        <f t="shared" ref="AA174:AA179" si="42">AA173</f>
        <v>2</v>
      </c>
      <c r="AB174" s="15">
        <f>IF(U174&lt;&gt;1,"",COUNTIF($U$5:U174,1))</f>
        <v>19</v>
      </c>
      <c r="AC174" s="15" t="str">
        <f t="shared" si="34"/>
        <v/>
      </c>
      <c r="AD174" s="15" t="str">
        <f t="shared" si="35"/>
        <v>Vanligt café</v>
      </c>
      <c r="AE174" s="15">
        <f t="shared" si="36"/>
        <v>3</v>
      </c>
      <c r="AF174" t="str">
        <f>IF(T174="","",IFERROR(MATCH(1,INDEX((MATCHER!$B$5:$B$504=A174)*(MATCHER!$D$5:$D$504=C174)*(MATCHER!$K$5:$K$504="Ja")*(MATCHER!$C$5:$C$504&lt;E174)*(MATCHER!$M$5:$M$504&gt;D174)*(ROW(MATCHER!$A$5:$A$504)-ROW(MATCHER!$A$5)+1&gt;T174),0),0),""))</f>
        <v/>
      </c>
    </row>
    <row r="175" spans="1:32" ht="13">
      <c r="A175" s="42">
        <v>46340</v>
      </c>
      <c r="B175" s="43" t="s">
        <v>85</v>
      </c>
      <c r="C175" s="43" t="s">
        <v>94</v>
      </c>
      <c r="D175" s="44">
        <v>0.52083333333333304</v>
      </c>
      <c r="E175" s="44">
        <v>0.54166666666666696</v>
      </c>
      <c r="F175" s="45" t="str">
        <f>IF(R175="","",HOUR(INDEX(MATCHER!$C$5:$C$504,R175))&amp;":"&amp;IF(MINUTE(INDEX(MATCHER!$C$5:$C$504,R175))&lt;10,"0","")&amp;MINUTE(INDEX(MATCHER!$C$5:$C$504,R175))&amp;" "&amp;INDEX(MATCHER!$H$5:$H$504,R175)&amp;" – "&amp;INDEX(MATCHER!$I$5:$I$504,R175))&amp;IF(S175="",""," | "&amp;HOUR(INDEX(MATCHER!$C$5:$C$504,S175))&amp;":"&amp;IF(MINUTE(INDEX(MATCHER!$C$5:$C$504,S175))&lt;10,"0","")&amp;MINUTE(INDEX(MATCHER!$C$5:$C$504,S175))&amp;" "&amp;INDEX(MATCHER!$H$5:$H$504,S175)&amp;" – "&amp;INDEX(MATCHER!$I$5:$I$504,S175))&amp;IF(T175="",""," | "&amp;HOUR(INDEX(MATCHER!$C$5:$C$504,T175))&amp;":"&amp;IF(MINUTE(INDEX(MATCHER!$C$5:$C$504,T175))&lt;10,"0","")&amp;MINUTE(INDEX(MATCHER!$C$5:$C$504,T175))&amp;" "&amp;INDEX(MATCHER!$H$5:$H$504,T175)&amp;" – "&amp;INDEX(MATCHER!$I$5:$I$504,T175))&amp;IF(AF175="",""," | "&amp;HOUR(INDEX(MATCHER!$C$5:$C$504,AF175))&amp;":"&amp;IF(MINUTE(INDEX(MATCHER!$C$5:$C$504,AF175))&lt;10,"0","")&amp;MINUTE(INDEX(MATCHER!$C$5:$C$504,AF175))&amp;" "&amp;INDEX(MATCHER!$H$5:$H$504,AF175)&amp;" – "&amp;INDEX(MATCHER!$I$5:$I$504,AF175))</f>
        <v>12:20 AIK 2 – Åkersberga HK</v>
      </c>
      <c r="G175" s="45" t="str">
        <f>MID(IF(R175="","",IF(OR(INDEX(MATCHER!$J$5:$J$504,R175)=""),""," / "&amp;INDEX(MATCHER!$J$5:$J$504,R175)))&amp;IF(S175="","",IF(OR(INDEX(MATCHER!$J$5:$J$504,S175)="",INDEX(MATCHER!$J$5:$J$504,S175)=IFERROR(INDEX(MATCHER!$J$5:$J$504,R175),"")),""," / "&amp;INDEX(MATCHER!$J$5:$J$504,S175)))&amp;IF(T175="","",IF(OR(INDEX(MATCHER!$J$5:$J$504,T175)="",INDEX(MATCHER!$J$5:$J$504,T175)=IFERROR(INDEX(MATCHER!$J$5:$J$504,R175),""),INDEX(MATCHER!$J$5:$J$504,T175)=IFERROR(INDEX(MATCHER!$J$5:$J$504,S175),"")),""," / "&amp;INDEX(MATCHER!$J$5:$J$504,T175)))&amp;IF(AF175="","",IF(OR(INDEX(MATCHER!$J$5:$J$504,AF175)="",INDEX(MATCHER!$J$5:$J$504,AF175)=IFERROR(INDEX(MATCHER!$J$5:$J$504,R175),""),INDEX(MATCHER!$J$5:$J$504,AF175)=IFERROR(INDEX(MATCHER!$J$5:$J$504,S175),""),INDEX(MATCHER!$J$5:$J$504,AF175)=IFERROR(INDEX(MATCHER!$J$5:$J$504,T175),"")),""," / "&amp;INDEX(MATCHER!$J$5:$J$504,AF175))),4,1000)</f>
        <v>F16 2</v>
      </c>
      <c r="H175" s="45" t="str">
        <f t="shared" si="41"/>
        <v>F16, P16</v>
      </c>
      <c r="I175" s="46" t="s">
        <v>90</v>
      </c>
      <c r="J175" s="47" t="s">
        <v>100</v>
      </c>
      <c r="K175" s="48"/>
      <c r="L175" s="49"/>
      <c r="M175" s="50" t="str">
        <f>IF(O175&lt;&gt;O174,MAX(1,MIN(AA175,ROUNDUP(SUMPRODUCT(($O$5:$O$546=O175)*($I$5:$I$546="Ja")*($E$5:$E$546-$D$5:$D$546))*24/REGLER!$B$8,0))),"")</f>
        <v/>
      </c>
      <c r="N175" s="50" t="str">
        <f t="shared" si="30"/>
        <v>Klar</v>
      </c>
      <c r="O175" s="15" t="s">
        <v>121</v>
      </c>
      <c r="P175" s="16">
        <v>0.47916666666666702</v>
      </c>
      <c r="Q175" s="16">
        <v>0.625</v>
      </c>
      <c r="R175" s="15">
        <f>IFERROR(MATCH(1,INDEX((MATCHER!$B$5:$B$504=A175)*(MATCHER!$D$5:$D$504=C175)*(MATCHER!$K$5:$K$504="Ja")*(MATCHER!$C$5:$C$504&lt;E175)*(MATCHER!$M$5:$M$504&gt;D175),0),0),"")</f>
        <v>57</v>
      </c>
      <c r="S175" s="15" t="str">
        <f>IF(R175="","",IFERROR(MATCH(1,INDEX((MATCHER!$B$5:$B$504=A175)*(MATCHER!$D$5:$D$504=C175)*(MATCHER!$K$5:$K$504="Ja")*(MATCHER!$C$5:$C$504&lt;E175)*(MATCHER!$M$5:$M$504&gt;D175)*(ROW(MATCHER!$A$5:$A$504)-ROW(MATCHER!$A$5)+1&gt;R175),0),0),""))</f>
        <v/>
      </c>
      <c r="T175" s="15" t="str">
        <f>IF(S175="","",IFERROR(MATCH(1,INDEX((MATCHER!$B$5:$B$504=A175)*(MATCHER!$D$5:$D$504=C175)*(MATCHER!$K$5:$K$504="Ja")*(MATCHER!$C$5:$C$504&lt;E175)*(MATCHER!$M$5:$M$504&gt;D175)*(ROW(MATCHER!$A$5:$A$504)-ROW(MATCHER!$A$5)+1&gt;S175),0),0),""))</f>
        <v/>
      </c>
      <c r="U175" s="15">
        <f t="shared" si="31"/>
        <v>0</v>
      </c>
      <c r="V175" s="15">
        <f>IF(OR(I175&lt;&gt;"Ja",J175=""),"",COUNTIFS($O$5:O175,O175,$U$5:U175,1))</f>
        <v>1</v>
      </c>
      <c r="W175" s="15" t="str">
        <f t="shared" si="32"/>
        <v>2026-11-14 | Råsta Park|1</v>
      </c>
      <c r="X175" s="16" t="str">
        <f t="shared" si="33"/>
        <v/>
      </c>
      <c r="Y175" s="15">
        <f>IF(OR(I175&lt;&gt;"Ja",J175=""),0,IF(COUNTIFS($O$5:O175,O175,$I$5:I175,"Ja",$J$5:J175,"&lt;&gt;")=1,1,0))</f>
        <v>0</v>
      </c>
      <c r="Z175" s="15">
        <f>IF(OR(I175&lt;&gt;"Ja",J175=""),0,IF(COUNTIFS(O175:$O$546,O175,I175:$I$546,"Ja",J175:$J$546,"&lt;&gt;")=1,1,0))</f>
        <v>0</v>
      </c>
      <c r="AA175" s="15">
        <f t="shared" si="42"/>
        <v>2</v>
      </c>
      <c r="AB175" s="15" t="str">
        <f>IF(U175&lt;&gt;1,"",COUNTIF($U$5:U175,1))</f>
        <v/>
      </c>
      <c r="AC175" s="15" t="str">
        <f t="shared" si="34"/>
        <v/>
      </c>
      <c r="AD175" s="15" t="str">
        <f t="shared" si="35"/>
        <v>Vanligt café</v>
      </c>
      <c r="AE175" s="15" t="str">
        <f t="shared" si="36"/>
        <v/>
      </c>
      <c r="AF175" t="str">
        <f>IF(T175="","",IFERROR(MATCH(1,INDEX((MATCHER!$B$5:$B$504=A175)*(MATCHER!$D$5:$D$504=C175)*(MATCHER!$K$5:$K$504="Ja")*(MATCHER!$C$5:$C$504&lt;E175)*(MATCHER!$M$5:$M$504&gt;D175)*(ROW(MATCHER!$A$5:$A$504)-ROW(MATCHER!$A$5)+1&gt;T175),0),0),""))</f>
        <v/>
      </c>
    </row>
    <row r="176" spans="1:32" ht="13">
      <c r="A176" s="42">
        <v>46340</v>
      </c>
      <c r="B176" s="43" t="s">
        <v>85</v>
      </c>
      <c r="C176" s="43" t="s">
        <v>94</v>
      </c>
      <c r="D176" s="44">
        <v>0.54166666666666696</v>
      </c>
      <c r="E176" s="44">
        <v>0.5625</v>
      </c>
      <c r="F176" s="45" t="str">
        <f>IF(R176="","",HOUR(INDEX(MATCHER!$C$5:$C$504,R176))&amp;":"&amp;IF(MINUTE(INDEX(MATCHER!$C$5:$C$504,R176))&lt;10,"0","")&amp;MINUTE(INDEX(MATCHER!$C$5:$C$504,R176))&amp;" "&amp;INDEX(MATCHER!$H$5:$H$504,R176)&amp;" – "&amp;INDEX(MATCHER!$I$5:$I$504,R176))&amp;IF(S176="",""," | "&amp;HOUR(INDEX(MATCHER!$C$5:$C$504,S176))&amp;":"&amp;IF(MINUTE(INDEX(MATCHER!$C$5:$C$504,S176))&lt;10,"0","")&amp;MINUTE(INDEX(MATCHER!$C$5:$C$504,S176))&amp;" "&amp;INDEX(MATCHER!$H$5:$H$504,S176)&amp;" – "&amp;INDEX(MATCHER!$I$5:$I$504,S176))&amp;IF(T176="",""," | "&amp;HOUR(INDEX(MATCHER!$C$5:$C$504,T176))&amp;":"&amp;IF(MINUTE(INDEX(MATCHER!$C$5:$C$504,T176))&lt;10,"0","")&amp;MINUTE(INDEX(MATCHER!$C$5:$C$504,T176))&amp;" "&amp;INDEX(MATCHER!$H$5:$H$504,T176)&amp;" – "&amp;INDEX(MATCHER!$I$5:$I$504,T176))&amp;IF(AF176="",""," | "&amp;HOUR(INDEX(MATCHER!$C$5:$C$504,AF176))&amp;":"&amp;IF(MINUTE(INDEX(MATCHER!$C$5:$C$504,AF176))&lt;10,"0","")&amp;MINUTE(INDEX(MATCHER!$C$5:$C$504,AF176))&amp;" "&amp;INDEX(MATCHER!$H$5:$H$504,AF176)&amp;" – "&amp;INDEX(MATCHER!$I$5:$I$504,AF176))</f>
        <v>12:20 AIK 2 – Åkersberga HK</v>
      </c>
      <c r="G176" s="45" t="str">
        <f>MID(IF(R176="","",IF(OR(INDEX(MATCHER!$J$5:$J$504,R176)=""),""," / "&amp;INDEX(MATCHER!$J$5:$J$504,R176)))&amp;IF(S176="","",IF(OR(INDEX(MATCHER!$J$5:$J$504,S176)="",INDEX(MATCHER!$J$5:$J$504,S176)=IFERROR(INDEX(MATCHER!$J$5:$J$504,R176),"")),""," / "&amp;INDEX(MATCHER!$J$5:$J$504,S176)))&amp;IF(T176="","",IF(OR(INDEX(MATCHER!$J$5:$J$504,T176)="",INDEX(MATCHER!$J$5:$J$504,T176)=IFERROR(INDEX(MATCHER!$J$5:$J$504,R176),""),INDEX(MATCHER!$J$5:$J$504,T176)=IFERROR(INDEX(MATCHER!$J$5:$J$504,S176),"")),""," / "&amp;INDEX(MATCHER!$J$5:$J$504,T176)))&amp;IF(AF176="","",IF(OR(INDEX(MATCHER!$J$5:$J$504,AF176)="",INDEX(MATCHER!$J$5:$J$504,AF176)=IFERROR(INDEX(MATCHER!$J$5:$J$504,R176),""),INDEX(MATCHER!$J$5:$J$504,AF176)=IFERROR(INDEX(MATCHER!$J$5:$J$504,S176),""),INDEX(MATCHER!$J$5:$J$504,AF176)=IFERROR(INDEX(MATCHER!$J$5:$J$504,T176),"")),""," / "&amp;INDEX(MATCHER!$J$5:$J$504,AF176))),4,1000)</f>
        <v>F16 2</v>
      </c>
      <c r="H176" s="45" t="str">
        <f t="shared" si="41"/>
        <v>F16, P16</v>
      </c>
      <c r="I176" s="46" t="s">
        <v>90</v>
      </c>
      <c r="J176" s="47" t="s">
        <v>100</v>
      </c>
      <c r="K176" s="48"/>
      <c r="L176" s="49"/>
      <c r="M176" s="50" t="str">
        <f>IF(O176&lt;&gt;O175,MAX(1,MIN(AA176,ROUNDUP(SUMPRODUCT(($O$5:$O$546=O176)*($I$5:$I$546="Ja")*($E$5:$E$546-$D$5:$D$546))*24/REGLER!$B$8,0))),"")</f>
        <v/>
      </c>
      <c r="N176" s="50" t="str">
        <f t="shared" si="30"/>
        <v>Klar</v>
      </c>
      <c r="O176" s="15" t="s">
        <v>121</v>
      </c>
      <c r="P176" s="16">
        <v>0.47916666666666702</v>
      </c>
      <c r="Q176" s="16">
        <v>0.625</v>
      </c>
      <c r="R176" s="15">
        <f>IFERROR(MATCH(1,INDEX((MATCHER!$B$5:$B$504=A176)*(MATCHER!$D$5:$D$504=C176)*(MATCHER!$K$5:$K$504="Ja")*(MATCHER!$C$5:$C$504&lt;E176)*(MATCHER!$M$5:$M$504&gt;D176),0),0),"")</f>
        <v>57</v>
      </c>
      <c r="S176" s="15" t="str">
        <f>IF(R176="","",IFERROR(MATCH(1,INDEX((MATCHER!$B$5:$B$504=A176)*(MATCHER!$D$5:$D$504=C176)*(MATCHER!$K$5:$K$504="Ja")*(MATCHER!$C$5:$C$504&lt;E176)*(MATCHER!$M$5:$M$504&gt;D176)*(ROW(MATCHER!$A$5:$A$504)-ROW(MATCHER!$A$5)+1&gt;R176),0),0),""))</f>
        <v/>
      </c>
      <c r="T176" s="15" t="str">
        <f>IF(S176="","",IFERROR(MATCH(1,INDEX((MATCHER!$B$5:$B$504=A176)*(MATCHER!$D$5:$D$504=C176)*(MATCHER!$K$5:$K$504="Ja")*(MATCHER!$C$5:$C$504&lt;E176)*(MATCHER!$M$5:$M$504&gt;D176)*(ROW(MATCHER!$A$5:$A$504)-ROW(MATCHER!$A$5)+1&gt;S176),0),0),""))</f>
        <v/>
      </c>
      <c r="U176" s="15">
        <f t="shared" si="31"/>
        <v>0</v>
      </c>
      <c r="V176" s="15">
        <f>IF(OR(I176&lt;&gt;"Ja",J176=""),"",COUNTIFS($O$5:O176,O176,$U$5:U176,1))</f>
        <v>1</v>
      </c>
      <c r="W176" s="15" t="str">
        <f t="shared" si="32"/>
        <v>2026-11-14 | Råsta Park|1</v>
      </c>
      <c r="X176" s="16" t="str">
        <f t="shared" si="33"/>
        <v/>
      </c>
      <c r="Y176" s="15">
        <f>IF(OR(I176&lt;&gt;"Ja",J176=""),0,IF(COUNTIFS($O$5:O176,O176,$I$5:I176,"Ja",$J$5:J176,"&lt;&gt;")=1,1,0))</f>
        <v>0</v>
      </c>
      <c r="Z176" s="15">
        <f>IF(OR(I176&lt;&gt;"Ja",J176=""),0,IF(COUNTIFS(O176:$O$546,O176,I176:$I$546,"Ja",J176:$J$546,"&lt;&gt;")=1,1,0))</f>
        <v>0</v>
      </c>
      <c r="AA176" s="15">
        <f t="shared" si="42"/>
        <v>2</v>
      </c>
      <c r="AB176" s="15" t="str">
        <f>IF(U176&lt;&gt;1,"",COUNTIF($U$5:U176,1))</f>
        <v/>
      </c>
      <c r="AC176" s="15" t="str">
        <f t="shared" si="34"/>
        <v/>
      </c>
      <c r="AD176" s="15" t="str">
        <f t="shared" si="35"/>
        <v>Vanligt café</v>
      </c>
      <c r="AE176" s="15" t="str">
        <f t="shared" si="36"/>
        <v/>
      </c>
      <c r="AF176" t="str">
        <f>IF(T176="","",IFERROR(MATCH(1,INDEX((MATCHER!$B$5:$B$504=A176)*(MATCHER!$D$5:$D$504=C176)*(MATCHER!$K$5:$K$504="Ja")*(MATCHER!$C$5:$C$504&lt;E176)*(MATCHER!$M$5:$M$504&gt;D176)*(ROW(MATCHER!$A$5:$A$504)-ROW(MATCHER!$A$5)+1&gt;T176),0),0),""))</f>
        <v/>
      </c>
    </row>
    <row r="177" spans="1:32" ht="13">
      <c r="A177" s="42">
        <v>46340</v>
      </c>
      <c r="B177" s="43" t="s">
        <v>85</v>
      </c>
      <c r="C177" s="43" t="s">
        <v>94</v>
      </c>
      <c r="D177" s="44">
        <v>0.5625</v>
      </c>
      <c r="E177" s="44">
        <v>0.58333333333333304</v>
      </c>
      <c r="F177" s="45" t="str">
        <f>IF(R177="","",HOUR(INDEX(MATCHER!$C$5:$C$504,R177))&amp;":"&amp;IF(MINUTE(INDEX(MATCHER!$C$5:$C$504,R177))&lt;10,"0","")&amp;MINUTE(INDEX(MATCHER!$C$5:$C$504,R177))&amp;" "&amp;INDEX(MATCHER!$H$5:$H$504,R177)&amp;" – "&amp;INDEX(MATCHER!$I$5:$I$504,R177))&amp;IF(S177="",""," | "&amp;HOUR(INDEX(MATCHER!$C$5:$C$504,S177))&amp;":"&amp;IF(MINUTE(INDEX(MATCHER!$C$5:$C$504,S177))&lt;10,"0","")&amp;MINUTE(INDEX(MATCHER!$C$5:$C$504,S177))&amp;" "&amp;INDEX(MATCHER!$H$5:$H$504,S177)&amp;" – "&amp;INDEX(MATCHER!$I$5:$I$504,S177))&amp;IF(T177="",""," | "&amp;HOUR(INDEX(MATCHER!$C$5:$C$504,T177))&amp;":"&amp;IF(MINUTE(INDEX(MATCHER!$C$5:$C$504,T177))&lt;10,"0","")&amp;MINUTE(INDEX(MATCHER!$C$5:$C$504,T177))&amp;" "&amp;INDEX(MATCHER!$H$5:$H$504,T177)&amp;" – "&amp;INDEX(MATCHER!$I$5:$I$504,T177))&amp;IF(AF177="",""," | "&amp;HOUR(INDEX(MATCHER!$C$5:$C$504,AF177))&amp;":"&amp;IF(MINUTE(INDEX(MATCHER!$C$5:$C$504,AF177))&lt;10,"0","")&amp;MINUTE(INDEX(MATCHER!$C$5:$C$504,AF177))&amp;" "&amp;INDEX(MATCHER!$H$5:$H$504,AF177)&amp;" – "&amp;INDEX(MATCHER!$I$5:$I$504,AF177))</f>
        <v>13:40 AIK 2 – Sannadals SK 2</v>
      </c>
      <c r="G177" s="45" t="str">
        <f>MID(IF(R177="","",IF(OR(INDEX(MATCHER!$J$5:$J$504,R177)=""),""," / "&amp;INDEX(MATCHER!$J$5:$J$504,R177)))&amp;IF(S177="","",IF(OR(INDEX(MATCHER!$J$5:$J$504,S177)="",INDEX(MATCHER!$J$5:$J$504,S177)=IFERROR(INDEX(MATCHER!$J$5:$J$504,R177),"")),""," / "&amp;INDEX(MATCHER!$J$5:$J$504,S177)))&amp;IF(T177="","",IF(OR(INDEX(MATCHER!$J$5:$J$504,T177)="",INDEX(MATCHER!$J$5:$J$504,T177)=IFERROR(INDEX(MATCHER!$J$5:$J$504,R177),""),INDEX(MATCHER!$J$5:$J$504,T177)=IFERROR(INDEX(MATCHER!$J$5:$J$504,S177),"")),""," / "&amp;INDEX(MATCHER!$J$5:$J$504,T177)))&amp;IF(AF177="","",IF(OR(INDEX(MATCHER!$J$5:$J$504,AF177)="",INDEX(MATCHER!$J$5:$J$504,AF177)=IFERROR(INDEX(MATCHER!$J$5:$J$504,R177),""),INDEX(MATCHER!$J$5:$J$504,AF177)=IFERROR(INDEX(MATCHER!$J$5:$J$504,S177),""),INDEX(MATCHER!$J$5:$J$504,AF177)=IFERROR(INDEX(MATCHER!$J$5:$J$504,T177),"")),""," / "&amp;INDEX(MATCHER!$J$5:$J$504,AF177))),4,1000)</f>
        <v>P16 2</v>
      </c>
      <c r="H177" s="45" t="str">
        <f t="shared" si="41"/>
        <v>F16, P16</v>
      </c>
      <c r="I177" s="46" t="s">
        <v>90</v>
      </c>
      <c r="J177" s="47" t="s">
        <v>100</v>
      </c>
      <c r="K177" s="48"/>
      <c r="L177" s="49"/>
      <c r="M177" s="50" t="str">
        <f>IF(O177&lt;&gt;O176,MAX(1,MIN(AA177,ROUNDUP(SUMPRODUCT(($O$5:$O$546=O177)*($I$5:$I$546="Ja")*($E$5:$E$546-$D$5:$D$546))*24/REGLER!$B$8,0))),"")</f>
        <v/>
      </c>
      <c r="N177" s="50" t="str">
        <f t="shared" si="30"/>
        <v>Klar</v>
      </c>
      <c r="O177" s="15" t="s">
        <v>121</v>
      </c>
      <c r="P177" s="16">
        <v>0.47916666666666702</v>
      </c>
      <c r="Q177" s="16">
        <v>0.625</v>
      </c>
      <c r="R177" s="15">
        <f>IFERROR(MATCH(1,INDEX((MATCHER!$B$5:$B$504=A177)*(MATCHER!$D$5:$D$504=C177)*(MATCHER!$K$5:$K$504="Ja")*(MATCHER!$C$5:$C$504&lt;E177)*(MATCHER!$M$5:$M$504&gt;D177),0),0),"")</f>
        <v>58</v>
      </c>
      <c r="S177" s="15" t="str">
        <f>IF(R177="","",IFERROR(MATCH(1,INDEX((MATCHER!$B$5:$B$504=A177)*(MATCHER!$D$5:$D$504=C177)*(MATCHER!$K$5:$K$504="Ja")*(MATCHER!$C$5:$C$504&lt;E177)*(MATCHER!$M$5:$M$504&gt;D177)*(ROW(MATCHER!$A$5:$A$504)-ROW(MATCHER!$A$5)+1&gt;R177),0),0),""))</f>
        <v/>
      </c>
      <c r="T177" s="15" t="str">
        <f>IF(S177="","",IFERROR(MATCH(1,INDEX((MATCHER!$B$5:$B$504=A177)*(MATCHER!$D$5:$D$504=C177)*(MATCHER!$K$5:$K$504="Ja")*(MATCHER!$C$5:$C$504&lt;E177)*(MATCHER!$M$5:$M$504&gt;D177)*(ROW(MATCHER!$A$5:$A$504)-ROW(MATCHER!$A$5)+1&gt;S177),0),0),""))</f>
        <v/>
      </c>
      <c r="U177" s="15">
        <f t="shared" si="31"/>
        <v>0</v>
      </c>
      <c r="V177" s="15">
        <f>IF(OR(I177&lt;&gt;"Ja",J177=""),"",COUNTIFS($O$5:O177,O177,$U$5:U177,1))</f>
        <v>1</v>
      </c>
      <c r="W177" s="15" t="str">
        <f t="shared" si="32"/>
        <v>2026-11-14 | Råsta Park|1</v>
      </c>
      <c r="X177" s="16" t="str">
        <f t="shared" si="33"/>
        <v/>
      </c>
      <c r="Y177" s="15">
        <f>IF(OR(I177&lt;&gt;"Ja",J177=""),0,IF(COUNTIFS($O$5:O177,O177,$I$5:I177,"Ja",$J$5:J177,"&lt;&gt;")=1,1,0))</f>
        <v>0</v>
      </c>
      <c r="Z177" s="15">
        <f>IF(OR(I177&lt;&gt;"Ja",J177=""),0,IF(COUNTIFS(O177:$O$546,O177,I177:$I$546,"Ja",J177:$J$546,"&lt;&gt;")=1,1,0))</f>
        <v>0</v>
      </c>
      <c r="AA177" s="15">
        <f t="shared" si="42"/>
        <v>2</v>
      </c>
      <c r="AB177" s="15" t="str">
        <f>IF(U177&lt;&gt;1,"",COUNTIF($U$5:U177,1))</f>
        <v/>
      </c>
      <c r="AC177" s="15" t="str">
        <f t="shared" si="34"/>
        <v/>
      </c>
      <c r="AD177" s="15" t="str">
        <f t="shared" si="35"/>
        <v>Vanligt café</v>
      </c>
      <c r="AE177" s="15" t="str">
        <f t="shared" si="36"/>
        <v/>
      </c>
      <c r="AF177" t="str">
        <f>IF(T177="","",IFERROR(MATCH(1,INDEX((MATCHER!$B$5:$B$504=A177)*(MATCHER!$D$5:$D$504=C177)*(MATCHER!$K$5:$K$504="Ja")*(MATCHER!$C$5:$C$504&lt;E177)*(MATCHER!$M$5:$M$504&gt;D177)*(ROW(MATCHER!$A$5:$A$504)-ROW(MATCHER!$A$5)+1&gt;T177),0),0),""))</f>
        <v/>
      </c>
    </row>
    <row r="178" spans="1:32" ht="13">
      <c r="A178" s="42">
        <v>46340</v>
      </c>
      <c r="B178" s="43" t="s">
        <v>85</v>
      </c>
      <c r="C178" s="43" t="s">
        <v>94</v>
      </c>
      <c r="D178" s="44">
        <v>0.58333333333333304</v>
      </c>
      <c r="E178" s="44">
        <v>0.60416666666666696</v>
      </c>
      <c r="F178" s="45" t="str">
        <f>IF(R178="","",HOUR(INDEX(MATCHER!$C$5:$C$504,R178))&amp;":"&amp;IF(MINUTE(INDEX(MATCHER!$C$5:$C$504,R178))&lt;10,"0","")&amp;MINUTE(INDEX(MATCHER!$C$5:$C$504,R178))&amp;" "&amp;INDEX(MATCHER!$H$5:$H$504,R178)&amp;" – "&amp;INDEX(MATCHER!$I$5:$I$504,R178))&amp;IF(S178="",""," | "&amp;HOUR(INDEX(MATCHER!$C$5:$C$504,S178))&amp;":"&amp;IF(MINUTE(INDEX(MATCHER!$C$5:$C$504,S178))&lt;10,"0","")&amp;MINUTE(INDEX(MATCHER!$C$5:$C$504,S178))&amp;" "&amp;INDEX(MATCHER!$H$5:$H$504,S178)&amp;" – "&amp;INDEX(MATCHER!$I$5:$I$504,S178))&amp;IF(T178="",""," | "&amp;HOUR(INDEX(MATCHER!$C$5:$C$504,T178))&amp;":"&amp;IF(MINUTE(INDEX(MATCHER!$C$5:$C$504,T178))&lt;10,"0","")&amp;MINUTE(INDEX(MATCHER!$C$5:$C$504,T178))&amp;" "&amp;INDEX(MATCHER!$H$5:$H$504,T178)&amp;" – "&amp;INDEX(MATCHER!$I$5:$I$504,T178))&amp;IF(AF178="",""," | "&amp;HOUR(INDEX(MATCHER!$C$5:$C$504,AF178))&amp;":"&amp;IF(MINUTE(INDEX(MATCHER!$C$5:$C$504,AF178))&lt;10,"0","")&amp;MINUTE(INDEX(MATCHER!$C$5:$C$504,AF178))&amp;" "&amp;INDEX(MATCHER!$H$5:$H$504,AF178)&amp;" – "&amp;INDEX(MATCHER!$I$5:$I$504,AF178))</f>
        <v>13:40 AIK 2 – Sannadals SK 2</v>
      </c>
      <c r="G178" s="45" t="str">
        <f>MID(IF(R178="","",IF(OR(INDEX(MATCHER!$J$5:$J$504,R178)=""),""," / "&amp;INDEX(MATCHER!$J$5:$J$504,R178)))&amp;IF(S178="","",IF(OR(INDEX(MATCHER!$J$5:$J$504,S178)="",INDEX(MATCHER!$J$5:$J$504,S178)=IFERROR(INDEX(MATCHER!$J$5:$J$504,R178),"")),""," / "&amp;INDEX(MATCHER!$J$5:$J$504,S178)))&amp;IF(T178="","",IF(OR(INDEX(MATCHER!$J$5:$J$504,T178)="",INDEX(MATCHER!$J$5:$J$504,T178)=IFERROR(INDEX(MATCHER!$J$5:$J$504,R178),""),INDEX(MATCHER!$J$5:$J$504,T178)=IFERROR(INDEX(MATCHER!$J$5:$J$504,S178),"")),""," / "&amp;INDEX(MATCHER!$J$5:$J$504,T178)))&amp;IF(AF178="","",IF(OR(INDEX(MATCHER!$J$5:$J$504,AF178)="",INDEX(MATCHER!$J$5:$J$504,AF178)=IFERROR(INDEX(MATCHER!$J$5:$J$504,R178),""),INDEX(MATCHER!$J$5:$J$504,AF178)=IFERROR(INDEX(MATCHER!$J$5:$J$504,S178),""),INDEX(MATCHER!$J$5:$J$504,AF178)=IFERROR(INDEX(MATCHER!$J$5:$J$504,T178),"")),""," / "&amp;INDEX(MATCHER!$J$5:$J$504,AF178))),4,1000)</f>
        <v>P16 2</v>
      </c>
      <c r="H178" s="45" t="str">
        <f t="shared" si="41"/>
        <v>F16, P16</v>
      </c>
      <c r="I178" s="46" t="s">
        <v>90</v>
      </c>
      <c r="J178" s="47" t="s">
        <v>100</v>
      </c>
      <c r="K178" s="48"/>
      <c r="L178" s="49"/>
      <c r="M178" s="50" t="str">
        <f>IF(O178&lt;&gt;O177,MAX(1,MIN(AA178,ROUNDUP(SUMPRODUCT(($O$5:$O$546=O178)*($I$5:$I$546="Ja")*($E$5:$E$546-$D$5:$D$546))*24/REGLER!$B$8,0))),"")</f>
        <v/>
      </c>
      <c r="N178" s="50" t="str">
        <f t="shared" si="30"/>
        <v>Klar</v>
      </c>
      <c r="O178" s="15" t="s">
        <v>121</v>
      </c>
      <c r="P178" s="16">
        <v>0.47916666666666702</v>
      </c>
      <c r="Q178" s="16">
        <v>0.625</v>
      </c>
      <c r="R178" s="15">
        <f>IFERROR(MATCH(1,INDEX((MATCHER!$B$5:$B$504=A178)*(MATCHER!$D$5:$D$504=C178)*(MATCHER!$K$5:$K$504="Ja")*(MATCHER!$C$5:$C$504&lt;E178)*(MATCHER!$M$5:$M$504&gt;D178),0),0),"")</f>
        <v>58</v>
      </c>
      <c r="S178" s="15" t="str">
        <f>IF(R178="","",IFERROR(MATCH(1,INDEX((MATCHER!$B$5:$B$504=A178)*(MATCHER!$D$5:$D$504=C178)*(MATCHER!$K$5:$K$504="Ja")*(MATCHER!$C$5:$C$504&lt;E178)*(MATCHER!$M$5:$M$504&gt;D178)*(ROW(MATCHER!$A$5:$A$504)-ROW(MATCHER!$A$5)+1&gt;R178),0),0),""))</f>
        <v/>
      </c>
      <c r="T178" s="15" t="str">
        <f>IF(S178="","",IFERROR(MATCH(1,INDEX((MATCHER!$B$5:$B$504=A178)*(MATCHER!$D$5:$D$504=C178)*(MATCHER!$K$5:$K$504="Ja")*(MATCHER!$C$5:$C$504&lt;E178)*(MATCHER!$M$5:$M$504&gt;D178)*(ROW(MATCHER!$A$5:$A$504)-ROW(MATCHER!$A$5)+1&gt;S178),0),0),""))</f>
        <v/>
      </c>
      <c r="U178" s="15">
        <f t="shared" si="31"/>
        <v>0</v>
      </c>
      <c r="V178" s="15">
        <f>IF(OR(I178&lt;&gt;"Ja",J178=""),"",COUNTIFS($O$5:O178,O178,$U$5:U178,1))</f>
        <v>1</v>
      </c>
      <c r="W178" s="15" t="str">
        <f t="shared" si="32"/>
        <v>2026-11-14 | Råsta Park|1</v>
      </c>
      <c r="X178" s="16" t="str">
        <f t="shared" si="33"/>
        <v/>
      </c>
      <c r="Y178" s="15">
        <f>IF(OR(I178&lt;&gt;"Ja",J178=""),0,IF(COUNTIFS($O$5:O178,O178,$I$5:I178,"Ja",$J$5:J178,"&lt;&gt;")=1,1,0))</f>
        <v>0</v>
      </c>
      <c r="Z178" s="15">
        <f>IF(OR(I178&lt;&gt;"Ja",J178=""),0,IF(COUNTIFS(O178:$O$546,O178,I178:$I$546,"Ja",J178:$J$546,"&lt;&gt;")=1,1,0))</f>
        <v>0</v>
      </c>
      <c r="AA178" s="15">
        <f t="shared" si="42"/>
        <v>2</v>
      </c>
      <c r="AB178" s="15" t="str">
        <f>IF(U178&lt;&gt;1,"",COUNTIF($U$5:U178,1))</f>
        <v/>
      </c>
      <c r="AC178" s="15" t="str">
        <f t="shared" si="34"/>
        <v/>
      </c>
      <c r="AD178" s="15" t="str">
        <f t="shared" si="35"/>
        <v>Vanligt café</v>
      </c>
      <c r="AE178" s="15" t="str">
        <f t="shared" si="36"/>
        <v/>
      </c>
      <c r="AF178" t="str">
        <f>IF(T178="","",IFERROR(MATCH(1,INDEX((MATCHER!$B$5:$B$504=A178)*(MATCHER!$D$5:$D$504=C178)*(MATCHER!$K$5:$K$504="Ja")*(MATCHER!$C$5:$C$504&lt;E178)*(MATCHER!$M$5:$M$504&gt;D178)*(ROW(MATCHER!$A$5:$A$504)-ROW(MATCHER!$A$5)+1&gt;T178),0),0),""))</f>
        <v/>
      </c>
    </row>
    <row r="179" spans="1:32" ht="13.5" thickBot="1">
      <c r="A179" s="52">
        <v>46340</v>
      </c>
      <c r="B179" s="53" t="s">
        <v>85</v>
      </c>
      <c r="C179" s="53" t="s">
        <v>94</v>
      </c>
      <c r="D179" s="54">
        <v>0.60416666666666696</v>
      </c>
      <c r="E179" s="54">
        <v>0.625</v>
      </c>
      <c r="F179" s="55" t="str">
        <f>IF(R179="","",HOUR(INDEX(MATCHER!$C$5:$C$504,R179))&amp;":"&amp;IF(MINUTE(INDEX(MATCHER!$C$5:$C$504,R179))&lt;10,"0","")&amp;MINUTE(INDEX(MATCHER!$C$5:$C$504,R179))&amp;" "&amp;INDEX(MATCHER!$H$5:$H$504,R179)&amp;" – "&amp;INDEX(MATCHER!$I$5:$I$504,R179))&amp;IF(S179="",""," | "&amp;HOUR(INDEX(MATCHER!$C$5:$C$504,S179))&amp;":"&amp;IF(MINUTE(INDEX(MATCHER!$C$5:$C$504,S179))&lt;10,"0","")&amp;MINUTE(INDEX(MATCHER!$C$5:$C$504,S179))&amp;" "&amp;INDEX(MATCHER!$H$5:$H$504,S179)&amp;" – "&amp;INDEX(MATCHER!$I$5:$I$504,S179))&amp;IF(T179="",""," | "&amp;HOUR(INDEX(MATCHER!$C$5:$C$504,T179))&amp;":"&amp;IF(MINUTE(INDEX(MATCHER!$C$5:$C$504,T179))&lt;10,"0","")&amp;MINUTE(INDEX(MATCHER!$C$5:$C$504,T179))&amp;" "&amp;INDEX(MATCHER!$H$5:$H$504,T179)&amp;" – "&amp;INDEX(MATCHER!$I$5:$I$504,T179))&amp;IF(AF179="",""," | "&amp;HOUR(INDEX(MATCHER!$C$5:$C$504,AF179))&amp;":"&amp;IF(MINUTE(INDEX(MATCHER!$C$5:$C$504,AF179))&lt;10,"0","")&amp;MINUTE(INDEX(MATCHER!$C$5:$C$504,AF179))&amp;" "&amp;INDEX(MATCHER!$H$5:$H$504,AF179)&amp;" – "&amp;INDEX(MATCHER!$I$5:$I$504,AF179))</f>
        <v>13:40 AIK 2 – Sannadals SK 2</v>
      </c>
      <c r="G179" s="55" t="str">
        <f>MID(IF(R179="","",IF(OR(INDEX(MATCHER!$J$5:$J$504,R179)=""),""," / "&amp;INDEX(MATCHER!$J$5:$J$504,R179)))&amp;IF(S179="","",IF(OR(INDEX(MATCHER!$J$5:$J$504,S179)="",INDEX(MATCHER!$J$5:$J$504,S179)=IFERROR(INDEX(MATCHER!$J$5:$J$504,R179),"")),""," / "&amp;INDEX(MATCHER!$J$5:$J$504,S179)))&amp;IF(T179="","",IF(OR(INDEX(MATCHER!$J$5:$J$504,T179)="",INDEX(MATCHER!$J$5:$J$504,T179)=IFERROR(INDEX(MATCHER!$J$5:$J$504,R179),""),INDEX(MATCHER!$J$5:$J$504,T179)=IFERROR(INDEX(MATCHER!$J$5:$J$504,S179),"")),""," / "&amp;INDEX(MATCHER!$J$5:$J$504,T179)))&amp;IF(AF179="","",IF(OR(INDEX(MATCHER!$J$5:$J$504,AF179)="",INDEX(MATCHER!$J$5:$J$504,AF179)=IFERROR(INDEX(MATCHER!$J$5:$J$504,R179),""),INDEX(MATCHER!$J$5:$J$504,AF179)=IFERROR(INDEX(MATCHER!$J$5:$J$504,S179),""),INDEX(MATCHER!$J$5:$J$504,AF179)=IFERROR(INDEX(MATCHER!$J$5:$J$504,T179),"")),""," / "&amp;INDEX(MATCHER!$J$5:$J$504,AF179))),4,1000)</f>
        <v>P16 2</v>
      </c>
      <c r="H179" s="55" t="str">
        <f t="shared" si="41"/>
        <v>F16, P16</v>
      </c>
      <c r="I179" s="56" t="s">
        <v>90</v>
      </c>
      <c r="J179" s="57" t="s">
        <v>100</v>
      </c>
      <c r="K179" s="58"/>
      <c r="L179" s="59"/>
      <c r="M179" s="60" t="str">
        <f>IF(O179&lt;&gt;O178,MAX(1,MIN(AA179,ROUNDUP(SUMPRODUCT(($O$5:$O$546=O179)*($I$5:$I$546="Ja")*($E$5:$E$546-$D$5:$D$546))*24/REGLER!$B$8,0))),"")</f>
        <v/>
      </c>
      <c r="N179" s="60" t="str">
        <f t="shared" si="30"/>
        <v>Klar</v>
      </c>
      <c r="O179" s="15" t="s">
        <v>121</v>
      </c>
      <c r="P179" s="16">
        <v>0.47916666666666702</v>
      </c>
      <c r="Q179" s="16">
        <v>0.625</v>
      </c>
      <c r="R179" s="15">
        <f>IFERROR(MATCH(1,INDEX((MATCHER!$B$5:$B$504=A179)*(MATCHER!$D$5:$D$504=C179)*(MATCHER!$K$5:$K$504="Ja")*(MATCHER!$C$5:$C$504&lt;E179)*(MATCHER!$M$5:$M$504&gt;D179),0),0),"")</f>
        <v>58</v>
      </c>
      <c r="S179" s="15" t="str">
        <f>IF(R179="","",IFERROR(MATCH(1,INDEX((MATCHER!$B$5:$B$504=A179)*(MATCHER!$D$5:$D$504=C179)*(MATCHER!$K$5:$K$504="Ja")*(MATCHER!$C$5:$C$504&lt;E179)*(MATCHER!$M$5:$M$504&gt;D179)*(ROW(MATCHER!$A$5:$A$504)-ROW(MATCHER!$A$5)+1&gt;R179),0),0),""))</f>
        <v/>
      </c>
      <c r="T179" s="15" t="str">
        <f>IF(S179="","",IFERROR(MATCH(1,INDEX((MATCHER!$B$5:$B$504=A179)*(MATCHER!$D$5:$D$504=C179)*(MATCHER!$K$5:$K$504="Ja")*(MATCHER!$C$5:$C$504&lt;E179)*(MATCHER!$M$5:$M$504&gt;D179)*(ROW(MATCHER!$A$5:$A$504)-ROW(MATCHER!$A$5)+1&gt;S179),0),0),""))</f>
        <v/>
      </c>
      <c r="U179" s="15">
        <f t="shared" si="31"/>
        <v>0</v>
      </c>
      <c r="V179" s="15">
        <f>IF(OR(I179&lt;&gt;"Ja",J179=""),"",COUNTIFS($O$5:O179,O179,$U$5:U179,1))</f>
        <v>1</v>
      </c>
      <c r="W179" s="15" t="str">
        <f t="shared" si="32"/>
        <v>2026-11-14 | Råsta Park|1</v>
      </c>
      <c r="X179" s="16">
        <f t="shared" si="33"/>
        <v>0.625</v>
      </c>
      <c r="Y179" s="15">
        <f>IF(OR(I179&lt;&gt;"Ja",J179=""),0,IF(COUNTIFS($O$5:O179,O179,$I$5:I179,"Ja",$J$5:J179,"&lt;&gt;")=1,1,0))</f>
        <v>0</v>
      </c>
      <c r="Z179" s="15">
        <f>IF(OR(I179&lt;&gt;"Ja",J179=""),0,IF(COUNTIFS(O179:$O$546,O179,I179:$I$546,"Ja",J179:$J$546,"&lt;&gt;")=1,1,0))</f>
        <v>1</v>
      </c>
      <c r="AA179" s="15">
        <f t="shared" si="42"/>
        <v>2</v>
      </c>
      <c r="AB179" s="15" t="str">
        <f>IF(U179&lt;&gt;1,"",COUNTIF($U$5:U179,1))</f>
        <v/>
      </c>
      <c r="AC179" s="15" t="str">
        <f t="shared" si="34"/>
        <v>2026-11-14 | Råsta Park|1</v>
      </c>
      <c r="AD179" s="15" t="str">
        <f t="shared" si="35"/>
        <v>Vanligt café</v>
      </c>
      <c r="AE179" s="15" t="str">
        <f t="shared" si="36"/>
        <v/>
      </c>
      <c r="AF179" t="str">
        <f>IF(T179="","",IFERROR(MATCH(1,INDEX((MATCHER!$B$5:$B$504=A179)*(MATCHER!$D$5:$D$504=C179)*(MATCHER!$K$5:$K$504="Ja")*(MATCHER!$C$5:$C$504&lt;E179)*(MATCHER!$M$5:$M$504&gt;D179)*(ROW(MATCHER!$A$5:$A$504)-ROW(MATCHER!$A$5)+1&gt;T179),0),0),""))</f>
        <v/>
      </c>
    </row>
    <row r="180" spans="1:32" ht="26">
      <c r="A180" s="42">
        <v>46340</v>
      </c>
      <c r="B180" s="43" t="s">
        <v>85</v>
      </c>
      <c r="C180" s="43" t="s">
        <v>110</v>
      </c>
      <c r="D180" s="44">
        <v>0.33333333333333298</v>
      </c>
      <c r="E180" s="44">
        <v>0.35416666666666702</v>
      </c>
      <c r="F180" s="45" t="str">
        <f>IF(R180="","",HOUR(INDEX(MATCHER!$C$5:$C$504,R180))&amp;":"&amp;IF(MINUTE(INDEX(MATCHER!$C$5:$C$504,R180))&lt;10,"0","")&amp;MINUTE(INDEX(MATCHER!$C$5:$C$504,R180))&amp;" "&amp;INDEX(MATCHER!$H$5:$H$504,R180)&amp;" – "&amp;INDEX(MATCHER!$I$5:$I$504,R180))&amp;IF(S180="",""," | "&amp;HOUR(INDEX(MATCHER!$C$5:$C$504,S180))&amp;":"&amp;IF(MINUTE(INDEX(MATCHER!$C$5:$C$504,S180))&lt;10,"0","")&amp;MINUTE(INDEX(MATCHER!$C$5:$C$504,S180))&amp;" "&amp;INDEX(MATCHER!$H$5:$H$504,S180)&amp;" – "&amp;INDEX(MATCHER!$I$5:$I$504,S180))&amp;IF(T180="",""," | "&amp;HOUR(INDEX(MATCHER!$C$5:$C$504,T180))&amp;":"&amp;IF(MINUTE(INDEX(MATCHER!$C$5:$C$504,T180))&lt;10,"0","")&amp;MINUTE(INDEX(MATCHER!$C$5:$C$504,T180))&amp;" "&amp;INDEX(MATCHER!$H$5:$H$504,T180)&amp;" – "&amp;INDEX(MATCHER!$I$5:$I$504,T180))&amp;IF(AF180="",""," | "&amp;HOUR(INDEX(MATCHER!$C$5:$C$504,AF180))&amp;":"&amp;IF(MINUTE(INDEX(MATCHER!$C$5:$C$504,AF180))&lt;10,"0","")&amp;MINUTE(INDEX(MATCHER!$C$5:$C$504,AF180))&amp;" "&amp;INDEX(MATCHER!$H$5:$H$504,AF180)&amp;" – "&amp;INDEX(MATCHER!$I$5:$I$504,AF180))</f>
        <v/>
      </c>
      <c r="G180" s="45" t="str">
        <f>MID(IF(R180="","",IF(OR(INDEX(MATCHER!$J$5:$J$504,R180)=""),""," / "&amp;INDEX(MATCHER!$J$5:$J$504,R180)))&amp;IF(S180="","",IF(OR(INDEX(MATCHER!$J$5:$J$504,S180)="",INDEX(MATCHER!$J$5:$J$504,S180)=IFERROR(INDEX(MATCHER!$J$5:$J$504,R180),"")),""," / "&amp;INDEX(MATCHER!$J$5:$J$504,S180)))&amp;IF(T180="","",IF(OR(INDEX(MATCHER!$J$5:$J$504,T180)="",INDEX(MATCHER!$J$5:$J$504,T180)=IFERROR(INDEX(MATCHER!$J$5:$J$504,R180),""),INDEX(MATCHER!$J$5:$J$504,T180)=IFERROR(INDEX(MATCHER!$J$5:$J$504,S180),"")),""," / "&amp;INDEX(MATCHER!$J$5:$J$504,T180)))&amp;IF(AF180="","",IF(OR(INDEX(MATCHER!$J$5:$J$504,AF180)="",INDEX(MATCHER!$J$5:$J$504,AF180)=IFERROR(INDEX(MATCHER!$J$5:$J$504,R180),""),INDEX(MATCHER!$J$5:$J$504,AF180)=IFERROR(INDEX(MATCHER!$J$5:$J$504,S180),""),INDEX(MATCHER!$J$5:$J$504,AF180)=IFERROR(INDEX(MATCHER!$J$5:$J$504,T180),"")),""," / "&amp;INDEX(MATCHER!$J$5:$J$504,AF180))),4,1000)</f>
        <v/>
      </c>
      <c r="H180" s="45" t="str">
        <f>MID(IF(COUNTIFS(MATCHER!$B$5:$B$504,A180,MATCHER!$D$5:$D$504,C180,MATCHER!$J$5:$J$504,REGLER!$I$6,MATCHER!$K$5:$K$504,"Ja")+COUNTIFS(MATCHER!$B$5:$B$504,A180,MATCHER!$D$5:$D$504,C180,MATCHER!$J$5:$J$504,REGLER!$I$6&amp;" 2",MATCHER!$K$5:$K$504,"Ja")&gt;0,", "&amp;REGLER!$I$6,"")&amp;IF(COUNTIFS(MATCHER!$B$5:$B$504,A180,MATCHER!$D$5:$D$504,C180,MATCHER!$J$5:$J$504,REGLER!$I$7,MATCHER!$K$5:$K$504,"Ja")+COUNTIFS(MATCHER!$B$5:$B$504,A180,MATCHER!$D$5:$D$504,C180,MATCHER!$J$5:$J$504,REGLER!$I$7&amp;" 2",MATCHER!$K$5:$K$504,"Ja")&gt;0,", "&amp;REGLER!$I$7,"")&amp;IF(COUNTIFS(MATCHER!$B$5:$B$504,A180,MATCHER!$D$5:$D$504,C180,MATCHER!$J$5:$J$504,REGLER!$I$8,MATCHER!$K$5:$K$504,"Ja")+COUNTIFS(MATCHER!$B$5:$B$504,A180,MATCHER!$D$5:$D$504,C180,MATCHER!$J$5:$J$504,REGLER!$I$8&amp;" 2",MATCHER!$K$5:$K$504,"Ja")&gt;0,", "&amp;REGLER!$I$8,"")&amp;IF(COUNTIFS(MATCHER!$B$5:$B$504,A180,MATCHER!$D$5:$D$504,C180,MATCHER!$J$5:$J$504,REGLER!$I$9,MATCHER!$K$5:$K$504,"Ja")+COUNTIFS(MATCHER!$B$5:$B$504,A180,MATCHER!$D$5:$D$504,C180,MATCHER!$J$5:$J$504,REGLER!$I$9&amp;" 2",MATCHER!$K$5:$K$504,"Ja")&gt;0,", "&amp;REGLER!$I$9,"")&amp;IF(COUNTIFS(MATCHER!$B$5:$B$504,A180,MATCHER!$D$5:$D$504,C180,MATCHER!$J$5:$J$504,REGLER!$I$10,MATCHER!$K$5:$K$504,"Ja")+COUNTIFS(MATCHER!$B$5:$B$504,A180,MATCHER!$D$5:$D$504,C180,MATCHER!$J$5:$J$504,REGLER!$I$10&amp;" 2",MATCHER!$K$5:$K$504,"Ja")&gt;0,", "&amp;REGLER!$I$10,"")&amp;IF(COUNTIFS(MATCHER!$B$5:$B$504,A180,MATCHER!$D$5:$D$504,C180,MATCHER!$J$5:$J$504,REGLER!$I$11,MATCHER!$K$5:$K$504,"Ja")+COUNTIFS(MATCHER!$B$5:$B$504,A180,MATCHER!$D$5:$D$504,C180,MATCHER!$J$5:$J$504,REGLER!$I$11&amp;" 2",MATCHER!$K$5:$K$504,"Ja")&gt;0,", "&amp;REGLER!$I$11,"")&amp;IF(COUNTIFS(MATCHER!$B$5:$B$504,A180,MATCHER!$D$5:$D$504,C180,MATCHER!$J$5:$J$504,REGLER!$I$12,MATCHER!$K$5:$K$504,"Ja")+COUNTIFS(MATCHER!$B$5:$B$504,A180,MATCHER!$D$5:$D$504,C180,MATCHER!$J$5:$J$504,REGLER!$I$12&amp;" 2",MATCHER!$K$5:$K$504,"Ja")&gt;0,", "&amp;REGLER!$I$12,"")&amp;IF(COUNTIFS(MATCHER!$B$5:$B$504,A180,MATCHER!$D$5:$D$504,C180,MATCHER!$J$5:$J$504,REGLER!$I$13,MATCHER!$K$5:$K$504,"Ja")+COUNTIFS(MATCHER!$B$5:$B$504,A180,MATCHER!$D$5:$D$504,C180,MATCHER!$J$5:$J$504,REGLER!$I$13&amp;" 2",MATCHER!$K$5:$K$504,"Ja")&gt;0,", "&amp;REGLER!$I$13,"")&amp;IF(COUNTIFS(MATCHER!$B$5:$B$504,A180,MATCHER!$D$5:$D$504,C180,MATCHER!$J$5:$J$504,REGLER!$I$14,MATCHER!$K$5:$K$504,"Ja")+COUNTIFS(MATCHER!$B$5:$B$504,A180,MATCHER!$D$5:$D$504,C180,MATCHER!$J$5:$J$504,REGLER!$I$14&amp;" 2",MATCHER!$K$5:$K$504,"Ja")&gt;0,", "&amp;REGLER!$I$14,"")&amp;IF(COUNTIFS(MATCHER!$B$5:$B$504,A180,MATCHER!$D$5:$D$504,C180,MATCHER!$J$5:$J$504,REGLER!$I$15,MATCHER!$K$5:$K$504,"Ja")+COUNTIFS(MATCHER!$B$5:$B$504,A180,MATCHER!$D$5:$D$504,C180,MATCHER!$J$5:$J$504,REGLER!$I$15&amp;" 2",MATCHER!$K$5:$K$504,"Ja")&gt;0,", "&amp;REGLER!$I$15,"")&amp;IF(COUNTIFS(MATCHER!$B$5:$B$504,A180,MATCHER!$D$5:$D$504,C180,MATCHER!$J$5:$J$504,REGLER!$I$16,MATCHER!$K$5:$K$504,"Ja")+COUNTIFS(MATCHER!$B$5:$B$504,A180,MATCHER!$D$5:$D$504,C180,MATCHER!$J$5:$J$504,REGLER!$I$16&amp;" 2",MATCHER!$K$5:$K$504,"Ja")&gt;0,", "&amp;REGLER!$I$16,"")&amp;IF(COUNTIFS(MATCHER!$B$5:$B$504,A180,MATCHER!$D$5:$D$504,C180,MATCHER!$J$5:$J$504,REGLER!$I$17,MATCHER!$K$5:$K$504,"Ja")+COUNTIFS(MATCHER!$B$5:$B$504,A180,MATCHER!$D$5:$D$504,C180,MATCHER!$J$5:$J$504,REGLER!$I$17&amp;" 2",MATCHER!$K$5:$K$504,"Ja")&gt;0,", "&amp;REGLER!$I$17,"")&amp;IF(COUNTIFS(MATCHER!$B$5:$B$504,A180,MATCHER!$D$5:$D$504,C180,MATCHER!$J$5:$J$504,REGLER!$I$18,MATCHER!$K$5:$K$504,"Ja")+COUNTIFS(MATCHER!$B$5:$B$504,A180,MATCHER!$D$5:$D$504,C180,MATCHER!$J$5:$J$504,REGLER!$I$18&amp;" 2",MATCHER!$K$5:$K$504,"Ja")&gt;0,", "&amp;REGLER!$I$18,"")&amp;IF(COUNTIFS(MATCHER!$B$5:$B$504,A180,MATCHER!$D$5:$D$504,C180,MATCHER!$J$5:$J$504,REGLER!$I$19,MATCHER!$K$5:$K$504,"Ja")+COUNTIFS(MATCHER!$B$5:$B$504,A180,MATCHER!$D$5:$D$504,C180,MATCHER!$J$5:$J$504,REGLER!$I$19&amp;" 2",MATCHER!$K$5:$K$504,"Ja")&gt;0,", "&amp;REGLER!$I$19,"")&amp;IF(COUNTIFS(MATCHER!$B$5:$B$504,A180,MATCHER!$D$5:$D$504,C180,MATCHER!$J$5:$J$504,REGLER!$I$20,MATCHER!$K$5:$K$504,"Ja")+COUNTIFS(MATCHER!$B$5:$B$504,A180,MATCHER!$D$5:$D$504,C180,MATCHER!$J$5:$J$504,REGLER!$I$20&amp;" 2",MATCHER!$K$5:$K$504,"Ja")&gt;0,", "&amp;REGLER!$I$20,"")&amp;IF(COUNTIFS(MATCHER!$B$5:$B$504,A180,MATCHER!$D$5:$D$504,C180,MATCHER!$J$5:$J$504,REGLER!$I$21,MATCHER!$K$5:$K$504,"Ja")+COUNTIFS(MATCHER!$B$5:$B$504,A180,MATCHER!$D$5:$D$504,C180,MATCHER!$J$5:$J$504,REGLER!$I$21&amp;" 2",MATCHER!$K$5:$K$504,"Ja")&gt;0,", "&amp;REGLER!$I$21,"")&amp;IF(COUNTIFS(MATCHER!$B$5:$B$504,A180,MATCHER!$D$5:$D$504,C180,MATCHER!$J$5:$J$504,REGLER!$I$22,MATCHER!$K$5:$K$504,"Ja")+COUNTIFS(MATCHER!$B$5:$B$504,A180,MATCHER!$D$5:$D$504,C180,MATCHER!$J$5:$J$504,REGLER!$I$22&amp;" 2",MATCHER!$K$5:$K$504,"Ja")&gt;0,", "&amp;REGLER!$I$22,"")&amp;IF(COUNTIFS(MATCHER!$B$5:$B$504,A180,MATCHER!$D$5:$D$504,C180,MATCHER!$J$5:$J$504,REGLER!$I$23,MATCHER!$K$5:$K$504,"Ja")+COUNTIFS(MATCHER!$B$5:$B$504,A180,MATCHER!$D$5:$D$504,C180,MATCHER!$J$5:$J$504,REGLER!$I$23&amp;" 2",MATCHER!$K$5:$K$504,"Ja")&gt;0,", "&amp;REGLER!$I$23,"")&amp;IF(COUNTIFS(MATCHER!$B$5:$B$504,A180,MATCHER!$D$5:$D$504,C180,MATCHER!$J$5:$J$504,REGLER!$I$24,MATCHER!$K$5:$K$504,"Ja")+COUNTIFS(MATCHER!$B$5:$B$504,A180,MATCHER!$D$5:$D$504,C180,MATCHER!$J$5:$J$504,REGLER!$I$24&amp;" 2",MATCHER!$K$5:$K$504,"Ja")&gt;0,", "&amp;REGLER!$I$24,"")&amp;IF(COUNTIFS(MATCHER!$B$5:$B$504,A180,MATCHER!$D$5:$D$504,C180,MATCHER!$J$5:$J$504,REGLER!$I$25,MATCHER!$K$5:$K$504,"Ja")+COUNTIFS(MATCHER!$B$5:$B$504,A180,MATCHER!$D$5:$D$504,C180,MATCHER!$J$5:$J$504,REGLER!$I$25&amp;" 2",MATCHER!$K$5:$K$504,"Ja")&gt;0,", "&amp;REGLER!$I$25,"")&amp;IF(COUNTIFS(MATCHER!$B$5:$B$504,A180,MATCHER!$D$5:$D$504,C180,MATCHER!$J$5:$J$504,REGLER!$I$26,MATCHER!$K$5:$K$504,"Ja")+COUNTIFS(MATCHER!$B$5:$B$504,A180,MATCHER!$D$5:$D$504,C180,MATCHER!$J$5:$J$504,REGLER!$I$26&amp;" 2",MATCHER!$K$5:$K$504,"Ja")&gt;0,", "&amp;REGLER!$I$26,""),3,1000)</f>
        <v>P12</v>
      </c>
      <c r="I180" s="46" t="s">
        <v>90</v>
      </c>
      <c r="J180" s="47" t="s">
        <v>117</v>
      </c>
      <c r="K180" s="48" t="s">
        <v>88</v>
      </c>
      <c r="L180" s="49"/>
      <c r="M180" s="50">
        <f>IF(O180&lt;&gt;O179,MAX(1,MIN(AA180,ROUNDUP(SUMPRODUCT(($O$5:$O$546=O180)*($I$5:$I$546="Ja")*($E$5:$E$546-$D$5:$D$546))*24/REGLER!$B$8,0))),"")</f>
        <v>1</v>
      </c>
      <c r="N180" s="50" t="str">
        <f t="shared" si="30"/>
        <v>Klar</v>
      </c>
      <c r="O180" s="15" t="s">
        <v>122</v>
      </c>
      <c r="P180" s="16">
        <v>0.33333333333333298</v>
      </c>
      <c r="Q180" s="16">
        <v>0.55208333333333304</v>
      </c>
      <c r="R180" s="15" t="str">
        <f>IFERROR(MATCH(1,INDEX((MATCHER!$B$5:$B$504=A180)*(MATCHER!$D$5:$D$504=C180)*(MATCHER!$K$5:$K$504="Ja")*(MATCHER!$C$5:$C$504&lt;E180)*(MATCHER!$M$5:$M$504&gt;D180),0),0),"")</f>
        <v/>
      </c>
      <c r="S180" s="15" t="str">
        <f>IF(R180="","",IFERROR(MATCH(1,INDEX((MATCHER!$B$5:$B$504=A180)*(MATCHER!$D$5:$D$504=C180)*(MATCHER!$K$5:$K$504="Ja")*(MATCHER!$C$5:$C$504&lt;E180)*(MATCHER!$M$5:$M$504&gt;D180)*(ROW(MATCHER!$A$5:$A$504)-ROW(MATCHER!$A$5)+1&gt;R180),0),0),""))</f>
        <v/>
      </c>
      <c r="T180" s="15" t="str">
        <f>IF(S180="","",IFERROR(MATCH(1,INDEX((MATCHER!$B$5:$B$504=A180)*(MATCHER!$D$5:$D$504=C180)*(MATCHER!$K$5:$K$504="Ja")*(MATCHER!$C$5:$C$504&lt;E180)*(MATCHER!$M$5:$M$504&gt;D180)*(ROW(MATCHER!$A$5:$A$504)-ROW(MATCHER!$A$5)+1&gt;S180),0),0),""))</f>
        <v/>
      </c>
      <c r="U180" s="15">
        <f t="shared" si="31"/>
        <v>1</v>
      </c>
      <c r="V180" s="15">
        <f>IF(OR(I180&lt;&gt;"Ja",J180=""),"",COUNTIFS($O$5:O180,O180,$U$5:U180,1))</f>
        <v>1</v>
      </c>
      <c r="W180" s="15" t="str">
        <f t="shared" si="32"/>
        <v>2026-11-14 | Tallbackaskolan|1</v>
      </c>
      <c r="X180" s="16" t="str">
        <f t="shared" si="33"/>
        <v/>
      </c>
      <c r="Y180" s="15">
        <f>IF(OR(I180&lt;&gt;"Ja",J180=""),0,IF(COUNTIFS($O$5:O180,O180,$I$5:I180,"Ja",$J$5:J180,"&lt;&gt;")=1,1,0))</f>
        <v>1</v>
      </c>
      <c r="Z180" s="15">
        <f>IF(OR(I180&lt;&gt;"Ja",J180=""),0,IF(COUNTIFS(O180:$O$546,O180,I180:$I$546,"Ja",J180:$J$546,"&lt;&gt;")=1,1,0))</f>
        <v>0</v>
      </c>
      <c r="AA180" s="15">
        <f>IF(COUNTIFS(MATCHER!$B$5:$B$504,A180,MATCHER!$D$5:$D$504,C180,MATCHER!$J$5:$J$504,REGLER!$I$6,MATCHER!$K$5:$K$504,"Ja")+COUNTIFS(MATCHER!$B$5:$B$504,A180,MATCHER!$D$5:$D$504,C180,MATCHER!$J$5:$J$504,REGLER!$I$6&amp;" 2",MATCHER!$K$5:$K$504,"Ja")&gt;0,1,0)+IF(COUNTIFS(MATCHER!$B$5:$B$504,A180,MATCHER!$D$5:$D$504,C180,MATCHER!$J$5:$J$504,REGLER!$I$7,MATCHER!$K$5:$K$504,"Ja")+COUNTIFS(MATCHER!$B$5:$B$504,A180,MATCHER!$D$5:$D$504,C180,MATCHER!$J$5:$J$504,REGLER!$I$7&amp;" 2",MATCHER!$K$5:$K$504,"Ja")&gt;0,1,0)+IF(COUNTIFS(MATCHER!$B$5:$B$504,A180,MATCHER!$D$5:$D$504,C180,MATCHER!$J$5:$J$504,REGLER!$I$8,MATCHER!$K$5:$K$504,"Ja")+COUNTIFS(MATCHER!$B$5:$B$504,A180,MATCHER!$D$5:$D$504,C180,MATCHER!$J$5:$J$504,REGLER!$I$8&amp;" 2",MATCHER!$K$5:$K$504,"Ja")&gt;0,1,0)+IF(COUNTIFS(MATCHER!$B$5:$B$504,A180,MATCHER!$D$5:$D$504,C180,MATCHER!$J$5:$J$504,REGLER!$I$9,MATCHER!$K$5:$K$504,"Ja")+COUNTIFS(MATCHER!$B$5:$B$504,A180,MATCHER!$D$5:$D$504,C180,MATCHER!$J$5:$J$504,REGLER!$I$9&amp;" 2",MATCHER!$K$5:$K$504,"Ja")&gt;0,1,0)+IF(COUNTIFS(MATCHER!$B$5:$B$504,A180,MATCHER!$D$5:$D$504,C180,MATCHER!$J$5:$J$504,REGLER!$I$10,MATCHER!$K$5:$K$504,"Ja")+COUNTIFS(MATCHER!$B$5:$B$504,A180,MATCHER!$D$5:$D$504,C180,MATCHER!$J$5:$J$504,REGLER!$I$10&amp;" 2",MATCHER!$K$5:$K$504,"Ja")&gt;0,1,0)+IF(COUNTIFS(MATCHER!$B$5:$B$504,A180,MATCHER!$D$5:$D$504,C180,MATCHER!$J$5:$J$504,REGLER!$I$11,MATCHER!$K$5:$K$504,"Ja")+COUNTIFS(MATCHER!$B$5:$B$504,A180,MATCHER!$D$5:$D$504,C180,MATCHER!$J$5:$J$504,REGLER!$I$11&amp;" 2",MATCHER!$K$5:$K$504,"Ja")&gt;0,1,0)+IF(COUNTIFS(MATCHER!$B$5:$B$504,A180,MATCHER!$D$5:$D$504,C180,MATCHER!$J$5:$J$504,REGLER!$I$12,MATCHER!$K$5:$K$504,"Ja")+COUNTIFS(MATCHER!$B$5:$B$504,A180,MATCHER!$D$5:$D$504,C180,MATCHER!$J$5:$J$504,REGLER!$I$12&amp;" 2",MATCHER!$K$5:$K$504,"Ja")&gt;0,1,0)+IF(COUNTIFS(MATCHER!$B$5:$B$504,A180,MATCHER!$D$5:$D$504,C180,MATCHER!$J$5:$J$504,REGLER!$I$13,MATCHER!$K$5:$K$504,"Ja")+COUNTIFS(MATCHER!$B$5:$B$504,A180,MATCHER!$D$5:$D$504,C180,MATCHER!$J$5:$J$504,REGLER!$I$13&amp;" 2",MATCHER!$K$5:$K$504,"Ja")&gt;0,1,0)+IF(COUNTIFS(MATCHER!$B$5:$B$504,A180,MATCHER!$D$5:$D$504,C180,MATCHER!$J$5:$J$504,REGLER!$I$14,MATCHER!$K$5:$K$504,"Ja")+COUNTIFS(MATCHER!$B$5:$B$504,A180,MATCHER!$D$5:$D$504,C180,MATCHER!$J$5:$J$504,REGLER!$I$14&amp;" 2",MATCHER!$K$5:$K$504,"Ja")&gt;0,1,0)+IF(COUNTIFS(MATCHER!$B$5:$B$504,A180,MATCHER!$D$5:$D$504,C180,MATCHER!$J$5:$J$504,REGLER!$I$15,MATCHER!$K$5:$K$504,"Ja")+COUNTIFS(MATCHER!$B$5:$B$504,A180,MATCHER!$D$5:$D$504,C180,MATCHER!$J$5:$J$504,REGLER!$I$15&amp;" 2",MATCHER!$K$5:$K$504,"Ja")&gt;0,1,0)+IF(COUNTIFS(MATCHER!$B$5:$B$504,A180,MATCHER!$D$5:$D$504,C180,MATCHER!$J$5:$J$504,REGLER!$I$16,MATCHER!$K$5:$K$504,"Ja")+COUNTIFS(MATCHER!$B$5:$B$504,A180,MATCHER!$D$5:$D$504,C180,MATCHER!$J$5:$J$504,REGLER!$I$16&amp;" 2",MATCHER!$K$5:$K$504,"Ja")&gt;0,1,0)+IF(COUNTIFS(MATCHER!$B$5:$B$504,A180,MATCHER!$D$5:$D$504,C180,MATCHER!$J$5:$J$504,REGLER!$I$17,MATCHER!$K$5:$K$504,"Ja")+COUNTIFS(MATCHER!$B$5:$B$504,A180,MATCHER!$D$5:$D$504,C180,MATCHER!$J$5:$J$504,REGLER!$I$17&amp;" 2",MATCHER!$K$5:$K$504,"Ja")&gt;0,1,0)+IF(COUNTIFS(MATCHER!$B$5:$B$504,A180,MATCHER!$D$5:$D$504,C180,MATCHER!$J$5:$J$504,REGLER!$I$18,MATCHER!$K$5:$K$504,"Ja")+COUNTIFS(MATCHER!$B$5:$B$504,A180,MATCHER!$D$5:$D$504,C180,MATCHER!$J$5:$J$504,REGLER!$I$18&amp;" 2",MATCHER!$K$5:$K$504,"Ja")&gt;0,1,0)+IF(COUNTIFS(MATCHER!$B$5:$B$504,A180,MATCHER!$D$5:$D$504,C180,MATCHER!$J$5:$J$504,REGLER!$I$19,MATCHER!$K$5:$K$504,"Ja")+COUNTIFS(MATCHER!$B$5:$B$504,A180,MATCHER!$D$5:$D$504,C180,MATCHER!$J$5:$J$504,REGLER!$I$19&amp;" 2",MATCHER!$K$5:$K$504,"Ja")&gt;0,1,0)+IF(COUNTIFS(MATCHER!$B$5:$B$504,A180,MATCHER!$D$5:$D$504,C180,MATCHER!$J$5:$J$504,REGLER!$I$20,MATCHER!$K$5:$K$504,"Ja")+COUNTIFS(MATCHER!$B$5:$B$504,A180,MATCHER!$D$5:$D$504,C180,MATCHER!$J$5:$J$504,REGLER!$I$20&amp;" 2",MATCHER!$K$5:$K$504,"Ja")&gt;0,1,0)+IF(COUNTIFS(MATCHER!$B$5:$B$504,A180,MATCHER!$D$5:$D$504,C180,MATCHER!$J$5:$J$504,REGLER!$I$21,MATCHER!$K$5:$K$504,"Ja")+COUNTIFS(MATCHER!$B$5:$B$504,A180,MATCHER!$D$5:$D$504,C180,MATCHER!$J$5:$J$504,REGLER!$I$21&amp;" 2",MATCHER!$K$5:$K$504,"Ja")&gt;0,1,0)+IF(COUNTIFS(MATCHER!$B$5:$B$504,A180,MATCHER!$D$5:$D$504,C180,MATCHER!$J$5:$J$504,REGLER!$I$22,MATCHER!$K$5:$K$504,"Ja")+COUNTIFS(MATCHER!$B$5:$B$504,A180,MATCHER!$D$5:$D$504,C180,MATCHER!$J$5:$J$504,REGLER!$I$22&amp;" 2",MATCHER!$K$5:$K$504,"Ja")&gt;0,1,0)+IF(COUNTIFS(MATCHER!$B$5:$B$504,A180,MATCHER!$D$5:$D$504,C180,MATCHER!$J$5:$J$504,REGLER!$I$23,MATCHER!$K$5:$K$504,"Ja")+COUNTIFS(MATCHER!$B$5:$B$504,A180,MATCHER!$D$5:$D$504,C180,MATCHER!$J$5:$J$504,REGLER!$I$23&amp;" 2",MATCHER!$K$5:$K$504,"Ja")&gt;0,1,0)+IF(COUNTIFS(MATCHER!$B$5:$B$504,A180,MATCHER!$D$5:$D$504,C180,MATCHER!$J$5:$J$504,REGLER!$I$24,MATCHER!$K$5:$K$504,"Ja")+COUNTIFS(MATCHER!$B$5:$B$504,A180,MATCHER!$D$5:$D$504,C180,MATCHER!$J$5:$J$504,REGLER!$I$24&amp;" 2",MATCHER!$K$5:$K$504,"Ja")&gt;0,1,0)+IF(COUNTIFS(MATCHER!$B$5:$B$504,A180,MATCHER!$D$5:$D$504,C180,MATCHER!$J$5:$J$504,REGLER!$I$25,MATCHER!$K$5:$K$504,"Ja")+COUNTIFS(MATCHER!$B$5:$B$504,A180,MATCHER!$D$5:$D$504,C180,MATCHER!$J$5:$J$504,REGLER!$I$25&amp;" 2",MATCHER!$K$5:$K$504,"Ja")&gt;0,1,0)+IF(COUNTIFS(MATCHER!$B$5:$B$504,A180,MATCHER!$D$5:$D$504,C180,MATCHER!$J$5:$J$504,REGLER!$I$26,MATCHER!$K$5:$K$504,"Ja")+COUNTIFS(MATCHER!$B$5:$B$504,A180,MATCHER!$D$5:$D$504,C180,MATCHER!$J$5:$J$504,REGLER!$I$26&amp;" 2",MATCHER!$K$5:$K$504,"Ja")&gt;0,1,0)</f>
        <v>1</v>
      </c>
      <c r="AB180" s="15">
        <f>IF(U180&lt;&gt;1,"",COUNTIF($U$5:U180,1))</f>
        <v>20</v>
      </c>
      <c r="AC180" s="15" t="str">
        <f t="shared" si="34"/>
        <v/>
      </c>
      <c r="AD180" s="15" t="str">
        <f t="shared" si="35"/>
        <v>Vanligt café</v>
      </c>
      <c r="AE180" s="15">
        <f t="shared" si="36"/>
        <v>5.2500000000000018</v>
      </c>
      <c r="AF180" t="str">
        <f>IF(T180="","",IFERROR(MATCH(1,INDEX((MATCHER!$B$5:$B$504=A180)*(MATCHER!$D$5:$D$504=C180)*(MATCHER!$K$5:$K$504="Ja")*(MATCHER!$C$5:$C$504&lt;E180)*(MATCHER!$M$5:$M$504&gt;D180)*(ROW(MATCHER!$A$5:$A$504)-ROW(MATCHER!$A$5)+1&gt;T180),0),0),""))</f>
        <v/>
      </c>
    </row>
    <row r="181" spans="1:32" ht="26">
      <c r="A181" s="42">
        <v>46340</v>
      </c>
      <c r="B181" s="43" t="s">
        <v>85</v>
      </c>
      <c r="C181" s="43" t="s">
        <v>110</v>
      </c>
      <c r="D181" s="44">
        <v>0.35416666666666702</v>
      </c>
      <c r="E181" s="44">
        <v>0.375</v>
      </c>
      <c r="F181" s="45" t="str">
        <f>IF(R181="","",HOUR(INDEX(MATCHER!$C$5:$C$504,R181))&amp;":"&amp;IF(MINUTE(INDEX(MATCHER!$C$5:$C$504,R181))&lt;10,"0","")&amp;MINUTE(INDEX(MATCHER!$C$5:$C$504,R181))&amp;" "&amp;INDEX(MATCHER!$H$5:$H$504,R181)&amp;" – "&amp;INDEX(MATCHER!$I$5:$I$504,R181))&amp;IF(S181="",""," | "&amp;HOUR(INDEX(MATCHER!$C$5:$C$504,S181))&amp;":"&amp;IF(MINUTE(INDEX(MATCHER!$C$5:$C$504,S181))&lt;10,"0","")&amp;MINUTE(INDEX(MATCHER!$C$5:$C$504,S181))&amp;" "&amp;INDEX(MATCHER!$H$5:$H$504,S181)&amp;" – "&amp;INDEX(MATCHER!$I$5:$I$504,S181))&amp;IF(T181="",""," | "&amp;HOUR(INDEX(MATCHER!$C$5:$C$504,T181))&amp;":"&amp;IF(MINUTE(INDEX(MATCHER!$C$5:$C$504,T181))&lt;10,"0","")&amp;MINUTE(INDEX(MATCHER!$C$5:$C$504,T181))&amp;" "&amp;INDEX(MATCHER!$H$5:$H$504,T181)&amp;" – "&amp;INDEX(MATCHER!$I$5:$I$504,T181))&amp;IF(AF181="",""," | "&amp;HOUR(INDEX(MATCHER!$C$5:$C$504,AF181))&amp;":"&amp;IF(MINUTE(INDEX(MATCHER!$C$5:$C$504,AF181))&lt;10,"0","")&amp;MINUTE(INDEX(MATCHER!$C$5:$C$504,AF181))&amp;" "&amp;INDEX(MATCHER!$H$5:$H$504,AF181)&amp;" – "&amp;INDEX(MATCHER!$I$5:$I$504,AF181))</f>
        <v/>
      </c>
      <c r="G181" s="45" t="str">
        <f>MID(IF(R181="","",IF(OR(INDEX(MATCHER!$J$5:$J$504,R181)=""),""," / "&amp;INDEX(MATCHER!$J$5:$J$504,R181)))&amp;IF(S181="","",IF(OR(INDEX(MATCHER!$J$5:$J$504,S181)="",INDEX(MATCHER!$J$5:$J$504,S181)=IFERROR(INDEX(MATCHER!$J$5:$J$504,R181),"")),""," / "&amp;INDEX(MATCHER!$J$5:$J$504,S181)))&amp;IF(T181="","",IF(OR(INDEX(MATCHER!$J$5:$J$504,T181)="",INDEX(MATCHER!$J$5:$J$504,T181)=IFERROR(INDEX(MATCHER!$J$5:$J$504,R181),""),INDEX(MATCHER!$J$5:$J$504,T181)=IFERROR(INDEX(MATCHER!$J$5:$J$504,S181),"")),""," / "&amp;INDEX(MATCHER!$J$5:$J$504,T181)))&amp;IF(AF181="","",IF(OR(INDEX(MATCHER!$J$5:$J$504,AF181)="",INDEX(MATCHER!$J$5:$J$504,AF181)=IFERROR(INDEX(MATCHER!$J$5:$J$504,R181),""),INDEX(MATCHER!$J$5:$J$504,AF181)=IFERROR(INDEX(MATCHER!$J$5:$J$504,S181),""),INDEX(MATCHER!$J$5:$J$504,AF181)=IFERROR(INDEX(MATCHER!$J$5:$J$504,T181),"")),""," / "&amp;INDEX(MATCHER!$J$5:$J$504,AF181))),4,1000)</f>
        <v/>
      </c>
      <c r="H181" s="45" t="str">
        <f t="shared" ref="H181:H190" si="43">H180</f>
        <v>P12</v>
      </c>
      <c r="I181" s="46" t="s">
        <v>90</v>
      </c>
      <c r="J181" s="47" t="s">
        <v>117</v>
      </c>
      <c r="K181" s="48"/>
      <c r="L181" s="49"/>
      <c r="M181" s="50" t="str">
        <f>IF(O181&lt;&gt;O180,MAX(1,MIN(AA181,ROUNDUP(SUMPRODUCT(($O$5:$O$546=O181)*($I$5:$I$546="Ja")*($E$5:$E$546-$D$5:$D$546))*24/REGLER!$B$8,0))),"")</f>
        <v/>
      </c>
      <c r="N181" s="50" t="str">
        <f t="shared" si="30"/>
        <v>Klar</v>
      </c>
      <c r="O181" s="15" t="s">
        <v>122</v>
      </c>
      <c r="P181" s="16">
        <v>0.33333333333333298</v>
      </c>
      <c r="Q181" s="16">
        <v>0.55208333333333304</v>
      </c>
      <c r="R181" s="15" t="str">
        <f>IFERROR(MATCH(1,INDEX((MATCHER!$B$5:$B$504=A181)*(MATCHER!$D$5:$D$504=C181)*(MATCHER!$K$5:$K$504="Ja")*(MATCHER!$C$5:$C$504&lt;E181)*(MATCHER!$M$5:$M$504&gt;D181),0),0),"")</f>
        <v/>
      </c>
      <c r="S181" s="15" t="str">
        <f>IF(R181="","",IFERROR(MATCH(1,INDEX((MATCHER!$B$5:$B$504=A181)*(MATCHER!$D$5:$D$504=C181)*(MATCHER!$K$5:$K$504="Ja")*(MATCHER!$C$5:$C$504&lt;E181)*(MATCHER!$M$5:$M$504&gt;D181)*(ROW(MATCHER!$A$5:$A$504)-ROW(MATCHER!$A$5)+1&gt;R181),0),0),""))</f>
        <v/>
      </c>
      <c r="T181" s="15" t="str">
        <f>IF(S181="","",IFERROR(MATCH(1,INDEX((MATCHER!$B$5:$B$504=A181)*(MATCHER!$D$5:$D$504=C181)*(MATCHER!$K$5:$K$504="Ja")*(MATCHER!$C$5:$C$504&lt;E181)*(MATCHER!$M$5:$M$504&gt;D181)*(ROW(MATCHER!$A$5:$A$504)-ROW(MATCHER!$A$5)+1&gt;S181),0),0),""))</f>
        <v/>
      </c>
      <c r="U181" s="15">
        <f t="shared" si="31"/>
        <v>0</v>
      </c>
      <c r="V181" s="15">
        <f>IF(OR(I181&lt;&gt;"Ja",J181=""),"",COUNTIFS($O$5:O181,O181,$U$5:U181,1))</f>
        <v>1</v>
      </c>
      <c r="W181" s="15" t="str">
        <f t="shared" si="32"/>
        <v>2026-11-14 | Tallbackaskolan|1</v>
      </c>
      <c r="X181" s="16" t="str">
        <f t="shared" si="33"/>
        <v/>
      </c>
      <c r="Y181" s="15">
        <f>IF(OR(I181&lt;&gt;"Ja",J181=""),0,IF(COUNTIFS($O$5:O181,O181,$I$5:I181,"Ja",$J$5:J181,"&lt;&gt;")=1,1,0))</f>
        <v>0</v>
      </c>
      <c r="Z181" s="15">
        <f>IF(OR(I181&lt;&gt;"Ja",J181=""),0,IF(COUNTIFS(O181:$O$546,O181,I181:$I$546,"Ja",J181:$J$546,"&lt;&gt;")=1,1,0))</f>
        <v>0</v>
      </c>
      <c r="AA181" s="15">
        <f t="shared" ref="AA181:AA190" si="44">AA180</f>
        <v>1</v>
      </c>
      <c r="AB181" s="15" t="str">
        <f>IF(U181&lt;&gt;1,"",COUNTIF($U$5:U181,1))</f>
        <v/>
      </c>
      <c r="AC181" s="15" t="str">
        <f t="shared" si="34"/>
        <v/>
      </c>
      <c r="AD181" s="15" t="str">
        <f t="shared" si="35"/>
        <v>Vanligt café</v>
      </c>
      <c r="AE181" s="15" t="str">
        <f t="shared" si="36"/>
        <v/>
      </c>
      <c r="AF181" t="str">
        <f>IF(T181="","",IFERROR(MATCH(1,INDEX((MATCHER!$B$5:$B$504=A181)*(MATCHER!$D$5:$D$504=C181)*(MATCHER!$K$5:$K$504="Ja")*(MATCHER!$C$5:$C$504&lt;E181)*(MATCHER!$M$5:$M$504&gt;D181)*(ROW(MATCHER!$A$5:$A$504)-ROW(MATCHER!$A$5)+1&gt;T181),0),0),""))</f>
        <v/>
      </c>
    </row>
    <row r="182" spans="1:32" ht="26">
      <c r="A182" s="42">
        <v>46340</v>
      </c>
      <c r="B182" s="43" t="s">
        <v>85</v>
      </c>
      <c r="C182" s="43" t="s">
        <v>110</v>
      </c>
      <c r="D182" s="44">
        <v>0.375</v>
      </c>
      <c r="E182" s="44">
        <v>0.39583333333333298</v>
      </c>
      <c r="F182" s="45" t="str">
        <f>IF(R182="","",HOUR(INDEX(MATCHER!$C$5:$C$504,R182))&amp;":"&amp;IF(MINUTE(INDEX(MATCHER!$C$5:$C$504,R182))&lt;10,"0","")&amp;MINUTE(INDEX(MATCHER!$C$5:$C$504,R182))&amp;" "&amp;INDEX(MATCHER!$H$5:$H$504,R182)&amp;" – "&amp;INDEX(MATCHER!$I$5:$I$504,R182))&amp;IF(S182="",""," | "&amp;HOUR(INDEX(MATCHER!$C$5:$C$504,S182))&amp;":"&amp;IF(MINUTE(INDEX(MATCHER!$C$5:$C$504,S182))&lt;10,"0","")&amp;MINUTE(INDEX(MATCHER!$C$5:$C$504,S182))&amp;" "&amp;INDEX(MATCHER!$H$5:$H$504,S182)&amp;" – "&amp;INDEX(MATCHER!$I$5:$I$504,S182))&amp;IF(T182="",""," | "&amp;HOUR(INDEX(MATCHER!$C$5:$C$504,T182))&amp;":"&amp;IF(MINUTE(INDEX(MATCHER!$C$5:$C$504,T182))&lt;10,"0","")&amp;MINUTE(INDEX(MATCHER!$C$5:$C$504,T182))&amp;" "&amp;INDEX(MATCHER!$H$5:$H$504,T182)&amp;" – "&amp;INDEX(MATCHER!$I$5:$I$504,T182))&amp;IF(AF182="",""," | "&amp;HOUR(INDEX(MATCHER!$C$5:$C$504,AF182))&amp;":"&amp;IF(MINUTE(INDEX(MATCHER!$C$5:$C$504,AF182))&lt;10,"0","")&amp;MINUTE(INDEX(MATCHER!$C$5:$C$504,AF182))&amp;" "&amp;INDEX(MATCHER!$H$5:$H$504,AF182)&amp;" – "&amp;INDEX(MATCHER!$I$5:$I$504,AF182))</f>
        <v>9:00 AIK 2 – Sannadals SK Vit</v>
      </c>
      <c r="G182" s="45" t="str">
        <f>MID(IF(R182="","",IF(OR(INDEX(MATCHER!$J$5:$J$504,R182)=""),""," / "&amp;INDEX(MATCHER!$J$5:$J$504,R182)))&amp;IF(S182="","",IF(OR(INDEX(MATCHER!$J$5:$J$504,S182)="",INDEX(MATCHER!$J$5:$J$504,S182)=IFERROR(INDEX(MATCHER!$J$5:$J$504,R182),"")),""," / "&amp;INDEX(MATCHER!$J$5:$J$504,S182)))&amp;IF(T182="","",IF(OR(INDEX(MATCHER!$J$5:$J$504,T182)="",INDEX(MATCHER!$J$5:$J$504,T182)=IFERROR(INDEX(MATCHER!$J$5:$J$504,R182),""),INDEX(MATCHER!$J$5:$J$504,T182)=IFERROR(INDEX(MATCHER!$J$5:$J$504,S182),"")),""," / "&amp;INDEX(MATCHER!$J$5:$J$504,T182)))&amp;IF(AF182="","",IF(OR(INDEX(MATCHER!$J$5:$J$504,AF182)="",INDEX(MATCHER!$J$5:$J$504,AF182)=IFERROR(INDEX(MATCHER!$J$5:$J$504,R182),""),INDEX(MATCHER!$J$5:$J$504,AF182)=IFERROR(INDEX(MATCHER!$J$5:$J$504,S182),""),INDEX(MATCHER!$J$5:$J$504,AF182)=IFERROR(INDEX(MATCHER!$J$5:$J$504,T182),"")),""," / "&amp;INDEX(MATCHER!$J$5:$J$504,AF182))),4,1000)</f>
        <v>P12 2</v>
      </c>
      <c r="H182" s="45" t="str">
        <f t="shared" si="43"/>
        <v>P12</v>
      </c>
      <c r="I182" s="46" t="s">
        <v>90</v>
      </c>
      <c r="J182" s="47" t="s">
        <v>117</v>
      </c>
      <c r="K182" s="48"/>
      <c r="L182" s="49"/>
      <c r="M182" s="50" t="str">
        <f>IF(O182&lt;&gt;O181,MAX(1,MIN(AA182,ROUNDUP(SUMPRODUCT(($O$5:$O$546=O182)*($I$5:$I$546="Ja")*($E$5:$E$546-$D$5:$D$546))*24/REGLER!$B$8,0))),"")</f>
        <v/>
      </c>
      <c r="N182" s="50" t="str">
        <f t="shared" si="30"/>
        <v>Klar</v>
      </c>
      <c r="O182" s="15" t="s">
        <v>122</v>
      </c>
      <c r="P182" s="16">
        <v>0.33333333333333298</v>
      </c>
      <c r="Q182" s="16">
        <v>0.55208333333333304</v>
      </c>
      <c r="R182" s="15">
        <f>IFERROR(MATCH(1,INDEX((MATCHER!$B$5:$B$504=A182)*(MATCHER!$D$5:$D$504=C182)*(MATCHER!$K$5:$K$504="Ja")*(MATCHER!$C$5:$C$504&lt;E182)*(MATCHER!$M$5:$M$504&gt;D182),0),0),"")</f>
        <v>59</v>
      </c>
      <c r="S182" s="15" t="str">
        <f>IF(R182="","",IFERROR(MATCH(1,INDEX((MATCHER!$B$5:$B$504=A182)*(MATCHER!$D$5:$D$504=C182)*(MATCHER!$K$5:$K$504="Ja")*(MATCHER!$C$5:$C$504&lt;E182)*(MATCHER!$M$5:$M$504&gt;D182)*(ROW(MATCHER!$A$5:$A$504)-ROW(MATCHER!$A$5)+1&gt;R182),0),0),""))</f>
        <v/>
      </c>
      <c r="T182" s="15" t="str">
        <f>IF(S182="","",IFERROR(MATCH(1,INDEX((MATCHER!$B$5:$B$504=A182)*(MATCHER!$D$5:$D$504=C182)*(MATCHER!$K$5:$K$504="Ja")*(MATCHER!$C$5:$C$504&lt;E182)*(MATCHER!$M$5:$M$504&gt;D182)*(ROW(MATCHER!$A$5:$A$504)-ROW(MATCHER!$A$5)+1&gt;S182),0),0),""))</f>
        <v/>
      </c>
      <c r="U182" s="15">
        <f t="shared" si="31"/>
        <v>0</v>
      </c>
      <c r="V182" s="15">
        <f>IF(OR(I182&lt;&gt;"Ja",J182=""),"",COUNTIFS($O$5:O182,O182,$U$5:U182,1))</f>
        <v>1</v>
      </c>
      <c r="W182" s="15" t="str">
        <f t="shared" si="32"/>
        <v>2026-11-14 | Tallbackaskolan|1</v>
      </c>
      <c r="X182" s="16" t="str">
        <f t="shared" si="33"/>
        <v/>
      </c>
      <c r="Y182" s="15">
        <f>IF(OR(I182&lt;&gt;"Ja",J182=""),0,IF(COUNTIFS($O$5:O182,O182,$I$5:I182,"Ja",$J$5:J182,"&lt;&gt;")=1,1,0))</f>
        <v>0</v>
      </c>
      <c r="Z182" s="15">
        <f>IF(OR(I182&lt;&gt;"Ja",J182=""),0,IF(COUNTIFS(O182:$O$546,O182,I182:$I$546,"Ja",J182:$J$546,"&lt;&gt;")=1,1,0))</f>
        <v>0</v>
      </c>
      <c r="AA182" s="15">
        <f t="shared" si="44"/>
        <v>1</v>
      </c>
      <c r="AB182" s="15" t="str">
        <f>IF(U182&lt;&gt;1,"",COUNTIF($U$5:U182,1))</f>
        <v/>
      </c>
      <c r="AC182" s="15" t="str">
        <f t="shared" si="34"/>
        <v/>
      </c>
      <c r="AD182" s="15" t="str">
        <f t="shared" si="35"/>
        <v>Vanligt café</v>
      </c>
      <c r="AE182" s="15" t="str">
        <f t="shared" si="36"/>
        <v/>
      </c>
      <c r="AF182" t="str">
        <f>IF(T182="","",IFERROR(MATCH(1,INDEX((MATCHER!$B$5:$B$504=A182)*(MATCHER!$D$5:$D$504=C182)*(MATCHER!$K$5:$K$504="Ja")*(MATCHER!$C$5:$C$504&lt;E182)*(MATCHER!$M$5:$M$504&gt;D182)*(ROW(MATCHER!$A$5:$A$504)-ROW(MATCHER!$A$5)+1&gt;T182),0),0),""))</f>
        <v/>
      </c>
    </row>
    <row r="183" spans="1:32" ht="26">
      <c r="A183" s="42">
        <v>46340</v>
      </c>
      <c r="B183" s="43" t="s">
        <v>85</v>
      </c>
      <c r="C183" s="43" t="s">
        <v>110</v>
      </c>
      <c r="D183" s="44">
        <v>0.39583333333333298</v>
      </c>
      <c r="E183" s="44">
        <v>0.41666666666666702</v>
      </c>
      <c r="F183" s="45" t="str">
        <f>IF(R183="","",HOUR(INDEX(MATCHER!$C$5:$C$504,R183))&amp;":"&amp;IF(MINUTE(INDEX(MATCHER!$C$5:$C$504,R183))&lt;10,"0","")&amp;MINUTE(INDEX(MATCHER!$C$5:$C$504,R183))&amp;" "&amp;INDEX(MATCHER!$H$5:$H$504,R183)&amp;" – "&amp;INDEX(MATCHER!$I$5:$I$504,R183))&amp;IF(S183="",""," | "&amp;HOUR(INDEX(MATCHER!$C$5:$C$504,S183))&amp;":"&amp;IF(MINUTE(INDEX(MATCHER!$C$5:$C$504,S183))&lt;10,"0","")&amp;MINUTE(INDEX(MATCHER!$C$5:$C$504,S183))&amp;" "&amp;INDEX(MATCHER!$H$5:$H$504,S183)&amp;" – "&amp;INDEX(MATCHER!$I$5:$I$504,S183))&amp;IF(T183="",""," | "&amp;HOUR(INDEX(MATCHER!$C$5:$C$504,T183))&amp;":"&amp;IF(MINUTE(INDEX(MATCHER!$C$5:$C$504,T183))&lt;10,"0","")&amp;MINUTE(INDEX(MATCHER!$C$5:$C$504,T183))&amp;" "&amp;INDEX(MATCHER!$H$5:$H$504,T183)&amp;" – "&amp;INDEX(MATCHER!$I$5:$I$504,T183))&amp;IF(AF183="",""," | "&amp;HOUR(INDEX(MATCHER!$C$5:$C$504,AF183))&amp;":"&amp;IF(MINUTE(INDEX(MATCHER!$C$5:$C$504,AF183))&lt;10,"0","")&amp;MINUTE(INDEX(MATCHER!$C$5:$C$504,AF183))&amp;" "&amp;INDEX(MATCHER!$H$5:$H$504,AF183)&amp;" – "&amp;INDEX(MATCHER!$I$5:$I$504,AF183))</f>
        <v>9:00 AIK 2 – Sannadals SK Vit</v>
      </c>
      <c r="G183" s="45" t="str">
        <f>MID(IF(R183="","",IF(OR(INDEX(MATCHER!$J$5:$J$504,R183)=""),""," / "&amp;INDEX(MATCHER!$J$5:$J$504,R183)))&amp;IF(S183="","",IF(OR(INDEX(MATCHER!$J$5:$J$504,S183)="",INDEX(MATCHER!$J$5:$J$504,S183)=IFERROR(INDEX(MATCHER!$J$5:$J$504,R183),"")),""," / "&amp;INDEX(MATCHER!$J$5:$J$504,S183)))&amp;IF(T183="","",IF(OR(INDEX(MATCHER!$J$5:$J$504,T183)="",INDEX(MATCHER!$J$5:$J$504,T183)=IFERROR(INDEX(MATCHER!$J$5:$J$504,R183),""),INDEX(MATCHER!$J$5:$J$504,T183)=IFERROR(INDEX(MATCHER!$J$5:$J$504,S183),"")),""," / "&amp;INDEX(MATCHER!$J$5:$J$504,T183)))&amp;IF(AF183="","",IF(OR(INDEX(MATCHER!$J$5:$J$504,AF183)="",INDEX(MATCHER!$J$5:$J$504,AF183)=IFERROR(INDEX(MATCHER!$J$5:$J$504,R183),""),INDEX(MATCHER!$J$5:$J$504,AF183)=IFERROR(INDEX(MATCHER!$J$5:$J$504,S183),""),INDEX(MATCHER!$J$5:$J$504,AF183)=IFERROR(INDEX(MATCHER!$J$5:$J$504,T183),"")),""," / "&amp;INDEX(MATCHER!$J$5:$J$504,AF183))),4,1000)</f>
        <v>P12 2</v>
      </c>
      <c r="H183" s="45" t="str">
        <f t="shared" si="43"/>
        <v>P12</v>
      </c>
      <c r="I183" s="46" t="s">
        <v>90</v>
      </c>
      <c r="J183" s="47" t="s">
        <v>117</v>
      </c>
      <c r="K183" s="48"/>
      <c r="L183" s="49"/>
      <c r="M183" s="50" t="str">
        <f>IF(O183&lt;&gt;O182,MAX(1,MIN(AA183,ROUNDUP(SUMPRODUCT(($O$5:$O$546=O183)*($I$5:$I$546="Ja")*($E$5:$E$546-$D$5:$D$546))*24/REGLER!$B$8,0))),"")</f>
        <v/>
      </c>
      <c r="N183" s="50" t="str">
        <f t="shared" si="30"/>
        <v>Klar</v>
      </c>
      <c r="O183" s="15" t="s">
        <v>122</v>
      </c>
      <c r="P183" s="16">
        <v>0.33333333333333298</v>
      </c>
      <c r="Q183" s="16">
        <v>0.55208333333333304</v>
      </c>
      <c r="R183" s="15">
        <f>IFERROR(MATCH(1,INDEX((MATCHER!$B$5:$B$504=A183)*(MATCHER!$D$5:$D$504=C183)*(MATCHER!$K$5:$K$504="Ja")*(MATCHER!$C$5:$C$504&lt;E183)*(MATCHER!$M$5:$M$504&gt;D183),0),0),"")</f>
        <v>59</v>
      </c>
      <c r="S183" s="15" t="str">
        <f>IF(R183="","",IFERROR(MATCH(1,INDEX((MATCHER!$B$5:$B$504=A183)*(MATCHER!$D$5:$D$504=C183)*(MATCHER!$K$5:$K$504="Ja")*(MATCHER!$C$5:$C$504&lt;E183)*(MATCHER!$M$5:$M$504&gt;D183)*(ROW(MATCHER!$A$5:$A$504)-ROW(MATCHER!$A$5)+1&gt;R183),0),0),""))</f>
        <v/>
      </c>
      <c r="T183" s="15" t="str">
        <f>IF(S183="","",IFERROR(MATCH(1,INDEX((MATCHER!$B$5:$B$504=A183)*(MATCHER!$D$5:$D$504=C183)*(MATCHER!$K$5:$K$504="Ja")*(MATCHER!$C$5:$C$504&lt;E183)*(MATCHER!$M$5:$M$504&gt;D183)*(ROW(MATCHER!$A$5:$A$504)-ROW(MATCHER!$A$5)+1&gt;S183),0),0),""))</f>
        <v/>
      </c>
      <c r="U183" s="15">
        <f t="shared" si="31"/>
        <v>0</v>
      </c>
      <c r="V183" s="15">
        <f>IF(OR(I183&lt;&gt;"Ja",J183=""),"",COUNTIFS($O$5:O183,O183,$U$5:U183,1))</f>
        <v>1</v>
      </c>
      <c r="W183" s="15" t="str">
        <f t="shared" si="32"/>
        <v>2026-11-14 | Tallbackaskolan|1</v>
      </c>
      <c r="X183" s="16" t="str">
        <f t="shared" si="33"/>
        <v/>
      </c>
      <c r="Y183" s="15">
        <f>IF(OR(I183&lt;&gt;"Ja",J183=""),0,IF(COUNTIFS($O$5:O183,O183,$I$5:I183,"Ja",$J$5:J183,"&lt;&gt;")=1,1,0))</f>
        <v>0</v>
      </c>
      <c r="Z183" s="15">
        <f>IF(OR(I183&lt;&gt;"Ja",J183=""),0,IF(COUNTIFS(O183:$O$546,O183,I183:$I$546,"Ja",J183:$J$546,"&lt;&gt;")=1,1,0))</f>
        <v>0</v>
      </c>
      <c r="AA183" s="15">
        <f t="shared" si="44"/>
        <v>1</v>
      </c>
      <c r="AB183" s="15" t="str">
        <f>IF(U183&lt;&gt;1,"",COUNTIF($U$5:U183,1))</f>
        <v/>
      </c>
      <c r="AC183" s="15" t="str">
        <f t="shared" si="34"/>
        <v/>
      </c>
      <c r="AD183" s="15" t="str">
        <f t="shared" si="35"/>
        <v>Vanligt café</v>
      </c>
      <c r="AE183" s="15" t="str">
        <f t="shared" si="36"/>
        <v/>
      </c>
      <c r="AF183" t="str">
        <f>IF(T183="","",IFERROR(MATCH(1,INDEX((MATCHER!$B$5:$B$504=A183)*(MATCHER!$D$5:$D$504=C183)*(MATCHER!$K$5:$K$504="Ja")*(MATCHER!$C$5:$C$504&lt;E183)*(MATCHER!$M$5:$M$504&gt;D183)*(ROW(MATCHER!$A$5:$A$504)-ROW(MATCHER!$A$5)+1&gt;T183),0),0),""))</f>
        <v/>
      </c>
    </row>
    <row r="184" spans="1:32" ht="26">
      <c r="A184" s="42">
        <v>46340</v>
      </c>
      <c r="B184" s="43" t="s">
        <v>85</v>
      </c>
      <c r="C184" s="43" t="s">
        <v>110</v>
      </c>
      <c r="D184" s="44">
        <v>0.41666666666666702</v>
      </c>
      <c r="E184" s="44">
        <v>0.4375</v>
      </c>
      <c r="F184" s="45" t="str">
        <f>IF(R184="","",HOUR(INDEX(MATCHER!$C$5:$C$504,R184))&amp;":"&amp;IF(MINUTE(INDEX(MATCHER!$C$5:$C$504,R184))&lt;10,"0","")&amp;MINUTE(INDEX(MATCHER!$C$5:$C$504,R184))&amp;" "&amp;INDEX(MATCHER!$H$5:$H$504,R184)&amp;" – "&amp;INDEX(MATCHER!$I$5:$I$504,R184))&amp;IF(S184="",""," | "&amp;HOUR(INDEX(MATCHER!$C$5:$C$504,S184))&amp;":"&amp;IF(MINUTE(INDEX(MATCHER!$C$5:$C$504,S184))&lt;10,"0","")&amp;MINUTE(INDEX(MATCHER!$C$5:$C$504,S184))&amp;" "&amp;INDEX(MATCHER!$H$5:$H$504,S184)&amp;" – "&amp;INDEX(MATCHER!$I$5:$I$504,S184))&amp;IF(T184="",""," | "&amp;HOUR(INDEX(MATCHER!$C$5:$C$504,T184))&amp;":"&amp;IF(MINUTE(INDEX(MATCHER!$C$5:$C$504,T184))&lt;10,"0","")&amp;MINUTE(INDEX(MATCHER!$C$5:$C$504,T184))&amp;" "&amp;INDEX(MATCHER!$H$5:$H$504,T184)&amp;" – "&amp;INDEX(MATCHER!$I$5:$I$504,T184))&amp;IF(AF184="",""," | "&amp;HOUR(INDEX(MATCHER!$C$5:$C$504,AF184))&amp;":"&amp;IF(MINUTE(INDEX(MATCHER!$C$5:$C$504,AF184))&lt;10,"0","")&amp;MINUTE(INDEX(MATCHER!$C$5:$C$504,AF184))&amp;" "&amp;INDEX(MATCHER!$H$5:$H$504,AF184)&amp;" – "&amp;INDEX(MATCHER!$I$5:$I$504,AF184))</f>
        <v>10:00 Skuru IK 2 – Tyresö Handboll 2</v>
      </c>
      <c r="G184" s="45" t="str">
        <f>MID(IF(R184="","",IF(OR(INDEX(MATCHER!$J$5:$J$504,R184)=""),""," / "&amp;INDEX(MATCHER!$J$5:$J$504,R184)))&amp;IF(S184="","",IF(OR(INDEX(MATCHER!$J$5:$J$504,S184)="",INDEX(MATCHER!$J$5:$J$504,S184)=IFERROR(INDEX(MATCHER!$J$5:$J$504,R184),"")),""," / "&amp;INDEX(MATCHER!$J$5:$J$504,S184)))&amp;IF(T184="","",IF(OR(INDEX(MATCHER!$J$5:$J$504,T184)="",INDEX(MATCHER!$J$5:$J$504,T184)=IFERROR(INDEX(MATCHER!$J$5:$J$504,R184),""),INDEX(MATCHER!$J$5:$J$504,T184)=IFERROR(INDEX(MATCHER!$J$5:$J$504,S184),"")),""," / "&amp;INDEX(MATCHER!$J$5:$J$504,T184)))&amp;IF(AF184="","",IF(OR(INDEX(MATCHER!$J$5:$J$504,AF184)="",INDEX(MATCHER!$J$5:$J$504,AF184)=IFERROR(INDEX(MATCHER!$J$5:$J$504,R184),""),INDEX(MATCHER!$J$5:$J$504,AF184)=IFERROR(INDEX(MATCHER!$J$5:$J$504,S184),""),INDEX(MATCHER!$J$5:$J$504,AF184)=IFERROR(INDEX(MATCHER!$J$5:$J$504,T184),"")),""," / "&amp;INDEX(MATCHER!$J$5:$J$504,AF184))),4,1000)</f>
        <v/>
      </c>
      <c r="H184" s="45" t="str">
        <f t="shared" si="43"/>
        <v>P12</v>
      </c>
      <c r="I184" s="46" t="s">
        <v>90</v>
      </c>
      <c r="J184" s="47" t="s">
        <v>117</v>
      </c>
      <c r="K184" s="48"/>
      <c r="L184" s="49"/>
      <c r="M184" s="50" t="str">
        <f>IF(O184&lt;&gt;O183,MAX(1,MIN(AA184,ROUNDUP(SUMPRODUCT(($O$5:$O$546=O184)*($I$5:$I$546="Ja")*($E$5:$E$546-$D$5:$D$546))*24/REGLER!$B$8,0))),"")</f>
        <v/>
      </c>
      <c r="N184" s="50" t="str">
        <f t="shared" si="30"/>
        <v>Klar</v>
      </c>
      <c r="O184" s="15" t="s">
        <v>122</v>
      </c>
      <c r="P184" s="16">
        <v>0.33333333333333298</v>
      </c>
      <c r="Q184" s="16">
        <v>0.55208333333333304</v>
      </c>
      <c r="R184" s="15">
        <f>IFERROR(MATCH(1,INDEX((MATCHER!$B$5:$B$504=A184)*(MATCHER!$D$5:$D$504=C184)*(MATCHER!$K$5:$K$504="Ja")*(MATCHER!$C$5:$C$504&lt;E184)*(MATCHER!$M$5:$M$504&gt;D184),0),0),"")</f>
        <v>60</v>
      </c>
      <c r="S184" s="15" t="str">
        <f>IF(R184="","",IFERROR(MATCH(1,INDEX((MATCHER!$B$5:$B$504=A184)*(MATCHER!$D$5:$D$504=C184)*(MATCHER!$K$5:$K$504="Ja")*(MATCHER!$C$5:$C$504&lt;E184)*(MATCHER!$M$5:$M$504&gt;D184)*(ROW(MATCHER!$A$5:$A$504)-ROW(MATCHER!$A$5)+1&gt;R184),0),0),""))</f>
        <v/>
      </c>
      <c r="T184" s="15" t="str">
        <f>IF(S184="","",IFERROR(MATCH(1,INDEX((MATCHER!$B$5:$B$504=A184)*(MATCHER!$D$5:$D$504=C184)*(MATCHER!$K$5:$K$504="Ja")*(MATCHER!$C$5:$C$504&lt;E184)*(MATCHER!$M$5:$M$504&gt;D184)*(ROW(MATCHER!$A$5:$A$504)-ROW(MATCHER!$A$5)+1&gt;S184),0),0),""))</f>
        <v/>
      </c>
      <c r="U184" s="15">
        <f t="shared" si="31"/>
        <v>0</v>
      </c>
      <c r="V184" s="15">
        <f>IF(OR(I184&lt;&gt;"Ja",J184=""),"",COUNTIFS($O$5:O184,O184,$U$5:U184,1))</f>
        <v>1</v>
      </c>
      <c r="W184" s="15" t="str">
        <f t="shared" si="32"/>
        <v>2026-11-14 | Tallbackaskolan|1</v>
      </c>
      <c r="X184" s="16" t="str">
        <f t="shared" si="33"/>
        <v/>
      </c>
      <c r="Y184" s="15">
        <f>IF(OR(I184&lt;&gt;"Ja",J184=""),0,IF(COUNTIFS($O$5:O184,O184,$I$5:I184,"Ja",$J$5:J184,"&lt;&gt;")=1,1,0))</f>
        <v>0</v>
      </c>
      <c r="Z184" s="15">
        <f>IF(OR(I184&lt;&gt;"Ja",J184=""),0,IF(COUNTIFS(O184:$O$546,O184,I184:$I$546,"Ja",J184:$J$546,"&lt;&gt;")=1,1,0))</f>
        <v>0</v>
      </c>
      <c r="AA184" s="15">
        <f t="shared" si="44"/>
        <v>1</v>
      </c>
      <c r="AB184" s="15" t="str">
        <f>IF(U184&lt;&gt;1,"",COUNTIF($U$5:U184,1))</f>
        <v/>
      </c>
      <c r="AC184" s="15" t="str">
        <f t="shared" si="34"/>
        <v/>
      </c>
      <c r="AD184" s="15" t="str">
        <f t="shared" si="35"/>
        <v>Vanligt café</v>
      </c>
      <c r="AE184" s="15" t="str">
        <f t="shared" si="36"/>
        <v/>
      </c>
      <c r="AF184" t="str">
        <f>IF(T184="","",IFERROR(MATCH(1,INDEX((MATCHER!$B$5:$B$504=A184)*(MATCHER!$D$5:$D$504=C184)*(MATCHER!$K$5:$K$504="Ja")*(MATCHER!$C$5:$C$504&lt;E184)*(MATCHER!$M$5:$M$504&gt;D184)*(ROW(MATCHER!$A$5:$A$504)-ROW(MATCHER!$A$5)+1&gt;T184),0),0),""))</f>
        <v/>
      </c>
    </row>
    <row r="185" spans="1:32" ht="26">
      <c r="A185" s="42">
        <v>46340</v>
      </c>
      <c r="B185" s="43" t="s">
        <v>85</v>
      </c>
      <c r="C185" s="43" t="s">
        <v>110</v>
      </c>
      <c r="D185" s="44">
        <v>0.4375</v>
      </c>
      <c r="E185" s="44">
        <v>0.45833333333333298</v>
      </c>
      <c r="F185" s="45" t="str">
        <f>IF(R185="","",HOUR(INDEX(MATCHER!$C$5:$C$504,R185))&amp;":"&amp;IF(MINUTE(INDEX(MATCHER!$C$5:$C$504,R185))&lt;10,"0","")&amp;MINUTE(INDEX(MATCHER!$C$5:$C$504,R185))&amp;" "&amp;INDEX(MATCHER!$H$5:$H$504,R185)&amp;" – "&amp;INDEX(MATCHER!$I$5:$I$504,R185))&amp;IF(S185="",""," | "&amp;HOUR(INDEX(MATCHER!$C$5:$C$504,S185))&amp;":"&amp;IF(MINUTE(INDEX(MATCHER!$C$5:$C$504,S185))&lt;10,"0","")&amp;MINUTE(INDEX(MATCHER!$C$5:$C$504,S185))&amp;" "&amp;INDEX(MATCHER!$H$5:$H$504,S185)&amp;" – "&amp;INDEX(MATCHER!$I$5:$I$504,S185))&amp;IF(T185="",""," | "&amp;HOUR(INDEX(MATCHER!$C$5:$C$504,T185))&amp;":"&amp;IF(MINUTE(INDEX(MATCHER!$C$5:$C$504,T185))&lt;10,"0","")&amp;MINUTE(INDEX(MATCHER!$C$5:$C$504,T185))&amp;" "&amp;INDEX(MATCHER!$H$5:$H$504,T185)&amp;" – "&amp;INDEX(MATCHER!$I$5:$I$504,T185))&amp;IF(AF185="",""," | "&amp;HOUR(INDEX(MATCHER!$C$5:$C$504,AF185))&amp;":"&amp;IF(MINUTE(INDEX(MATCHER!$C$5:$C$504,AF185))&lt;10,"0","")&amp;MINUTE(INDEX(MATCHER!$C$5:$C$504,AF185))&amp;" "&amp;INDEX(MATCHER!$H$5:$H$504,AF185)&amp;" – "&amp;INDEX(MATCHER!$I$5:$I$504,AF185))</f>
        <v>10:00 Skuru IK 2 – Tyresö Handboll 2</v>
      </c>
      <c r="G185" s="45" t="str">
        <f>MID(IF(R185="","",IF(OR(INDEX(MATCHER!$J$5:$J$504,R185)=""),""," / "&amp;INDEX(MATCHER!$J$5:$J$504,R185)))&amp;IF(S185="","",IF(OR(INDEX(MATCHER!$J$5:$J$504,S185)="",INDEX(MATCHER!$J$5:$J$504,S185)=IFERROR(INDEX(MATCHER!$J$5:$J$504,R185),"")),""," / "&amp;INDEX(MATCHER!$J$5:$J$504,S185)))&amp;IF(T185="","",IF(OR(INDEX(MATCHER!$J$5:$J$504,T185)="",INDEX(MATCHER!$J$5:$J$504,T185)=IFERROR(INDEX(MATCHER!$J$5:$J$504,R185),""),INDEX(MATCHER!$J$5:$J$504,T185)=IFERROR(INDEX(MATCHER!$J$5:$J$504,S185),"")),""," / "&amp;INDEX(MATCHER!$J$5:$J$504,T185)))&amp;IF(AF185="","",IF(OR(INDEX(MATCHER!$J$5:$J$504,AF185)="",INDEX(MATCHER!$J$5:$J$504,AF185)=IFERROR(INDEX(MATCHER!$J$5:$J$504,R185),""),INDEX(MATCHER!$J$5:$J$504,AF185)=IFERROR(INDEX(MATCHER!$J$5:$J$504,S185),""),INDEX(MATCHER!$J$5:$J$504,AF185)=IFERROR(INDEX(MATCHER!$J$5:$J$504,T185),"")),""," / "&amp;INDEX(MATCHER!$J$5:$J$504,AF185))),4,1000)</f>
        <v/>
      </c>
      <c r="H185" s="45" t="str">
        <f t="shared" si="43"/>
        <v>P12</v>
      </c>
      <c r="I185" s="46" t="s">
        <v>90</v>
      </c>
      <c r="J185" s="47" t="s">
        <v>117</v>
      </c>
      <c r="K185" s="48"/>
      <c r="L185" s="49"/>
      <c r="M185" s="50" t="str">
        <f>IF(O185&lt;&gt;O184,MAX(1,MIN(AA185,ROUNDUP(SUMPRODUCT(($O$5:$O$546=O185)*($I$5:$I$546="Ja")*($E$5:$E$546-$D$5:$D$546))*24/REGLER!$B$8,0))),"")</f>
        <v/>
      </c>
      <c r="N185" s="50" t="str">
        <f t="shared" si="30"/>
        <v>Klar</v>
      </c>
      <c r="O185" s="15" t="s">
        <v>122</v>
      </c>
      <c r="P185" s="16">
        <v>0.33333333333333298</v>
      </c>
      <c r="Q185" s="16">
        <v>0.55208333333333304</v>
      </c>
      <c r="R185" s="15">
        <f>IFERROR(MATCH(1,INDEX((MATCHER!$B$5:$B$504=A185)*(MATCHER!$D$5:$D$504=C185)*(MATCHER!$K$5:$K$504="Ja")*(MATCHER!$C$5:$C$504&lt;E185)*(MATCHER!$M$5:$M$504&gt;D185),0),0),"")</f>
        <v>60</v>
      </c>
      <c r="S185" s="15" t="str">
        <f>IF(R185="","",IFERROR(MATCH(1,INDEX((MATCHER!$B$5:$B$504=A185)*(MATCHER!$D$5:$D$504=C185)*(MATCHER!$K$5:$K$504="Ja")*(MATCHER!$C$5:$C$504&lt;E185)*(MATCHER!$M$5:$M$504&gt;D185)*(ROW(MATCHER!$A$5:$A$504)-ROW(MATCHER!$A$5)+1&gt;R185),0),0),""))</f>
        <v/>
      </c>
      <c r="T185" s="15" t="str">
        <f>IF(S185="","",IFERROR(MATCH(1,INDEX((MATCHER!$B$5:$B$504=A185)*(MATCHER!$D$5:$D$504=C185)*(MATCHER!$K$5:$K$504="Ja")*(MATCHER!$C$5:$C$504&lt;E185)*(MATCHER!$M$5:$M$504&gt;D185)*(ROW(MATCHER!$A$5:$A$504)-ROW(MATCHER!$A$5)+1&gt;S185),0),0),""))</f>
        <v/>
      </c>
      <c r="U185" s="15">
        <f t="shared" si="31"/>
        <v>0</v>
      </c>
      <c r="V185" s="15">
        <f>IF(OR(I185&lt;&gt;"Ja",J185=""),"",COUNTIFS($O$5:O185,O185,$U$5:U185,1))</f>
        <v>1</v>
      </c>
      <c r="W185" s="15" t="str">
        <f t="shared" si="32"/>
        <v>2026-11-14 | Tallbackaskolan|1</v>
      </c>
      <c r="X185" s="16" t="str">
        <f t="shared" si="33"/>
        <v/>
      </c>
      <c r="Y185" s="15">
        <f>IF(OR(I185&lt;&gt;"Ja",J185=""),0,IF(COUNTIFS($O$5:O185,O185,$I$5:I185,"Ja",$J$5:J185,"&lt;&gt;")=1,1,0))</f>
        <v>0</v>
      </c>
      <c r="Z185" s="15">
        <f>IF(OR(I185&lt;&gt;"Ja",J185=""),0,IF(COUNTIFS(O185:$O$546,O185,I185:$I$546,"Ja",J185:$J$546,"&lt;&gt;")=1,1,0))</f>
        <v>0</v>
      </c>
      <c r="AA185" s="15">
        <f t="shared" si="44"/>
        <v>1</v>
      </c>
      <c r="AB185" s="15" t="str">
        <f>IF(U185&lt;&gt;1,"",COUNTIF($U$5:U185,1))</f>
        <v/>
      </c>
      <c r="AC185" s="15" t="str">
        <f t="shared" si="34"/>
        <v/>
      </c>
      <c r="AD185" s="15" t="str">
        <f t="shared" si="35"/>
        <v>Vanligt café</v>
      </c>
      <c r="AE185" s="15" t="str">
        <f t="shared" si="36"/>
        <v/>
      </c>
      <c r="AF185" t="str">
        <f>IF(T185="","",IFERROR(MATCH(1,INDEX((MATCHER!$B$5:$B$504=A185)*(MATCHER!$D$5:$D$504=C185)*(MATCHER!$K$5:$K$504="Ja")*(MATCHER!$C$5:$C$504&lt;E185)*(MATCHER!$M$5:$M$504&gt;D185)*(ROW(MATCHER!$A$5:$A$504)-ROW(MATCHER!$A$5)+1&gt;T185),0),0),""))</f>
        <v/>
      </c>
    </row>
    <row r="186" spans="1:32" ht="26">
      <c r="A186" s="42">
        <v>46340</v>
      </c>
      <c r="B186" s="43" t="s">
        <v>85</v>
      </c>
      <c r="C186" s="43" t="s">
        <v>110</v>
      </c>
      <c r="D186" s="44">
        <v>0.45833333333333298</v>
      </c>
      <c r="E186" s="44">
        <v>0.47916666666666702</v>
      </c>
      <c r="F186" s="45" t="str">
        <f>IF(R186="","",HOUR(INDEX(MATCHER!$C$5:$C$504,R186))&amp;":"&amp;IF(MINUTE(INDEX(MATCHER!$C$5:$C$504,R186))&lt;10,"0","")&amp;MINUTE(INDEX(MATCHER!$C$5:$C$504,R186))&amp;" "&amp;INDEX(MATCHER!$H$5:$H$504,R186)&amp;" – "&amp;INDEX(MATCHER!$I$5:$I$504,R186))&amp;IF(S186="",""," | "&amp;HOUR(INDEX(MATCHER!$C$5:$C$504,S186))&amp;":"&amp;IF(MINUTE(INDEX(MATCHER!$C$5:$C$504,S186))&lt;10,"0","")&amp;MINUTE(INDEX(MATCHER!$C$5:$C$504,S186))&amp;" "&amp;INDEX(MATCHER!$H$5:$H$504,S186)&amp;" – "&amp;INDEX(MATCHER!$I$5:$I$504,S186))&amp;IF(T186="",""," | "&amp;HOUR(INDEX(MATCHER!$C$5:$C$504,T186))&amp;":"&amp;IF(MINUTE(INDEX(MATCHER!$C$5:$C$504,T186))&lt;10,"0","")&amp;MINUTE(INDEX(MATCHER!$C$5:$C$504,T186))&amp;" "&amp;INDEX(MATCHER!$H$5:$H$504,T186)&amp;" – "&amp;INDEX(MATCHER!$I$5:$I$504,T186))&amp;IF(AF186="",""," | "&amp;HOUR(INDEX(MATCHER!$C$5:$C$504,AF186))&amp;":"&amp;IF(MINUTE(INDEX(MATCHER!$C$5:$C$504,AF186))&lt;10,"0","")&amp;MINUTE(INDEX(MATCHER!$C$5:$C$504,AF186))&amp;" "&amp;INDEX(MATCHER!$H$5:$H$504,AF186)&amp;" – "&amp;INDEX(MATCHER!$I$5:$I$504,AF186))</f>
        <v>11:15 AIK 2 – Tyresö Handboll 2</v>
      </c>
      <c r="G186" s="45" t="str">
        <f>MID(IF(R186="","",IF(OR(INDEX(MATCHER!$J$5:$J$504,R186)=""),""," / "&amp;INDEX(MATCHER!$J$5:$J$504,R186)))&amp;IF(S186="","",IF(OR(INDEX(MATCHER!$J$5:$J$504,S186)="",INDEX(MATCHER!$J$5:$J$504,S186)=IFERROR(INDEX(MATCHER!$J$5:$J$504,R186),"")),""," / "&amp;INDEX(MATCHER!$J$5:$J$504,S186)))&amp;IF(T186="","",IF(OR(INDEX(MATCHER!$J$5:$J$504,T186)="",INDEX(MATCHER!$J$5:$J$504,T186)=IFERROR(INDEX(MATCHER!$J$5:$J$504,R186),""),INDEX(MATCHER!$J$5:$J$504,T186)=IFERROR(INDEX(MATCHER!$J$5:$J$504,S186),"")),""," / "&amp;INDEX(MATCHER!$J$5:$J$504,T186)))&amp;IF(AF186="","",IF(OR(INDEX(MATCHER!$J$5:$J$504,AF186)="",INDEX(MATCHER!$J$5:$J$504,AF186)=IFERROR(INDEX(MATCHER!$J$5:$J$504,R186),""),INDEX(MATCHER!$J$5:$J$504,AF186)=IFERROR(INDEX(MATCHER!$J$5:$J$504,S186),""),INDEX(MATCHER!$J$5:$J$504,AF186)=IFERROR(INDEX(MATCHER!$J$5:$J$504,T186),"")),""," / "&amp;INDEX(MATCHER!$J$5:$J$504,AF186))),4,1000)</f>
        <v>P12 2</v>
      </c>
      <c r="H186" s="45" t="str">
        <f t="shared" si="43"/>
        <v>P12</v>
      </c>
      <c r="I186" s="46" t="s">
        <v>90</v>
      </c>
      <c r="J186" s="47" t="s">
        <v>117</v>
      </c>
      <c r="K186" s="48"/>
      <c r="L186" s="49"/>
      <c r="M186" s="50" t="str">
        <f>IF(O186&lt;&gt;O185,MAX(1,MIN(AA186,ROUNDUP(SUMPRODUCT(($O$5:$O$546=O186)*($I$5:$I$546="Ja")*($E$5:$E$546-$D$5:$D$546))*24/REGLER!$B$8,0))),"")</f>
        <v/>
      </c>
      <c r="N186" s="50" t="str">
        <f t="shared" si="30"/>
        <v>Klar</v>
      </c>
      <c r="O186" s="15" t="s">
        <v>122</v>
      </c>
      <c r="P186" s="16">
        <v>0.33333333333333298</v>
      </c>
      <c r="Q186" s="16">
        <v>0.55208333333333304</v>
      </c>
      <c r="R186" s="15">
        <f>IFERROR(MATCH(1,INDEX((MATCHER!$B$5:$B$504=A186)*(MATCHER!$D$5:$D$504=C186)*(MATCHER!$K$5:$K$504="Ja")*(MATCHER!$C$5:$C$504&lt;E186)*(MATCHER!$M$5:$M$504&gt;D186),0),0),"")</f>
        <v>61</v>
      </c>
      <c r="S186" s="15" t="str">
        <f>IF(R186="","",IFERROR(MATCH(1,INDEX((MATCHER!$B$5:$B$504=A186)*(MATCHER!$D$5:$D$504=C186)*(MATCHER!$K$5:$K$504="Ja")*(MATCHER!$C$5:$C$504&lt;E186)*(MATCHER!$M$5:$M$504&gt;D186)*(ROW(MATCHER!$A$5:$A$504)-ROW(MATCHER!$A$5)+1&gt;R186),0),0),""))</f>
        <v/>
      </c>
      <c r="T186" s="15" t="str">
        <f>IF(S186="","",IFERROR(MATCH(1,INDEX((MATCHER!$B$5:$B$504=A186)*(MATCHER!$D$5:$D$504=C186)*(MATCHER!$K$5:$K$504="Ja")*(MATCHER!$C$5:$C$504&lt;E186)*(MATCHER!$M$5:$M$504&gt;D186)*(ROW(MATCHER!$A$5:$A$504)-ROW(MATCHER!$A$5)+1&gt;S186),0),0),""))</f>
        <v/>
      </c>
      <c r="U186" s="15">
        <f t="shared" si="31"/>
        <v>0</v>
      </c>
      <c r="V186" s="15">
        <f>IF(OR(I186&lt;&gt;"Ja",J186=""),"",COUNTIFS($O$5:O186,O186,$U$5:U186,1))</f>
        <v>1</v>
      </c>
      <c r="W186" s="15" t="str">
        <f t="shared" si="32"/>
        <v>2026-11-14 | Tallbackaskolan|1</v>
      </c>
      <c r="X186" s="16" t="str">
        <f t="shared" si="33"/>
        <v/>
      </c>
      <c r="Y186" s="15">
        <f>IF(OR(I186&lt;&gt;"Ja",J186=""),0,IF(COUNTIFS($O$5:O186,O186,$I$5:I186,"Ja",$J$5:J186,"&lt;&gt;")=1,1,0))</f>
        <v>0</v>
      </c>
      <c r="Z186" s="15">
        <f>IF(OR(I186&lt;&gt;"Ja",J186=""),0,IF(COUNTIFS(O186:$O$546,O186,I186:$I$546,"Ja",J186:$J$546,"&lt;&gt;")=1,1,0))</f>
        <v>0</v>
      </c>
      <c r="AA186" s="15">
        <f t="shared" si="44"/>
        <v>1</v>
      </c>
      <c r="AB186" s="15" t="str">
        <f>IF(U186&lt;&gt;1,"",COUNTIF($U$5:U186,1))</f>
        <v/>
      </c>
      <c r="AC186" s="15" t="str">
        <f t="shared" si="34"/>
        <v/>
      </c>
      <c r="AD186" s="15" t="str">
        <f t="shared" si="35"/>
        <v>Vanligt café</v>
      </c>
      <c r="AE186" s="15" t="str">
        <f t="shared" si="36"/>
        <v/>
      </c>
      <c r="AF186" t="str">
        <f>IF(T186="","",IFERROR(MATCH(1,INDEX((MATCHER!$B$5:$B$504=A186)*(MATCHER!$D$5:$D$504=C186)*(MATCHER!$K$5:$K$504="Ja")*(MATCHER!$C$5:$C$504&lt;E186)*(MATCHER!$M$5:$M$504&gt;D186)*(ROW(MATCHER!$A$5:$A$504)-ROW(MATCHER!$A$5)+1&gt;T186),0),0),""))</f>
        <v/>
      </c>
    </row>
    <row r="187" spans="1:32" ht="26">
      <c r="A187" s="42">
        <v>46340</v>
      </c>
      <c r="B187" s="43" t="s">
        <v>85</v>
      </c>
      <c r="C187" s="43" t="s">
        <v>110</v>
      </c>
      <c r="D187" s="44">
        <v>0.47916666666666702</v>
      </c>
      <c r="E187" s="44">
        <v>0.5</v>
      </c>
      <c r="F187" s="45" t="str">
        <f>IF(R187="","",HOUR(INDEX(MATCHER!$C$5:$C$504,R187))&amp;":"&amp;IF(MINUTE(INDEX(MATCHER!$C$5:$C$504,R187))&lt;10,"0","")&amp;MINUTE(INDEX(MATCHER!$C$5:$C$504,R187))&amp;" "&amp;INDEX(MATCHER!$H$5:$H$504,R187)&amp;" – "&amp;INDEX(MATCHER!$I$5:$I$504,R187))&amp;IF(S187="",""," | "&amp;HOUR(INDEX(MATCHER!$C$5:$C$504,S187))&amp;":"&amp;IF(MINUTE(INDEX(MATCHER!$C$5:$C$504,S187))&lt;10,"0","")&amp;MINUTE(INDEX(MATCHER!$C$5:$C$504,S187))&amp;" "&amp;INDEX(MATCHER!$H$5:$H$504,S187)&amp;" – "&amp;INDEX(MATCHER!$I$5:$I$504,S187))&amp;IF(T187="",""," | "&amp;HOUR(INDEX(MATCHER!$C$5:$C$504,T187))&amp;":"&amp;IF(MINUTE(INDEX(MATCHER!$C$5:$C$504,T187))&lt;10,"0","")&amp;MINUTE(INDEX(MATCHER!$C$5:$C$504,T187))&amp;" "&amp;INDEX(MATCHER!$H$5:$H$504,T187)&amp;" – "&amp;INDEX(MATCHER!$I$5:$I$504,T187))&amp;IF(AF187="",""," | "&amp;HOUR(INDEX(MATCHER!$C$5:$C$504,AF187))&amp;":"&amp;IF(MINUTE(INDEX(MATCHER!$C$5:$C$504,AF187))&lt;10,"0","")&amp;MINUTE(INDEX(MATCHER!$C$5:$C$504,AF187))&amp;" "&amp;INDEX(MATCHER!$H$5:$H$504,AF187)&amp;" – "&amp;INDEX(MATCHER!$I$5:$I$504,AF187))</f>
        <v>11:15 AIK 2 – Tyresö Handboll 2</v>
      </c>
      <c r="G187" s="45" t="str">
        <f>MID(IF(R187="","",IF(OR(INDEX(MATCHER!$J$5:$J$504,R187)=""),""," / "&amp;INDEX(MATCHER!$J$5:$J$504,R187)))&amp;IF(S187="","",IF(OR(INDEX(MATCHER!$J$5:$J$504,S187)="",INDEX(MATCHER!$J$5:$J$504,S187)=IFERROR(INDEX(MATCHER!$J$5:$J$504,R187),"")),""," / "&amp;INDEX(MATCHER!$J$5:$J$504,S187)))&amp;IF(T187="","",IF(OR(INDEX(MATCHER!$J$5:$J$504,T187)="",INDEX(MATCHER!$J$5:$J$504,T187)=IFERROR(INDEX(MATCHER!$J$5:$J$504,R187),""),INDEX(MATCHER!$J$5:$J$504,T187)=IFERROR(INDEX(MATCHER!$J$5:$J$504,S187),"")),""," / "&amp;INDEX(MATCHER!$J$5:$J$504,T187)))&amp;IF(AF187="","",IF(OR(INDEX(MATCHER!$J$5:$J$504,AF187)="",INDEX(MATCHER!$J$5:$J$504,AF187)=IFERROR(INDEX(MATCHER!$J$5:$J$504,R187),""),INDEX(MATCHER!$J$5:$J$504,AF187)=IFERROR(INDEX(MATCHER!$J$5:$J$504,S187),""),INDEX(MATCHER!$J$5:$J$504,AF187)=IFERROR(INDEX(MATCHER!$J$5:$J$504,T187),"")),""," / "&amp;INDEX(MATCHER!$J$5:$J$504,AF187))),4,1000)</f>
        <v>P12 2</v>
      </c>
      <c r="H187" s="45" t="str">
        <f t="shared" si="43"/>
        <v>P12</v>
      </c>
      <c r="I187" s="46" t="s">
        <v>90</v>
      </c>
      <c r="J187" s="47" t="s">
        <v>117</v>
      </c>
      <c r="K187" s="48"/>
      <c r="L187" s="49"/>
      <c r="M187" s="50" t="str">
        <f>IF(O187&lt;&gt;O186,MAX(1,MIN(AA187,ROUNDUP(SUMPRODUCT(($O$5:$O$546=O187)*($I$5:$I$546="Ja")*($E$5:$E$546-$D$5:$D$546))*24/REGLER!$B$8,0))),"")</f>
        <v/>
      </c>
      <c r="N187" s="50" t="str">
        <f t="shared" si="30"/>
        <v>Klar</v>
      </c>
      <c r="O187" s="15" t="s">
        <v>122</v>
      </c>
      <c r="P187" s="16">
        <v>0.33333333333333298</v>
      </c>
      <c r="Q187" s="16">
        <v>0.55208333333333304</v>
      </c>
      <c r="R187" s="15">
        <f>IFERROR(MATCH(1,INDEX((MATCHER!$B$5:$B$504=A187)*(MATCHER!$D$5:$D$504=C187)*(MATCHER!$K$5:$K$504="Ja")*(MATCHER!$C$5:$C$504&lt;E187)*(MATCHER!$M$5:$M$504&gt;D187),0),0),"")</f>
        <v>61</v>
      </c>
      <c r="S187" s="15" t="str">
        <f>IF(R187="","",IFERROR(MATCH(1,INDEX((MATCHER!$B$5:$B$504=A187)*(MATCHER!$D$5:$D$504=C187)*(MATCHER!$K$5:$K$504="Ja")*(MATCHER!$C$5:$C$504&lt;E187)*(MATCHER!$M$5:$M$504&gt;D187)*(ROW(MATCHER!$A$5:$A$504)-ROW(MATCHER!$A$5)+1&gt;R187),0),0),""))</f>
        <v/>
      </c>
      <c r="T187" s="15" t="str">
        <f>IF(S187="","",IFERROR(MATCH(1,INDEX((MATCHER!$B$5:$B$504=A187)*(MATCHER!$D$5:$D$504=C187)*(MATCHER!$K$5:$K$504="Ja")*(MATCHER!$C$5:$C$504&lt;E187)*(MATCHER!$M$5:$M$504&gt;D187)*(ROW(MATCHER!$A$5:$A$504)-ROW(MATCHER!$A$5)+1&gt;S187),0),0),""))</f>
        <v/>
      </c>
      <c r="U187" s="15">
        <f t="shared" si="31"/>
        <v>0</v>
      </c>
      <c r="V187" s="15">
        <f>IF(OR(I187&lt;&gt;"Ja",J187=""),"",COUNTIFS($O$5:O187,O187,$U$5:U187,1))</f>
        <v>1</v>
      </c>
      <c r="W187" s="15" t="str">
        <f t="shared" si="32"/>
        <v>2026-11-14 | Tallbackaskolan|1</v>
      </c>
      <c r="X187" s="16" t="str">
        <f t="shared" si="33"/>
        <v/>
      </c>
      <c r="Y187" s="15">
        <f>IF(OR(I187&lt;&gt;"Ja",J187=""),0,IF(COUNTIFS($O$5:O187,O187,$I$5:I187,"Ja",$J$5:J187,"&lt;&gt;")=1,1,0))</f>
        <v>0</v>
      </c>
      <c r="Z187" s="15">
        <f>IF(OR(I187&lt;&gt;"Ja",J187=""),0,IF(COUNTIFS(O187:$O$546,O187,I187:$I$546,"Ja",J187:$J$546,"&lt;&gt;")=1,1,0))</f>
        <v>0</v>
      </c>
      <c r="AA187" s="15">
        <f t="shared" si="44"/>
        <v>1</v>
      </c>
      <c r="AB187" s="15" t="str">
        <f>IF(U187&lt;&gt;1,"",COUNTIF($U$5:U187,1))</f>
        <v/>
      </c>
      <c r="AC187" s="15" t="str">
        <f t="shared" si="34"/>
        <v/>
      </c>
      <c r="AD187" s="15" t="str">
        <f t="shared" si="35"/>
        <v>Vanligt café</v>
      </c>
      <c r="AE187" s="15" t="str">
        <f t="shared" si="36"/>
        <v/>
      </c>
      <c r="AF187" t="str">
        <f>IF(T187="","",IFERROR(MATCH(1,INDEX((MATCHER!$B$5:$B$504=A187)*(MATCHER!$D$5:$D$504=C187)*(MATCHER!$K$5:$K$504="Ja")*(MATCHER!$C$5:$C$504&lt;E187)*(MATCHER!$M$5:$M$504&gt;D187)*(ROW(MATCHER!$A$5:$A$504)-ROW(MATCHER!$A$5)+1&gt;T187),0),0),""))</f>
        <v/>
      </c>
    </row>
    <row r="188" spans="1:32" ht="26">
      <c r="A188" s="42">
        <v>46340</v>
      </c>
      <c r="B188" s="43" t="s">
        <v>85</v>
      </c>
      <c r="C188" s="43" t="s">
        <v>110</v>
      </c>
      <c r="D188" s="44">
        <v>0.5</v>
      </c>
      <c r="E188" s="44">
        <v>0.52083333333333304</v>
      </c>
      <c r="F188" s="45" t="str">
        <f>IF(R188="","",HOUR(INDEX(MATCHER!$C$5:$C$504,R188))&amp;":"&amp;IF(MINUTE(INDEX(MATCHER!$C$5:$C$504,R188))&lt;10,"0","")&amp;MINUTE(INDEX(MATCHER!$C$5:$C$504,R188))&amp;" "&amp;INDEX(MATCHER!$H$5:$H$504,R188)&amp;" – "&amp;INDEX(MATCHER!$I$5:$I$504,R188))&amp;IF(S188="",""," | "&amp;HOUR(INDEX(MATCHER!$C$5:$C$504,S188))&amp;":"&amp;IF(MINUTE(INDEX(MATCHER!$C$5:$C$504,S188))&lt;10,"0","")&amp;MINUTE(INDEX(MATCHER!$C$5:$C$504,S188))&amp;" "&amp;INDEX(MATCHER!$H$5:$H$504,S188)&amp;" – "&amp;INDEX(MATCHER!$I$5:$I$504,S188))&amp;IF(T188="",""," | "&amp;HOUR(INDEX(MATCHER!$C$5:$C$504,T188))&amp;":"&amp;IF(MINUTE(INDEX(MATCHER!$C$5:$C$504,T188))&lt;10,"0","")&amp;MINUTE(INDEX(MATCHER!$C$5:$C$504,T188))&amp;" "&amp;INDEX(MATCHER!$H$5:$H$504,T188)&amp;" – "&amp;INDEX(MATCHER!$I$5:$I$504,T188))&amp;IF(AF188="",""," | "&amp;HOUR(INDEX(MATCHER!$C$5:$C$504,AF188))&amp;":"&amp;IF(MINUTE(INDEX(MATCHER!$C$5:$C$504,AF188))&lt;10,"0","")&amp;MINUTE(INDEX(MATCHER!$C$5:$C$504,AF188))&amp;" "&amp;INDEX(MATCHER!$H$5:$H$504,AF188)&amp;" – "&amp;INDEX(MATCHER!$I$5:$I$504,AF188))</f>
        <v>12:15 Sannadals SK Vit – Skuru IK 2</v>
      </c>
      <c r="G188" s="45" t="str">
        <f>MID(IF(R188="","",IF(OR(INDEX(MATCHER!$J$5:$J$504,R188)=""),""," / "&amp;INDEX(MATCHER!$J$5:$J$504,R188)))&amp;IF(S188="","",IF(OR(INDEX(MATCHER!$J$5:$J$504,S188)="",INDEX(MATCHER!$J$5:$J$504,S188)=IFERROR(INDEX(MATCHER!$J$5:$J$504,R188),"")),""," / "&amp;INDEX(MATCHER!$J$5:$J$504,S188)))&amp;IF(T188="","",IF(OR(INDEX(MATCHER!$J$5:$J$504,T188)="",INDEX(MATCHER!$J$5:$J$504,T188)=IFERROR(INDEX(MATCHER!$J$5:$J$504,R188),""),INDEX(MATCHER!$J$5:$J$504,T188)=IFERROR(INDEX(MATCHER!$J$5:$J$504,S188),"")),""," / "&amp;INDEX(MATCHER!$J$5:$J$504,T188)))&amp;IF(AF188="","",IF(OR(INDEX(MATCHER!$J$5:$J$504,AF188)="",INDEX(MATCHER!$J$5:$J$504,AF188)=IFERROR(INDEX(MATCHER!$J$5:$J$504,R188),""),INDEX(MATCHER!$J$5:$J$504,AF188)=IFERROR(INDEX(MATCHER!$J$5:$J$504,S188),""),INDEX(MATCHER!$J$5:$J$504,AF188)=IFERROR(INDEX(MATCHER!$J$5:$J$504,T188),"")),""," / "&amp;INDEX(MATCHER!$J$5:$J$504,AF188))),4,1000)</f>
        <v/>
      </c>
      <c r="H188" s="45" t="str">
        <f t="shared" si="43"/>
        <v>P12</v>
      </c>
      <c r="I188" s="46" t="s">
        <v>90</v>
      </c>
      <c r="J188" s="47" t="s">
        <v>117</v>
      </c>
      <c r="K188" s="48"/>
      <c r="L188" s="49"/>
      <c r="M188" s="50" t="str">
        <f>IF(O188&lt;&gt;O187,MAX(1,MIN(AA188,ROUNDUP(SUMPRODUCT(($O$5:$O$546=O188)*($I$5:$I$546="Ja")*($E$5:$E$546-$D$5:$D$546))*24/REGLER!$B$8,0))),"")</f>
        <v/>
      </c>
      <c r="N188" s="50" t="str">
        <f t="shared" si="30"/>
        <v>Klar</v>
      </c>
      <c r="O188" s="15" t="s">
        <v>122</v>
      </c>
      <c r="P188" s="16">
        <v>0.33333333333333298</v>
      </c>
      <c r="Q188" s="16">
        <v>0.55208333333333304</v>
      </c>
      <c r="R188" s="15">
        <f>IFERROR(MATCH(1,INDEX((MATCHER!$B$5:$B$504=A188)*(MATCHER!$D$5:$D$504=C188)*(MATCHER!$K$5:$K$504="Ja")*(MATCHER!$C$5:$C$504&lt;E188)*(MATCHER!$M$5:$M$504&gt;D188),0),0),"")</f>
        <v>62</v>
      </c>
      <c r="S188" s="15" t="str">
        <f>IF(R188="","",IFERROR(MATCH(1,INDEX((MATCHER!$B$5:$B$504=A188)*(MATCHER!$D$5:$D$504=C188)*(MATCHER!$K$5:$K$504="Ja")*(MATCHER!$C$5:$C$504&lt;E188)*(MATCHER!$M$5:$M$504&gt;D188)*(ROW(MATCHER!$A$5:$A$504)-ROW(MATCHER!$A$5)+1&gt;R188),0),0),""))</f>
        <v/>
      </c>
      <c r="T188" s="15" t="str">
        <f>IF(S188="","",IFERROR(MATCH(1,INDEX((MATCHER!$B$5:$B$504=A188)*(MATCHER!$D$5:$D$504=C188)*(MATCHER!$K$5:$K$504="Ja")*(MATCHER!$C$5:$C$504&lt;E188)*(MATCHER!$M$5:$M$504&gt;D188)*(ROW(MATCHER!$A$5:$A$504)-ROW(MATCHER!$A$5)+1&gt;S188),0),0),""))</f>
        <v/>
      </c>
      <c r="U188" s="15">
        <f t="shared" si="31"/>
        <v>0</v>
      </c>
      <c r="V188" s="15">
        <f>IF(OR(I188&lt;&gt;"Ja",J188=""),"",COUNTIFS($O$5:O188,O188,$U$5:U188,1))</f>
        <v>1</v>
      </c>
      <c r="W188" s="15" t="str">
        <f t="shared" si="32"/>
        <v>2026-11-14 | Tallbackaskolan|1</v>
      </c>
      <c r="X188" s="16" t="str">
        <f t="shared" si="33"/>
        <v/>
      </c>
      <c r="Y188" s="15">
        <f>IF(OR(I188&lt;&gt;"Ja",J188=""),0,IF(COUNTIFS($O$5:O188,O188,$I$5:I188,"Ja",$J$5:J188,"&lt;&gt;")=1,1,0))</f>
        <v>0</v>
      </c>
      <c r="Z188" s="15">
        <f>IF(OR(I188&lt;&gt;"Ja",J188=""),0,IF(COUNTIFS(O188:$O$546,O188,I188:$I$546,"Ja",J188:$J$546,"&lt;&gt;")=1,1,0))</f>
        <v>0</v>
      </c>
      <c r="AA188" s="15">
        <f t="shared" si="44"/>
        <v>1</v>
      </c>
      <c r="AB188" s="15" t="str">
        <f>IF(U188&lt;&gt;1,"",COUNTIF($U$5:U188,1))</f>
        <v/>
      </c>
      <c r="AC188" s="15" t="str">
        <f t="shared" si="34"/>
        <v/>
      </c>
      <c r="AD188" s="15" t="str">
        <f t="shared" si="35"/>
        <v>Vanligt café</v>
      </c>
      <c r="AE188" s="15" t="str">
        <f t="shared" si="36"/>
        <v/>
      </c>
      <c r="AF188" t="str">
        <f>IF(T188="","",IFERROR(MATCH(1,INDEX((MATCHER!$B$5:$B$504=A188)*(MATCHER!$D$5:$D$504=C188)*(MATCHER!$K$5:$K$504="Ja")*(MATCHER!$C$5:$C$504&lt;E188)*(MATCHER!$M$5:$M$504&gt;D188)*(ROW(MATCHER!$A$5:$A$504)-ROW(MATCHER!$A$5)+1&gt;T188),0),0),""))</f>
        <v/>
      </c>
    </row>
    <row r="189" spans="1:32" ht="26">
      <c r="A189" s="42">
        <v>46340</v>
      </c>
      <c r="B189" s="43" t="s">
        <v>85</v>
      </c>
      <c r="C189" s="43" t="s">
        <v>110</v>
      </c>
      <c r="D189" s="44">
        <v>0.52083333333333304</v>
      </c>
      <c r="E189" s="44">
        <v>0.54166666666666696</v>
      </c>
      <c r="F189" s="45" t="str">
        <f>IF(R189="","",HOUR(INDEX(MATCHER!$C$5:$C$504,R189))&amp;":"&amp;IF(MINUTE(INDEX(MATCHER!$C$5:$C$504,R189))&lt;10,"0","")&amp;MINUTE(INDEX(MATCHER!$C$5:$C$504,R189))&amp;" "&amp;INDEX(MATCHER!$H$5:$H$504,R189)&amp;" – "&amp;INDEX(MATCHER!$I$5:$I$504,R189))&amp;IF(S189="",""," | "&amp;HOUR(INDEX(MATCHER!$C$5:$C$504,S189))&amp;":"&amp;IF(MINUTE(INDEX(MATCHER!$C$5:$C$504,S189))&lt;10,"0","")&amp;MINUTE(INDEX(MATCHER!$C$5:$C$504,S189))&amp;" "&amp;INDEX(MATCHER!$H$5:$H$504,S189)&amp;" – "&amp;INDEX(MATCHER!$I$5:$I$504,S189))&amp;IF(T189="",""," | "&amp;HOUR(INDEX(MATCHER!$C$5:$C$504,T189))&amp;":"&amp;IF(MINUTE(INDEX(MATCHER!$C$5:$C$504,T189))&lt;10,"0","")&amp;MINUTE(INDEX(MATCHER!$C$5:$C$504,T189))&amp;" "&amp;INDEX(MATCHER!$H$5:$H$504,T189)&amp;" – "&amp;INDEX(MATCHER!$I$5:$I$504,T189))&amp;IF(AF189="",""," | "&amp;HOUR(INDEX(MATCHER!$C$5:$C$504,AF189))&amp;":"&amp;IF(MINUTE(INDEX(MATCHER!$C$5:$C$504,AF189))&lt;10,"0","")&amp;MINUTE(INDEX(MATCHER!$C$5:$C$504,AF189))&amp;" "&amp;INDEX(MATCHER!$H$5:$H$504,AF189)&amp;" – "&amp;INDEX(MATCHER!$I$5:$I$504,AF189))</f>
        <v>12:15 Sannadals SK Vit – Skuru IK 2</v>
      </c>
      <c r="G189" s="45" t="str">
        <f>MID(IF(R189="","",IF(OR(INDEX(MATCHER!$J$5:$J$504,R189)=""),""," / "&amp;INDEX(MATCHER!$J$5:$J$504,R189)))&amp;IF(S189="","",IF(OR(INDEX(MATCHER!$J$5:$J$504,S189)="",INDEX(MATCHER!$J$5:$J$504,S189)=IFERROR(INDEX(MATCHER!$J$5:$J$504,R189),"")),""," / "&amp;INDEX(MATCHER!$J$5:$J$504,S189)))&amp;IF(T189="","",IF(OR(INDEX(MATCHER!$J$5:$J$504,T189)="",INDEX(MATCHER!$J$5:$J$504,T189)=IFERROR(INDEX(MATCHER!$J$5:$J$504,R189),""),INDEX(MATCHER!$J$5:$J$504,T189)=IFERROR(INDEX(MATCHER!$J$5:$J$504,S189),"")),""," / "&amp;INDEX(MATCHER!$J$5:$J$504,T189)))&amp;IF(AF189="","",IF(OR(INDEX(MATCHER!$J$5:$J$504,AF189)="",INDEX(MATCHER!$J$5:$J$504,AF189)=IFERROR(INDEX(MATCHER!$J$5:$J$504,R189),""),INDEX(MATCHER!$J$5:$J$504,AF189)=IFERROR(INDEX(MATCHER!$J$5:$J$504,S189),""),INDEX(MATCHER!$J$5:$J$504,AF189)=IFERROR(INDEX(MATCHER!$J$5:$J$504,T189),"")),""," / "&amp;INDEX(MATCHER!$J$5:$J$504,AF189))),4,1000)</f>
        <v/>
      </c>
      <c r="H189" s="45" t="str">
        <f t="shared" si="43"/>
        <v>P12</v>
      </c>
      <c r="I189" s="46" t="s">
        <v>90</v>
      </c>
      <c r="J189" s="47" t="s">
        <v>117</v>
      </c>
      <c r="K189" s="48"/>
      <c r="L189" s="49"/>
      <c r="M189" s="50" t="str">
        <f>IF(O189&lt;&gt;O188,MAX(1,MIN(AA189,ROUNDUP(SUMPRODUCT(($O$5:$O$546=O189)*($I$5:$I$546="Ja")*($E$5:$E$546-$D$5:$D$546))*24/REGLER!$B$8,0))),"")</f>
        <v/>
      </c>
      <c r="N189" s="50" t="str">
        <f t="shared" si="30"/>
        <v>Klar</v>
      </c>
      <c r="O189" s="15" t="s">
        <v>122</v>
      </c>
      <c r="P189" s="16">
        <v>0.33333333333333298</v>
      </c>
      <c r="Q189" s="16">
        <v>0.55208333333333304</v>
      </c>
      <c r="R189" s="15">
        <f>IFERROR(MATCH(1,INDEX((MATCHER!$B$5:$B$504=A189)*(MATCHER!$D$5:$D$504=C189)*(MATCHER!$K$5:$K$504="Ja")*(MATCHER!$C$5:$C$504&lt;E189)*(MATCHER!$M$5:$M$504&gt;D189),0),0),"")</f>
        <v>62</v>
      </c>
      <c r="S189" s="15" t="str">
        <f>IF(R189="","",IFERROR(MATCH(1,INDEX((MATCHER!$B$5:$B$504=A189)*(MATCHER!$D$5:$D$504=C189)*(MATCHER!$K$5:$K$504="Ja")*(MATCHER!$C$5:$C$504&lt;E189)*(MATCHER!$M$5:$M$504&gt;D189)*(ROW(MATCHER!$A$5:$A$504)-ROW(MATCHER!$A$5)+1&gt;R189),0),0),""))</f>
        <v/>
      </c>
      <c r="T189" s="15" t="str">
        <f>IF(S189="","",IFERROR(MATCH(1,INDEX((MATCHER!$B$5:$B$504=A189)*(MATCHER!$D$5:$D$504=C189)*(MATCHER!$K$5:$K$504="Ja")*(MATCHER!$C$5:$C$504&lt;E189)*(MATCHER!$M$5:$M$504&gt;D189)*(ROW(MATCHER!$A$5:$A$504)-ROW(MATCHER!$A$5)+1&gt;S189),0),0),""))</f>
        <v/>
      </c>
      <c r="U189" s="15">
        <f t="shared" si="31"/>
        <v>0</v>
      </c>
      <c r="V189" s="15">
        <f>IF(OR(I189&lt;&gt;"Ja",J189=""),"",COUNTIFS($O$5:O189,O189,$U$5:U189,1))</f>
        <v>1</v>
      </c>
      <c r="W189" s="15" t="str">
        <f t="shared" si="32"/>
        <v>2026-11-14 | Tallbackaskolan|1</v>
      </c>
      <c r="X189" s="16" t="str">
        <f t="shared" si="33"/>
        <v/>
      </c>
      <c r="Y189" s="15">
        <f>IF(OR(I189&lt;&gt;"Ja",J189=""),0,IF(COUNTIFS($O$5:O189,O189,$I$5:I189,"Ja",$J$5:J189,"&lt;&gt;")=1,1,0))</f>
        <v>0</v>
      </c>
      <c r="Z189" s="15">
        <f>IF(OR(I189&lt;&gt;"Ja",J189=""),0,IF(COUNTIFS(O189:$O$546,O189,I189:$I$546,"Ja",J189:$J$546,"&lt;&gt;")=1,1,0))</f>
        <v>0</v>
      </c>
      <c r="AA189" s="15">
        <f t="shared" si="44"/>
        <v>1</v>
      </c>
      <c r="AB189" s="15" t="str">
        <f>IF(U189&lt;&gt;1,"",COUNTIF($U$5:U189,1))</f>
        <v/>
      </c>
      <c r="AC189" s="15" t="str">
        <f t="shared" si="34"/>
        <v/>
      </c>
      <c r="AD189" s="15" t="str">
        <f t="shared" si="35"/>
        <v>Vanligt café</v>
      </c>
      <c r="AE189" s="15" t="str">
        <f t="shared" si="36"/>
        <v/>
      </c>
      <c r="AF189" t="str">
        <f>IF(T189="","",IFERROR(MATCH(1,INDEX((MATCHER!$B$5:$B$504=A189)*(MATCHER!$D$5:$D$504=C189)*(MATCHER!$K$5:$K$504="Ja")*(MATCHER!$C$5:$C$504&lt;E189)*(MATCHER!$M$5:$M$504&gt;D189)*(ROW(MATCHER!$A$5:$A$504)-ROW(MATCHER!$A$5)+1&gt;T189),0),0),""))</f>
        <v/>
      </c>
    </row>
    <row r="190" spans="1:32" ht="26.5" thickBot="1">
      <c r="A190" s="52">
        <v>46340</v>
      </c>
      <c r="B190" s="53" t="s">
        <v>85</v>
      </c>
      <c r="C190" s="53" t="s">
        <v>110</v>
      </c>
      <c r="D190" s="54">
        <v>0.54166666666666696</v>
      </c>
      <c r="E190" s="54">
        <v>0.55208333333333304</v>
      </c>
      <c r="F190" s="55" t="str">
        <f>IF(R190="","",HOUR(INDEX(MATCHER!$C$5:$C$504,R190))&amp;":"&amp;IF(MINUTE(INDEX(MATCHER!$C$5:$C$504,R190))&lt;10,"0","")&amp;MINUTE(INDEX(MATCHER!$C$5:$C$504,R190))&amp;" "&amp;INDEX(MATCHER!$H$5:$H$504,R190)&amp;" – "&amp;INDEX(MATCHER!$I$5:$I$504,R190))&amp;IF(S190="",""," | "&amp;HOUR(INDEX(MATCHER!$C$5:$C$504,S190))&amp;":"&amp;IF(MINUTE(INDEX(MATCHER!$C$5:$C$504,S190))&lt;10,"0","")&amp;MINUTE(INDEX(MATCHER!$C$5:$C$504,S190))&amp;" "&amp;INDEX(MATCHER!$H$5:$H$504,S190)&amp;" – "&amp;INDEX(MATCHER!$I$5:$I$504,S190))&amp;IF(T190="",""," | "&amp;HOUR(INDEX(MATCHER!$C$5:$C$504,T190))&amp;":"&amp;IF(MINUTE(INDEX(MATCHER!$C$5:$C$504,T190))&lt;10,"0","")&amp;MINUTE(INDEX(MATCHER!$C$5:$C$504,T190))&amp;" "&amp;INDEX(MATCHER!$H$5:$H$504,T190)&amp;" – "&amp;INDEX(MATCHER!$I$5:$I$504,T190))&amp;IF(AF190="",""," | "&amp;HOUR(INDEX(MATCHER!$C$5:$C$504,AF190))&amp;":"&amp;IF(MINUTE(INDEX(MATCHER!$C$5:$C$504,AF190))&lt;10,"0","")&amp;MINUTE(INDEX(MATCHER!$C$5:$C$504,AF190))&amp;" "&amp;INDEX(MATCHER!$H$5:$H$504,AF190)&amp;" – "&amp;INDEX(MATCHER!$I$5:$I$504,AF190))</f>
        <v/>
      </c>
      <c r="G190" s="55" t="str">
        <f>MID(IF(R190="","",IF(OR(INDEX(MATCHER!$J$5:$J$504,R190)=""),""," / "&amp;INDEX(MATCHER!$J$5:$J$504,R190)))&amp;IF(S190="","",IF(OR(INDEX(MATCHER!$J$5:$J$504,S190)="",INDEX(MATCHER!$J$5:$J$504,S190)=IFERROR(INDEX(MATCHER!$J$5:$J$504,R190),"")),""," / "&amp;INDEX(MATCHER!$J$5:$J$504,S190)))&amp;IF(T190="","",IF(OR(INDEX(MATCHER!$J$5:$J$504,T190)="",INDEX(MATCHER!$J$5:$J$504,T190)=IFERROR(INDEX(MATCHER!$J$5:$J$504,R190),""),INDEX(MATCHER!$J$5:$J$504,T190)=IFERROR(INDEX(MATCHER!$J$5:$J$504,S190),"")),""," / "&amp;INDEX(MATCHER!$J$5:$J$504,T190)))&amp;IF(AF190="","",IF(OR(INDEX(MATCHER!$J$5:$J$504,AF190)="",INDEX(MATCHER!$J$5:$J$504,AF190)=IFERROR(INDEX(MATCHER!$J$5:$J$504,R190),""),INDEX(MATCHER!$J$5:$J$504,AF190)=IFERROR(INDEX(MATCHER!$J$5:$J$504,S190),""),INDEX(MATCHER!$J$5:$J$504,AF190)=IFERROR(INDEX(MATCHER!$J$5:$J$504,T190),"")),""," / "&amp;INDEX(MATCHER!$J$5:$J$504,AF190))),4,1000)</f>
        <v/>
      </c>
      <c r="H190" s="55" t="str">
        <f t="shared" si="43"/>
        <v>P12</v>
      </c>
      <c r="I190" s="56" t="s">
        <v>90</v>
      </c>
      <c r="J190" s="57" t="s">
        <v>117</v>
      </c>
      <c r="K190" s="58"/>
      <c r="L190" s="59"/>
      <c r="M190" s="60" t="str">
        <f>IF(O190&lt;&gt;O189,MAX(1,MIN(AA190,ROUNDUP(SUMPRODUCT(($O$5:$O$546=O190)*($I$5:$I$546="Ja")*($E$5:$E$546-$D$5:$D$546))*24/REGLER!$B$8,0))),"")</f>
        <v/>
      </c>
      <c r="N190" s="60" t="str">
        <f t="shared" si="30"/>
        <v>Klar</v>
      </c>
      <c r="O190" s="15" t="s">
        <v>122</v>
      </c>
      <c r="P190" s="16">
        <v>0.33333333333333298</v>
      </c>
      <c r="Q190" s="16">
        <v>0.55208333333333304</v>
      </c>
      <c r="R190" s="15" t="str">
        <f>IFERROR(MATCH(1,INDEX((MATCHER!$B$5:$B$504=A190)*(MATCHER!$D$5:$D$504=C190)*(MATCHER!$K$5:$K$504="Ja")*(MATCHER!$C$5:$C$504&lt;E190)*(MATCHER!$M$5:$M$504&gt;D190),0),0),"")</f>
        <v/>
      </c>
      <c r="S190" s="15" t="str">
        <f>IF(R190="","",IFERROR(MATCH(1,INDEX((MATCHER!$B$5:$B$504=A190)*(MATCHER!$D$5:$D$504=C190)*(MATCHER!$K$5:$K$504="Ja")*(MATCHER!$C$5:$C$504&lt;E190)*(MATCHER!$M$5:$M$504&gt;D190)*(ROW(MATCHER!$A$5:$A$504)-ROW(MATCHER!$A$5)+1&gt;R190),0),0),""))</f>
        <v/>
      </c>
      <c r="T190" s="15" t="str">
        <f>IF(S190="","",IFERROR(MATCH(1,INDEX((MATCHER!$B$5:$B$504=A190)*(MATCHER!$D$5:$D$504=C190)*(MATCHER!$K$5:$K$504="Ja")*(MATCHER!$C$5:$C$504&lt;E190)*(MATCHER!$M$5:$M$504&gt;D190)*(ROW(MATCHER!$A$5:$A$504)-ROW(MATCHER!$A$5)+1&gt;S190),0),0),""))</f>
        <v/>
      </c>
      <c r="U190" s="15">
        <f t="shared" si="31"/>
        <v>0</v>
      </c>
      <c r="V190" s="15">
        <f>IF(OR(I190&lt;&gt;"Ja",J190=""),"",COUNTIFS($O$5:O190,O190,$U$5:U190,1))</f>
        <v>1</v>
      </c>
      <c r="W190" s="15" t="str">
        <f t="shared" si="32"/>
        <v>2026-11-14 | Tallbackaskolan|1</v>
      </c>
      <c r="X190" s="16">
        <f t="shared" si="33"/>
        <v>0.55208333333333304</v>
      </c>
      <c r="Y190" s="15">
        <f>IF(OR(I190&lt;&gt;"Ja",J190=""),0,IF(COUNTIFS($O$5:O190,O190,$I$5:I190,"Ja",$J$5:J190,"&lt;&gt;")=1,1,0))</f>
        <v>0</v>
      </c>
      <c r="Z190" s="15">
        <f>IF(OR(I190&lt;&gt;"Ja",J190=""),0,IF(COUNTIFS(O190:$O$546,O190,I190:$I$546,"Ja",J190:$J$546,"&lt;&gt;")=1,1,0))</f>
        <v>1</v>
      </c>
      <c r="AA190" s="15">
        <f t="shared" si="44"/>
        <v>1</v>
      </c>
      <c r="AB190" s="15" t="str">
        <f>IF(U190&lt;&gt;1,"",COUNTIF($U$5:U190,1))</f>
        <v/>
      </c>
      <c r="AC190" s="15" t="str">
        <f t="shared" si="34"/>
        <v>2026-11-14 | Tallbackaskolan|1</v>
      </c>
      <c r="AD190" s="15" t="str">
        <f t="shared" si="35"/>
        <v>Vanligt café</v>
      </c>
      <c r="AE190" s="15" t="str">
        <f t="shared" si="36"/>
        <v/>
      </c>
      <c r="AF190" t="str">
        <f>IF(T190="","",IFERROR(MATCH(1,INDEX((MATCHER!$B$5:$B$504=A190)*(MATCHER!$D$5:$D$504=C190)*(MATCHER!$K$5:$K$504="Ja")*(MATCHER!$C$5:$C$504&lt;E190)*(MATCHER!$M$5:$M$504&gt;D190)*(ROW(MATCHER!$A$5:$A$504)-ROW(MATCHER!$A$5)+1&gt;T190),0),0),""))</f>
        <v/>
      </c>
    </row>
    <row r="191" spans="1:32" ht="26">
      <c r="A191" s="61">
        <v>46340</v>
      </c>
      <c r="B191" s="62" t="s">
        <v>85</v>
      </c>
      <c r="C191" s="62" t="s">
        <v>86</v>
      </c>
      <c r="D191" s="63">
        <v>0.33333333333333298</v>
      </c>
      <c r="E191" s="63">
        <v>0.35416666666666702</v>
      </c>
      <c r="F191" s="64" t="str">
        <f>IF(R191="","",HOUR(INDEX(MATCHER!$C$5:$C$504,R191))&amp;":"&amp;IF(MINUTE(INDEX(MATCHER!$C$5:$C$504,R191))&lt;10,"0","")&amp;MINUTE(INDEX(MATCHER!$C$5:$C$504,R191))&amp;" "&amp;INDEX(MATCHER!$H$5:$H$504,R191)&amp;" – "&amp;INDEX(MATCHER!$I$5:$I$504,R191))&amp;IF(S191="",""," | "&amp;HOUR(INDEX(MATCHER!$C$5:$C$504,S191))&amp;":"&amp;IF(MINUTE(INDEX(MATCHER!$C$5:$C$504,S191))&lt;10,"0","")&amp;MINUTE(INDEX(MATCHER!$C$5:$C$504,S191))&amp;" "&amp;INDEX(MATCHER!$H$5:$H$504,S191)&amp;" – "&amp;INDEX(MATCHER!$I$5:$I$504,S191))&amp;IF(T191="",""," | "&amp;HOUR(INDEX(MATCHER!$C$5:$C$504,T191))&amp;":"&amp;IF(MINUTE(INDEX(MATCHER!$C$5:$C$504,T191))&lt;10,"0","")&amp;MINUTE(INDEX(MATCHER!$C$5:$C$504,T191))&amp;" "&amp;INDEX(MATCHER!$H$5:$H$504,T191)&amp;" – "&amp;INDEX(MATCHER!$I$5:$I$504,T191))&amp;IF(AF191="",""," | "&amp;HOUR(INDEX(MATCHER!$C$5:$C$504,AF191))&amp;":"&amp;IF(MINUTE(INDEX(MATCHER!$C$5:$C$504,AF191))&lt;10,"0","")&amp;MINUTE(INDEX(MATCHER!$C$5:$C$504,AF191))&amp;" "&amp;INDEX(MATCHER!$H$5:$H$504,AF191)&amp;" – "&amp;INDEX(MATCHER!$I$5:$I$504,AF191))</f>
        <v/>
      </c>
      <c r="G191" s="64" t="str">
        <f>MID(IF(R191="","",IF(OR(INDEX(MATCHER!$J$5:$J$504,R191)=""),""," / "&amp;INDEX(MATCHER!$J$5:$J$504,R191)))&amp;IF(S191="","",IF(OR(INDEX(MATCHER!$J$5:$J$504,S191)="",INDEX(MATCHER!$J$5:$J$504,S191)=IFERROR(INDEX(MATCHER!$J$5:$J$504,R191),"")),""," / "&amp;INDEX(MATCHER!$J$5:$J$504,S191)))&amp;IF(T191="","",IF(OR(INDEX(MATCHER!$J$5:$J$504,T191)="",INDEX(MATCHER!$J$5:$J$504,T191)=IFERROR(INDEX(MATCHER!$J$5:$J$504,R191),""),INDEX(MATCHER!$J$5:$J$504,T191)=IFERROR(INDEX(MATCHER!$J$5:$J$504,S191),"")),""," / "&amp;INDEX(MATCHER!$J$5:$J$504,T191)))&amp;IF(AF191="","",IF(OR(INDEX(MATCHER!$J$5:$J$504,AF191)="",INDEX(MATCHER!$J$5:$J$504,AF191)=IFERROR(INDEX(MATCHER!$J$5:$J$504,R191),""),INDEX(MATCHER!$J$5:$J$504,AF191)=IFERROR(INDEX(MATCHER!$J$5:$J$504,S191),""),INDEX(MATCHER!$J$5:$J$504,AF191)=IFERROR(INDEX(MATCHER!$J$5:$J$504,T191),"")),""," / "&amp;INDEX(MATCHER!$J$5:$J$504,AF191))),4,1000)</f>
        <v/>
      </c>
      <c r="H191" s="64" t="str">
        <f>MID(IF(COUNTIFS(MATCHER!$B$5:$B$504,A191,MATCHER!$D$5:$D$504,C191,MATCHER!$J$5:$J$504,REGLER!$I$6,MATCHER!$K$5:$K$504,"Ja")+COUNTIFS(MATCHER!$B$5:$B$504,A191,MATCHER!$D$5:$D$504,C191,MATCHER!$J$5:$J$504,REGLER!$I$6&amp;" 2",MATCHER!$K$5:$K$504,"Ja")&gt;0,", "&amp;REGLER!$I$6,"")&amp;IF(COUNTIFS(MATCHER!$B$5:$B$504,A191,MATCHER!$D$5:$D$504,C191,MATCHER!$J$5:$J$504,REGLER!$I$7,MATCHER!$K$5:$K$504,"Ja")+COUNTIFS(MATCHER!$B$5:$B$504,A191,MATCHER!$D$5:$D$504,C191,MATCHER!$J$5:$J$504,REGLER!$I$7&amp;" 2",MATCHER!$K$5:$K$504,"Ja")&gt;0,", "&amp;REGLER!$I$7,"")&amp;IF(COUNTIFS(MATCHER!$B$5:$B$504,A191,MATCHER!$D$5:$D$504,C191,MATCHER!$J$5:$J$504,REGLER!$I$8,MATCHER!$K$5:$K$504,"Ja")+COUNTIFS(MATCHER!$B$5:$B$504,A191,MATCHER!$D$5:$D$504,C191,MATCHER!$J$5:$J$504,REGLER!$I$8&amp;" 2",MATCHER!$K$5:$K$504,"Ja")&gt;0,", "&amp;REGLER!$I$8,"")&amp;IF(COUNTIFS(MATCHER!$B$5:$B$504,A191,MATCHER!$D$5:$D$504,C191,MATCHER!$J$5:$J$504,REGLER!$I$9,MATCHER!$K$5:$K$504,"Ja")+COUNTIFS(MATCHER!$B$5:$B$504,A191,MATCHER!$D$5:$D$504,C191,MATCHER!$J$5:$J$504,REGLER!$I$9&amp;" 2",MATCHER!$K$5:$K$504,"Ja")&gt;0,", "&amp;REGLER!$I$9,"")&amp;IF(COUNTIFS(MATCHER!$B$5:$B$504,A191,MATCHER!$D$5:$D$504,C191,MATCHER!$J$5:$J$504,REGLER!$I$10,MATCHER!$K$5:$K$504,"Ja")+COUNTIFS(MATCHER!$B$5:$B$504,A191,MATCHER!$D$5:$D$504,C191,MATCHER!$J$5:$J$504,REGLER!$I$10&amp;" 2",MATCHER!$K$5:$K$504,"Ja")&gt;0,", "&amp;REGLER!$I$10,"")&amp;IF(COUNTIFS(MATCHER!$B$5:$B$504,A191,MATCHER!$D$5:$D$504,C191,MATCHER!$J$5:$J$504,REGLER!$I$11,MATCHER!$K$5:$K$504,"Ja")+COUNTIFS(MATCHER!$B$5:$B$504,A191,MATCHER!$D$5:$D$504,C191,MATCHER!$J$5:$J$504,REGLER!$I$11&amp;" 2",MATCHER!$K$5:$K$504,"Ja")&gt;0,", "&amp;REGLER!$I$11,"")&amp;IF(COUNTIFS(MATCHER!$B$5:$B$504,A191,MATCHER!$D$5:$D$504,C191,MATCHER!$J$5:$J$504,REGLER!$I$12,MATCHER!$K$5:$K$504,"Ja")+COUNTIFS(MATCHER!$B$5:$B$504,A191,MATCHER!$D$5:$D$504,C191,MATCHER!$J$5:$J$504,REGLER!$I$12&amp;" 2",MATCHER!$K$5:$K$504,"Ja")&gt;0,", "&amp;REGLER!$I$12,"")&amp;IF(COUNTIFS(MATCHER!$B$5:$B$504,A191,MATCHER!$D$5:$D$504,C191,MATCHER!$J$5:$J$504,REGLER!$I$13,MATCHER!$K$5:$K$504,"Ja")+COUNTIFS(MATCHER!$B$5:$B$504,A191,MATCHER!$D$5:$D$504,C191,MATCHER!$J$5:$J$504,REGLER!$I$13&amp;" 2",MATCHER!$K$5:$K$504,"Ja")&gt;0,", "&amp;REGLER!$I$13,"")&amp;IF(COUNTIFS(MATCHER!$B$5:$B$504,A191,MATCHER!$D$5:$D$504,C191,MATCHER!$J$5:$J$504,REGLER!$I$14,MATCHER!$K$5:$K$504,"Ja")+COUNTIFS(MATCHER!$B$5:$B$504,A191,MATCHER!$D$5:$D$504,C191,MATCHER!$J$5:$J$504,REGLER!$I$14&amp;" 2",MATCHER!$K$5:$K$504,"Ja")&gt;0,", "&amp;REGLER!$I$14,"")&amp;IF(COUNTIFS(MATCHER!$B$5:$B$504,A191,MATCHER!$D$5:$D$504,C191,MATCHER!$J$5:$J$504,REGLER!$I$15,MATCHER!$K$5:$K$504,"Ja")+COUNTIFS(MATCHER!$B$5:$B$504,A191,MATCHER!$D$5:$D$504,C191,MATCHER!$J$5:$J$504,REGLER!$I$15&amp;" 2",MATCHER!$K$5:$K$504,"Ja")&gt;0,", "&amp;REGLER!$I$15,"")&amp;IF(COUNTIFS(MATCHER!$B$5:$B$504,A191,MATCHER!$D$5:$D$504,C191,MATCHER!$J$5:$J$504,REGLER!$I$16,MATCHER!$K$5:$K$504,"Ja")+COUNTIFS(MATCHER!$B$5:$B$504,A191,MATCHER!$D$5:$D$504,C191,MATCHER!$J$5:$J$504,REGLER!$I$16&amp;" 2",MATCHER!$K$5:$K$504,"Ja")&gt;0,", "&amp;REGLER!$I$16,"")&amp;IF(COUNTIFS(MATCHER!$B$5:$B$504,A191,MATCHER!$D$5:$D$504,C191,MATCHER!$J$5:$J$504,REGLER!$I$17,MATCHER!$K$5:$K$504,"Ja")+COUNTIFS(MATCHER!$B$5:$B$504,A191,MATCHER!$D$5:$D$504,C191,MATCHER!$J$5:$J$504,REGLER!$I$17&amp;" 2",MATCHER!$K$5:$K$504,"Ja")&gt;0,", "&amp;REGLER!$I$17,"")&amp;IF(COUNTIFS(MATCHER!$B$5:$B$504,A191,MATCHER!$D$5:$D$504,C191,MATCHER!$J$5:$J$504,REGLER!$I$18,MATCHER!$K$5:$K$504,"Ja")+COUNTIFS(MATCHER!$B$5:$B$504,A191,MATCHER!$D$5:$D$504,C191,MATCHER!$J$5:$J$504,REGLER!$I$18&amp;" 2",MATCHER!$K$5:$K$504,"Ja")&gt;0,", "&amp;REGLER!$I$18,"")&amp;IF(COUNTIFS(MATCHER!$B$5:$B$504,A191,MATCHER!$D$5:$D$504,C191,MATCHER!$J$5:$J$504,REGLER!$I$19,MATCHER!$K$5:$K$504,"Ja")+COUNTIFS(MATCHER!$B$5:$B$504,A191,MATCHER!$D$5:$D$504,C191,MATCHER!$J$5:$J$504,REGLER!$I$19&amp;" 2",MATCHER!$K$5:$K$504,"Ja")&gt;0,", "&amp;REGLER!$I$19,"")&amp;IF(COUNTIFS(MATCHER!$B$5:$B$504,A191,MATCHER!$D$5:$D$504,C191,MATCHER!$J$5:$J$504,REGLER!$I$20,MATCHER!$K$5:$K$504,"Ja")+COUNTIFS(MATCHER!$B$5:$B$504,A191,MATCHER!$D$5:$D$504,C191,MATCHER!$J$5:$J$504,REGLER!$I$20&amp;" 2",MATCHER!$K$5:$K$504,"Ja")&gt;0,", "&amp;REGLER!$I$20,"")&amp;IF(COUNTIFS(MATCHER!$B$5:$B$504,A191,MATCHER!$D$5:$D$504,C191,MATCHER!$J$5:$J$504,REGLER!$I$21,MATCHER!$K$5:$K$504,"Ja")+COUNTIFS(MATCHER!$B$5:$B$504,A191,MATCHER!$D$5:$D$504,C191,MATCHER!$J$5:$J$504,REGLER!$I$21&amp;" 2",MATCHER!$K$5:$K$504,"Ja")&gt;0,", "&amp;REGLER!$I$21,"")&amp;IF(COUNTIFS(MATCHER!$B$5:$B$504,A191,MATCHER!$D$5:$D$504,C191,MATCHER!$J$5:$J$504,REGLER!$I$22,MATCHER!$K$5:$K$504,"Ja")+COUNTIFS(MATCHER!$B$5:$B$504,A191,MATCHER!$D$5:$D$504,C191,MATCHER!$J$5:$J$504,REGLER!$I$22&amp;" 2",MATCHER!$K$5:$K$504,"Ja")&gt;0,", "&amp;REGLER!$I$22,"")&amp;IF(COUNTIFS(MATCHER!$B$5:$B$504,A191,MATCHER!$D$5:$D$504,C191,MATCHER!$J$5:$J$504,REGLER!$I$23,MATCHER!$K$5:$K$504,"Ja")+COUNTIFS(MATCHER!$B$5:$B$504,A191,MATCHER!$D$5:$D$504,C191,MATCHER!$J$5:$J$504,REGLER!$I$23&amp;" 2",MATCHER!$K$5:$K$504,"Ja")&gt;0,", "&amp;REGLER!$I$23,"")&amp;IF(COUNTIFS(MATCHER!$B$5:$B$504,A191,MATCHER!$D$5:$D$504,C191,MATCHER!$J$5:$J$504,REGLER!$I$24,MATCHER!$K$5:$K$504,"Ja")+COUNTIFS(MATCHER!$B$5:$B$504,A191,MATCHER!$D$5:$D$504,C191,MATCHER!$J$5:$J$504,REGLER!$I$24&amp;" 2",MATCHER!$K$5:$K$504,"Ja")&gt;0,", "&amp;REGLER!$I$24,"")&amp;IF(COUNTIFS(MATCHER!$B$5:$B$504,A191,MATCHER!$D$5:$D$504,C191,MATCHER!$J$5:$J$504,REGLER!$I$25,MATCHER!$K$5:$K$504,"Ja")+COUNTIFS(MATCHER!$B$5:$B$504,A191,MATCHER!$D$5:$D$504,C191,MATCHER!$J$5:$J$504,REGLER!$I$25&amp;" 2",MATCHER!$K$5:$K$504,"Ja")&gt;0,", "&amp;REGLER!$I$25,"")&amp;IF(COUNTIFS(MATCHER!$B$5:$B$504,A191,MATCHER!$D$5:$D$504,C191,MATCHER!$J$5:$J$504,REGLER!$I$26,MATCHER!$K$5:$K$504,"Ja")+COUNTIFS(MATCHER!$B$5:$B$504,A191,MATCHER!$D$5:$D$504,C191,MATCHER!$J$5:$J$504,REGLER!$I$26&amp;" 2",MATCHER!$K$5:$K$504,"Ja")&gt;0,", "&amp;REGLER!$I$26,""),3,1000)</f>
        <v>F13</v>
      </c>
      <c r="I191" s="65" t="s">
        <v>90</v>
      </c>
      <c r="J191" s="66" t="s">
        <v>97</v>
      </c>
      <c r="K191" s="67" t="s">
        <v>88</v>
      </c>
      <c r="L191" s="68"/>
      <c r="M191" s="69">
        <f>IF(O191&lt;&gt;O190,MAX(1,MIN(AA191,ROUNDUP(SUMPRODUCT(($O$5:$O$546=O191)*($I$5:$I$546="Ja")*($E$5:$E$546-$D$5:$D$546))*24/REGLER!$B$8,0))),"")</f>
        <v>1</v>
      </c>
      <c r="N191" s="70" t="str">
        <f t="shared" si="30"/>
        <v>Klar</v>
      </c>
      <c r="O191" s="15" t="s">
        <v>123</v>
      </c>
      <c r="P191" s="16">
        <v>0.33333333333333298</v>
      </c>
      <c r="Q191" s="16">
        <v>0.625</v>
      </c>
      <c r="R191" s="15" t="str">
        <f>IFERROR(MATCH(1,INDEX((MATCHER!$B$5:$B$504=A191)*(MATCHER!$D$5:$D$504=C191)*(MATCHER!$K$5:$K$504="Ja")*(MATCHER!$C$5:$C$504&lt;E191)*(MATCHER!$M$5:$M$504&gt;D191),0),0),"")</f>
        <v/>
      </c>
      <c r="S191" s="15" t="str">
        <f>IF(R191="","",IFERROR(MATCH(1,INDEX((MATCHER!$B$5:$B$504=A191)*(MATCHER!$D$5:$D$504=C191)*(MATCHER!$K$5:$K$504="Ja")*(MATCHER!$C$5:$C$504&lt;E191)*(MATCHER!$M$5:$M$504&gt;D191)*(ROW(MATCHER!$A$5:$A$504)-ROW(MATCHER!$A$5)+1&gt;R191),0),0),""))</f>
        <v/>
      </c>
      <c r="T191" s="15" t="str">
        <f>IF(S191="","",IFERROR(MATCH(1,INDEX((MATCHER!$B$5:$B$504=A191)*(MATCHER!$D$5:$D$504=C191)*(MATCHER!$K$5:$K$504="Ja")*(MATCHER!$C$5:$C$504&lt;E191)*(MATCHER!$M$5:$M$504&gt;D191)*(ROW(MATCHER!$A$5:$A$504)-ROW(MATCHER!$A$5)+1&gt;S191),0),0),""))</f>
        <v/>
      </c>
      <c r="U191" s="15">
        <f t="shared" si="31"/>
        <v>1</v>
      </c>
      <c r="V191" s="15">
        <f>IF(OR(I191&lt;&gt;"Ja",J191=""),"",COUNTIFS($O$5:O191,O191,$U$5:U191,1))</f>
        <v>1</v>
      </c>
      <c r="W191" s="15" t="str">
        <f t="shared" si="32"/>
        <v>2026-11-14 | Ulriksdalshallen|1</v>
      </c>
      <c r="X191" s="16" t="str">
        <f t="shared" si="33"/>
        <v/>
      </c>
      <c r="Y191" s="15">
        <f>IF(OR(I191&lt;&gt;"Ja",J191=""),0,IF(COUNTIFS($O$5:O191,O191,$I$5:I191,"Ja",$J$5:J191,"&lt;&gt;")=1,1,0))</f>
        <v>1</v>
      </c>
      <c r="Z191" s="15">
        <f>IF(OR(I191&lt;&gt;"Ja",J191=""),0,IF(COUNTIFS(O191:$O$546,O191,I191:$I$546,"Ja",J191:$J$546,"&lt;&gt;")=1,1,0))</f>
        <v>0</v>
      </c>
      <c r="AA191" s="15">
        <f>IF(COUNTIFS(MATCHER!$B$5:$B$504,A191,MATCHER!$D$5:$D$504,C191,MATCHER!$J$5:$J$504,REGLER!$I$6,MATCHER!$K$5:$K$504,"Ja")+COUNTIFS(MATCHER!$B$5:$B$504,A191,MATCHER!$D$5:$D$504,C191,MATCHER!$J$5:$J$504,REGLER!$I$6&amp;" 2",MATCHER!$K$5:$K$504,"Ja")&gt;0,1,0)+IF(COUNTIFS(MATCHER!$B$5:$B$504,A191,MATCHER!$D$5:$D$504,C191,MATCHER!$J$5:$J$504,REGLER!$I$7,MATCHER!$K$5:$K$504,"Ja")+COUNTIFS(MATCHER!$B$5:$B$504,A191,MATCHER!$D$5:$D$504,C191,MATCHER!$J$5:$J$504,REGLER!$I$7&amp;" 2",MATCHER!$K$5:$K$504,"Ja")&gt;0,1,0)+IF(COUNTIFS(MATCHER!$B$5:$B$504,A191,MATCHER!$D$5:$D$504,C191,MATCHER!$J$5:$J$504,REGLER!$I$8,MATCHER!$K$5:$K$504,"Ja")+COUNTIFS(MATCHER!$B$5:$B$504,A191,MATCHER!$D$5:$D$504,C191,MATCHER!$J$5:$J$504,REGLER!$I$8&amp;" 2",MATCHER!$K$5:$K$504,"Ja")&gt;0,1,0)+IF(COUNTIFS(MATCHER!$B$5:$B$504,A191,MATCHER!$D$5:$D$504,C191,MATCHER!$J$5:$J$504,REGLER!$I$9,MATCHER!$K$5:$K$504,"Ja")+COUNTIFS(MATCHER!$B$5:$B$504,A191,MATCHER!$D$5:$D$504,C191,MATCHER!$J$5:$J$504,REGLER!$I$9&amp;" 2",MATCHER!$K$5:$K$504,"Ja")&gt;0,1,0)+IF(COUNTIFS(MATCHER!$B$5:$B$504,A191,MATCHER!$D$5:$D$504,C191,MATCHER!$J$5:$J$504,REGLER!$I$10,MATCHER!$K$5:$K$504,"Ja")+COUNTIFS(MATCHER!$B$5:$B$504,A191,MATCHER!$D$5:$D$504,C191,MATCHER!$J$5:$J$504,REGLER!$I$10&amp;" 2",MATCHER!$K$5:$K$504,"Ja")&gt;0,1,0)+IF(COUNTIFS(MATCHER!$B$5:$B$504,A191,MATCHER!$D$5:$D$504,C191,MATCHER!$J$5:$J$504,REGLER!$I$11,MATCHER!$K$5:$K$504,"Ja")+COUNTIFS(MATCHER!$B$5:$B$504,A191,MATCHER!$D$5:$D$504,C191,MATCHER!$J$5:$J$504,REGLER!$I$11&amp;" 2",MATCHER!$K$5:$K$504,"Ja")&gt;0,1,0)+IF(COUNTIFS(MATCHER!$B$5:$B$504,A191,MATCHER!$D$5:$D$504,C191,MATCHER!$J$5:$J$504,REGLER!$I$12,MATCHER!$K$5:$K$504,"Ja")+COUNTIFS(MATCHER!$B$5:$B$504,A191,MATCHER!$D$5:$D$504,C191,MATCHER!$J$5:$J$504,REGLER!$I$12&amp;" 2",MATCHER!$K$5:$K$504,"Ja")&gt;0,1,0)+IF(COUNTIFS(MATCHER!$B$5:$B$504,A191,MATCHER!$D$5:$D$504,C191,MATCHER!$J$5:$J$504,REGLER!$I$13,MATCHER!$K$5:$K$504,"Ja")+COUNTIFS(MATCHER!$B$5:$B$504,A191,MATCHER!$D$5:$D$504,C191,MATCHER!$J$5:$J$504,REGLER!$I$13&amp;" 2",MATCHER!$K$5:$K$504,"Ja")&gt;0,1,0)+IF(COUNTIFS(MATCHER!$B$5:$B$504,A191,MATCHER!$D$5:$D$504,C191,MATCHER!$J$5:$J$504,REGLER!$I$14,MATCHER!$K$5:$K$504,"Ja")+COUNTIFS(MATCHER!$B$5:$B$504,A191,MATCHER!$D$5:$D$504,C191,MATCHER!$J$5:$J$504,REGLER!$I$14&amp;" 2",MATCHER!$K$5:$K$504,"Ja")&gt;0,1,0)+IF(COUNTIFS(MATCHER!$B$5:$B$504,A191,MATCHER!$D$5:$D$504,C191,MATCHER!$J$5:$J$504,REGLER!$I$15,MATCHER!$K$5:$K$504,"Ja")+COUNTIFS(MATCHER!$B$5:$B$504,A191,MATCHER!$D$5:$D$504,C191,MATCHER!$J$5:$J$504,REGLER!$I$15&amp;" 2",MATCHER!$K$5:$K$504,"Ja")&gt;0,1,0)+IF(COUNTIFS(MATCHER!$B$5:$B$504,A191,MATCHER!$D$5:$D$504,C191,MATCHER!$J$5:$J$504,REGLER!$I$16,MATCHER!$K$5:$K$504,"Ja")+COUNTIFS(MATCHER!$B$5:$B$504,A191,MATCHER!$D$5:$D$504,C191,MATCHER!$J$5:$J$504,REGLER!$I$16&amp;" 2",MATCHER!$K$5:$K$504,"Ja")&gt;0,1,0)+IF(COUNTIFS(MATCHER!$B$5:$B$504,A191,MATCHER!$D$5:$D$504,C191,MATCHER!$J$5:$J$504,REGLER!$I$17,MATCHER!$K$5:$K$504,"Ja")+COUNTIFS(MATCHER!$B$5:$B$504,A191,MATCHER!$D$5:$D$504,C191,MATCHER!$J$5:$J$504,REGLER!$I$17&amp;" 2",MATCHER!$K$5:$K$504,"Ja")&gt;0,1,0)+IF(COUNTIFS(MATCHER!$B$5:$B$504,A191,MATCHER!$D$5:$D$504,C191,MATCHER!$J$5:$J$504,REGLER!$I$18,MATCHER!$K$5:$K$504,"Ja")+COUNTIFS(MATCHER!$B$5:$B$504,A191,MATCHER!$D$5:$D$504,C191,MATCHER!$J$5:$J$504,REGLER!$I$18&amp;" 2",MATCHER!$K$5:$K$504,"Ja")&gt;0,1,0)+IF(COUNTIFS(MATCHER!$B$5:$B$504,A191,MATCHER!$D$5:$D$504,C191,MATCHER!$J$5:$J$504,REGLER!$I$19,MATCHER!$K$5:$K$504,"Ja")+COUNTIFS(MATCHER!$B$5:$B$504,A191,MATCHER!$D$5:$D$504,C191,MATCHER!$J$5:$J$504,REGLER!$I$19&amp;" 2",MATCHER!$K$5:$K$504,"Ja")&gt;0,1,0)+IF(COUNTIFS(MATCHER!$B$5:$B$504,A191,MATCHER!$D$5:$D$504,C191,MATCHER!$J$5:$J$504,REGLER!$I$20,MATCHER!$K$5:$K$504,"Ja")+COUNTIFS(MATCHER!$B$5:$B$504,A191,MATCHER!$D$5:$D$504,C191,MATCHER!$J$5:$J$504,REGLER!$I$20&amp;" 2",MATCHER!$K$5:$K$504,"Ja")&gt;0,1,0)+IF(COUNTIFS(MATCHER!$B$5:$B$504,A191,MATCHER!$D$5:$D$504,C191,MATCHER!$J$5:$J$504,REGLER!$I$21,MATCHER!$K$5:$K$504,"Ja")+COUNTIFS(MATCHER!$B$5:$B$504,A191,MATCHER!$D$5:$D$504,C191,MATCHER!$J$5:$J$504,REGLER!$I$21&amp;" 2",MATCHER!$K$5:$K$504,"Ja")&gt;0,1,0)+IF(COUNTIFS(MATCHER!$B$5:$B$504,A191,MATCHER!$D$5:$D$504,C191,MATCHER!$J$5:$J$504,REGLER!$I$22,MATCHER!$K$5:$K$504,"Ja")+COUNTIFS(MATCHER!$B$5:$B$504,A191,MATCHER!$D$5:$D$504,C191,MATCHER!$J$5:$J$504,REGLER!$I$22&amp;" 2",MATCHER!$K$5:$K$504,"Ja")&gt;0,1,0)+IF(COUNTIFS(MATCHER!$B$5:$B$504,A191,MATCHER!$D$5:$D$504,C191,MATCHER!$J$5:$J$504,REGLER!$I$23,MATCHER!$K$5:$K$504,"Ja")+COUNTIFS(MATCHER!$B$5:$B$504,A191,MATCHER!$D$5:$D$504,C191,MATCHER!$J$5:$J$504,REGLER!$I$23&amp;" 2",MATCHER!$K$5:$K$504,"Ja")&gt;0,1,0)+IF(COUNTIFS(MATCHER!$B$5:$B$504,A191,MATCHER!$D$5:$D$504,C191,MATCHER!$J$5:$J$504,REGLER!$I$24,MATCHER!$K$5:$K$504,"Ja")+COUNTIFS(MATCHER!$B$5:$B$504,A191,MATCHER!$D$5:$D$504,C191,MATCHER!$J$5:$J$504,REGLER!$I$24&amp;" 2",MATCHER!$K$5:$K$504,"Ja")&gt;0,1,0)+IF(COUNTIFS(MATCHER!$B$5:$B$504,A191,MATCHER!$D$5:$D$504,C191,MATCHER!$J$5:$J$504,REGLER!$I$25,MATCHER!$K$5:$K$504,"Ja")+COUNTIFS(MATCHER!$B$5:$B$504,A191,MATCHER!$D$5:$D$504,C191,MATCHER!$J$5:$J$504,REGLER!$I$25&amp;" 2",MATCHER!$K$5:$K$504,"Ja")&gt;0,1,0)+IF(COUNTIFS(MATCHER!$B$5:$B$504,A191,MATCHER!$D$5:$D$504,C191,MATCHER!$J$5:$J$504,REGLER!$I$26,MATCHER!$K$5:$K$504,"Ja")+COUNTIFS(MATCHER!$B$5:$B$504,A191,MATCHER!$D$5:$D$504,C191,MATCHER!$J$5:$J$504,REGLER!$I$26&amp;" 2",MATCHER!$K$5:$K$504,"Ja")&gt;0,1,0)</f>
        <v>1</v>
      </c>
      <c r="AB191" s="15">
        <f>IF(U191&lt;&gt;1,"",COUNTIF($U$5:U191,1))</f>
        <v>21</v>
      </c>
      <c r="AC191" s="15" t="str">
        <f t="shared" si="34"/>
        <v/>
      </c>
      <c r="AD191" s="15" t="str">
        <f t="shared" si="35"/>
        <v>Vanligt café</v>
      </c>
      <c r="AE191" s="15">
        <f t="shared" si="36"/>
        <v>7.0000000000000089</v>
      </c>
      <c r="AF191" t="str">
        <f>IF(T191="","",IFERROR(MATCH(1,INDEX((MATCHER!$B$5:$B$504=A191)*(MATCHER!$D$5:$D$504=C191)*(MATCHER!$K$5:$K$504="Ja")*(MATCHER!$C$5:$C$504&lt;E191)*(MATCHER!$M$5:$M$504&gt;D191)*(ROW(MATCHER!$A$5:$A$504)-ROW(MATCHER!$A$5)+1&gt;T191),0),0),""))</f>
        <v/>
      </c>
    </row>
    <row r="192" spans="1:32" ht="26">
      <c r="A192" s="42">
        <v>46340</v>
      </c>
      <c r="B192" s="43" t="s">
        <v>85</v>
      </c>
      <c r="C192" s="43" t="s">
        <v>86</v>
      </c>
      <c r="D192" s="44">
        <v>0.35416666666666702</v>
      </c>
      <c r="E192" s="44">
        <v>0.375</v>
      </c>
      <c r="F192" s="45" t="str">
        <f>IF(R192="","",HOUR(INDEX(MATCHER!$C$5:$C$504,R192))&amp;":"&amp;IF(MINUTE(INDEX(MATCHER!$C$5:$C$504,R192))&lt;10,"0","")&amp;MINUTE(INDEX(MATCHER!$C$5:$C$504,R192))&amp;" "&amp;INDEX(MATCHER!$H$5:$H$504,R192)&amp;" – "&amp;INDEX(MATCHER!$I$5:$I$504,R192))&amp;IF(S192="",""," | "&amp;HOUR(INDEX(MATCHER!$C$5:$C$504,S192))&amp;":"&amp;IF(MINUTE(INDEX(MATCHER!$C$5:$C$504,S192))&lt;10,"0","")&amp;MINUTE(INDEX(MATCHER!$C$5:$C$504,S192))&amp;" "&amp;INDEX(MATCHER!$H$5:$H$504,S192)&amp;" – "&amp;INDEX(MATCHER!$I$5:$I$504,S192))&amp;IF(T192="",""," | "&amp;HOUR(INDEX(MATCHER!$C$5:$C$504,T192))&amp;":"&amp;IF(MINUTE(INDEX(MATCHER!$C$5:$C$504,T192))&lt;10,"0","")&amp;MINUTE(INDEX(MATCHER!$C$5:$C$504,T192))&amp;" "&amp;INDEX(MATCHER!$H$5:$H$504,T192)&amp;" – "&amp;INDEX(MATCHER!$I$5:$I$504,T192))&amp;IF(AF192="",""," | "&amp;HOUR(INDEX(MATCHER!$C$5:$C$504,AF192))&amp;":"&amp;IF(MINUTE(INDEX(MATCHER!$C$5:$C$504,AF192))&lt;10,"0","")&amp;MINUTE(INDEX(MATCHER!$C$5:$C$504,AF192))&amp;" "&amp;INDEX(MATCHER!$H$5:$H$504,AF192)&amp;" – "&amp;INDEX(MATCHER!$I$5:$I$504,AF192))</f>
        <v/>
      </c>
      <c r="G192" s="45" t="str">
        <f>MID(IF(R192="","",IF(OR(INDEX(MATCHER!$J$5:$J$504,R192)=""),""," / "&amp;INDEX(MATCHER!$J$5:$J$504,R192)))&amp;IF(S192="","",IF(OR(INDEX(MATCHER!$J$5:$J$504,S192)="",INDEX(MATCHER!$J$5:$J$504,S192)=IFERROR(INDEX(MATCHER!$J$5:$J$504,R192),"")),""," / "&amp;INDEX(MATCHER!$J$5:$J$504,S192)))&amp;IF(T192="","",IF(OR(INDEX(MATCHER!$J$5:$J$504,T192)="",INDEX(MATCHER!$J$5:$J$504,T192)=IFERROR(INDEX(MATCHER!$J$5:$J$504,R192),""),INDEX(MATCHER!$J$5:$J$504,T192)=IFERROR(INDEX(MATCHER!$J$5:$J$504,S192),"")),""," / "&amp;INDEX(MATCHER!$J$5:$J$504,T192)))&amp;IF(AF192="","",IF(OR(INDEX(MATCHER!$J$5:$J$504,AF192)="",INDEX(MATCHER!$J$5:$J$504,AF192)=IFERROR(INDEX(MATCHER!$J$5:$J$504,R192),""),INDEX(MATCHER!$J$5:$J$504,AF192)=IFERROR(INDEX(MATCHER!$J$5:$J$504,S192),""),INDEX(MATCHER!$J$5:$J$504,AF192)=IFERROR(INDEX(MATCHER!$J$5:$J$504,T192),"")),""," / "&amp;INDEX(MATCHER!$J$5:$J$504,AF192))),4,1000)</f>
        <v/>
      </c>
      <c r="H192" s="45" t="str">
        <f t="shared" ref="H192:H204" si="45">H191</f>
        <v>F13</v>
      </c>
      <c r="I192" s="46" t="s">
        <v>90</v>
      </c>
      <c r="J192" s="47" t="s">
        <v>97</v>
      </c>
      <c r="K192" s="48"/>
      <c r="L192" s="49"/>
      <c r="M192" s="50" t="str">
        <f>IF(O192&lt;&gt;O191,MAX(1,MIN(AA192,ROUNDUP(SUMPRODUCT(($O$5:$O$546=O192)*($I$5:$I$546="Ja")*($E$5:$E$546-$D$5:$D$546))*24/REGLER!$B$8,0))),"")</f>
        <v/>
      </c>
      <c r="N192" s="50" t="str">
        <f t="shared" si="30"/>
        <v>Klar</v>
      </c>
      <c r="O192" s="15" t="s">
        <v>123</v>
      </c>
      <c r="P192" s="16">
        <v>0.33333333333333298</v>
      </c>
      <c r="Q192" s="16">
        <v>0.625</v>
      </c>
      <c r="R192" s="15" t="str">
        <f>IFERROR(MATCH(1,INDEX((MATCHER!$B$5:$B$504=A192)*(MATCHER!$D$5:$D$504=C192)*(MATCHER!$K$5:$K$504="Ja")*(MATCHER!$C$5:$C$504&lt;E192)*(MATCHER!$M$5:$M$504&gt;D192),0),0),"")</f>
        <v/>
      </c>
      <c r="S192" s="15" t="str">
        <f>IF(R192="","",IFERROR(MATCH(1,INDEX((MATCHER!$B$5:$B$504=A192)*(MATCHER!$D$5:$D$504=C192)*(MATCHER!$K$5:$K$504="Ja")*(MATCHER!$C$5:$C$504&lt;E192)*(MATCHER!$M$5:$M$504&gt;D192)*(ROW(MATCHER!$A$5:$A$504)-ROW(MATCHER!$A$5)+1&gt;R192),0),0),""))</f>
        <v/>
      </c>
      <c r="T192" s="15" t="str">
        <f>IF(S192="","",IFERROR(MATCH(1,INDEX((MATCHER!$B$5:$B$504=A192)*(MATCHER!$D$5:$D$504=C192)*(MATCHER!$K$5:$K$504="Ja")*(MATCHER!$C$5:$C$504&lt;E192)*(MATCHER!$M$5:$M$504&gt;D192)*(ROW(MATCHER!$A$5:$A$504)-ROW(MATCHER!$A$5)+1&gt;S192),0),0),""))</f>
        <v/>
      </c>
      <c r="U192" s="15">
        <f t="shared" si="31"/>
        <v>0</v>
      </c>
      <c r="V192" s="15">
        <f>IF(OR(I192&lt;&gt;"Ja",J192=""),"",COUNTIFS($O$5:O192,O192,$U$5:U192,1))</f>
        <v>1</v>
      </c>
      <c r="W192" s="15" t="str">
        <f t="shared" si="32"/>
        <v>2026-11-14 | Ulriksdalshallen|1</v>
      </c>
      <c r="X192" s="16" t="str">
        <f t="shared" si="33"/>
        <v/>
      </c>
      <c r="Y192" s="15">
        <f>IF(OR(I192&lt;&gt;"Ja",J192=""),0,IF(COUNTIFS($O$5:O192,O192,$I$5:I192,"Ja",$J$5:J192,"&lt;&gt;")=1,1,0))</f>
        <v>0</v>
      </c>
      <c r="Z192" s="15">
        <f>IF(OR(I192&lt;&gt;"Ja",J192=""),0,IF(COUNTIFS(O192:$O$546,O192,I192:$I$546,"Ja",J192:$J$546,"&lt;&gt;")=1,1,0))</f>
        <v>0</v>
      </c>
      <c r="AA192" s="15">
        <f t="shared" ref="AA192:AA204" si="46">AA191</f>
        <v>1</v>
      </c>
      <c r="AB192" s="15" t="str">
        <f>IF(U192&lt;&gt;1,"",COUNTIF($U$5:U192,1))</f>
        <v/>
      </c>
      <c r="AC192" s="15" t="str">
        <f t="shared" si="34"/>
        <v/>
      </c>
      <c r="AD192" s="15" t="str">
        <f t="shared" si="35"/>
        <v>Vanligt café</v>
      </c>
      <c r="AE192" s="15" t="str">
        <f t="shared" si="36"/>
        <v/>
      </c>
      <c r="AF192" t="str">
        <f>IF(T192="","",IFERROR(MATCH(1,INDEX((MATCHER!$B$5:$B$504=A192)*(MATCHER!$D$5:$D$504=C192)*(MATCHER!$K$5:$K$504="Ja")*(MATCHER!$C$5:$C$504&lt;E192)*(MATCHER!$M$5:$M$504&gt;D192)*(ROW(MATCHER!$A$5:$A$504)-ROW(MATCHER!$A$5)+1&gt;T192),0),0),""))</f>
        <v/>
      </c>
    </row>
    <row r="193" spans="1:32" ht="26">
      <c r="A193" s="42">
        <v>46340</v>
      </c>
      <c r="B193" s="43" t="s">
        <v>85</v>
      </c>
      <c r="C193" s="43" t="s">
        <v>86</v>
      </c>
      <c r="D193" s="44">
        <v>0.375</v>
      </c>
      <c r="E193" s="44">
        <v>0.39583333333333298</v>
      </c>
      <c r="F193" s="45" t="str">
        <f>IF(R193="","",HOUR(INDEX(MATCHER!$C$5:$C$504,R193))&amp;":"&amp;IF(MINUTE(INDEX(MATCHER!$C$5:$C$504,R193))&lt;10,"0","")&amp;MINUTE(INDEX(MATCHER!$C$5:$C$504,R193))&amp;" "&amp;INDEX(MATCHER!$H$5:$H$504,R193)&amp;" – "&amp;INDEX(MATCHER!$I$5:$I$504,R193))&amp;IF(S193="",""," | "&amp;HOUR(INDEX(MATCHER!$C$5:$C$504,S193))&amp;":"&amp;IF(MINUTE(INDEX(MATCHER!$C$5:$C$504,S193))&lt;10,"0","")&amp;MINUTE(INDEX(MATCHER!$C$5:$C$504,S193))&amp;" "&amp;INDEX(MATCHER!$H$5:$H$504,S193)&amp;" – "&amp;INDEX(MATCHER!$I$5:$I$504,S193))&amp;IF(T193="",""," | "&amp;HOUR(INDEX(MATCHER!$C$5:$C$504,T193))&amp;":"&amp;IF(MINUTE(INDEX(MATCHER!$C$5:$C$504,T193))&lt;10,"0","")&amp;MINUTE(INDEX(MATCHER!$C$5:$C$504,T193))&amp;" "&amp;INDEX(MATCHER!$H$5:$H$504,T193)&amp;" – "&amp;INDEX(MATCHER!$I$5:$I$504,T193))&amp;IF(AF193="",""," | "&amp;HOUR(INDEX(MATCHER!$C$5:$C$504,AF193))&amp;":"&amp;IF(MINUTE(INDEX(MATCHER!$C$5:$C$504,AF193))&lt;10,"0","")&amp;MINUTE(INDEX(MATCHER!$C$5:$C$504,AF193))&amp;" "&amp;INDEX(MATCHER!$H$5:$H$504,AF193)&amp;" – "&amp;INDEX(MATCHER!$I$5:$I$504,AF193))</f>
        <v>9:00 AIK – Vacant- 37</v>
      </c>
      <c r="G193" s="45" t="str">
        <f>MID(IF(R193="","",IF(OR(INDEX(MATCHER!$J$5:$J$504,R193)=""),""," / "&amp;INDEX(MATCHER!$J$5:$J$504,R193)))&amp;IF(S193="","",IF(OR(INDEX(MATCHER!$J$5:$J$504,S193)="",INDEX(MATCHER!$J$5:$J$504,S193)=IFERROR(INDEX(MATCHER!$J$5:$J$504,R193),"")),""," / "&amp;INDEX(MATCHER!$J$5:$J$504,S193)))&amp;IF(T193="","",IF(OR(INDEX(MATCHER!$J$5:$J$504,T193)="",INDEX(MATCHER!$J$5:$J$504,T193)=IFERROR(INDEX(MATCHER!$J$5:$J$504,R193),""),INDEX(MATCHER!$J$5:$J$504,T193)=IFERROR(INDEX(MATCHER!$J$5:$J$504,S193),"")),""," / "&amp;INDEX(MATCHER!$J$5:$J$504,T193)))&amp;IF(AF193="","",IF(OR(INDEX(MATCHER!$J$5:$J$504,AF193)="",INDEX(MATCHER!$J$5:$J$504,AF193)=IFERROR(INDEX(MATCHER!$J$5:$J$504,R193),""),INDEX(MATCHER!$J$5:$J$504,AF193)=IFERROR(INDEX(MATCHER!$J$5:$J$504,S193),""),INDEX(MATCHER!$J$5:$J$504,AF193)=IFERROR(INDEX(MATCHER!$J$5:$J$504,T193),"")),""," / "&amp;INDEX(MATCHER!$J$5:$J$504,AF193))),4,1000)</f>
        <v>F13</v>
      </c>
      <c r="H193" s="45" t="str">
        <f t="shared" si="45"/>
        <v>F13</v>
      </c>
      <c r="I193" s="46" t="s">
        <v>90</v>
      </c>
      <c r="J193" s="47" t="s">
        <v>97</v>
      </c>
      <c r="K193" s="48"/>
      <c r="L193" s="49"/>
      <c r="M193" s="50" t="str">
        <f>IF(O193&lt;&gt;O192,MAX(1,MIN(AA193,ROUNDUP(SUMPRODUCT(($O$5:$O$546=O193)*($I$5:$I$546="Ja")*($E$5:$E$546-$D$5:$D$546))*24/REGLER!$B$8,0))),"")</f>
        <v/>
      </c>
      <c r="N193" s="50" t="str">
        <f t="shared" si="30"/>
        <v>Klar</v>
      </c>
      <c r="O193" s="15" t="s">
        <v>123</v>
      </c>
      <c r="P193" s="16">
        <v>0.33333333333333298</v>
      </c>
      <c r="Q193" s="16">
        <v>0.625</v>
      </c>
      <c r="R193" s="15">
        <f>IFERROR(MATCH(1,INDEX((MATCHER!$B$5:$B$504=A193)*(MATCHER!$D$5:$D$504=C193)*(MATCHER!$K$5:$K$504="Ja")*(MATCHER!$C$5:$C$504&lt;E193)*(MATCHER!$M$5:$M$504&gt;D193),0),0),"")</f>
        <v>63</v>
      </c>
      <c r="S193" s="15" t="str">
        <f>IF(R193="","",IFERROR(MATCH(1,INDEX((MATCHER!$B$5:$B$504=A193)*(MATCHER!$D$5:$D$504=C193)*(MATCHER!$K$5:$K$504="Ja")*(MATCHER!$C$5:$C$504&lt;E193)*(MATCHER!$M$5:$M$504&gt;D193)*(ROW(MATCHER!$A$5:$A$504)-ROW(MATCHER!$A$5)+1&gt;R193),0),0),""))</f>
        <v/>
      </c>
      <c r="T193" s="15" t="str">
        <f>IF(S193="","",IFERROR(MATCH(1,INDEX((MATCHER!$B$5:$B$504=A193)*(MATCHER!$D$5:$D$504=C193)*(MATCHER!$K$5:$K$504="Ja")*(MATCHER!$C$5:$C$504&lt;E193)*(MATCHER!$M$5:$M$504&gt;D193)*(ROW(MATCHER!$A$5:$A$504)-ROW(MATCHER!$A$5)+1&gt;S193),0),0),""))</f>
        <v/>
      </c>
      <c r="U193" s="15">
        <f t="shared" si="31"/>
        <v>0</v>
      </c>
      <c r="V193" s="15">
        <f>IF(OR(I193&lt;&gt;"Ja",J193=""),"",COUNTIFS($O$5:O193,O193,$U$5:U193,1))</f>
        <v>1</v>
      </c>
      <c r="W193" s="15" t="str">
        <f t="shared" si="32"/>
        <v>2026-11-14 | Ulriksdalshallen|1</v>
      </c>
      <c r="X193" s="16" t="str">
        <f t="shared" si="33"/>
        <v/>
      </c>
      <c r="Y193" s="15">
        <f>IF(OR(I193&lt;&gt;"Ja",J193=""),0,IF(COUNTIFS($O$5:O193,O193,$I$5:I193,"Ja",$J$5:J193,"&lt;&gt;")=1,1,0))</f>
        <v>0</v>
      </c>
      <c r="Z193" s="15">
        <f>IF(OR(I193&lt;&gt;"Ja",J193=""),0,IF(COUNTIFS(O193:$O$546,O193,I193:$I$546,"Ja",J193:$J$546,"&lt;&gt;")=1,1,0))</f>
        <v>0</v>
      </c>
      <c r="AA193" s="15">
        <f t="shared" si="46"/>
        <v>1</v>
      </c>
      <c r="AB193" s="15" t="str">
        <f>IF(U193&lt;&gt;1,"",COUNTIF($U$5:U193,1))</f>
        <v/>
      </c>
      <c r="AC193" s="15" t="str">
        <f t="shared" si="34"/>
        <v/>
      </c>
      <c r="AD193" s="15" t="str">
        <f t="shared" si="35"/>
        <v>Vanligt café</v>
      </c>
      <c r="AE193" s="15" t="str">
        <f t="shared" si="36"/>
        <v/>
      </c>
      <c r="AF193" t="str">
        <f>IF(T193="","",IFERROR(MATCH(1,INDEX((MATCHER!$B$5:$B$504=A193)*(MATCHER!$D$5:$D$504=C193)*(MATCHER!$K$5:$K$504="Ja")*(MATCHER!$C$5:$C$504&lt;E193)*(MATCHER!$M$5:$M$504&gt;D193)*(ROW(MATCHER!$A$5:$A$504)-ROW(MATCHER!$A$5)+1&gt;T193),0),0),""))</f>
        <v/>
      </c>
    </row>
    <row r="194" spans="1:32" ht="26">
      <c r="A194" s="42">
        <v>46340</v>
      </c>
      <c r="B194" s="43" t="s">
        <v>85</v>
      </c>
      <c r="C194" s="43" t="s">
        <v>86</v>
      </c>
      <c r="D194" s="44">
        <v>0.39583333333333298</v>
      </c>
      <c r="E194" s="44">
        <v>0.41666666666666702</v>
      </c>
      <c r="F194" s="45" t="str">
        <f>IF(R194="","",HOUR(INDEX(MATCHER!$C$5:$C$504,R194))&amp;":"&amp;IF(MINUTE(INDEX(MATCHER!$C$5:$C$504,R194))&lt;10,"0","")&amp;MINUTE(INDEX(MATCHER!$C$5:$C$504,R194))&amp;" "&amp;INDEX(MATCHER!$H$5:$H$504,R194)&amp;" – "&amp;INDEX(MATCHER!$I$5:$I$504,R194))&amp;IF(S194="",""," | "&amp;HOUR(INDEX(MATCHER!$C$5:$C$504,S194))&amp;":"&amp;IF(MINUTE(INDEX(MATCHER!$C$5:$C$504,S194))&lt;10,"0","")&amp;MINUTE(INDEX(MATCHER!$C$5:$C$504,S194))&amp;" "&amp;INDEX(MATCHER!$H$5:$H$504,S194)&amp;" – "&amp;INDEX(MATCHER!$I$5:$I$504,S194))&amp;IF(T194="",""," | "&amp;HOUR(INDEX(MATCHER!$C$5:$C$504,T194))&amp;":"&amp;IF(MINUTE(INDEX(MATCHER!$C$5:$C$504,T194))&lt;10,"0","")&amp;MINUTE(INDEX(MATCHER!$C$5:$C$504,T194))&amp;" "&amp;INDEX(MATCHER!$H$5:$H$504,T194)&amp;" – "&amp;INDEX(MATCHER!$I$5:$I$504,T194))&amp;IF(AF194="",""," | "&amp;HOUR(INDEX(MATCHER!$C$5:$C$504,AF194))&amp;":"&amp;IF(MINUTE(INDEX(MATCHER!$C$5:$C$504,AF194))&lt;10,"0","")&amp;MINUTE(INDEX(MATCHER!$C$5:$C$504,AF194))&amp;" "&amp;INDEX(MATCHER!$H$5:$H$504,AF194)&amp;" – "&amp;INDEX(MATCHER!$I$5:$I$504,AF194))</f>
        <v>9:00 AIK – Vacant- 37 | 9:50 Vacant- 37 – Vacant- 37</v>
      </c>
      <c r="G194" s="45" t="str">
        <f>MID(IF(R194="","",IF(OR(INDEX(MATCHER!$J$5:$J$504,R194)=""),""," / "&amp;INDEX(MATCHER!$J$5:$J$504,R194)))&amp;IF(S194="","",IF(OR(INDEX(MATCHER!$J$5:$J$504,S194)="",INDEX(MATCHER!$J$5:$J$504,S194)=IFERROR(INDEX(MATCHER!$J$5:$J$504,R194),"")),""," / "&amp;INDEX(MATCHER!$J$5:$J$504,S194)))&amp;IF(T194="","",IF(OR(INDEX(MATCHER!$J$5:$J$504,T194)="",INDEX(MATCHER!$J$5:$J$504,T194)=IFERROR(INDEX(MATCHER!$J$5:$J$504,R194),""),INDEX(MATCHER!$J$5:$J$504,T194)=IFERROR(INDEX(MATCHER!$J$5:$J$504,S194),"")),""," / "&amp;INDEX(MATCHER!$J$5:$J$504,T194)))&amp;IF(AF194="","",IF(OR(INDEX(MATCHER!$J$5:$J$504,AF194)="",INDEX(MATCHER!$J$5:$J$504,AF194)=IFERROR(INDEX(MATCHER!$J$5:$J$504,R194),""),INDEX(MATCHER!$J$5:$J$504,AF194)=IFERROR(INDEX(MATCHER!$J$5:$J$504,S194),""),INDEX(MATCHER!$J$5:$J$504,AF194)=IFERROR(INDEX(MATCHER!$J$5:$J$504,T194),"")),""," / "&amp;INDEX(MATCHER!$J$5:$J$504,AF194))),4,1000)</f>
        <v>F13</v>
      </c>
      <c r="H194" s="45" t="str">
        <f t="shared" si="45"/>
        <v>F13</v>
      </c>
      <c r="I194" s="46" t="s">
        <v>90</v>
      </c>
      <c r="J194" s="47" t="s">
        <v>97</v>
      </c>
      <c r="K194" s="48"/>
      <c r="L194" s="49"/>
      <c r="M194" s="50" t="str">
        <f>IF(O194&lt;&gt;O193,MAX(1,MIN(AA194,ROUNDUP(SUMPRODUCT(($O$5:$O$546=O194)*($I$5:$I$546="Ja")*($E$5:$E$546-$D$5:$D$546))*24/REGLER!$B$8,0))),"")</f>
        <v/>
      </c>
      <c r="N194" s="50" t="str">
        <f t="shared" si="30"/>
        <v>Klar</v>
      </c>
      <c r="O194" s="15" t="s">
        <v>123</v>
      </c>
      <c r="P194" s="16">
        <v>0.33333333333333298</v>
      </c>
      <c r="Q194" s="16">
        <v>0.625</v>
      </c>
      <c r="R194" s="15">
        <f>IFERROR(MATCH(1,INDEX((MATCHER!$B$5:$B$504=A194)*(MATCHER!$D$5:$D$504=C194)*(MATCHER!$K$5:$K$504="Ja")*(MATCHER!$C$5:$C$504&lt;E194)*(MATCHER!$M$5:$M$504&gt;D194),0),0),"")</f>
        <v>63</v>
      </c>
      <c r="S194" s="15">
        <f>IF(R194="","",IFERROR(MATCH(1,INDEX((MATCHER!$B$5:$B$504=A194)*(MATCHER!$D$5:$D$504=C194)*(MATCHER!$K$5:$K$504="Ja")*(MATCHER!$C$5:$C$504&lt;E194)*(MATCHER!$M$5:$M$504&gt;D194)*(ROW(MATCHER!$A$5:$A$504)-ROW(MATCHER!$A$5)+1&gt;R194),0),0),""))</f>
        <v>64</v>
      </c>
      <c r="T194" s="15" t="str">
        <f>IF(S194="","",IFERROR(MATCH(1,INDEX((MATCHER!$B$5:$B$504=A194)*(MATCHER!$D$5:$D$504=C194)*(MATCHER!$K$5:$K$504="Ja")*(MATCHER!$C$5:$C$504&lt;E194)*(MATCHER!$M$5:$M$504&gt;D194)*(ROW(MATCHER!$A$5:$A$504)-ROW(MATCHER!$A$5)+1&gt;S194),0),0),""))</f>
        <v/>
      </c>
      <c r="U194" s="15">
        <f t="shared" si="31"/>
        <v>0</v>
      </c>
      <c r="V194" s="15">
        <f>IF(OR(I194&lt;&gt;"Ja",J194=""),"",COUNTIFS($O$5:O194,O194,$U$5:U194,1))</f>
        <v>1</v>
      </c>
      <c r="W194" s="15" t="str">
        <f t="shared" si="32"/>
        <v>2026-11-14 | Ulriksdalshallen|1</v>
      </c>
      <c r="X194" s="16" t="str">
        <f t="shared" si="33"/>
        <v/>
      </c>
      <c r="Y194" s="15">
        <f>IF(OR(I194&lt;&gt;"Ja",J194=""),0,IF(COUNTIFS($O$5:O194,O194,$I$5:I194,"Ja",$J$5:J194,"&lt;&gt;")=1,1,0))</f>
        <v>0</v>
      </c>
      <c r="Z194" s="15">
        <f>IF(OR(I194&lt;&gt;"Ja",J194=""),0,IF(COUNTIFS(O194:$O$546,O194,I194:$I$546,"Ja",J194:$J$546,"&lt;&gt;")=1,1,0))</f>
        <v>0</v>
      </c>
      <c r="AA194" s="15">
        <f t="shared" si="46"/>
        <v>1</v>
      </c>
      <c r="AB194" s="15" t="str">
        <f>IF(U194&lt;&gt;1,"",COUNTIF($U$5:U194,1))</f>
        <v/>
      </c>
      <c r="AC194" s="15" t="str">
        <f t="shared" si="34"/>
        <v/>
      </c>
      <c r="AD194" s="15" t="str">
        <f t="shared" si="35"/>
        <v>Vanligt café</v>
      </c>
      <c r="AE194" s="15" t="str">
        <f t="shared" si="36"/>
        <v/>
      </c>
      <c r="AF194" t="str">
        <f>IF(T194="","",IFERROR(MATCH(1,INDEX((MATCHER!$B$5:$B$504=A194)*(MATCHER!$D$5:$D$504=C194)*(MATCHER!$K$5:$K$504="Ja")*(MATCHER!$C$5:$C$504&lt;E194)*(MATCHER!$M$5:$M$504&gt;D194)*(ROW(MATCHER!$A$5:$A$504)-ROW(MATCHER!$A$5)+1&gt;T194),0),0),""))</f>
        <v/>
      </c>
    </row>
    <row r="195" spans="1:32" ht="26">
      <c r="A195" s="42">
        <v>46340</v>
      </c>
      <c r="B195" s="43" t="s">
        <v>85</v>
      </c>
      <c r="C195" s="43" t="s">
        <v>86</v>
      </c>
      <c r="D195" s="44">
        <v>0.41666666666666702</v>
      </c>
      <c r="E195" s="44">
        <v>0.4375</v>
      </c>
      <c r="F195" s="45" t="str">
        <f>IF(R195="","",HOUR(INDEX(MATCHER!$C$5:$C$504,R195))&amp;":"&amp;IF(MINUTE(INDEX(MATCHER!$C$5:$C$504,R195))&lt;10,"0","")&amp;MINUTE(INDEX(MATCHER!$C$5:$C$504,R195))&amp;" "&amp;INDEX(MATCHER!$H$5:$H$504,R195)&amp;" – "&amp;INDEX(MATCHER!$I$5:$I$504,R195))&amp;IF(S195="",""," | "&amp;HOUR(INDEX(MATCHER!$C$5:$C$504,S195))&amp;":"&amp;IF(MINUTE(INDEX(MATCHER!$C$5:$C$504,S195))&lt;10,"0","")&amp;MINUTE(INDEX(MATCHER!$C$5:$C$504,S195))&amp;" "&amp;INDEX(MATCHER!$H$5:$H$504,S195)&amp;" – "&amp;INDEX(MATCHER!$I$5:$I$504,S195))&amp;IF(T195="",""," | "&amp;HOUR(INDEX(MATCHER!$C$5:$C$504,T195))&amp;":"&amp;IF(MINUTE(INDEX(MATCHER!$C$5:$C$504,T195))&lt;10,"0","")&amp;MINUTE(INDEX(MATCHER!$C$5:$C$504,T195))&amp;" "&amp;INDEX(MATCHER!$H$5:$H$504,T195)&amp;" – "&amp;INDEX(MATCHER!$I$5:$I$504,T195))&amp;IF(AF195="",""," | "&amp;HOUR(INDEX(MATCHER!$C$5:$C$504,AF195))&amp;":"&amp;IF(MINUTE(INDEX(MATCHER!$C$5:$C$504,AF195))&lt;10,"0","")&amp;MINUTE(INDEX(MATCHER!$C$5:$C$504,AF195))&amp;" "&amp;INDEX(MATCHER!$H$5:$H$504,AF195)&amp;" – "&amp;INDEX(MATCHER!$I$5:$I$504,AF195))</f>
        <v>9:50 Vacant- 37 – Vacant- 37</v>
      </c>
      <c r="G195" s="45" t="str">
        <f>MID(IF(R195="","",IF(OR(INDEX(MATCHER!$J$5:$J$504,R195)=""),""," / "&amp;INDEX(MATCHER!$J$5:$J$504,R195)))&amp;IF(S195="","",IF(OR(INDEX(MATCHER!$J$5:$J$504,S195)="",INDEX(MATCHER!$J$5:$J$504,S195)=IFERROR(INDEX(MATCHER!$J$5:$J$504,R195),"")),""," / "&amp;INDEX(MATCHER!$J$5:$J$504,S195)))&amp;IF(T195="","",IF(OR(INDEX(MATCHER!$J$5:$J$504,T195)="",INDEX(MATCHER!$J$5:$J$504,T195)=IFERROR(INDEX(MATCHER!$J$5:$J$504,R195),""),INDEX(MATCHER!$J$5:$J$504,T195)=IFERROR(INDEX(MATCHER!$J$5:$J$504,S195),"")),""," / "&amp;INDEX(MATCHER!$J$5:$J$504,T195)))&amp;IF(AF195="","",IF(OR(INDEX(MATCHER!$J$5:$J$504,AF195)="",INDEX(MATCHER!$J$5:$J$504,AF195)=IFERROR(INDEX(MATCHER!$J$5:$J$504,R195),""),INDEX(MATCHER!$J$5:$J$504,AF195)=IFERROR(INDEX(MATCHER!$J$5:$J$504,S195),""),INDEX(MATCHER!$J$5:$J$504,AF195)=IFERROR(INDEX(MATCHER!$J$5:$J$504,T195),"")),""," / "&amp;INDEX(MATCHER!$J$5:$J$504,AF195))),4,1000)</f>
        <v/>
      </c>
      <c r="H195" s="45" t="str">
        <f t="shared" si="45"/>
        <v>F13</v>
      </c>
      <c r="I195" s="46" t="s">
        <v>90</v>
      </c>
      <c r="J195" s="47" t="s">
        <v>97</v>
      </c>
      <c r="K195" s="48"/>
      <c r="L195" s="49"/>
      <c r="M195" s="50" t="str">
        <f>IF(O195&lt;&gt;O194,MAX(1,MIN(AA195,ROUNDUP(SUMPRODUCT(($O$5:$O$546=O195)*($I$5:$I$546="Ja")*($E$5:$E$546-$D$5:$D$546))*24/REGLER!$B$8,0))),"")</f>
        <v/>
      </c>
      <c r="N195" s="50" t="str">
        <f t="shared" si="30"/>
        <v>Klar</v>
      </c>
      <c r="O195" s="15" t="s">
        <v>123</v>
      </c>
      <c r="P195" s="16">
        <v>0.33333333333333298</v>
      </c>
      <c r="Q195" s="16">
        <v>0.625</v>
      </c>
      <c r="R195" s="15">
        <f>IFERROR(MATCH(1,INDEX((MATCHER!$B$5:$B$504=A195)*(MATCHER!$D$5:$D$504=C195)*(MATCHER!$K$5:$K$504="Ja")*(MATCHER!$C$5:$C$504&lt;E195)*(MATCHER!$M$5:$M$504&gt;D195),0),0),"")</f>
        <v>64</v>
      </c>
      <c r="S195" s="15" t="str">
        <f>IF(R195="","",IFERROR(MATCH(1,INDEX((MATCHER!$B$5:$B$504=A195)*(MATCHER!$D$5:$D$504=C195)*(MATCHER!$K$5:$K$504="Ja")*(MATCHER!$C$5:$C$504&lt;E195)*(MATCHER!$M$5:$M$504&gt;D195)*(ROW(MATCHER!$A$5:$A$504)-ROW(MATCHER!$A$5)+1&gt;R195),0),0),""))</f>
        <v/>
      </c>
      <c r="T195" s="15" t="str">
        <f>IF(S195="","",IFERROR(MATCH(1,INDEX((MATCHER!$B$5:$B$504=A195)*(MATCHER!$D$5:$D$504=C195)*(MATCHER!$K$5:$K$504="Ja")*(MATCHER!$C$5:$C$504&lt;E195)*(MATCHER!$M$5:$M$504&gt;D195)*(ROW(MATCHER!$A$5:$A$504)-ROW(MATCHER!$A$5)+1&gt;S195),0),0),""))</f>
        <v/>
      </c>
      <c r="U195" s="15">
        <f t="shared" si="31"/>
        <v>0</v>
      </c>
      <c r="V195" s="15">
        <f>IF(OR(I195&lt;&gt;"Ja",J195=""),"",COUNTIFS($O$5:O195,O195,$U$5:U195,1))</f>
        <v>1</v>
      </c>
      <c r="W195" s="15" t="str">
        <f t="shared" si="32"/>
        <v>2026-11-14 | Ulriksdalshallen|1</v>
      </c>
      <c r="X195" s="16" t="str">
        <f t="shared" si="33"/>
        <v/>
      </c>
      <c r="Y195" s="15">
        <f>IF(OR(I195&lt;&gt;"Ja",J195=""),0,IF(COUNTIFS($O$5:O195,O195,$I$5:I195,"Ja",$J$5:J195,"&lt;&gt;")=1,1,0))</f>
        <v>0</v>
      </c>
      <c r="Z195" s="15">
        <f>IF(OR(I195&lt;&gt;"Ja",J195=""),0,IF(COUNTIFS(O195:$O$546,O195,I195:$I$546,"Ja",J195:$J$546,"&lt;&gt;")=1,1,0))</f>
        <v>0</v>
      </c>
      <c r="AA195" s="15">
        <f t="shared" si="46"/>
        <v>1</v>
      </c>
      <c r="AB195" s="15" t="str">
        <f>IF(U195&lt;&gt;1,"",COUNTIF($U$5:U195,1))</f>
        <v/>
      </c>
      <c r="AC195" s="15" t="str">
        <f t="shared" si="34"/>
        <v/>
      </c>
      <c r="AD195" s="15" t="str">
        <f t="shared" si="35"/>
        <v>Vanligt café</v>
      </c>
      <c r="AE195" s="15" t="str">
        <f t="shared" si="36"/>
        <v/>
      </c>
      <c r="AF195" t="str">
        <f>IF(T195="","",IFERROR(MATCH(1,INDEX((MATCHER!$B$5:$B$504=A195)*(MATCHER!$D$5:$D$504=C195)*(MATCHER!$K$5:$K$504="Ja")*(MATCHER!$C$5:$C$504&lt;E195)*(MATCHER!$M$5:$M$504&gt;D195)*(ROW(MATCHER!$A$5:$A$504)-ROW(MATCHER!$A$5)+1&gt;T195),0),0),""))</f>
        <v/>
      </c>
    </row>
    <row r="196" spans="1:32" ht="26">
      <c r="A196" s="42">
        <v>46340</v>
      </c>
      <c r="B196" s="43" t="s">
        <v>85</v>
      </c>
      <c r="C196" s="43" t="s">
        <v>86</v>
      </c>
      <c r="D196" s="44">
        <v>0.4375</v>
      </c>
      <c r="E196" s="44">
        <v>0.45833333333333298</v>
      </c>
      <c r="F196" s="45" t="str">
        <f>IF(R196="","",HOUR(INDEX(MATCHER!$C$5:$C$504,R196))&amp;":"&amp;IF(MINUTE(INDEX(MATCHER!$C$5:$C$504,R196))&lt;10,"0","")&amp;MINUTE(INDEX(MATCHER!$C$5:$C$504,R196))&amp;" "&amp;INDEX(MATCHER!$H$5:$H$504,R196)&amp;" – "&amp;INDEX(MATCHER!$I$5:$I$504,R196))&amp;IF(S196="",""," | "&amp;HOUR(INDEX(MATCHER!$C$5:$C$504,S196))&amp;":"&amp;IF(MINUTE(INDEX(MATCHER!$C$5:$C$504,S196))&lt;10,"0","")&amp;MINUTE(INDEX(MATCHER!$C$5:$C$504,S196))&amp;" "&amp;INDEX(MATCHER!$H$5:$H$504,S196)&amp;" – "&amp;INDEX(MATCHER!$I$5:$I$504,S196))&amp;IF(T196="",""," | "&amp;HOUR(INDEX(MATCHER!$C$5:$C$504,T196))&amp;":"&amp;IF(MINUTE(INDEX(MATCHER!$C$5:$C$504,T196))&lt;10,"0","")&amp;MINUTE(INDEX(MATCHER!$C$5:$C$504,T196))&amp;" "&amp;INDEX(MATCHER!$H$5:$H$504,T196)&amp;" – "&amp;INDEX(MATCHER!$I$5:$I$504,T196))&amp;IF(AF196="",""," | "&amp;HOUR(INDEX(MATCHER!$C$5:$C$504,AF196))&amp;":"&amp;IF(MINUTE(INDEX(MATCHER!$C$5:$C$504,AF196))&lt;10,"0","")&amp;MINUTE(INDEX(MATCHER!$C$5:$C$504,AF196))&amp;" "&amp;INDEX(MATCHER!$H$5:$H$504,AF196)&amp;" – "&amp;INDEX(MATCHER!$I$5:$I$504,AF196))</f>
        <v/>
      </c>
      <c r="G196" s="45" t="str">
        <f>MID(IF(R196="","",IF(OR(INDEX(MATCHER!$J$5:$J$504,R196)=""),""," / "&amp;INDEX(MATCHER!$J$5:$J$504,R196)))&amp;IF(S196="","",IF(OR(INDEX(MATCHER!$J$5:$J$504,S196)="",INDEX(MATCHER!$J$5:$J$504,S196)=IFERROR(INDEX(MATCHER!$J$5:$J$504,R196),"")),""," / "&amp;INDEX(MATCHER!$J$5:$J$504,S196)))&amp;IF(T196="","",IF(OR(INDEX(MATCHER!$J$5:$J$504,T196)="",INDEX(MATCHER!$J$5:$J$504,T196)=IFERROR(INDEX(MATCHER!$J$5:$J$504,R196),""),INDEX(MATCHER!$J$5:$J$504,T196)=IFERROR(INDEX(MATCHER!$J$5:$J$504,S196),"")),""," / "&amp;INDEX(MATCHER!$J$5:$J$504,T196)))&amp;IF(AF196="","",IF(OR(INDEX(MATCHER!$J$5:$J$504,AF196)="",INDEX(MATCHER!$J$5:$J$504,AF196)=IFERROR(INDEX(MATCHER!$J$5:$J$504,R196),""),INDEX(MATCHER!$J$5:$J$504,AF196)=IFERROR(INDEX(MATCHER!$J$5:$J$504,S196),""),INDEX(MATCHER!$J$5:$J$504,AF196)=IFERROR(INDEX(MATCHER!$J$5:$J$504,T196),"")),""," / "&amp;INDEX(MATCHER!$J$5:$J$504,AF196))),4,1000)</f>
        <v/>
      </c>
      <c r="H196" s="45" t="str">
        <f t="shared" si="45"/>
        <v>F13</v>
      </c>
      <c r="I196" s="46" t="s">
        <v>90</v>
      </c>
      <c r="J196" s="47" t="s">
        <v>97</v>
      </c>
      <c r="K196" s="48"/>
      <c r="L196" s="49"/>
      <c r="M196" s="50" t="str">
        <f>IF(O196&lt;&gt;O195,MAX(1,MIN(AA196,ROUNDUP(SUMPRODUCT(($O$5:$O$546=O196)*($I$5:$I$546="Ja")*($E$5:$E$546-$D$5:$D$546))*24/REGLER!$B$8,0))),"")</f>
        <v/>
      </c>
      <c r="N196" s="50" t="str">
        <f t="shared" si="30"/>
        <v>Klar</v>
      </c>
      <c r="O196" s="15" t="s">
        <v>123</v>
      </c>
      <c r="P196" s="16">
        <v>0.33333333333333298</v>
      </c>
      <c r="Q196" s="16">
        <v>0.625</v>
      </c>
      <c r="R196" s="15" t="str">
        <f>IFERROR(MATCH(1,INDEX((MATCHER!$B$5:$B$504=A196)*(MATCHER!$D$5:$D$504=C196)*(MATCHER!$K$5:$K$504="Ja")*(MATCHER!$C$5:$C$504&lt;E196)*(MATCHER!$M$5:$M$504&gt;D196),0),0),"")</f>
        <v/>
      </c>
      <c r="S196" s="15" t="str">
        <f>IF(R196="","",IFERROR(MATCH(1,INDEX((MATCHER!$B$5:$B$504=A196)*(MATCHER!$D$5:$D$504=C196)*(MATCHER!$K$5:$K$504="Ja")*(MATCHER!$C$5:$C$504&lt;E196)*(MATCHER!$M$5:$M$504&gt;D196)*(ROW(MATCHER!$A$5:$A$504)-ROW(MATCHER!$A$5)+1&gt;R196),0),0),""))</f>
        <v/>
      </c>
      <c r="T196" s="15" t="str">
        <f>IF(S196="","",IFERROR(MATCH(1,INDEX((MATCHER!$B$5:$B$504=A196)*(MATCHER!$D$5:$D$504=C196)*(MATCHER!$K$5:$K$504="Ja")*(MATCHER!$C$5:$C$504&lt;E196)*(MATCHER!$M$5:$M$504&gt;D196)*(ROW(MATCHER!$A$5:$A$504)-ROW(MATCHER!$A$5)+1&gt;S196),0),0),""))</f>
        <v/>
      </c>
      <c r="U196" s="15">
        <f t="shared" si="31"/>
        <v>0</v>
      </c>
      <c r="V196" s="15">
        <f>IF(OR(I196&lt;&gt;"Ja",J196=""),"",COUNTIFS($O$5:O196,O196,$U$5:U196,1))</f>
        <v>1</v>
      </c>
      <c r="W196" s="15" t="str">
        <f t="shared" si="32"/>
        <v>2026-11-14 | Ulriksdalshallen|1</v>
      </c>
      <c r="X196" s="16" t="str">
        <f t="shared" si="33"/>
        <v/>
      </c>
      <c r="Y196" s="15">
        <f>IF(OR(I196&lt;&gt;"Ja",J196=""),0,IF(COUNTIFS($O$5:O196,O196,$I$5:I196,"Ja",$J$5:J196,"&lt;&gt;")=1,1,0))</f>
        <v>0</v>
      </c>
      <c r="Z196" s="15">
        <f>IF(OR(I196&lt;&gt;"Ja",J196=""),0,IF(COUNTIFS(O196:$O$546,O196,I196:$I$546,"Ja",J196:$J$546,"&lt;&gt;")=1,1,0))</f>
        <v>0</v>
      </c>
      <c r="AA196" s="15">
        <f t="shared" si="46"/>
        <v>1</v>
      </c>
      <c r="AB196" s="15" t="str">
        <f>IF(U196&lt;&gt;1,"",COUNTIF($U$5:U196,1))</f>
        <v/>
      </c>
      <c r="AC196" s="15" t="str">
        <f t="shared" si="34"/>
        <v/>
      </c>
      <c r="AD196" s="15" t="str">
        <f t="shared" si="35"/>
        <v>Vanligt café</v>
      </c>
      <c r="AE196" s="15" t="str">
        <f t="shared" si="36"/>
        <v/>
      </c>
      <c r="AF196" t="str">
        <f>IF(T196="","",IFERROR(MATCH(1,INDEX((MATCHER!$B$5:$B$504=A196)*(MATCHER!$D$5:$D$504=C196)*(MATCHER!$K$5:$K$504="Ja")*(MATCHER!$C$5:$C$504&lt;E196)*(MATCHER!$M$5:$M$504&gt;D196)*(ROW(MATCHER!$A$5:$A$504)-ROW(MATCHER!$A$5)+1&gt;T196),0),0),""))</f>
        <v/>
      </c>
    </row>
    <row r="197" spans="1:32" ht="26">
      <c r="A197" s="42">
        <v>46340</v>
      </c>
      <c r="B197" s="43" t="s">
        <v>85</v>
      </c>
      <c r="C197" s="43" t="s">
        <v>86</v>
      </c>
      <c r="D197" s="44">
        <v>0.45833333333333298</v>
      </c>
      <c r="E197" s="44">
        <v>0.47916666666666702</v>
      </c>
      <c r="F197" s="45" t="str">
        <f>IF(R197="","",HOUR(INDEX(MATCHER!$C$5:$C$504,R197))&amp;":"&amp;IF(MINUTE(INDEX(MATCHER!$C$5:$C$504,R197))&lt;10,"0","")&amp;MINUTE(INDEX(MATCHER!$C$5:$C$504,R197))&amp;" "&amp;INDEX(MATCHER!$H$5:$H$504,R197)&amp;" – "&amp;INDEX(MATCHER!$I$5:$I$504,R197))&amp;IF(S197="",""," | "&amp;HOUR(INDEX(MATCHER!$C$5:$C$504,S197))&amp;":"&amp;IF(MINUTE(INDEX(MATCHER!$C$5:$C$504,S197))&lt;10,"0","")&amp;MINUTE(INDEX(MATCHER!$C$5:$C$504,S197))&amp;" "&amp;INDEX(MATCHER!$H$5:$H$504,S197)&amp;" – "&amp;INDEX(MATCHER!$I$5:$I$504,S197))&amp;IF(T197="",""," | "&amp;HOUR(INDEX(MATCHER!$C$5:$C$504,T197))&amp;":"&amp;IF(MINUTE(INDEX(MATCHER!$C$5:$C$504,T197))&lt;10,"0","")&amp;MINUTE(INDEX(MATCHER!$C$5:$C$504,T197))&amp;" "&amp;INDEX(MATCHER!$H$5:$H$504,T197)&amp;" – "&amp;INDEX(MATCHER!$I$5:$I$504,T197))&amp;IF(AF197="",""," | "&amp;HOUR(INDEX(MATCHER!$C$5:$C$504,AF197))&amp;":"&amp;IF(MINUTE(INDEX(MATCHER!$C$5:$C$504,AF197))&lt;10,"0","")&amp;MINUTE(INDEX(MATCHER!$C$5:$C$504,AF197))&amp;" "&amp;INDEX(MATCHER!$H$5:$H$504,AF197)&amp;" – "&amp;INDEX(MATCHER!$I$5:$I$504,AF197))</f>
        <v>11:10 AIK – Vacant- 37</v>
      </c>
      <c r="G197" s="45" t="str">
        <f>MID(IF(R197="","",IF(OR(INDEX(MATCHER!$J$5:$J$504,R197)=""),""," / "&amp;INDEX(MATCHER!$J$5:$J$504,R197)))&amp;IF(S197="","",IF(OR(INDEX(MATCHER!$J$5:$J$504,S197)="",INDEX(MATCHER!$J$5:$J$504,S197)=IFERROR(INDEX(MATCHER!$J$5:$J$504,R197),"")),""," / "&amp;INDEX(MATCHER!$J$5:$J$504,S197)))&amp;IF(T197="","",IF(OR(INDEX(MATCHER!$J$5:$J$504,T197)="",INDEX(MATCHER!$J$5:$J$504,T197)=IFERROR(INDEX(MATCHER!$J$5:$J$504,R197),""),INDEX(MATCHER!$J$5:$J$504,T197)=IFERROR(INDEX(MATCHER!$J$5:$J$504,S197),"")),""," / "&amp;INDEX(MATCHER!$J$5:$J$504,T197)))&amp;IF(AF197="","",IF(OR(INDEX(MATCHER!$J$5:$J$504,AF197)="",INDEX(MATCHER!$J$5:$J$504,AF197)=IFERROR(INDEX(MATCHER!$J$5:$J$504,R197),""),INDEX(MATCHER!$J$5:$J$504,AF197)=IFERROR(INDEX(MATCHER!$J$5:$J$504,S197),""),INDEX(MATCHER!$J$5:$J$504,AF197)=IFERROR(INDEX(MATCHER!$J$5:$J$504,T197),"")),""," / "&amp;INDEX(MATCHER!$J$5:$J$504,AF197))),4,1000)</f>
        <v>F13</v>
      </c>
      <c r="H197" s="45" t="str">
        <f t="shared" si="45"/>
        <v>F13</v>
      </c>
      <c r="I197" s="46" t="s">
        <v>90</v>
      </c>
      <c r="J197" s="47" t="s">
        <v>97</v>
      </c>
      <c r="K197" s="48"/>
      <c r="L197" s="49"/>
      <c r="M197" s="50" t="str">
        <f>IF(O197&lt;&gt;O196,MAX(1,MIN(AA197,ROUNDUP(SUMPRODUCT(($O$5:$O$546=O197)*($I$5:$I$546="Ja")*($E$5:$E$546-$D$5:$D$546))*24/REGLER!$B$8,0))),"")</f>
        <v/>
      </c>
      <c r="N197" s="50" t="str">
        <f t="shared" ref="N197:N260" si="47">IF(I197="Nej",IF(J197="","Ej öppet","Ta bort lag"),IF(J197="","Ej tilldelad",IF(ISNUMBER(SEARCH(", "&amp;J197&amp;", ",", "&amp;H197&amp;", ")),"Klar","Kontrollera lag")))</f>
        <v>Klar</v>
      </c>
      <c r="O197" s="15" t="s">
        <v>123</v>
      </c>
      <c r="P197" s="16">
        <v>0.33333333333333298</v>
      </c>
      <c r="Q197" s="16">
        <v>0.625</v>
      </c>
      <c r="R197" s="15">
        <f>IFERROR(MATCH(1,INDEX((MATCHER!$B$5:$B$504=A197)*(MATCHER!$D$5:$D$504=C197)*(MATCHER!$K$5:$K$504="Ja")*(MATCHER!$C$5:$C$504&lt;E197)*(MATCHER!$M$5:$M$504&gt;D197),0),0),"")</f>
        <v>65</v>
      </c>
      <c r="S197" s="15" t="str">
        <f>IF(R197="","",IFERROR(MATCH(1,INDEX((MATCHER!$B$5:$B$504=A197)*(MATCHER!$D$5:$D$504=C197)*(MATCHER!$K$5:$K$504="Ja")*(MATCHER!$C$5:$C$504&lt;E197)*(MATCHER!$M$5:$M$504&gt;D197)*(ROW(MATCHER!$A$5:$A$504)-ROW(MATCHER!$A$5)+1&gt;R197),0),0),""))</f>
        <v/>
      </c>
      <c r="T197" s="15" t="str">
        <f>IF(S197="","",IFERROR(MATCH(1,INDEX((MATCHER!$B$5:$B$504=A197)*(MATCHER!$D$5:$D$504=C197)*(MATCHER!$K$5:$K$504="Ja")*(MATCHER!$C$5:$C$504&lt;E197)*(MATCHER!$M$5:$M$504&gt;D197)*(ROW(MATCHER!$A$5:$A$504)-ROW(MATCHER!$A$5)+1&gt;S197),0),0),""))</f>
        <v/>
      </c>
      <c r="U197" s="15">
        <f t="shared" ref="U197:U260" si="48">IF(OR(I197&lt;&gt;"Ja",J197=""),"",IF(OR(O197&lt;&gt;O196,I196&lt;&gt;"Ja",J197&lt;&gt;J196,D197&lt;&gt;E196),1,0))</f>
        <v>0</v>
      </c>
      <c r="V197" s="15">
        <f>IF(OR(I197&lt;&gt;"Ja",J197=""),"",COUNTIFS($O$5:O197,O197,$U$5:U197,1))</f>
        <v>1</v>
      </c>
      <c r="W197" s="15" t="str">
        <f t="shared" ref="W197:W260" si="49">IF(V197="","",O197&amp;"|"&amp;V197)</f>
        <v>2026-11-14 | Ulriksdalshallen|1</v>
      </c>
      <c r="X197" s="16" t="str">
        <f t="shared" ref="X197:X260" si="50">IF(OR(I197&lt;&gt;"Ja",J197=""),"",IF(OR(O197&lt;&gt;O198,I198&lt;&gt;"Ja",J197&lt;&gt;J198,E197&lt;&gt;D198),E197,""))</f>
        <v/>
      </c>
      <c r="Y197" s="15">
        <f>IF(OR(I197&lt;&gt;"Ja",J197=""),0,IF(COUNTIFS($O$5:O197,O197,$I$5:I197,"Ja",$J$5:J197,"&lt;&gt;")=1,1,0))</f>
        <v>0</v>
      </c>
      <c r="Z197" s="15">
        <f>IF(OR(I197&lt;&gt;"Ja",J197=""),0,IF(COUNTIFS(O197:$O$546,O197,I197:$I$546,"Ja",J197:$J$546,"&lt;&gt;")=1,1,0))</f>
        <v>0</v>
      </c>
      <c r="AA197" s="15">
        <f t="shared" si="46"/>
        <v>1</v>
      </c>
      <c r="AB197" s="15" t="str">
        <f>IF(U197&lt;&gt;1,"",COUNTIF($U$5:U197,1))</f>
        <v/>
      </c>
      <c r="AC197" s="15" t="str">
        <f t="shared" ref="AC197:AC260" si="51">IF(X197="","",W197)</f>
        <v/>
      </c>
      <c r="AD197" s="15" t="str">
        <f t="shared" ref="AD197:AD260" si="52">IF(O197="","",INDEX($K$5:$K$546,MATCH(O197,$O$5:$O$546,0)))</f>
        <v>Vanligt café</v>
      </c>
      <c r="AE197" s="15" t="str">
        <f t="shared" ref="AE197:AE260" si="53">IF(U197&lt;&gt;1,"",(SUMIF($W$5:$W$546,W197,$X$5:$X$546)-D197)*24)</f>
        <v/>
      </c>
      <c r="AF197" t="str">
        <f>IF(T197="","",IFERROR(MATCH(1,INDEX((MATCHER!$B$5:$B$504=A197)*(MATCHER!$D$5:$D$504=C197)*(MATCHER!$K$5:$K$504="Ja")*(MATCHER!$C$5:$C$504&lt;E197)*(MATCHER!$M$5:$M$504&gt;D197)*(ROW(MATCHER!$A$5:$A$504)-ROW(MATCHER!$A$5)+1&gt;T197),0),0),""))</f>
        <v/>
      </c>
    </row>
    <row r="198" spans="1:32" ht="26">
      <c r="A198" s="42">
        <v>46340</v>
      </c>
      <c r="B198" s="43" t="s">
        <v>85</v>
      </c>
      <c r="C198" s="43" t="s">
        <v>86</v>
      </c>
      <c r="D198" s="44">
        <v>0.47916666666666702</v>
      </c>
      <c r="E198" s="44">
        <v>0.5</v>
      </c>
      <c r="F198" s="45" t="str">
        <f>IF(R198="","",HOUR(INDEX(MATCHER!$C$5:$C$504,R198))&amp;":"&amp;IF(MINUTE(INDEX(MATCHER!$C$5:$C$504,R198))&lt;10,"0","")&amp;MINUTE(INDEX(MATCHER!$C$5:$C$504,R198))&amp;" "&amp;INDEX(MATCHER!$H$5:$H$504,R198)&amp;" – "&amp;INDEX(MATCHER!$I$5:$I$504,R198))&amp;IF(S198="",""," | "&amp;HOUR(INDEX(MATCHER!$C$5:$C$504,S198))&amp;":"&amp;IF(MINUTE(INDEX(MATCHER!$C$5:$C$504,S198))&lt;10,"0","")&amp;MINUTE(INDEX(MATCHER!$C$5:$C$504,S198))&amp;" "&amp;INDEX(MATCHER!$H$5:$H$504,S198)&amp;" – "&amp;INDEX(MATCHER!$I$5:$I$504,S198))&amp;IF(T198="",""," | "&amp;HOUR(INDEX(MATCHER!$C$5:$C$504,T198))&amp;":"&amp;IF(MINUTE(INDEX(MATCHER!$C$5:$C$504,T198))&lt;10,"0","")&amp;MINUTE(INDEX(MATCHER!$C$5:$C$504,T198))&amp;" "&amp;INDEX(MATCHER!$H$5:$H$504,T198)&amp;" – "&amp;INDEX(MATCHER!$I$5:$I$504,T198))&amp;IF(AF198="",""," | "&amp;HOUR(INDEX(MATCHER!$C$5:$C$504,AF198))&amp;":"&amp;IF(MINUTE(INDEX(MATCHER!$C$5:$C$504,AF198))&lt;10,"0","")&amp;MINUTE(INDEX(MATCHER!$C$5:$C$504,AF198))&amp;" "&amp;INDEX(MATCHER!$H$5:$H$504,AF198)&amp;" – "&amp;INDEX(MATCHER!$I$5:$I$504,AF198))</f>
        <v>11:10 AIK – Vacant- 37</v>
      </c>
      <c r="G198" s="45" t="str">
        <f>MID(IF(R198="","",IF(OR(INDEX(MATCHER!$J$5:$J$504,R198)=""),""," / "&amp;INDEX(MATCHER!$J$5:$J$504,R198)))&amp;IF(S198="","",IF(OR(INDEX(MATCHER!$J$5:$J$504,S198)="",INDEX(MATCHER!$J$5:$J$504,S198)=IFERROR(INDEX(MATCHER!$J$5:$J$504,R198),"")),""," / "&amp;INDEX(MATCHER!$J$5:$J$504,S198)))&amp;IF(T198="","",IF(OR(INDEX(MATCHER!$J$5:$J$504,T198)="",INDEX(MATCHER!$J$5:$J$504,T198)=IFERROR(INDEX(MATCHER!$J$5:$J$504,R198),""),INDEX(MATCHER!$J$5:$J$504,T198)=IFERROR(INDEX(MATCHER!$J$5:$J$504,S198),"")),""," / "&amp;INDEX(MATCHER!$J$5:$J$504,T198)))&amp;IF(AF198="","",IF(OR(INDEX(MATCHER!$J$5:$J$504,AF198)="",INDEX(MATCHER!$J$5:$J$504,AF198)=IFERROR(INDEX(MATCHER!$J$5:$J$504,R198),""),INDEX(MATCHER!$J$5:$J$504,AF198)=IFERROR(INDEX(MATCHER!$J$5:$J$504,S198),""),INDEX(MATCHER!$J$5:$J$504,AF198)=IFERROR(INDEX(MATCHER!$J$5:$J$504,T198),"")),""," / "&amp;INDEX(MATCHER!$J$5:$J$504,AF198))),4,1000)</f>
        <v>F13</v>
      </c>
      <c r="H198" s="45" t="str">
        <f t="shared" si="45"/>
        <v>F13</v>
      </c>
      <c r="I198" s="46" t="s">
        <v>90</v>
      </c>
      <c r="J198" s="47" t="s">
        <v>97</v>
      </c>
      <c r="K198" s="48"/>
      <c r="L198" s="49"/>
      <c r="M198" s="50" t="str">
        <f>IF(O198&lt;&gt;O197,MAX(1,MIN(AA198,ROUNDUP(SUMPRODUCT(($O$5:$O$546=O198)*($I$5:$I$546="Ja")*($E$5:$E$546-$D$5:$D$546))*24/REGLER!$B$8,0))),"")</f>
        <v/>
      </c>
      <c r="N198" s="50" t="str">
        <f t="shared" si="47"/>
        <v>Klar</v>
      </c>
      <c r="O198" s="15" t="s">
        <v>123</v>
      </c>
      <c r="P198" s="16">
        <v>0.33333333333333298</v>
      </c>
      <c r="Q198" s="16">
        <v>0.625</v>
      </c>
      <c r="R198" s="15">
        <f>IFERROR(MATCH(1,INDEX((MATCHER!$B$5:$B$504=A198)*(MATCHER!$D$5:$D$504=C198)*(MATCHER!$K$5:$K$504="Ja")*(MATCHER!$C$5:$C$504&lt;E198)*(MATCHER!$M$5:$M$504&gt;D198),0),0),"")</f>
        <v>65</v>
      </c>
      <c r="S198" s="15" t="str">
        <f>IF(R198="","",IFERROR(MATCH(1,INDEX((MATCHER!$B$5:$B$504=A198)*(MATCHER!$D$5:$D$504=C198)*(MATCHER!$K$5:$K$504="Ja")*(MATCHER!$C$5:$C$504&lt;E198)*(MATCHER!$M$5:$M$504&gt;D198)*(ROW(MATCHER!$A$5:$A$504)-ROW(MATCHER!$A$5)+1&gt;R198),0),0),""))</f>
        <v/>
      </c>
      <c r="T198" s="15" t="str">
        <f>IF(S198="","",IFERROR(MATCH(1,INDEX((MATCHER!$B$5:$B$504=A198)*(MATCHER!$D$5:$D$504=C198)*(MATCHER!$K$5:$K$504="Ja")*(MATCHER!$C$5:$C$504&lt;E198)*(MATCHER!$M$5:$M$504&gt;D198)*(ROW(MATCHER!$A$5:$A$504)-ROW(MATCHER!$A$5)+1&gt;S198),0),0),""))</f>
        <v/>
      </c>
      <c r="U198" s="15">
        <f t="shared" si="48"/>
        <v>0</v>
      </c>
      <c r="V198" s="15">
        <f>IF(OR(I198&lt;&gt;"Ja",J198=""),"",COUNTIFS($O$5:O198,O198,$U$5:U198,1))</f>
        <v>1</v>
      </c>
      <c r="W198" s="15" t="str">
        <f t="shared" si="49"/>
        <v>2026-11-14 | Ulriksdalshallen|1</v>
      </c>
      <c r="X198" s="16" t="str">
        <f t="shared" si="50"/>
        <v/>
      </c>
      <c r="Y198" s="15">
        <f>IF(OR(I198&lt;&gt;"Ja",J198=""),0,IF(COUNTIFS($O$5:O198,O198,$I$5:I198,"Ja",$J$5:J198,"&lt;&gt;")=1,1,0))</f>
        <v>0</v>
      </c>
      <c r="Z198" s="15">
        <f>IF(OR(I198&lt;&gt;"Ja",J198=""),0,IF(COUNTIFS(O198:$O$546,O198,I198:$I$546,"Ja",J198:$J$546,"&lt;&gt;")=1,1,0))</f>
        <v>0</v>
      </c>
      <c r="AA198" s="15">
        <f t="shared" si="46"/>
        <v>1</v>
      </c>
      <c r="AB198" s="15" t="str">
        <f>IF(U198&lt;&gt;1,"",COUNTIF($U$5:U198,1))</f>
        <v/>
      </c>
      <c r="AC198" s="15" t="str">
        <f t="shared" si="51"/>
        <v/>
      </c>
      <c r="AD198" s="15" t="str">
        <f t="shared" si="52"/>
        <v>Vanligt café</v>
      </c>
      <c r="AE198" s="15" t="str">
        <f t="shared" si="53"/>
        <v/>
      </c>
      <c r="AF198" t="str">
        <f>IF(T198="","",IFERROR(MATCH(1,INDEX((MATCHER!$B$5:$B$504=A198)*(MATCHER!$D$5:$D$504=C198)*(MATCHER!$K$5:$K$504="Ja")*(MATCHER!$C$5:$C$504&lt;E198)*(MATCHER!$M$5:$M$504&gt;D198)*(ROW(MATCHER!$A$5:$A$504)-ROW(MATCHER!$A$5)+1&gt;T198),0),0),""))</f>
        <v/>
      </c>
    </row>
    <row r="199" spans="1:32" ht="26">
      <c r="A199" s="42">
        <v>46340</v>
      </c>
      <c r="B199" s="43" t="s">
        <v>85</v>
      </c>
      <c r="C199" s="43" t="s">
        <v>86</v>
      </c>
      <c r="D199" s="44">
        <v>0.5</v>
      </c>
      <c r="E199" s="44">
        <v>0.52083333333333304</v>
      </c>
      <c r="F199" s="45" t="str">
        <f>IF(R199="","",HOUR(INDEX(MATCHER!$C$5:$C$504,R199))&amp;":"&amp;IF(MINUTE(INDEX(MATCHER!$C$5:$C$504,R199))&lt;10,"0","")&amp;MINUTE(INDEX(MATCHER!$C$5:$C$504,R199))&amp;" "&amp;INDEX(MATCHER!$H$5:$H$504,R199)&amp;" – "&amp;INDEX(MATCHER!$I$5:$I$504,R199))&amp;IF(S199="",""," | "&amp;HOUR(INDEX(MATCHER!$C$5:$C$504,S199))&amp;":"&amp;IF(MINUTE(INDEX(MATCHER!$C$5:$C$504,S199))&lt;10,"0","")&amp;MINUTE(INDEX(MATCHER!$C$5:$C$504,S199))&amp;" "&amp;INDEX(MATCHER!$H$5:$H$504,S199)&amp;" – "&amp;INDEX(MATCHER!$I$5:$I$504,S199))&amp;IF(T199="",""," | "&amp;HOUR(INDEX(MATCHER!$C$5:$C$504,T199))&amp;":"&amp;IF(MINUTE(INDEX(MATCHER!$C$5:$C$504,T199))&lt;10,"0","")&amp;MINUTE(INDEX(MATCHER!$C$5:$C$504,T199))&amp;" "&amp;INDEX(MATCHER!$H$5:$H$504,T199)&amp;" – "&amp;INDEX(MATCHER!$I$5:$I$504,T199))&amp;IF(AF199="",""," | "&amp;HOUR(INDEX(MATCHER!$C$5:$C$504,AF199))&amp;":"&amp;IF(MINUTE(INDEX(MATCHER!$C$5:$C$504,AF199))&lt;10,"0","")&amp;MINUTE(INDEX(MATCHER!$C$5:$C$504,AF199))&amp;" "&amp;INDEX(MATCHER!$H$5:$H$504,AF199)&amp;" – "&amp;INDEX(MATCHER!$I$5:$I$504,AF199))</f>
        <v>12:00 Vacant- 37 – Vacant- 37</v>
      </c>
      <c r="G199" s="45" t="str">
        <f>MID(IF(R199="","",IF(OR(INDEX(MATCHER!$J$5:$J$504,R199)=""),""," / "&amp;INDEX(MATCHER!$J$5:$J$504,R199)))&amp;IF(S199="","",IF(OR(INDEX(MATCHER!$J$5:$J$504,S199)="",INDEX(MATCHER!$J$5:$J$504,S199)=IFERROR(INDEX(MATCHER!$J$5:$J$504,R199),"")),""," / "&amp;INDEX(MATCHER!$J$5:$J$504,S199)))&amp;IF(T199="","",IF(OR(INDEX(MATCHER!$J$5:$J$504,T199)="",INDEX(MATCHER!$J$5:$J$504,T199)=IFERROR(INDEX(MATCHER!$J$5:$J$504,R199),""),INDEX(MATCHER!$J$5:$J$504,T199)=IFERROR(INDEX(MATCHER!$J$5:$J$504,S199),"")),""," / "&amp;INDEX(MATCHER!$J$5:$J$504,T199)))&amp;IF(AF199="","",IF(OR(INDEX(MATCHER!$J$5:$J$504,AF199)="",INDEX(MATCHER!$J$5:$J$504,AF199)=IFERROR(INDEX(MATCHER!$J$5:$J$504,R199),""),INDEX(MATCHER!$J$5:$J$504,AF199)=IFERROR(INDEX(MATCHER!$J$5:$J$504,S199),""),INDEX(MATCHER!$J$5:$J$504,AF199)=IFERROR(INDEX(MATCHER!$J$5:$J$504,T199),"")),""," / "&amp;INDEX(MATCHER!$J$5:$J$504,AF199))),4,1000)</f>
        <v/>
      </c>
      <c r="H199" s="45" t="str">
        <f t="shared" si="45"/>
        <v>F13</v>
      </c>
      <c r="I199" s="46" t="s">
        <v>90</v>
      </c>
      <c r="J199" s="47" t="s">
        <v>97</v>
      </c>
      <c r="K199" s="48"/>
      <c r="L199" s="49"/>
      <c r="M199" s="50" t="str">
        <f>IF(O199&lt;&gt;O198,MAX(1,MIN(AA199,ROUNDUP(SUMPRODUCT(($O$5:$O$546=O199)*($I$5:$I$546="Ja")*($E$5:$E$546-$D$5:$D$546))*24/REGLER!$B$8,0))),"")</f>
        <v/>
      </c>
      <c r="N199" s="50" t="str">
        <f t="shared" si="47"/>
        <v>Klar</v>
      </c>
      <c r="O199" s="15" t="s">
        <v>123</v>
      </c>
      <c r="P199" s="16">
        <v>0.33333333333333298</v>
      </c>
      <c r="Q199" s="16">
        <v>0.625</v>
      </c>
      <c r="R199" s="15">
        <f>IFERROR(MATCH(1,INDEX((MATCHER!$B$5:$B$504=A199)*(MATCHER!$D$5:$D$504=C199)*(MATCHER!$K$5:$K$504="Ja")*(MATCHER!$C$5:$C$504&lt;E199)*(MATCHER!$M$5:$M$504&gt;D199),0),0),"")</f>
        <v>66</v>
      </c>
      <c r="S199" s="15" t="str">
        <f>IF(R199="","",IFERROR(MATCH(1,INDEX((MATCHER!$B$5:$B$504=A199)*(MATCHER!$D$5:$D$504=C199)*(MATCHER!$K$5:$K$504="Ja")*(MATCHER!$C$5:$C$504&lt;E199)*(MATCHER!$M$5:$M$504&gt;D199)*(ROW(MATCHER!$A$5:$A$504)-ROW(MATCHER!$A$5)+1&gt;R199),0),0),""))</f>
        <v/>
      </c>
      <c r="T199" s="15" t="str">
        <f>IF(S199="","",IFERROR(MATCH(1,INDEX((MATCHER!$B$5:$B$504=A199)*(MATCHER!$D$5:$D$504=C199)*(MATCHER!$K$5:$K$504="Ja")*(MATCHER!$C$5:$C$504&lt;E199)*(MATCHER!$M$5:$M$504&gt;D199)*(ROW(MATCHER!$A$5:$A$504)-ROW(MATCHER!$A$5)+1&gt;S199),0),0),""))</f>
        <v/>
      </c>
      <c r="U199" s="15">
        <f t="shared" si="48"/>
        <v>0</v>
      </c>
      <c r="V199" s="15">
        <f>IF(OR(I199&lt;&gt;"Ja",J199=""),"",COUNTIFS($O$5:O199,O199,$U$5:U199,1))</f>
        <v>1</v>
      </c>
      <c r="W199" s="15" t="str">
        <f t="shared" si="49"/>
        <v>2026-11-14 | Ulriksdalshallen|1</v>
      </c>
      <c r="X199" s="16" t="str">
        <f t="shared" si="50"/>
        <v/>
      </c>
      <c r="Y199" s="15">
        <f>IF(OR(I199&lt;&gt;"Ja",J199=""),0,IF(COUNTIFS($O$5:O199,O199,$I$5:I199,"Ja",$J$5:J199,"&lt;&gt;")=1,1,0))</f>
        <v>0</v>
      </c>
      <c r="Z199" s="15">
        <f>IF(OR(I199&lt;&gt;"Ja",J199=""),0,IF(COUNTIFS(O199:$O$546,O199,I199:$I$546,"Ja",J199:$J$546,"&lt;&gt;")=1,1,0))</f>
        <v>0</v>
      </c>
      <c r="AA199" s="15">
        <f t="shared" si="46"/>
        <v>1</v>
      </c>
      <c r="AB199" s="15" t="str">
        <f>IF(U199&lt;&gt;1,"",COUNTIF($U$5:U199,1))</f>
        <v/>
      </c>
      <c r="AC199" s="15" t="str">
        <f t="shared" si="51"/>
        <v/>
      </c>
      <c r="AD199" s="15" t="str">
        <f t="shared" si="52"/>
        <v>Vanligt café</v>
      </c>
      <c r="AE199" s="15" t="str">
        <f t="shared" si="53"/>
        <v/>
      </c>
      <c r="AF199" t="str">
        <f>IF(T199="","",IFERROR(MATCH(1,INDEX((MATCHER!$B$5:$B$504=A199)*(MATCHER!$D$5:$D$504=C199)*(MATCHER!$K$5:$K$504="Ja")*(MATCHER!$C$5:$C$504&lt;E199)*(MATCHER!$M$5:$M$504&gt;D199)*(ROW(MATCHER!$A$5:$A$504)-ROW(MATCHER!$A$5)+1&gt;T199),0),0),""))</f>
        <v/>
      </c>
    </row>
    <row r="200" spans="1:32" ht="26">
      <c r="A200" s="42">
        <v>46340</v>
      </c>
      <c r="B200" s="43" t="s">
        <v>85</v>
      </c>
      <c r="C200" s="43" t="s">
        <v>86</v>
      </c>
      <c r="D200" s="44">
        <v>0.52083333333333304</v>
      </c>
      <c r="E200" s="44">
        <v>0.54166666666666696</v>
      </c>
      <c r="F200" s="45" t="str">
        <f>IF(R200="","",HOUR(INDEX(MATCHER!$C$5:$C$504,R200))&amp;":"&amp;IF(MINUTE(INDEX(MATCHER!$C$5:$C$504,R200))&lt;10,"0","")&amp;MINUTE(INDEX(MATCHER!$C$5:$C$504,R200))&amp;" "&amp;INDEX(MATCHER!$H$5:$H$504,R200)&amp;" – "&amp;INDEX(MATCHER!$I$5:$I$504,R200))&amp;IF(S200="",""," | "&amp;HOUR(INDEX(MATCHER!$C$5:$C$504,S200))&amp;":"&amp;IF(MINUTE(INDEX(MATCHER!$C$5:$C$504,S200))&lt;10,"0","")&amp;MINUTE(INDEX(MATCHER!$C$5:$C$504,S200))&amp;" "&amp;INDEX(MATCHER!$H$5:$H$504,S200)&amp;" – "&amp;INDEX(MATCHER!$I$5:$I$504,S200))&amp;IF(T200="",""," | "&amp;HOUR(INDEX(MATCHER!$C$5:$C$504,T200))&amp;":"&amp;IF(MINUTE(INDEX(MATCHER!$C$5:$C$504,T200))&lt;10,"0","")&amp;MINUTE(INDEX(MATCHER!$C$5:$C$504,T200))&amp;" "&amp;INDEX(MATCHER!$H$5:$H$504,T200)&amp;" – "&amp;INDEX(MATCHER!$I$5:$I$504,T200))&amp;IF(AF200="",""," | "&amp;HOUR(INDEX(MATCHER!$C$5:$C$504,AF200))&amp;":"&amp;IF(MINUTE(INDEX(MATCHER!$C$5:$C$504,AF200))&lt;10,"0","")&amp;MINUTE(INDEX(MATCHER!$C$5:$C$504,AF200))&amp;" "&amp;INDEX(MATCHER!$H$5:$H$504,AF200)&amp;" – "&amp;INDEX(MATCHER!$I$5:$I$504,AF200))</f>
        <v>12:00 Vacant- 37 – Vacant- 37</v>
      </c>
      <c r="G200" s="45" t="str">
        <f>MID(IF(R200="","",IF(OR(INDEX(MATCHER!$J$5:$J$504,R200)=""),""," / "&amp;INDEX(MATCHER!$J$5:$J$504,R200)))&amp;IF(S200="","",IF(OR(INDEX(MATCHER!$J$5:$J$504,S200)="",INDEX(MATCHER!$J$5:$J$504,S200)=IFERROR(INDEX(MATCHER!$J$5:$J$504,R200),"")),""," / "&amp;INDEX(MATCHER!$J$5:$J$504,S200)))&amp;IF(T200="","",IF(OR(INDEX(MATCHER!$J$5:$J$504,T200)="",INDEX(MATCHER!$J$5:$J$504,T200)=IFERROR(INDEX(MATCHER!$J$5:$J$504,R200),""),INDEX(MATCHER!$J$5:$J$504,T200)=IFERROR(INDEX(MATCHER!$J$5:$J$504,S200),"")),""," / "&amp;INDEX(MATCHER!$J$5:$J$504,T200)))&amp;IF(AF200="","",IF(OR(INDEX(MATCHER!$J$5:$J$504,AF200)="",INDEX(MATCHER!$J$5:$J$504,AF200)=IFERROR(INDEX(MATCHER!$J$5:$J$504,R200),""),INDEX(MATCHER!$J$5:$J$504,AF200)=IFERROR(INDEX(MATCHER!$J$5:$J$504,S200),""),INDEX(MATCHER!$J$5:$J$504,AF200)=IFERROR(INDEX(MATCHER!$J$5:$J$504,T200),"")),""," / "&amp;INDEX(MATCHER!$J$5:$J$504,AF200))),4,1000)</f>
        <v/>
      </c>
      <c r="H200" s="45" t="str">
        <f t="shared" si="45"/>
        <v>F13</v>
      </c>
      <c r="I200" s="46" t="s">
        <v>90</v>
      </c>
      <c r="J200" s="47" t="s">
        <v>97</v>
      </c>
      <c r="K200" s="48"/>
      <c r="L200" s="49"/>
      <c r="M200" s="50" t="str">
        <f>IF(O200&lt;&gt;O199,MAX(1,MIN(AA200,ROUNDUP(SUMPRODUCT(($O$5:$O$546=O200)*($I$5:$I$546="Ja")*($E$5:$E$546-$D$5:$D$546))*24/REGLER!$B$8,0))),"")</f>
        <v/>
      </c>
      <c r="N200" s="50" t="str">
        <f t="shared" si="47"/>
        <v>Klar</v>
      </c>
      <c r="O200" s="15" t="s">
        <v>123</v>
      </c>
      <c r="P200" s="16">
        <v>0.33333333333333298</v>
      </c>
      <c r="Q200" s="16">
        <v>0.625</v>
      </c>
      <c r="R200" s="15">
        <f>IFERROR(MATCH(1,INDEX((MATCHER!$B$5:$B$504=A200)*(MATCHER!$D$5:$D$504=C200)*(MATCHER!$K$5:$K$504="Ja")*(MATCHER!$C$5:$C$504&lt;E200)*(MATCHER!$M$5:$M$504&gt;D200),0),0),"")</f>
        <v>66</v>
      </c>
      <c r="S200" s="15" t="str">
        <f>IF(R200="","",IFERROR(MATCH(1,INDEX((MATCHER!$B$5:$B$504=A200)*(MATCHER!$D$5:$D$504=C200)*(MATCHER!$K$5:$K$504="Ja")*(MATCHER!$C$5:$C$504&lt;E200)*(MATCHER!$M$5:$M$504&gt;D200)*(ROW(MATCHER!$A$5:$A$504)-ROW(MATCHER!$A$5)+1&gt;R200),0),0),""))</f>
        <v/>
      </c>
      <c r="T200" s="15" t="str">
        <f>IF(S200="","",IFERROR(MATCH(1,INDEX((MATCHER!$B$5:$B$504=A200)*(MATCHER!$D$5:$D$504=C200)*(MATCHER!$K$5:$K$504="Ja")*(MATCHER!$C$5:$C$504&lt;E200)*(MATCHER!$M$5:$M$504&gt;D200)*(ROW(MATCHER!$A$5:$A$504)-ROW(MATCHER!$A$5)+1&gt;S200),0),0),""))</f>
        <v/>
      </c>
      <c r="U200" s="15">
        <f t="shared" si="48"/>
        <v>0</v>
      </c>
      <c r="V200" s="15">
        <f>IF(OR(I200&lt;&gt;"Ja",J200=""),"",COUNTIFS($O$5:O200,O200,$U$5:U200,1))</f>
        <v>1</v>
      </c>
      <c r="W200" s="15" t="str">
        <f t="shared" si="49"/>
        <v>2026-11-14 | Ulriksdalshallen|1</v>
      </c>
      <c r="X200" s="16" t="str">
        <f t="shared" si="50"/>
        <v/>
      </c>
      <c r="Y200" s="15">
        <f>IF(OR(I200&lt;&gt;"Ja",J200=""),0,IF(COUNTIFS($O$5:O200,O200,$I$5:I200,"Ja",$J$5:J200,"&lt;&gt;")=1,1,0))</f>
        <v>0</v>
      </c>
      <c r="Z200" s="15">
        <f>IF(OR(I200&lt;&gt;"Ja",J200=""),0,IF(COUNTIFS(O200:$O$546,O200,I200:$I$546,"Ja",J200:$J$546,"&lt;&gt;")=1,1,0))</f>
        <v>0</v>
      </c>
      <c r="AA200" s="15">
        <f t="shared" si="46"/>
        <v>1</v>
      </c>
      <c r="AB200" s="15" t="str">
        <f>IF(U200&lt;&gt;1,"",COUNTIF($U$5:U200,1))</f>
        <v/>
      </c>
      <c r="AC200" s="15" t="str">
        <f t="shared" si="51"/>
        <v/>
      </c>
      <c r="AD200" s="15" t="str">
        <f t="shared" si="52"/>
        <v>Vanligt café</v>
      </c>
      <c r="AE200" s="15" t="str">
        <f t="shared" si="53"/>
        <v/>
      </c>
      <c r="AF200" t="str">
        <f>IF(T200="","",IFERROR(MATCH(1,INDEX((MATCHER!$B$5:$B$504=A200)*(MATCHER!$D$5:$D$504=C200)*(MATCHER!$K$5:$K$504="Ja")*(MATCHER!$C$5:$C$504&lt;E200)*(MATCHER!$M$5:$M$504&gt;D200)*(ROW(MATCHER!$A$5:$A$504)-ROW(MATCHER!$A$5)+1&gt;T200),0),0),""))</f>
        <v/>
      </c>
    </row>
    <row r="201" spans="1:32" ht="26">
      <c r="A201" s="42">
        <v>46340</v>
      </c>
      <c r="B201" s="43" t="s">
        <v>85</v>
      </c>
      <c r="C201" s="43" t="s">
        <v>86</v>
      </c>
      <c r="D201" s="44">
        <v>0.54166666666666696</v>
      </c>
      <c r="E201" s="44">
        <v>0.5625</v>
      </c>
      <c r="F201" s="45" t="str">
        <f>IF(R201="","",HOUR(INDEX(MATCHER!$C$5:$C$504,R201))&amp;":"&amp;IF(MINUTE(INDEX(MATCHER!$C$5:$C$504,R201))&lt;10,"0","")&amp;MINUTE(INDEX(MATCHER!$C$5:$C$504,R201))&amp;" "&amp;INDEX(MATCHER!$H$5:$H$504,R201)&amp;" – "&amp;INDEX(MATCHER!$I$5:$I$504,R201))&amp;IF(S201="",""," | "&amp;HOUR(INDEX(MATCHER!$C$5:$C$504,S201))&amp;":"&amp;IF(MINUTE(INDEX(MATCHER!$C$5:$C$504,S201))&lt;10,"0","")&amp;MINUTE(INDEX(MATCHER!$C$5:$C$504,S201))&amp;" "&amp;INDEX(MATCHER!$H$5:$H$504,S201)&amp;" – "&amp;INDEX(MATCHER!$I$5:$I$504,S201))&amp;IF(T201="",""," | "&amp;HOUR(INDEX(MATCHER!$C$5:$C$504,T201))&amp;":"&amp;IF(MINUTE(INDEX(MATCHER!$C$5:$C$504,T201))&lt;10,"0","")&amp;MINUTE(INDEX(MATCHER!$C$5:$C$504,T201))&amp;" "&amp;INDEX(MATCHER!$H$5:$H$504,T201)&amp;" – "&amp;INDEX(MATCHER!$I$5:$I$504,T201))&amp;IF(AF201="",""," | "&amp;HOUR(INDEX(MATCHER!$C$5:$C$504,AF201))&amp;":"&amp;IF(MINUTE(INDEX(MATCHER!$C$5:$C$504,AF201))&lt;10,"0","")&amp;MINUTE(INDEX(MATCHER!$C$5:$C$504,AF201))&amp;" "&amp;INDEX(MATCHER!$H$5:$H$504,AF201)&amp;" – "&amp;INDEX(MATCHER!$I$5:$I$504,AF201))</f>
        <v>13:20 Vacant- 37 – Vacant- 37</v>
      </c>
      <c r="G201" s="45" t="str">
        <f>MID(IF(R201="","",IF(OR(INDEX(MATCHER!$J$5:$J$504,R201)=""),""," / "&amp;INDEX(MATCHER!$J$5:$J$504,R201)))&amp;IF(S201="","",IF(OR(INDEX(MATCHER!$J$5:$J$504,S201)="",INDEX(MATCHER!$J$5:$J$504,S201)=IFERROR(INDEX(MATCHER!$J$5:$J$504,R201),"")),""," / "&amp;INDEX(MATCHER!$J$5:$J$504,S201)))&amp;IF(T201="","",IF(OR(INDEX(MATCHER!$J$5:$J$504,T201)="",INDEX(MATCHER!$J$5:$J$504,T201)=IFERROR(INDEX(MATCHER!$J$5:$J$504,R201),""),INDEX(MATCHER!$J$5:$J$504,T201)=IFERROR(INDEX(MATCHER!$J$5:$J$504,S201),"")),""," / "&amp;INDEX(MATCHER!$J$5:$J$504,T201)))&amp;IF(AF201="","",IF(OR(INDEX(MATCHER!$J$5:$J$504,AF201)="",INDEX(MATCHER!$J$5:$J$504,AF201)=IFERROR(INDEX(MATCHER!$J$5:$J$504,R201),""),INDEX(MATCHER!$J$5:$J$504,AF201)=IFERROR(INDEX(MATCHER!$J$5:$J$504,S201),""),INDEX(MATCHER!$J$5:$J$504,AF201)=IFERROR(INDEX(MATCHER!$J$5:$J$504,T201),"")),""," / "&amp;INDEX(MATCHER!$J$5:$J$504,AF201))),4,1000)</f>
        <v/>
      </c>
      <c r="H201" s="45" t="str">
        <f t="shared" si="45"/>
        <v>F13</v>
      </c>
      <c r="I201" s="46" t="s">
        <v>90</v>
      </c>
      <c r="J201" s="47" t="s">
        <v>97</v>
      </c>
      <c r="K201" s="48"/>
      <c r="L201" s="49"/>
      <c r="M201" s="50" t="str">
        <f>IF(O201&lt;&gt;O200,MAX(1,MIN(AA201,ROUNDUP(SUMPRODUCT(($O$5:$O$546=O201)*($I$5:$I$546="Ja")*($E$5:$E$546-$D$5:$D$546))*24/REGLER!$B$8,0))),"")</f>
        <v/>
      </c>
      <c r="N201" s="50" t="str">
        <f t="shared" si="47"/>
        <v>Klar</v>
      </c>
      <c r="O201" s="15" t="s">
        <v>123</v>
      </c>
      <c r="P201" s="16">
        <v>0.33333333333333298</v>
      </c>
      <c r="Q201" s="16">
        <v>0.625</v>
      </c>
      <c r="R201" s="15">
        <f>IFERROR(MATCH(1,INDEX((MATCHER!$B$5:$B$504=A201)*(MATCHER!$D$5:$D$504=C201)*(MATCHER!$K$5:$K$504="Ja")*(MATCHER!$C$5:$C$504&lt;E201)*(MATCHER!$M$5:$M$504&gt;D201),0),0),"")</f>
        <v>67</v>
      </c>
      <c r="S201" s="15" t="str">
        <f>IF(R201="","",IFERROR(MATCH(1,INDEX((MATCHER!$B$5:$B$504=A201)*(MATCHER!$D$5:$D$504=C201)*(MATCHER!$K$5:$K$504="Ja")*(MATCHER!$C$5:$C$504&lt;E201)*(MATCHER!$M$5:$M$504&gt;D201)*(ROW(MATCHER!$A$5:$A$504)-ROW(MATCHER!$A$5)+1&gt;R201),0),0),""))</f>
        <v/>
      </c>
      <c r="T201" s="15" t="str">
        <f>IF(S201="","",IFERROR(MATCH(1,INDEX((MATCHER!$B$5:$B$504=A201)*(MATCHER!$D$5:$D$504=C201)*(MATCHER!$K$5:$K$504="Ja")*(MATCHER!$C$5:$C$504&lt;E201)*(MATCHER!$M$5:$M$504&gt;D201)*(ROW(MATCHER!$A$5:$A$504)-ROW(MATCHER!$A$5)+1&gt;S201),0),0),""))</f>
        <v/>
      </c>
      <c r="U201" s="15">
        <f t="shared" si="48"/>
        <v>0</v>
      </c>
      <c r="V201" s="15">
        <f>IF(OR(I201&lt;&gt;"Ja",J201=""),"",COUNTIFS($O$5:O201,O201,$U$5:U201,1))</f>
        <v>1</v>
      </c>
      <c r="W201" s="15" t="str">
        <f t="shared" si="49"/>
        <v>2026-11-14 | Ulriksdalshallen|1</v>
      </c>
      <c r="X201" s="16" t="str">
        <f t="shared" si="50"/>
        <v/>
      </c>
      <c r="Y201" s="15">
        <f>IF(OR(I201&lt;&gt;"Ja",J201=""),0,IF(COUNTIFS($O$5:O201,O201,$I$5:I201,"Ja",$J$5:J201,"&lt;&gt;")=1,1,0))</f>
        <v>0</v>
      </c>
      <c r="Z201" s="15">
        <f>IF(OR(I201&lt;&gt;"Ja",J201=""),0,IF(COUNTIFS(O201:$O$546,O201,I201:$I$546,"Ja",J201:$J$546,"&lt;&gt;")=1,1,0))</f>
        <v>0</v>
      </c>
      <c r="AA201" s="15">
        <f t="shared" si="46"/>
        <v>1</v>
      </c>
      <c r="AB201" s="15" t="str">
        <f>IF(U201&lt;&gt;1,"",COUNTIF($U$5:U201,1))</f>
        <v/>
      </c>
      <c r="AC201" s="15" t="str">
        <f t="shared" si="51"/>
        <v/>
      </c>
      <c r="AD201" s="15" t="str">
        <f t="shared" si="52"/>
        <v>Vanligt café</v>
      </c>
      <c r="AE201" s="15" t="str">
        <f t="shared" si="53"/>
        <v/>
      </c>
      <c r="AF201" t="str">
        <f>IF(T201="","",IFERROR(MATCH(1,INDEX((MATCHER!$B$5:$B$504=A201)*(MATCHER!$D$5:$D$504=C201)*(MATCHER!$K$5:$K$504="Ja")*(MATCHER!$C$5:$C$504&lt;E201)*(MATCHER!$M$5:$M$504&gt;D201)*(ROW(MATCHER!$A$5:$A$504)-ROW(MATCHER!$A$5)+1&gt;T201),0),0),""))</f>
        <v/>
      </c>
    </row>
    <row r="202" spans="1:32" ht="26">
      <c r="A202" s="42">
        <v>46340</v>
      </c>
      <c r="B202" s="43" t="s">
        <v>85</v>
      </c>
      <c r="C202" s="43" t="s">
        <v>86</v>
      </c>
      <c r="D202" s="44">
        <v>0.5625</v>
      </c>
      <c r="E202" s="44">
        <v>0.58333333333333304</v>
      </c>
      <c r="F202" s="45" t="str">
        <f>IF(R202="","",HOUR(INDEX(MATCHER!$C$5:$C$504,R202))&amp;":"&amp;IF(MINUTE(INDEX(MATCHER!$C$5:$C$504,R202))&lt;10,"0","")&amp;MINUTE(INDEX(MATCHER!$C$5:$C$504,R202))&amp;" "&amp;INDEX(MATCHER!$H$5:$H$504,R202)&amp;" – "&amp;INDEX(MATCHER!$I$5:$I$504,R202))&amp;IF(S202="",""," | "&amp;HOUR(INDEX(MATCHER!$C$5:$C$504,S202))&amp;":"&amp;IF(MINUTE(INDEX(MATCHER!$C$5:$C$504,S202))&lt;10,"0","")&amp;MINUTE(INDEX(MATCHER!$C$5:$C$504,S202))&amp;" "&amp;INDEX(MATCHER!$H$5:$H$504,S202)&amp;" – "&amp;INDEX(MATCHER!$I$5:$I$504,S202))&amp;IF(T202="",""," | "&amp;HOUR(INDEX(MATCHER!$C$5:$C$504,T202))&amp;":"&amp;IF(MINUTE(INDEX(MATCHER!$C$5:$C$504,T202))&lt;10,"0","")&amp;MINUTE(INDEX(MATCHER!$C$5:$C$504,T202))&amp;" "&amp;INDEX(MATCHER!$H$5:$H$504,T202)&amp;" – "&amp;INDEX(MATCHER!$I$5:$I$504,T202))&amp;IF(AF202="",""," | "&amp;HOUR(INDEX(MATCHER!$C$5:$C$504,AF202))&amp;":"&amp;IF(MINUTE(INDEX(MATCHER!$C$5:$C$504,AF202))&lt;10,"0","")&amp;MINUTE(INDEX(MATCHER!$C$5:$C$504,AF202))&amp;" "&amp;INDEX(MATCHER!$H$5:$H$504,AF202)&amp;" – "&amp;INDEX(MATCHER!$I$5:$I$504,AF202))</f>
        <v>13:20 Vacant- 37 – Vacant- 37</v>
      </c>
      <c r="G202" s="45" t="str">
        <f>MID(IF(R202="","",IF(OR(INDEX(MATCHER!$J$5:$J$504,R202)=""),""," / "&amp;INDEX(MATCHER!$J$5:$J$504,R202)))&amp;IF(S202="","",IF(OR(INDEX(MATCHER!$J$5:$J$504,S202)="",INDEX(MATCHER!$J$5:$J$504,S202)=IFERROR(INDEX(MATCHER!$J$5:$J$504,R202),"")),""," / "&amp;INDEX(MATCHER!$J$5:$J$504,S202)))&amp;IF(T202="","",IF(OR(INDEX(MATCHER!$J$5:$J$504,T202)="",INDEX(MATCHER!$J$5:$J$504,T202)=IFERROR(INDEX(MATCHER!$J$5:$J$504,R202),""),INDEX(MATCHER!$J$5:$J$504,T202)=IFERROR(INDEX(MATCHER!$J$5:$J$504,S202),"")),""," / "&amp;INDEX(MATCHER!$J$5:$J$504,T202)))&amp;IF(AF202="","",IF(OR(INDEX(MATCHER!$J$5:$J$504,AF202)="",INDEX(MATCHER!$J$5:$J$504,AF202)=IFERROR(INDEX(MATCHER!$J$5:$J$504,R202),""),INDEX(MATCHER!$J$5:$J$504,AF202)=IFERROR(INDEX(MATCHER!$J$5:$J$504,S202),""),INDEX(MATCHER!$J$5:$J$504,AF202)=IFERROR(INDEX(MATCHER!$J$5:$J$504,T202),"")),""," / "&amp;INDEX(MATCHER!$J$5:$J$504,AF202))),4,1000)</f>
        <v/>
      </c>
      <c r="H202" s="45" t="str">
        <f t="shared" si="45"/>
        <v>F13</v>
      </c>
      <c r="I202" s="46" t="s">
        <v>90</v>
      </c>
      <c r="J202" s="47" t="s">
        <v>97</v>
      </c>
      <c r="K202" s="48"/>
      <c r="L202" s="49"/>
      <c r="M202" s="50" t="str">
        <f>IF(O202&lt;&gt;O201,MAX(1,MIN(AA202,ROUNDUP(SUMPRODUCT(($O$5:$O$546=O202)*($I$5:$I$546="Ja")*($E$5:$E$546-$D$5:$D$546))*24/REGLER!$B$8,0))),"")</f>
        <v/>
      </c>
      <c r="N202" s="50" t="str">
        <f t="shared" si="47"/>
        <v>Klar</v>
      </c>
      <c r="O202" s="15" t="s">
        <v>123</v>
      </c>
      <c r="P202" s="16">
        <v>0.33333333333333298</v>
      </c>
      <c r="Q202" s="16">
        <v>0.625</v>
      </c>
      <c r="R202" s="15">
        <f>IFERROR(MATCH(1,INDEX((MATCHER!$B$5:$B$504=A202)*(MATCHER!$D$5:$D$504=C202)*(MATCHER!$K$5:$K$504="Ja")*(MATCHER!$C$5:$C$504&lt;E202)*(MATCHER!$M$5:$M$504&gt;D202),0),0),"")</f>
        <v>67</v>
      </c>
      <c r="S202" s="15" t="str">
        <f>IF(R202="","",IFERROR(MATCH(1,INDEX((MATCHER!$B$5:$B$504=A202)*(MATCHER!$D$5:$D$504=C202)*(MATCHER!$K$5:$K$504="Ja")*(MATCHER!$C$5:$C$504&lt;E202)*(MATCHER!$M$5:$M$504&gt;D202)*(ROW(MATCHER!$A$5:$A$504)-ROW(MATCHER!$A$5)+1&gt;R202),0),0),""))</f>
        <v/>
      </c>
      <c r="T202" s="15" t="str">
        <f>IF(S202="","",IFERROR(MATCH(1,INDEX((MATCHER!$B$5:$B$504=A202)*(MATCHER!$D$5:$D$504=C202)*(MATCHER!$K$5:$K$504="Ja")*(MATCHER!$C$5:$C$504&lt;E202)*(MATCHER!$M$5:$M$504&gt;D202)*(ROW(MATCHER!$A$5:$A$504)-ROW(MATCHER!$A$5)+1&gt;S202),0),0),""))</f>
        <v/>
      </c>
      <c r="U202" s="15">
        <f t="shared" si="48"/>
        <v>0</v>
      </c>
      <c r="V202" s="15">
        <f>IF(OR(I202&lt;&gt;"Ja",J202=""),"",COUNTIFS($O$5:O202,O202,$U$5:U202,1))</f>
        <v>1</v>
      </c>
      <c r="W202" s="15" t="str">
        <f t="shared" si="49"/>
        <v>2026-11-14 | Ulriksdalshallen|1</v>
      </c>
      <c r="X202" s="16" t="str">
        <f t="shared" si="50"/>
        <v/>
      </c>
      <c r="Y202" s="15">
        <f>IF(OR(I202&lt;&gt;"Ja",J202=""),0,IF(COUNTIFS($O$5:O202,O202,$I$5:I202,"Ja",$J$5:J202,"&lt;&gt;")=1,1,0))</f>
        <v>0</v>
      </c>
      <c r="Z202" s="15">
        <f>IF(OR(I202&lt;&gt;"Ja",J202=""),0,IF(COUNTIFS(O202:$O$546,O202,I202:$I$546,"Ja",J202:$J$546,"&lt;&gt;")=1,1,0))</f>
        <v>0</v>
      </c>
      <c r="AA202" s="15">
        <f t="shared" si="46"/>
        <v>1</v>
      </c>
      <c r="AB202" s="15" t="str">
        <f>IF(U202&lt;&gt;1,"",COUNTIF($U$5:U202,1))</f>
        <v/>
      </c>
      <c r="AC202" s="15" t="str">
        <f t="shared" si="51"/>
        <v/>
      </c>
      <c r="AD202" s="15" t="str">
        <f t="shared" si="52"/>
        <v>Vanligt café</v>
      </c>
      <c r="AE202" s="15" t="str">
        <f t="shared" si="53"/>
        <v/>
      </c>
      <c r="AF202" t="str">
        <f>IF(T202="","",IFERROR(MATCH(1,INDEX((MATCHER!$B$5:$B$504=A202)*(MATCHER!$D$5:$D$504=C202)*(MATCHER!$K$5:$K$504="Ja")*(MATCHER!$C$5:$C$504&lt;E202)*(MATCHER!$M$5:$M$504&gt;D202)*(ROW(MATCHER!$A$5:$A$504)-ROW(MATCHER!$A$5)+1&gt;T202),0),0),""))</f>
        <v/>
      </c>
    </row>
    <row r="203" spans="1:32" ht="26">
      <c r="A203" s="42">
        <v>46340</v>
      </c>
      <c r="B203" s="43" t="s">
        <v>85</v>
      </c>
      <c r="C203" s="43" t="s">
        <v>86</v>
      </c>
      <c r="D203" s="44">
        <v>0.58333333333333304</v>
      </c>
      <c r="E203" s="44">
        <v>0.60416666666666696</v>
      </c>
      <c r="F203" s="45" t="str">
        <f>IF(R203="","",HOUR(INDEX(MATCHER!$C$5:$C$504,R203))&amp;":"&amp;IF(MINUTE(INDEX(MATCHER!$C$5:$C$504,R203))&lt;10,"0","")&amp;MINUTE(INDEX(MATCHER!$C$5:$C$504,R203))&amp;" "&amp;INDEX(MATCHER!$H$5:$H$504,R203)&amp;" – "&amp;INDEX(MATCHER!$I$5:$I$504,R203))&amp;IF(S203="",""," | "&amp;HOUR(INDEX(MATCHER!$C$5:$C$504,S203))&amp;":"&amp;IF(MINUTE(INDEX(MATCHER!$C$5:$C$504,S203))&lt;10,"0","")&amp;MINUTE(INDEX(MATCHER!$C$5:$C$504,S203))&amp;" "&amp;INDEX(MATCHER!$H$5:$H$504,S203)&amp;" – "&amp;INDEX(MATCHER!$I$5:$I$504,S203))&amp;IF(T203="",""," | "&amp;HOUR(INDEX(MATCHER!$C$5:$C$504,T203))&amp;":"&amp;IF(MINUTE(INDEX(MATCHER!$C$5:$C$504,T203))&lt;10,"0","")&amp;MINUTE(INDEX(MATCHER!$C$5:$C$504,T203))&amp;" "&amp;INDEX(MATCHER!$H$5:$H$504,T203)&amp;" – "&amp;INDEX(MATCHER!$I$5:$I$504,T203))&amp;IF(AF203="",""," | "&amp;HOUR(INDEX(MATCHER!$C$5:$C$504,AF203))&amp;":"&amp;IF(MINUTE(INDEX(MATCHER!$C$5:$C$504,AF203))&lt;10,"0","")&amp;MINUTE(INDEX(MATCHER!$C$5:$C$504,AF203))&amp;" "&amp;INDEX(MATCHER!$H$5:$H$504,AF203)&amp;" – "&amp;INDEX(MATCHER!$I$5:$I$504,AF203))</f>
        <v>14:10 AIK – Vacant- 37</v>
      </c>
      <c r="G203" s="45" t="str">
        <f>MID(IF(R203="","",IF(OR(INDEX(MATCHER!$J$5:$J$504,R203)=""),""," / "&amp;INDEX(MATCHER!$J$5:$J$504,R203)))&amp;IF(S203="","",IF(OR(INDEX(MATCHER!$J$5:$J$504,S203)="",INDEX(MATCHER!$J$5:$J$504,S203)=IFERROR(INDEX(MATCHER!$J$5:$J$504,R203),"")),""," / "&amp;INDEX(MATCHER!$J$5:$J$504,S203)))&amp;IF(T203="","",IF(OR(INDEX(MATCHER!$J$5:$J$504,T203)="",INDEX(MATCHER!$J$5:$J$504,T203)=IFERROR(INDEX(MATCHER!$J$5:$J$504,R203),""),INDEX(MATCHER!$J$5:$J$504,T203)=IFERROR(INDEX(MATCHER!$J$5:$J$504,S203),"")),""," / "&amp;INDEX(MATCHER!$J$5:$J$504,T203)))&amp;IF(AF203="","",IF(OR(INDEX(MATCHER!$J$5:$J$504,AF203)="",INDEX(MATCHER!$J$5:$J$504,AF203)=IFERROR(INDEX(MATCHER!$J$5:$J$504,R203),""),INDEX(MATCHER!$J$5:$J$504,AF203)=IFERROR(INDEX(MATCHER!$J$5:$J$504,S203),""),INDEX(MATCHER!$J$5:$J$504,AF203)=IFERROR(INDEX(MATCHER!$J$5:$J$504,T203),"")),""," / "&amp;INDEX(MATCHER!$J$5:$J$504,AF203))),4,1000)</f>
        <v>F13</v>
      </c>
      <c r="H203" s="45" t="str">
        <f t="shared" si="45"/>
        <v>F13</v>
      </c>
      <c r="I203" s="46" t="s">
        <v>90</v>
      </c>
      <c r="J203" s="47" t="s">
        <v>97</v>
      </c>
      <c r="K203" s="48"/>
      <c r="L203" s="49"/>
      <c r="M203" s="50" t="str">
        <f>IF(O203&lt;&gt;O202,MAX(1,MIN(AA203,ROUNDUP(SUMPRODUCT(($O$5:$O$546=O203)*($I$5:$I$546="Ja")*($E$5:$E$546-$D$5:$D$546))*24/REGLER!$B$8,0))),"")</f>
        <v/>
      </c>
      <c r="N203" s="50" t="str">
        <f t="shared" si="47"/>
        <v>Klar</v>
      </c>
      <c r="O203" s="15" t="s">
        <v>123</v>
      </c>
      <c r="P203" s="16">
        <v>0.33333333333333298</v>
      </c>
      <c r="Q203" s="16">
        <v>0.625</v>
      </c>
      <c r="R203" s="15">
        <f>IFERROR(MATCH(1,INDEX((MATCHER!$B$5:$B$504=A203)*(MATCHER!$D$5:$D$504=C203)*(MATCHER!$K$5:$K$504="Ja")*(MATCHER!$C$5:$C$504&lt;E203)*(MATCHER!$M$5:$M$504&gt;D203),0),0),"")</f>
        <v>68</v>
      </c>
      <c r="S203" s="15" t="str">
        <f>IF(R203="","",IFERROR(MATCH(1,INDEX((MATCHER!$B$5:$B$504=A203)*(MATCHER!$D$5:$D$504=C203)*(MATCHER!$K$5:$K$504="Ja")*(MATCHER!$C$5:$C$504&lt;E203)*(MATCHER!$M$5:$M$504&gt;D203)*(ROW(MATCHER!$A$5:$A$504)-ROW(MATCHER!$A$5)+1&gt;R203),0),0),""))</f>
        <v/>
      </c>
      <c r="T203" s="15" t="str">
        <f>IF(S203="","",IFERROR(MATCH(1,INDEX((MATCHER!$B$5:$B$504=A203)*(MATCHER!$D$5:$D$504=C203)*(MATCHER!$K$5:$K$504="Ja")*(MATCHER!$C$5:$C$504&lt;E203)*(MATCHER!$M$5:$M$504&gt;D203)*(ROW(MATCHER!$A$5:$A$504)-ROW(MATCHER!$A$5)+1&gt;S203),0),0),""))</f>
        <v/>
      </c>
      <c r="U203" s="15">
        <f t="shared" si="48"/>
        <v>0</v>
      </c>
      <c r="V203" s="15">
        <f>IF(OR(I203&lt;&gt;"Ja",J203=""),"",COUNTIFS($O$5:O203,O203,$U$5:U203,1))</f>
        <v>1</v>
      </c>
      <c r="W203" s="15" t="str">
        <f t="shared" si="49"/>
        <v>2026-11-14 | Ulriksdalshallen|1</v>
      </c>
      <c r="X203" s="16" t="str">
        <f t="shared" si="50"/>
        <v/>
      </c>
      <c r="Y203" s="15">
        <f>IF(OR(I203&lt;&gt;"Ja",J203=""),0,IF(COUNTIFS($O$5:O203,O203,$I$5:I203,"Ja",$J$5:J203,"&lt;&gt;")=1,1,0))</f>
        <v>0</v>
      </c>
      <c r="Z203" s="15">
        <f>IF(OR(I203&lt;&gt;"Ja",J203=""),0,IF(COUNTIFS(O203:$O$546,O203,I203:$I$546,"Ja",J203:$J$546,"&lt;&gt;")=1,1,0))</f>
        <v>0</v>
      </c>
      <c r="AA203" s="15">
        <f t="shared" si="46"/>
        <v>1</v>
      </c>
      <c r="AB203" s="15" t="str">
        <f>IF(U203&lt;&gt;1,"",COUNTIF($U$5:U203,1))</f>
        <v/>
      </c>
      <c r="AC203" s="15" t="str">
        <f t="shared" si="51"/>
        <v/>
      </c>
      <c r="AD203" s="15" t="str">
        <f t="shared" si="52"/>
        <v>Vanligt café</v>
      </c>
      <c r="AE203" s="15" t="str">
        <f t="shared" si="53"/>
        <v/>
      </c>
      <c r="AF203" t="str">
        <f>IF(T203="","",IFERROR(MATCH(1,INDEX((MATCHER!$B$5:$B$504=A203)*(MATCHER!$D$5:$D$504=C203)*(MATCHER!$K$5:$K$504="Ja")*(MATCHER!$C$5:$C$504&lt;E203)*(MATCHER!$M$5:$M$504&gt;D203)*(ROW(MATCHER!$A$5:$A$504)-ROW(MATCHER!$A$5)+1&gt;T203),0),0),""))</f>
        <v/>
      </c>
    </row>
    <row r="204" spans="1:32" ht="26.5" thickBot="1">
      <c r="A204" s="52">
        <v>46340</v>
      </c>
      <c r="B204" s="53" t="s">
        <v>85</v>
      </c>
      <c r="C204" s="53" t="s">
        <v>86</v>
      </c>
      <c r="D204" s="54">
        <v>0.60416666666666696</v>
      </c>
      <c r="E204" s="54">
        <v>0.625</v>
      </c>
      <c r="F204" s="55" t="str">
        <f>IF(R204="","",HOUR(INDEX(MATCHER!$C$5:$C$504,R204))&amp;":"&amp;IF(MINUTE(INDEX(MATCHER!$C$5:$C$504,R204))&lt;10,"0","")&amp;MINUTE(INDEX(MATCHER!$C$5:$C$504,R204))&amp;" "&amp;INDEX(MATCHER!$H$5:$H$504,R204)&amp;" – "&amp;INDEX(MATCHER!$I$5:$I$504,R204))&amp;IF(S204="",""," | "&amp;HOUR(INDEX(MATCHER!$C$5:$C$504,S204))&amp;":"&amp;IF(MINUTE(INDEX(MATCHER!$C$5:$C$504,S204))&lt;10,"0","")&amp;MINUTE(INDEX(MATCHER!$C$5:$C$504,S204))&amp;" "&amp;INDEX(MATCHER!$H$5:$H$504,S204)&amp;" – "&amp;INDEX(MATCHER!$I$5:$I$504,S204))&amp;IF(T204="",""," | "&amp;HOUR(INDEX(MATCHER!$C$5:$C$504,T204))&amp;":"&amp;IF(MINUTE(INDEX(MATCHER!$C$5:$C$504,T204))&lt;10,"0","")&amp;MINUTE(INDEX(MATCHER!$C$5:$C$504,T204))&amp;" "&amp;INDEX(MATCHER!$H$5:$H$504,T204)&amp;" – "&amp;INDEX(MATCHER!$I$5:$I$504,T204))&amp;IF(AF204="",""," | "&amp;HOUR(INDEX(MATCHER!$C$5:$C$504,AF204))&amp;":"&amp;IF(MINUTE(INDEX(MATCHER!$C$5:$C$504,AF204))&lt;10,"0","")&amp;MINUTE(INDEX(MATCHER!$C$5:$C$504,AF204))&amp;" "&amp;INDEX(MATCHER!$H$5:$H$504,AF204)&amp;" – "&amp;INDEX(MATCHER!$I$5:$I$504,AF204))</f>
        <v>14:10 AIK – Vacant- 37</v>
      </c>
      <c r="G204" s="55" t="str">
        <f>MID(IF(R204="","",IF(OR(INDEX(MATCHER!$J$5:$J$504,R204)=""),""," / "&amp;INDEX(MATCHER!$J$5:$J$504,R204)))&amp;IF(S204="","",IF(OR(INDEX(MATCHER!$J$5:$J$504,S204)="",INDEX(MATCHER!$J$5:$J$504,S204)=IFERROR(INDEX(MATCHER!$J$5:$J$504,R204),"")),""," / "&amp;INDEX(MATCHER!$J$5:$J$504,S204)))&amp;IF(T204="","",IF(OR(INDEX(MATCHER!$J$5:$J$504,T204)="",INDEX(MATCHER!$J$5:$J$504,T204)=IFERROR(INDEX(MATCHER!$J$5:$J$504,R204),""),INDEX(MATCHER!$J$5:$J$504,T204)=IFERROR(INDEX(MATCHER!$J$5:$J$504,S204),"")),""," / "&amp;INDEX(MATCHER!$J$5:$J$504,T204)))&amp;IF(AF204="","",IF(OR(INDEX(MATCHER!$J$5:$J$504,AF204)="",INDEX(MATCHER!$J$5:$J$504,AF204)=IFERROR(INDEX(MATCHER!$J$5:$J$504,R204),""),INDEX(MATCHER!$J$5:$J$504,AF204)=IFERROR(INDEX(MATCHER!$J$5:$J$504,S204),""),INDEX(MATCHER!$J$5:$J$504,AF204)=IFERROR(INDEX(MATCHER!$J$5:$J$504,T204),"")),""," / "&amp;INDEX(MATCHER!$J$5:$J$504,AF204))),4,1000)</f>
        <v>F13</v>
      </c>
      <c r="H204" s="55" t="str">
        <f t="shared" si="45"/>
        <v>F13</v>
      </c>
      <c r="I204" s="56" t="s">
        <v>90</v>
      </c>
      <c r="J204" s="57" t="s">
        <v>97</v>
      </c>
      <c r="K204" s="58"/>
      <c r="L204" s="59"/>
      <c r="M204" s="60" t="str">
        <f>IF(O204&lt;&gt;O203,MAX(1,MIN(AA204,ROUNDUP(SUMPRODUCT(($O$5:$O$546=O204)*($I$5:$I$546="Ja")*($E$5:$E$546-$D$5:$D$546))*24/REGLER!$B$8,0))),"")</f>
        <v/>
      </c>
      <c r="N204" s="60" t="str">
        <f t="shared" si="47"/>
        <v>Klar</v>
      </c>
      <c r="O204" s="15" t="s">
        <v>123</v>
      </c>
      <c r="P204" s="16">
        <v>0.33333333333333298</v>
      </c>
      <c r="Q204" s="16">
        <v>0.625</v>
      </c>
      <c r="R204" s="15">
        <f>IFERROR(MATCH(1,INDEX((MATCHER!$B$5:$B$504=A204)*(MATCHER!$D$5:$D$504=C204)*(MATCHER!$K$5:$K$504="Ja")*(MATCHER!$C$5:$C$504&lt;E204)*(MATCHER!$M$5:$M$504&gt;D204),0),0),"")</f>
        <v>68</v>
      </c>
      <c r="S204" s="15" t="str">
        <f>IF(R204="","",IFERROR(MATCH(1,INDEX((MATCHER!$B$5:$B$504=A204)*(MATCHER!$D$5:$D$504=C204)*(MATCHER!$K$5:$K$504="Ja")*(MATCHER!$C$5:$C$504&lt;E204)*(MATCHER!$M$5:$M$504&gt;D204)*(ROW(MATCHER!$A$5:$A$504)-ROW(MATCHER!$A$5)+1&gt;R204),0),0),""))</f>
        <v/>
      </c>
      <c r="T204" s="15" t="str">
        <f>IF(S204="","",IFERROR(MATCH(1,INDEX((MATCHER!$B$5:$B$504=A204)*(MATCHER!$D$5:$D$504=C204)*(MATCHER!$K$5:$K$504="Ja")*(MATCHER!$C$5:$C$504&lt;E204)*(MATCHER!$M$5:$M$504&gt;D204)*(ROW(MATCHER!$A$5:$A$504)-ROW(MATCHER!$A$5)+1&gt;S204),0),0),""))</f>
        <v/>
      </c>
      <c r="U204" s="15">
        <f t="shared" si="48"/>
        <v>0</v>
      </c>
      <c r="V204" s="15">
        <f>IF(OR(I204&lt;&gt;"Ja",J204=""),"",COUNTIFS($O$5:O204,O204,$U$5:U204,1))</f>
        <v>1</v>
      </c>
      <c r="W204" s="15" t="str">
        <f t="shared" si="49"/>
        <v>2026-11-14 | Ulriksdalshallen|1</v>
      </c>
      <c r="X204" s="16">
        <f t="shared" si="50"/>
        <v>0.625</v>
      </c>
      <c r="Y204" s="15">
        <f>IF(OR(I204&lt;&gt;"Ja",J204=""),0,IF(COUNTIFS($O$5:O204,O204,$I$5:I204,"Ja",$J$5:J204,"&lt;&gt;")=1,1,0))</f>
        <v>0</v>
      </c>
      <c r="Z204" s="15">
        <f>IF(OR(I204&lt;&gt;"Ja",J204=""),0,IF(COUNTIFS(O204:$O$546,O204,I204:$I$546,"Ja",J204:$J$546,"&lt;&gt;")=1,1,0))</f>
        <v>1</v>
      </c>
      <c r="AA204" s="15">
        <f t="shared" si="46"/>
        <v>1</v>
      </c>
      <c r="AB204" s="15" t="str">
        <f>IF(U204&lt;&gt;1,"",COUNTIF($U$5:U204,1))</f>
        <v/>
      </c>
      <c r="AC204" s="15" t="str">
        <f t="shared" si="51"/>
        <v>2026-11-14 | Ulriksdalshallen|1</v>
      </c>
      <c r="AD204" s="15" t="str">
        <f t="shared" si="52"/>
        <v>Vanligt café</v>
      </c>
      <c r="AE204" s="15" t="str">
        <f t="shared" si="53"/>
        <v/>
      </c>
      <c r="AF204" t="str">
        <f>IF(T204="","",IFERROR(MATCH(1,INDEX((MATCHER!$B$5:$B$504=A204)*(MATCHER!$D$5:$D$504=C204)*(MATCHER!$K$5:$K$504="Ja")*(MATCHER!$C$5:$C$504&lt;E204)*(MATCHER!$M$5:$M$504&gt;D204)*(ROW(MATCHER!$A$5:$A$504)-ROW(MATCHER!$A$5)+1&gt;T204),0),0),""))</f>
        <v/>
      </c>
    </row>
    <row r="205" spans="1:32" ht="13">
      <c r="A205" s="42">
        <v>46343</v>
      </c>
      <c r="B205" s="43" t="s">
        <v>104</v>
      </c>
      <c r="C205" s="43" t="s">
        <v>94</v>
      </c>
      <c r="D205" s="44">
        <v>0.83333333333333304</v>
      </c>
      <c r="E205" s="44">
        <v>0.85416666666666696</v>
      </c>
      <c r="F205" s="45" t="str">
        <f>IF(R205="","",HOUR(INDEX(MATCHER!$C$5:$C$504,R205))&amp;":"&amp;IF(MINUTE(INDEX(MATCHER!$C$5:$C$504,R205))&lt;10,"0","")&amp;MINUTE(INDEX(MATCHER!$C$5:$C$504,R205))&amp;" "&amp;INDEX(MATCHER!$H$5:$H$504,R205)&amp;" – "&amp;INDEX(MATCHER!$I$5:$I$504,R205))&amp;IF(S205="",""," | "&amp;HOUR(INDEX(MATCHER!$C$5:$C$504,S205))&amp;":"&amp;IF(MINUTE(INDEX(MATCHER!$C$5:$C$504,S205))&lt;10,"0","")&amp;MINUTE(INDEX(MATCHER!$C$5:$C$504,S205))&amp;" "&amp;INDEX(MATCHER!$H$5:$H$504,S205)&amp;" – "&amp;INDEX(MATCHER!$I$5:$I$504,S205))&amp;IF(T205="",""," | "&amp;HOUR(INDEX(MATCHER!$C$5:$C$504,T205))&amp;":"&amp;IF(MINUTE(INDEX(MATCHER!$C$5:$C$504,T205))&lt;10,"0","")&amp;MINUTE(INDEX(MATCHER!$C$5:$C$504,T205))&amp;" "&amp;INDEX(MATCHER!$H$5:$H$504,T205)&amp;" – "&amp;INDEX(MATCHER!$I$5:$I$504,T205))&amp;IF(AF205="",""," | "&amp;HOUR(INDEX(MATCHER!$C$5:$C$504,AF205))&amp;":"&amp;IF(MINUTE(INDEX(MATCHER!$C$5:$C$504,AF205))&lt;10,"0","")&amp;MINUTE(INDEX(MATCHER!$C$5:$C$504,AF205))&amp;" "&amp;INDEX(MATCHER!$H$5:$H$504,AF205)&amp;" – "&amp;INDEX(MATCHER!$I$5:$I$504,AF205))</f>
        <v/>
      </c>
      <c r="G205" s="45" t="str">
        <f>MID(IF(R205="","",IF(OR(INDEX(MATCHER!$J$5:$J$504,R205)=""),""," / "&amp;INDEX(MATCHER!$J$5:$J$504,R205)))&amp;IF(S205="","",IF(OR(INDEX(MATCHER!$J$5:$J$504,S205)="",INDEX(MATCHER!$J$5:$J$504,S205)=IFERROR(INDEX(MATCHER!$J$5:$J$504,R205),"")),""," / "&amp;INDEX(MATCHER!$J$5:$J$504,S205)))&amp;IF(T205="","",IF(OR(INDEX(MATCHER!$J$5:$J$504,T205)="",INDEX(MATCHER!$J$5:$J$504,T205)=IFERROR(INDEX(MATCHER!$J$5:$J$504,R205),""),INDEX(MATCHER!$J$5:$J$504,T205)=IFERROR(INDEX(MATCHER!$J$5:$J$504,S205),"")),""," / "&amp;INDEX(MATCHER!$J$5:$J$504,T205)))&amp;IF(AF205="","",IF(OR(INDEX(MATCHER!$J$5:$J$504,AF205)="",INDEX(MATCHER!$J$5:$J$504,AF205)=IFERROR(INDEX(MATCHER!$J$5:$J$504,R205),""),INDEX(MATCHER!$J$5:$J$504,AF205)=IFERROR(INDEX(MATCHER!$J$5:$J$504,S205),""),INDEX(MATCHER!$J$5:$J$504,AF205)=IFERROR(INDEX(MATCHER!$J$5:$J$504,T205),"")),""," / "&amp;INDEX(MATCHER!$J$5:$J$504,AF205))),4,1000)</f>
        <v/>
      </c>
      <c r="H205" s="45" t="str">
        <f>MID(IF(COUNTIFS(MATCHER!$B$5:$B$504,A205,MATCHER!$D$5:$D$504,C205,MATCHER!$J$5:$J$504,REGLER!$I$6,MATCHER!$K$5:$K$504,"Ja")+COUNTIFS(MATCHER!$B$5:$B$504,A205,MATCHER!$D$5:$D$504,C205,MATCHER!$J$5:$J$504,REGLER!$I$6&amp;" 2",MATCHER!$K$5:$K$504,"Ja")&gt;0,", "&amp;REGLER!$I$6,"")&amp;IF(COUNTIFS(MATCHER!$B$5:$B$504,A205,MATCHER!$D$5:$D$504,C205,MATCHER!$J$5:$J$504,REGLER!$I$7,MATCHER!$K$5:$K$504,"Ja")+COUNTIFS(MATCHER!$B$5:$B$504,A205,MATCHER!$D$5:$D$504,C205,MATCHER!$J$5:$J$504,REGLER!$I$7&amp;" 2",MATCHER!$K$5:$K$504,"Ja")&gt;0,", "&amp;REGLER!$I$7,"")&amp;IF(COUNTIFS(MATCHER!$B$5:$B$504,A205,MATCHER!$D$5:$D$504,C205,MATCHER!$J$5:$J$504,REGLER!$I$8,MATCHER!$K$5:$K$504,"Ja")+COUNTIFS(MATCHER!$B$5:$B$504,A205,MATCHER!$D$5:$D$504,C205,MATCHER!$J$5:$J$504,REGLER!$I$8&amp;" 2",MATCHER!$K$5:$K$504,"Ja")&gt;0,", "&amp;REGLER!$I$8,"")&amp;IF(COUNTIFS(MATCHER!$B$5:$B$504,A205,MATCHER!$D$5:$D$504,C205,MATCHER!$J$5:$J$504,REGLER!$I$9,MATCHER!$K$5:$K$504,"Ja")+COUNTIFS(MATCHER!$B$5:$B$504,A205,MATCHER!$D$5:$D$504,C205,MATCHER!$J$5:$J$504,REGLER!$I$9&amp;" 2",MATCHER!$K$5:$K$504,"Ja")&gt;0,", "&amp;REGLER!$I$9,"")&amp;IF(COUNTIFS(MATCHER!$B$5:$B$504,A205,MATCHER!$D$5:$D$504,C205,MATCHER!$J$5:$J$504,REGLER!$I$10,MATCHER!$K$5:$K$504,"Ja")+COUNTIFS(MATCHER!$B$5:$B$504,A205,MATCHER!$D$5:$D$504,C205,MATCHER!$J$5:$J$504,REGLER!$I$10&amp;" 2",MATCHER!$K$5:$K$504,"Ja")&gt;0,", "&amp;REGLER!$I$10,"")&amp;IF(COUNTIFS(MATCHER!$B$5:$B$504,A205,MATCHER!$D$5:$D$504,C205,MATCHER!$J$5:$J$504,REGLER!$I$11,MATCHER!$K$5:$K$504,"Ja")+COUNTIFS(MATCHER!$B$5:$B$504,A205,MATCHER!$D$5:$D$504,C205,MATCHER!$J$5:$J$504,REGLER!$I$11&amp;" 2",MATCHER!$K$5:$K$504,"Ja")&gt;0,", "&amp;REGLER!$I$11,"")&amp;IF(COUNTIFS(MATCHER!$B$5:$B$504,A205,MATCHER!$D$5:$D$504,C205,MATCHER!$J$5:$J$504,REGLER!$I$12,MATCHER!$K$5:$K$504,"Ja")+COUNTIFS(MATCHER!$B$5:$B$504,A205,MATCHER!$D$5:$D$504,C205,MATCHER!$J$5:$J$504,REGLER!$I$12&amp;" 2",MATCHER!$K$5:$K$504,"Ja")&gt;0,", "&amp;REGLER!$I$12,"")&amp;IF(COUNTIFS(MATCHER!$B$5:$B$504,A205,MATCHER!$D$5:$D$504,C205,MATCHER!$J$5:$J$504,REGLER!$I$13,MATCHER!$K$5:$K$504,"Ja")+COUNTIFS(MATCHER!$B$5:$B$504,A205,MATCHER!$D$5:$D$504,C205,MATCHER!$J$5:$J$504,REGLER!$I$13&amp;" 2",MATCHER!$K$5:$K$504,"Ja")&gt;0,", "&amp;REGLER!$I$13,"")&amp;IF(COUNTIFS(MATCHER!$B$5:$B$504,A205,MATCHER!$D$5:$D$504,C205,MATCHER!$J$5:$J$504,REGLER!$I$14,MATCHER!$K$5:$K$504,"Ja")+COUNTIFS(MATCHER!$B$5:$B$504,A205,MATCHER!$D$5:$D$504,C205,MATCHER!$J$5:$J$504,REGLER!$I$14&amp;" 2",MATCHER!$K$5:$K$504,"Ja")&gt;0,", "&amp;REGLER!$I$14,"")&amp;IF(COUNTIFS(MATCHER!$B$5:$B$504,A205,MATCHER!$D$5:$D$504,C205,MATCHER!$J$5:$J$504,REGLER!$I$15,MATCHER!$K$5:$K$504,"Ja")+COUNTIFS(MATCHER!$B$5:$B$504,A205,MATCHER!$D$5:$D$504,C205,MATCHER!$J$5:$J$504,REGLER!$I$15&amp;" 2",MATCHER!$K$5:$K$504,"Ja")&gt;0,", "&amp;REGLER!$I$15,"")&amp;IF(COUNTIFS(MATCHER!$B$5:$B$504,A205,MATCHER!$D$5:$D$504,C205,MATCHER!$J$5:$J$504,REGLER!$I$16,MATCHER!$K$5:$K$504,"Ja")+COUNTIFS(MATCHER!$B$5:$B$504,A205,MATCHER!$D$5:$D$504,C205,MATCHER!$J$5:$J$504,REGLER!$I$16&amp;" 2",MATCHER!$K$5:$K$504,"Ja")&gt;0,", "&amp;REGLER!$I$16,"")&amp;IF(COUNTIFS(MATCHER!$B$5:$B$504,A205,MATCHER!$D$5:$D$504,C205,MATCHER!$J$5:$J$504,REGLER!$I$17,MATCHER!$K$5:$K$504,"Ja")+COUNTIFS(MATCHER!$B$5:$B$504,A205,MATCHER!$D$5:$D$504,C205,MATCHER!$J$5:$J$504,REGLER!$I$17&amp;" 2",MATCHER!$K$5:$K$504,"Ja")&gt;0,", "&amp;REGLER!$I$17,"")&amp;IF(COUNTIFS(MATCHER!$B$5:$B$504,A205,MATCHER!$D$5:$D$504,C205,MATCHER!$J$5:$J$504,REGLER!$I$18,MATCHER!$K$5:$K$504,"Ja")+COUNTIFS(MATCHER!$B$5:$B$504,A205,MATCHER!$D$5:$D$504,C205,MATCHER!$J$5:$J$504,REGLER!$I$18&amp;" 2",MATCHER!$K$5:$K$504,"Ja")&gt;0,", "&amp;REGLER!$I$18,"")&amp;IF(COUNTIFS(MATCHER!$B$5:$B$504,A205,MATCHER!$D$5:$D$504,C205,MATCHER!$J$5:$J$504,REGLER!$I$19,MATCHER!$K$5:$K$504,"Ja")+COUNTIFS(MATCHER!$B$5:$B$504,A205,MATCHER!$D$5:$D$504,C205,MATCHER!$J$5:$J$504,REGLER!$I$19&amp;" 2",MATCHER!$K$5:$K$504,"Ja")&gt;0,", "&amp;REGLER!$I$19,"")&amp;IF(COUNTIFS(MATCHER!$B$5:$B$504,A205,MATCHER!$D$5:$D$504,C205,MATCHER!$J$5:$J$504,REGLER!$I$20,MATCHER!$K$5:$K$504,"Ja")+COUNTIFS(MATCHER!$B$5:$B$504,A205,MATCHER!$D$5:$D$504,C205,MATCHER!$J$5:$J$504,REGLER!$I$20&amp;" 2",MATCHER!$K$5:$K$504,"Ja")&gt;0,", "&amp;REGLER!$I$20,"")&amp;IF(COUNTIFS(MATCHER!$B$5:$B$504,A205,MATCHER!$D$5:$D$504,C205,MATCHER!$J$5:$J$504,REGLER!$I$21,MATCHER!$K$5:$K$504,"Ja")+COUNTIFS(MATCHER!$B$5:$B$504,A205,MATCHER!$D$5:$D$504,C205,MATCHER!$J$5:$J$504,REGLER!$I$21&amp;" 2",MATCHER!$K$5:$K$504,"Ja")&gt;0,", "&amp;REGLER!$I$21,"")&amp;IF(COUNTIFS(MATCHER!$B$5:$B$504,A205,MATCHER!$D$5:$D$504,C205,MATCHER!$J$5:$J$504,REGLER!$I$22,MATCHER!$K$5:$K$504,"Ja")+COUNTIFS(MATCHER!$B$5:$B$504,A205,MATCHER!$D$5:$D$504,C205,MATCHER!$J$5:$J$504,REGLER!$I$22&amp;" 2",MATCHER!$K$5:$K$504,"Ja")&gt;0,", "&amp;REGLER!$I$22,"")&amp;IF(COUNTIFS(MATCHER!$B$5:$B$504,A205,MATCHER!$D$5:$D$504,C205,MATCHER!$J$5:$J$504,REGLER!$I$23,MATCHER!$K$5:$K$504,"Ja")+COUNTIFS(MATCHER!$B$5:$B$504,A205,MATCHER!$D$5:$D$504,C205,MATCHER!$J$5:$J$504,REGLER!$I$23&amp;" 2",MATCHER!$K$5:$K$504,"Ja")&gt;0,", "&amp;REGLER!$I$23,"")&amp;IF(COUNTIFS(MATCHER!$B$5:$B$504,A205,MATCHER!$D$5:$D$504,C205,MATCHER!$J$5:$J$504,REGLER!$I$24,MATCHER!$K$5:$K$504,"Ja")+COUNTIFS(MATCHER!$B$5:$B$504,A205,MATCHER!$D$5:$D$504,C205,MATCHER!$J$5:$J$504,REGLER!$I$24&amp;" 2",MATCHER!$K$5:$K$504,"Ja")&gt;0,", "&amp;REGLER!$I$24,"")&amp;IF(COUNTIFS(MATCHER!$B$5:$B$504,A205,MATCHER!$D$5:$D$504,C205,MATCHER!$J$5:$J$504,REGLER!$I$25,MATCHER!$K$5:$K$504,"Ja")+COUNTIFS(MATCHER!$B$5:$B$504,A205,MATCHER!$D$5:$D$504,C205,MATCHER!$J$5:$J$504,REGLER!$I$25&amp;" 2",MATCHER!$K$5:$K$504,"Ja")&gt;0,", "&amp;REGLER!$I$25,"")&amp;IF(COUNTIFS(MATCHER!$B$5:$B$504,A205,MATCHER!$D$5:$D$504,C205,MATCHER!$J$5:$J$504,REGLER!$I$26,MATCHER!$K$5:$K$504,"Ja")+COUNTIFS(MATCHER!$B$5:$B$504,A205,MATCHER!$D$5:$D$504,C205,MATCHER!$J$5:$J$504,REGLER!$I$26&amp;" 2",MATCHER!$K$5:$K$504,"Ja")&gt;0,", "&amp;REGLER!$I$26,""),3,1000)</f>
        <v>F19</v>
      </c>
      <c r="I205" s="46" t="s">
        <v>90</v>
      </c>
      <c r="J205" s="47" t="s">
        <v>105</v>
      </c>
      <c r="K205" s="48" t="s">
        <v>98</v>
      </c>
      <c r="L205" s="49"/>
      <c r="M205" s="50">
        <f>IF(O205&lt;&gt;O204,MAX(1,MIN(AA205,ROUNDUP(SUMPRODUCT(($O$5:$O$546=O205)*($I$5:$I$546="Ja")*($E$5:$E$546-$D$5:$D$546))*24/REGLER!$B$8,0))),"")</f>
        <v>1</v>
      </c>
      <c r="N205" s="50" t="str">
        <f t="shared" si="47"/>
        <v>Klar</v>
      </c>
      <c r="O205" s="15" t="s">
        <v>124</v>
      </c>
      <c r="P205" s="16">
        <v>0.83333333333333304</v>
      </c>
      <c r="Q205" s="16">
        <v>0.91666666666666696</v>
      </c>
      <c r="R205" s="15" t="str">
        <f>IFERROR(MATCH(1,INDEX((MATCHER!$B$5:$B$504=A205)*(MATCHER!$D$5:$D$504=C205)*(MATCHER!$K$5:$K$504="Ja")*(MATCHER!$C$5:$C$504&lt;E205)*(MATCHER!$M$5:$M$504&gt;D205),0),0),"")</f>
        <v/>
      </c>
      <c r="S205" s="15" t="str">
        <f>IF(R205="","",IFERROR(MATCH(1,INDEX((MATCHER!$B$5:$B$504=A205)*(MATCHER!$D$5:$D$504=C205)*(MATCHER!$K$5:$K$504="Ja")*(MATCHER!$C$5:$C$504&lt;E205)*(MATCHER!$M$5:$M$504&gt;D205)*(ROW(MATCHER!$A$5:$A$504)-ROW(MATCHER!$A$5)+1&gt;R205),0),0),""))</f>
        <v/>
      </c>
      <c r="T205" s="15" t="str">
        <f>IF(S205="","",IFERROR(MATCH(1,INDEX((MATCHER!$B$5:$B$504=A205)*(MATCHER!$D$5:$D$504=C205)*(MATCHER!$K$5:$K$504="Ja")*(MATCHER!$C$5:$C$504&lt;E205)*(MATCHER!$M$5:$M$504&gt;D205)*(ROW(MATCHER!$A$5:$A$504)-ROW(MATCHER!$A$5)+1&gt;S205),0),0),""))</f>
        <v/>
      </c>
      <c r="U205" s="15">
        <f t="shared" si="48"/>
        <v>1</v>
      </c>
      <c r="V205" s="15">
        <f>IF(OR(I205&lt;&gt;"Ja",J205=""),"",COUNTIFS($O$5:O205,O205,$U$5:U205,1))</f>
        <v>1</v>
      </c>
      <c r="W205" s="15" t="str">
        <f t="shared" si="49"/>
        <v>2026-11-17 | Råsta Park|1</v>
      </c>
      <c r="X205" s="16" t="str">
        <f t="shared" si="50"/>
        <v/>
      </c>
      <c r="Y205" s="15">
        <f>IF(OR(I205&lt;&gt;"Ja",J205=""),0,IF(COUNTIFS($O$5:O205,O205,$I$5:I205,"Ja",$J$5:J205,"&lt;&gt;")=1,1,0))</f>
        <v>1</v>
      </c>
      <c r="Z205" s="15">
        <f>IF(OR(I205&lt;&gt;"Ja",J205=""),0,IF(COUNTIFS(O205:$O$546,O205,I205:$I$546,"Ja",J205:$J$546,"&lt;&gt;")=1,1,0))</f>
        <v>0</v>
      </c>
      <c r="AA205" s="15">
        <f>IF(COUNTIFS(MATCHER!$B$5:$B$504,A205,MATCHER!$D$5:$D$504,C205,MATCHER!$J$5:$J$504,REGLER!$I$6,MATCHER!$K$5:$K$504,"Ja")+COUNTIFS(MATCHER!$B$5:$B$504,A205,MATCHER!$D$5:$D$504,C205,MATCHER!$J$5:$J$504,REGLER!$I$6&amp;" 2",MATCHER!$K$5:$K$504,"Ja")&gt;0,1,0)+IF(COUNTIFS(MATCHER!$B$5:$B$504,A205,MATCHER!$D$5:$D$504,C205,MATCHER!$J$5:$J$504,REGLER!$I$7,MATCHER!$K$5:$K$504,"Ja")+COUNTIFS(MATCHER!$B$5:$B$504,A205,MATCHER!$D$5:$D$504,C205,MATCHER!$J$5:$J$504,REGLER!$I$7&amp;" 2",MATCHER!$K$5:$K$504,"Ja")&gt;0,1,0)+IF(COUNTIFS(MATCHER!$B$5:$B$504,A205,MATCHER!$D$5:$D$504,C205,MATCHER!$J$5:$J$504,REGLER!$I$8,MATCHER!$K$5:$K$504,"Ja")+COUNTIFS(MATCHER!$B$5:$B$504,A205,MATCHER!$D$5:$D$504,C205,MATCHER!$J$5:$J$504,REGLER!$I$8&amp;" 2",MATCHER!$K$5:$K$504,"Ja")&gt;0,1,0)+IF(COUNTIFS(MATCHER!$B$5:$B$504,A205,MATCHER!$D$5:$D$504,C205,MATCHER!$J$5:$J$504,REGLER!$I$9,MATCHER!$K$5:$K$504,"Ja")+COUNTIFS(MATCHER!$B$5:$B$504,A205,MATCHER!$D$5:$D$504,C205,MATCHER!$J$5:$J$504,REGLER!$I$9&amp;" 2",MATCHER!$K$5:$K$504,"Ja")&gt;0,1,0)+IF(COUNTIFS(MATCHER!$B$5:$B$504,A205,MATCHER!$D$5:$D$504,C205,MATCHER!$J$5:$J$504,REGLER!$I$10,MATCHER!$K$5:$K$504,"Ja")+COUNTIFS(MATCHER!$B$5:$B$504,A205,MATCHER!$D$5:$D$504,C205,MATCHER!$J$5:$J$504,REGLER!$I$10&amp;" 2",MATCHER!$K$5:$K$504,"Ja")&gt;0,1,0)+IF(COUNTIFS(MATCHER!$B$5:$B$504,A205,MATCHER!$D$5:$D$504,C205,MATCHER!$J$5:$J$504,REGLER!$I$11,MATCHER!$K$5:$K$504,"Ja")+COUNTIFS(MATCHER!$B$5:$B$504,A205,MATCHER!$D$5:$D$504,C205,MATCHER!$J$5:$J$504,REGLER!$I$11&amp;" 2",MATCHER!$K$5:$K$504,"Ja")&gt;0,1,0)+IF(COUNTIFS(MATCHER!$B$5:$B$504,A205,MATCHER!$D$5:$D$504,C205,MATCHER!$J$5:$J$504,REGLER!$I$12,MATCHER!$K$5:$K$504,"Ja")+COUNTIFS(MATCHER!$B$5:$B$504,A205,MATCHER!$D$5:$D$504,C205,MATCHER!$J$5:$J$504,REGLER!$I$12&amp;" 2",MATCHER!$K$5:$K$504,"Ja")&gt;0,1,0)+IF(COUNTIFS(MATCHER!$B$5:$B$504,A205,MATCHER!$D$5:$D$504,C205,MATCHER!$J$5:$J$504,REGLER!$I$13,MATCHER!$K$5:$K$504,"Ja")+COUNTIFS(MATCHER!$B$5:$B$504,A205,MATCHER!$D$5:$D$504,C205,MATCHER!$J$5:$J$504,REGLER!$I$13&amp;" 2",MATCHER!$K$5:$K$504,"Ja")&gt;0,1,0)+IF(COUNTIFS(MATCHER!$B$5:$B$504,A205,MATCHER!$D$5:$D$504,C205,MATCHER!$J$5:$J$504,REGLER!$I$14,MATCHER!$K$5:$K$504,"Ja")+COUNTIFS(MATCHER!$B$5:$B$504,A205,MATCHER!$D$5:$D$504,C205,MATCHER!$J$5:$J$504,REGLER!$I$14&amp;" 2",MATCHER!$K$5:$K$504,"Ja")&gt;0,1,0)+IF(COUNTIFS(MATCHER!$B$5:$B$504,A205,MATCHER!$D$5:$D$504,C205,MATCHER!$J$5:$J$504,REGLER!$I$15,MATCHER!$K$5:$K$504,"Ja")+COUNTIFS(MATCHER!$B$5:$B$504,A205,MATCHER!$D$5:$D$504,C205,MATCHER!$J$5:$J$504,REGLER!$I$15&amp;" 2",MATCHER!$K$5:$K$504,"Ja")&gt;0,1,0)+IF(COUNTIFS(MATCHER!$B$5:$B$504,A205,MATCHER!$D$5:$D$504,C205,MATCHER!$J$5:$J$504,REGLER!$I$16,MATCHER!$K$5:$K$504,"Ja")+COUNTIFS(MATCHER!$B$5:$B$504,A205,MATCHER!$D$5:$D$504,C205,MATCHER!$J$5:$J$504,REGLER!$I$16&amp;" 2",MATCHER!$K$5:$K$504,"Ja")&gt;0,1,0)+IF(COUNTIFS(MATCHER!$B$5:$B$504,A205,MATCHER!$D$5:$D$504,C205,MATCHER!$J$5:$J$504,REGLER!$I$17,MATCHER!$K$5:$K$504,"Ja")+COUNTIFS(MATCHER!$B$5:$B$504,A205,MATCHER!$D$5:$D$504,C205,MATCHER!$J$5:$J$504,REGLER!$I$17&amp;" 2",MATCHER!$K$5:$K$504,"Ja")&gt;0,1,0)+IF(COUNTIFS(MATCHER!$B$5:$B$504,A205,MATCHER!$D$5:$D$504,C205,MATCHER!$J$5:$J$504,REGLER!$I$18,MATCHER!$K$5:$K$504,"Ja")+COUNTIFS(MATCHER!$B$5:$B$504,A205,MATCHER!$D$5:$D$504,C205,MATCHER!$J$5:$J$504,REGLER!$I$18&amp;" 2",MATCHER!$K$5:$K$504,"Ja")&gt;0,1,0)+IF(COUNTIFS(MATCHER!$B$5:$B$504,A205,MATCHER!$D$5:$D$504,C205,MATCHER!$J$5:$J$504,REGLER!$I$19,MATCHER!$K$5:$K$504,"Ja")+COUNTIFS(MATCHER!$B$5:$B$504,A205,MATCHER!$D$5:$D$504,C205,MATCHER!$J$5:$J$504,REGLER!$I$19&amp;" 2",MATCHER!$K$5:$K$504,"Ja")&gt;0,1,0)+IF(COUNTIFS(MATCHER!$B$5:$B$504,A205,MATCHER!$D$5:$D$504,C205,MATCHER!$J$5:$J$504,REGLER!$I$20,MATCHER!$K$5:$K$504,"Ja")+COUNTIFS(MATCHER!$B$5:$B$504,A205,MATCHER!$D$5:$D$504,C205,MATCHER!$J$5:$J$504,REGLER!$I$20&amp;" 2",MATCHER!$K$5:$K$504,"Ja")&gt;0,1,0)+IF(COUNTIFS(MATCHER!$B$5:$B$504,A205,MATCHER!$D$5:$D$504,C205,MATCHER!$J$5:$J$504,REGLER!$I$21,MATCHER!$K$5:$K$504,"Ja")+COUNTIFS(MATCHER!$B$5:$B$504,A205,MATCHER!$D$5:$D$504,C205,MATCHER!$J$5:$J$504,REGLER!$I$21&amp;" 2",MATCHER!$K$5:$K$504,"Ja")&gt;0,1,0)+IF(COUNTIFS(MATCHER!$B$5:$B$504,A205,MATCHER!$D$5:$D$504,C205,MATCHER!$J$5:$J$504,REGLER!$I$22,MATCHER!$K$5:$K$504,"Ja")+COUNTIFS(MATCHER!$B$5:$B$504,A205,MATCHER!$D$5:$D$504,C205,MATCHER!$J$5:$J$504,REGLER!$I$22&amp;" 2",MATCHER!$K$5:$K$504,"Ja")&gt;0,1,0)+IF(COUNTIFS(MATCHER!$B$5:$B$504,A205,MATCHER!$D$5:$D$504,C205,MATCHER!$J$5:$J$504,REGLER!$I$23,MATCHER!$K$5:$K$504,"Ja")+COUNTIFS(MATCHER!$B$5:$B$504,A205,MATCHER!$D$5:$D$504,C205,MATCHER!$J$5:$J$504,REGLER!$I$23&amp;" 2",MATCHER!$K$5:$K$504,"Ja")&gt;0,1,0)+IF(COUNTIFS(MATCHER!$B$5:$B$504,A205,MATCHER!$D$5:$D$504,C205,MATCHER!$J$5:$J$504,REGLER!$I$24,MATCHER!$K$5:$K$504,"Ja")+COUNTIFS(MATCHER!$B$5:$B$504,A205,MATCHER!$D$5:$D$504,C205,MATCHER!$J$5:$J$504,REGLER!$I$24&amp;" 2",MATCHER!$K$5:$K$504,"Ja")&gt;0,1,0)+IF(COUNTIFS(MATCHER!$B$5:$B$504,A205,MATCHER!$D$5:$D$504,C205,MATCHER!$J$5:$J$504,REGLER!$I$25,MATCHER!$K$5:$K$504,"Ja")+COUNTIFS(MATCHER!$B$5:$B$504,A205,MATCHER!$D$5:$D$504,C205,MATCHER!$J$5:$J$504,REGLER!$I$25&amp;" 2",MATCHER!$K$5:$K$504,"Ja")&gt;0,1,0)+IF(COUNTIFS(MATCHER!$B$5:$B$504,A205,MATCHER!$D$5:$D$504,C205,MATCHER!$J$5:$J$504,REGLER!$I$26,MATCHER!$K$5:$K$504,"Ja")+COUNTIFS(MATCHER!$B$5:$B$504,A205,MATCHER!$D$5:$D$504,C205,MATCHER!$J$5:$J$504,REGLER!$I$26&amp;" 2",MATCHER!$K$5:$K$504,"Ja")&gt;0,1,0)</f>
        <v>1</v>
      </c>
      <c r="AB205" s="15">
        <f>IF(U205&lt;&gt;1,"",COUNTIF($U$5:U205,1))</f>
        <v>22</v>
      </c>
      <c r="AC205" s="15" t="str">
        <f t="shared" si="51"/>
        <v/>
      </c>
      <c r="AD205" s="15" t="str">
        <f t="shared" si="52"/>
        <v>Minicafé</v>
      </c>
      <c r="AE205" s="15">
        <f t="shared" si="53"/>
        <v>2.0000000000000142</v>
      </c>
      <c r="AF205" t="str">
        <f>IF(T205="","",IFERROR(MATCH(1,INDEX((MATCHER!$B$5:$B$504=A205)*(MATCHER!$D$5:$D$504=C205)*(MATCHER!$K$5:$K$504="Ja")*(MATCHER!$C$5:$C$504&lt;E205)*(MATCHER!$M$5:$M$504&gt;D205)*(ROW(MATCHER!$A$5:$A$504)-ROW(MATCHER!$A$5)+1&gt;T205),0),0),""))</f>
        <v/>
      </c>
    </row>
    <row r="206" spans="1:32" ht="13">
      <c r="A206" s="42">
        <v>46343</v>
      </c>
      <c r="B206" s="43" t="s">
        <v>104</v>
      </c>
      <c r="C206" s="43" t="s">
        <v>94</v>
      </c>
      <c r="D206" s="44">
        <v>0.85416666666666696</v>
      </c>
      <c r="E206" s="44">
        <v>0.875</v>
      </c>
      <c r="F206" s="45" t="str">
        <f>IF(R206="","",HOUR(INDEX(MATCHER!$C$5:$C$504,R206))&amp;":"&amp;IF(MINUTE(INDEX(MATCHER!$C$5:$C$504,R206))&lt;10,"0","")&amp;MINUTE(INDEX(MATCHER!$C$5:$C$504,R206))&amp;" "&amp;INDEX(MATCHER!$H$5:$H$504,R206)&amp;" – "&amp;INDEX(MATCHER!$I$5:$I$504,R206))&amp;IF(S206="",""," | "&amp;HOUR(INDEX(MATCHER!$C$5:$C$504,S206))&amp;":"&amp;IF(MINUTE(INDEX(MATCHER!$C$5:$C$504,S206))&lt;10,"0","")&amp;MINUTE(INDEX(MATCHER!$C$5:$C$504,S206))&amp;" "&amp;INDEX(MATCHER!$H$5:$H$504,S206)&amp;" – "&amp;INDEX(MATCHER!$I$5:$I$504,S206))&amp;IF(T206="",""," | "&amp;HOUR(INDEX(MATCHER!$C$5:$C$504,T206))&amp;":"&amp;IF(MINUTE(INDEX(MATCHER!$C$5:$C$504,T206))&lt;10,"0","")&amp;MINUTE(INDEX(MATCHER!$C$5:$C$504,T206))&amp;" "&amp;INDEX(MATCHER!$H$5:$H$504,T206)&amp;" – "&amp;INDEX(MATCHER!$I$5:$I$504,T206))&amp;IF(AF206="",""," | "&amp;HOUR(INDEX(MATCHER!$C$5:$C$504,AF206))&amp;":"&amp;IF(MINUTE(INDEX(MATCHER!$C$5:$C$504,AF206))&lt;10,"0","")&amp;MINUTE(INDEX(MATCHER!$C$5:$C$504,AF206))&amp;" "&amp;INDEX(MATCHER!$H$5:$H$504,AF206)&amp;" – "&amp;INDEX(MATCHER!$I$5:$I$504,AF206))</f>
        <v>20:45 AIK – Skuru IK</v>
      </c>
      <c r="G206" s="45" t="str">
        <f>MID(IF(R206="","",IF(OR(INDEX(MATCHER!$J$5:$J$504,R206)=""),""," / "&amp;INDEX(MATCHER!$J$5:$J$504,R206)))&amp;IF(S206="","",IF(OR(INDEX(MATCHER!$J$5:$J$504,S206)="",INDEX(MATCHER!$J$5:$J$504,S206)=IFERROR(INDEX(MATCHER!$J$5:$J$504,R206),"")),""," / "&amp;INDEX(MATCHER!$J$5:$J$504,S206)))&amp;IF(T206="","",IF(OR(INDEX(MATCHER!$J$5:$J$504,T206)="",INDEX(MATCHER!$J$5:$J$504,T206)=IFERROR(INDEX(MATCHER!$J$5:$J$504,R206),""),INDEX(MATCHER!$J$5:$J$504,T206)=IFERROR(INDEX(MATCHER!$J$5:$J$504,S206),"")),""," / "&amp;INDEX(MATCHER!$J$5:$J$504,T206)))&amp;IF(AF206="","",IF(OR(INDEX(MATCHER!$J$5:$J$504,AF206)="",INDEX(MATCHER!$J$5:$J$504,AF206)=IFERROR(INDEX(MATCHER!$J$5:$J$504,R206),""),INDEX(MATCHER!$J$5:$J$504,AF206)=IFERROR(INDEX(MATCHER!$J$5:$J$504,S206),""),INDEX(MATCHER!$J$5:$J$504,AF206)=IFERROR(INDEX(MATCHER!$J$5:$J$504,T206),"")),""," / "&amp;INDEX(MATCHER!$J$5:$J$504,AF206))),4,1000)</f>
        <v>F19</v>
      </c>
      <c r="H206" s="45" t="str">
        <f>H205</f>
        <v>F19</v>
      </c>
      <c r="I206" s="46" t="s">
        <v>90</v>
      </c>
      <c r="J206" s="47" t="s">
        <v>105</v>
      </c>
      <c r="K206" s="48"/>
      <c r="L206" s="49"/>
      <c r="M206" s="50" t="str">
        <f>IF(O206&lt;&gt;O205,MAX(1,MIN(AA206,ROUNDUP(SUMPRODUCT(($O$5:$O$546=O206)*($I$5:$I$546="Ja")*($E$5:$E$546-$D$5:$D$546))*24/REGLER!$B$8,0))),"")</f>
        <v/>
      </c>
      <c r="N206" s="50" t="str">
        <f t="shared" si="47"/>
        <v>Klar</v>
      </c>
      <c r="O206" s="15" t="s">
        <v>124</v>
      </c>
      <c r="P206" s="16">
        <v>0.83333333333333304</v>
      </c>
      <c r="Q206" s="16">
        <v>0.91666666666666696</v>
      </c>
      <c r="R206" s="15">
        <f>IFERROR(MATCH(1,INDEX((MATCHER!$B$5:$B$504=A206)*(MATCHER!$D$5:$D$504=C206)*(MATCHER!$K$5:$K$504="Ja")*(MATCHER!$C$5:$C$504&lt;E206)*(MATCHER!$M$5:$M$504&gt;D206),0),0),"")</f>
        <v>72</v>
      </c>
      <c r="S206" s="15" t="str">
        <f>IF(R206="","",IFERROR(MATCH(1,INDEX((MATCHER!$B$5:$B$504=A206)*(MATCHER!$D$5:$D$504=C206)*(MATCHER!$K$5:$K$504="Ja")*(MATCHER!$C$5:$C$504&lt;E206)*(MATCHER!$M$5:$M$504&gt;D206)*(ROW(MATCHER!$A$5:$A$504)-ROW(MATCHER!$A$5)+1&gt;R206),0),0),""))</f>
        <v/>
      </c>
      <c r="T206" s="15" t="str">
        <f>IF(S206="","",IFERROR(MATCH(1,INDEX((MATCHER!$B$5:$B$504=A206)*(MATCHER!$D$5:$D$504=C206)*(MATCHER!$K$5:$K$504="Ja")*(MATCHER!$C$5:$C$504&lt;E206)*(MATCHER!$M$5:$M$504&gt;D206)*(ROW(MATCHER!$A$5:$A$504)-ROW(MATCHER!$A$5)+1&gt;S206),0),0),""))</f>
        <v/>
      </c>
      <c r="U206" s="15">
        <f t="shared" si="48"/>
        <v>0</v>
      </c>
      <c r="V206" s="15">
        <f>IF(OR(I206&lt;&gt;"Ja",J206=""),"",COUNTIFS($O$5:O206,O206,$U$5:U206,1))</f>
        <v>1</v>
      </c>
      <c r="W206" s="15" t="str">
        <f t="shared" si="49"/>
        <v>2026-11-17 | Råsta Park|1</v>
      </c>
      <c r="X206" s="16" t="str">
        <f t="shared" si="50"/>
        <v/>
      </c>
      <c r="Y206" s="15">
        <f>IF(OR(I206&lt;&gt;"Ja",J206=""),0,IF(COUNTIFS($O$5:O206,O206,$I$5:I206,"Ja",$J$5:J206,"&lt;&gt;")=1,1,0))</f>
        <v>0</v>
      </c>
      <c r="Z206" s="15">
        <f>IF(OR(I206&lt;&gt;"Ja",J206=""),0,IF(COUNTIFS(O206:$O$546,O206,I206:$I$546,"Ja",J206:$J$546,"&lt;&gt;")=1,1,0))</f>
        <v>0</v>
      </c>
      <c r="AA206" s="15">
        <f>AA205</f>
        <v>1</v>
      </c>
      <c r="AB206" s="15" t="str">
        <f>IF(U206&lt;&gt;1,"",COUNTIF($U$5:U206,1))</f>
        <v/>
      </c>
      <c r="AC206" s="15" t="str">
        <f t="shared" si="51"/>
        <v/>
      </c>
      <c r="AD206" s="15" t="str">
        <f t="shared" si="52"/>
        <v>Minicafé</v>
      </c>
      <c r="AE206" s="15" t="str">
        <f t="shared" si="53"/>
        <v/>
      </c>
      <c r="AF206" t="str">
        <f>IF(T206="","",IFERROR(MATCH(1,INDEX((MATCHER!$B$5:$B$504=A206)*(MATCHER!$D$5:$D$504=C206)*(MATCHER!$K$5:$K$504="Ja")*(MATCHER!$C$5:$C$504&lt;E206)*(MATCHER!$M$5:$M$504&gt;D206)*(ROW(MATCHER!$A$5:$A$504)-ROW(MATCHER!$A$5)+1&gt;T206),0),0),""))</f>
        <v/>
      </c>
    </row>
    <row r="207" spans="1:32" ht="13">
      <c r="A207" s="42">
        <v>46343</v>
      </c>
      <c r="B207" s="43" t="s">
        <v>104</v>
      </c>
      <c r="C207" s="43" t="s">
        <v>94</v>
      </c>
      <c r="D207" s="44">
        <v>0.875</v>
      </c>
      <c r="E207" s="44">
        <v>0.89583333333333304</v>
      </c>
      <c r="F207" s="45" t="str">
        <f>IF(R207="","",HOUR(INDEX(MATCHER!$C$5:$C$504,R207))&amp;":"&amp;IF(MINUTE(INDEX(MATCHER!$C$5:$C$504,R207))&lt;10,"0","")&amp;MINUTE(INDEX(MATCHER!$C$5:$C$504,R207))&amp;" "&amp;INDEX(MATCHER!$H$5:$H$504,R207)&amp;" – "&amp;INDEX(MATCHER!$I$5:$I$504,R207))&amp;IF(S207="",""," | "&amp;HOUR(INDEX(MATCHER!$C$5:$C$504,S207))&amp;":"&amp;IF(MINUTE(INDEX(MATCHER!$C$5:$C$504,S207))&lt;10,"0","")&amp;MINUTE(INDEX(MATCHER!$C$5:$C$504,S207))&amp;" "&amp;INDEX(MATCHER!$H$5:$H$504,S207)&amp;" – "&amp;INDEX(MATCHER!$I$5:$I$504,S207))&amp;IF(T207="",""," | "&amp;HOUR(INDEX(MATCHER!$C$5:$C$504,T207))&amp;":"&amp;IF(MINUTE(INDEX(MATCHER!$C$5:$C$504,T207))&lt;10,"0","")&amp;MINUTE(INDEX(MATCHER!$C$5:$C$504,T207))&amp;" "&amp;INDEX(MATCHER!$H$5:$H$504,T207)&amp;" – "&amp;INDEX(MATCHER!$I$5:$I$504,T207))&amp;IF(AF207="",""," | "&amp;HOUR(INDEX(MATCHER!$C$5:$C$504,AF207))&amp;":"&amp;IF(MINUTE(INDEX(MATCHER!$C$5:$C$504,AF207))&lt;10,"0","")&amp;MINUTE(INDEX(MATCHER!$C$5:$C$504,AF207))&amp;" "&amp;INDEX(MATCHER!$H$5:$H$504,AF207)&amp;" – "&amp;INDEX(MATCHER!$I$5:$I$504,AF207))</f>
        <v>20:45 AIK – Skuru IK</v>
      </c>
      <c r="G207" s="45" t="str">
        <f>MID(IF(R207="","",IF(OR(INDEX(MATCHER!$J$5:$J$504,R207)=""),""," / "&amp;INDEX(MATCHER!$J$5:$J$504,R207)))&amp;IF(S207="","",IF(OR(INDEX(MATCHER!$J$5:$J$504,S207)="",INDEX(MATCHER!$J$5:$J$504,S207)=IFERROR(INDEX(MATCHER!$J$5:$J$504,R207),"")),""," / "&amp;INDEX(MATCHER!$J$5:$J$504,S207)))&amp;IF(T207="","",IF(OR(INDEX(MATCHER!$J$5:$J$504,T207)="",INDEX(MATCHER!$J$5:$J$504,T207)=IFERROR(INDEX(MATCHER!$J$5:$J$504,R207),""),INDEX(MATCHER!$J$5:$J$504,T207)=IFERROR(INDEX(MATCHER!$J$5:$J$504,S207),"")),""," / "&amp;INDEX(MATCHER!$J$5:$J$504,T207)))&amp;IF(AF207="","",IF(OR(INDEX(MATCHER!$J$5:$J$504,AF207)="",INDEX(MATCHER!$J$5:$J$504,AF207)=IFERROR(INDEX(MATCHER!$J$5:$J$504,R207),""),INDEX(MATCHER!$J$5:$J$504,AF207)=IFERROR(INDEX(MATCHER!$J$5:$J$504,S207),""),INDEX(MATCHER!$J$5:$J$504,AF207)=IFERROR(INDEX(MATCHER!$J$5:$J$504,T207),"")),""," / "&amp;INDEX(MATCHER!$J$5:$J$504,AF207))),4,1000)</f>
        <v>F19</v>
      </c>
      <c r="H207" s="45" t="str">
        <f>H206</f>
        <v>F19</v>
      </c>
      <c r="I207" s="46" t="s">
        <v>90</v>
      </c>
      <c r="J207" s="47" t="s">
        <v>105</v>
      </c>
      <c r="K207" s="48"/>
      <c r="L207" s="49"/>
      <c r="M207" s="50" t="str">
        <f>IF(O207&lt;&gt;O206,MAX(1,MIN(AA207,ROUNDUP(SUMPRODUCT(($O$5:$O$546=O207)*($I$5:$I$546="Ja")*($E$5:$E$546-$D$5:$D$546))*24/REGLER!$B$8,0))),"")</f>
        <v/>
      </c>
      <c r="N207" s="50" t="str">
        <f t="shared" si="47"/>
        <v>Klar</v>
      </c>
      <c r="O207" s="15" t="s">
        <v>124</v>
      </c>
      <c r="P207" s="16">
        <v>0.83333333333333304</v>
      </c>
      <c r="Q207" s="16">
        <v>0.91666666666666696</v>
      </c>
      <c r="R207" s="15">
        <f>IFERROR(MATCH(1,INDEX((MATCHER!$B$5:$B$504=A207)*(MATCHER!$D$5:$D$504=C207)*(MATCHER!$K$5:$K$504="Ja")*(MATCHER!$C$5:$C$504&lt;E207)*(MATCHER!$M$5:$M$504&gt;D207),0),0),"")</f>
        <v>72</v>
      </c>
      <c r="S207" s="15" t="str">
        <f>IF(R207="","",IFERROR(MATCH(1,INDEX((MATCHER!$B$5:$B$504=A207)*(MATCHER!$D$5:$D$504=C207)*(MATCHER!$K$5:$K$504="Ja")*(MATCHER!$C$5:$C$504&lt;E207)*(MATCHER!$M$5:$M$504&gt;D207)*(ROW(MATCHER!$A$5:$A$504)-ROW(MATCHER!$A$5)+1&gt;R207),0),0),""))</f>
        <v/>
      </c>
      <c r="T207" s="15" t="str">
        <f>IF(S207="","",IFERROR(MATCH(1,INDEX((MATCHER!$B$5:$B$504=A207)*(MATCHER!$D$5:$D$504=C207)*(MATCHER!$K$5:$K$504="Ja")*(MATCHER!$C$5:$C$504&lt;E207)*(MATCHER!$M$5:$M$504&gt;D207)*(ROW(MATCHER!$A$5:$A$504)-ROW(MATCHER!$A$5)+1&gt;S207),0),0),""))</f>
        <v/>
      </c>
      <c r="U207" s="15">
        <f t="shared" si="48"/>
        <v>0</v>
      </c>
      <c r="V207" s="15">
        <f>IF(OR(I207&lt;&gt;"Ja",J207=""),"",COUNTIFS($O$5:O207,O207,$U$5:U207,1))</f>
        <v>1</v>
      </c>
      <c r="W207" s="15" t="str">
        <f t="shared" si="49"/>
        <v>2026-11-17 | Råsta Park|1</v>
      </c>
      <c r="X207" s="16" t="str">
        <f t="shared" si="50"/>
        <v/>
      </c>
      <c r="Y207" s="15">
        <f>IF(OR(I207&lt;&gt;"Ja",J207=""),0,IF(COUNTIFS($O$5:O207,O207,$I$5:I207,"Ja",$J$5:J207,"&lt;&gt;")=1,1,0))</f>
        <v>0</v>
      </c>
      <c r="Z207" s="15">
        <f>IF(OR(I207&lt;&gt;"Ja",J207=""),0,IF(COUNTIFS(O207:$O$546,O207,I207:$I$546,"Ja",J207:$J$546,"&lt;&gt;")=1,1,0))</f>
        <v>0</v>
      </c>
      <c r="AA207" s="15">
        <f>AA206</f>
        <v>1</v>
      </c>
      <c r="AB207" s="15" t="str">
        <f>IF(U207&lt;&gt;1,"",COUNTIF($U$5:U207,1))</f>
        <v/>
      </c>
      <c r="AC207" s="15" t="str">
        <f t="shared" si="51"/>
        <v/>
      </c>
      <c r="AD207" s="15" t="str">
        <f t="shared" si="52"/>
        <v>Minicafé</v>
      </c>
      <c r="AE207" s="15" t="str">
        <f t="shared" si="53"/>
        <v/>
      </c>
      <c r="AF207" t="str">
        <f>IF(T207="","",IFERROR(MATCH(1,INDEX((MATCHER!$B$5:$B$504=A207)*(MATCHER!$D$5:$D$504=C207)*(MATCHER!$K$5:$K$504="Ja")*(MATCHER!$C$5:$C$504&lt;E207)*(MATCHER!$M$5:$M$504&gt;D207)*(ROW(MATCHER!$A$5:$A$504)-ROW(MATCHER!$A$5)+1&gt;T207),0),0),""))</f>
        <v/>
      </c>
    </row>
    <row r="208" spans="1:32" ht="13.5" thickBot="1">
      <c r="A208" s="52">
        <v>46343</v>
      </c>
      <c r="B208" s="53" t="s">
        <v>104</v>
      </c>
      <c r="C208" s="53" t="s">
        <v>94</v>
      </c>
      <c r="D208" s="54">
        <v>0.89583333333333304</v>
      </c>
      <c r="E208" s="54">
        <v>0.91666666666666696</v>
      </c>
      <c r="F208" s="55" t="str">
        <f>IF(R208="","",HOUR(INDEX(MATCHER!$C$5:$C$504,R208))&amp;":"&amp;IF(MINUTE(INDEX(MATCHER!$C$5:$C$504,R208))&lt;10,"0","")&amp;MINUTE(INDEX(MATCHER!$C$5:$C$504,R208))&amp;" "&amp;INDEX(MATCHER!$H$5:$H$504,R208)&amp;" – "&amp;INDEX(MATCHER!$I$5:$I$504,R208))&amp;IF(S208="",""," | "&amp;HOUR(INDEX(MATCHER!$C$5:$C$504,S208))&amp;":"&amp;IF(MINUTE(INDEX(MATCHER!$C$5:$C$504,S208))&lt;10,"0","")&amp;MINUTE(INDEX(MATCHER!$C$5:$C$504,S208))&amp;" "&amp;INDEX(MATCHER!$H$5:$H$504,S208)&amp;" – "&amp;INDEX(MATCHER!$I$5:$I$504,S208))&amp;IF(T208="",""," | "&amp;HOUR(INDEX(MATCHER!$C$5:$C$504,T208))&amp;":"&amp;IF(MINUTE(INDEX(MATCHER!$C$5:$C$504,T208))&lt;10,"0","")&amp;MINUTE(INDEX(MATCHER!$C$5:$C$504,T208))&amp;" "&amp;INDEX(MATCHER!$H$5:$H$504,T208)&amp;" – "&amp;INDEX(MATCHER!$I$5:$I$504,T208))&amp;IF(AF208="",""," | "&amp;HOUR(INDEX(MATCHER!$C$5:$C$504,AF208))&amp;":"&amp;IF(MINUTE(INDEX(MATCHER!$C$5:$C$504,AF208))&lt;10,"0","")&amp;MINUTE(INDEX(MATCHER!$C$5:$C$504,AF208))&amp;" "&amp;INDEX(MATCHER!$H$5:$H$504,AF208)&amp;" – "&amp;INDEX(MATCHER!$I$5:$I$504,AF208))</f>
        <v>20:45 AIK – Skuru IK</v>
      </c>
      <c r="G208" s="55" t="str">
        <f>MID(IF(R208="","",IF(OR(INDEX(MATCHER!$J$5:$J$504,R208)=""),""," / "&amp;INDEX(MATCHER!$J$5:$J$504,R208)))&amp;IF(S208="","",IF(OR(INDEX(MATCHER!$J$5:$J$504,S208)="",INDEX(MATCHER!$J$5:$J$504,S208)=IFERROR(INDEX(MATCHER!$J$5:$J$504,R208),"")),""," / "&amp;INDEX(MATCHER!$J$5:$J$504,S208)))&amp;IF(T208="","",IF(OR(INDEX(MATCHER!$J$5:$J$504,T208)="",INDEX(MATCHER!$J$5:$J$504,T208)=IFERROR(INDEX(MATCHER!$J$5:$J$504,R208),""),INDEX(MATCHER!$J$5:$J$504,T208)=IFERROR(INDEX(MATCHER!$J$5:$J$504,S208),"")),""," / "&amp;INDEX(MATCHER!$J$5:$J$504,T208)))&amp;IF(AF208="","",IF(OR(INDEX(MATCHER!$J$5:$J$504,AF208)="",INDEX(MATCHER!$J$5:$J$504,AF208)=IFERROR(INDEX(MATCHER!$J$5:$J$504,R208),""),INDEX(MATCHER!$J$5:$J$504,AF208)=IFERROR(INDEX(MATCHER!$J$5:$J$504,S208),""),INDEX(MATCHER!$J$5:$J$504,AF208)=IFERROR(INDEX(MATCHER!$J$5:$J$504,T208),"")),""," / "&amp;INDEX(MATCHER!$J$5:$J$504,AF208))),4,1000)</f>
        <v>F19</v>
      </c>
      <c r="H208" s="55" t="str">
        <f>H207</f>
        <v>F19</v>
      </c>
      <c r="I208" s="56" t="s">
        <v>90</v>
      </c>
      <c r="J208" s="57" t="s">
        <v>105</v>
      </c>
      <c r="K208" s="58"/>
      <c r="L208" s="59"/>
      <c r="M208" s="60" t="str">
        <f>IF(O208&lt;&gt;O207,MAX(1,MIN(AA208,ROUNDUP(SUMPRODUCT(($O$5:$O$546=O208)*($I$5:$I$546="Ja")*($E$5:$E$546-$D$5:$D$546))*24/REGLER!$B$8,0))),"")</f>
        <v/>
      </c>
      <c r="N208" s="60" t="str">
        <f t="shared" si="47"/>
        <v>Klar</v>
      </c>
      <c r="O208" s="15" t="s">
        <v>124</v>
      </c>
      <c r="P208" s="16">
        <v>0.83333333333333304</v>
      </c>
      <c r="Q208" s="16">
        <v>0.91666666666666696</v>
      </c>
      <c r="R208" s="15">
        <f>IFERROR(MATCH(1,INDEX((MATCHER!$B$5:$B$504=A208)*(MATCHER!$D$5:$D$504=C208)*(MATCHER!$K$5:$K$504="Ja")*(MATCHER!$C$5:$C$504&lt;E208)*(MATCHER!$M$5:$M$504&gt;D208),0),0),"")</f>
        <v>72</v>
      </c>
      <c r="S208" s="15" t="str">
        <f>IF(R208="","",IFERROR(MATCH(1,INDEX((MATCHER!$B$5:$B$504=A208)*(MATCHER!$D$5:$D$504=C208)*(MATCHER!$K$5:$K$504="Ja")*(MATCHER!$C$5:$C$504&lt;E208)*(MATCHER!$M$5:$M$504&gt;D208)*(ROW(MATCHER!$A$5:$A$504)-ROW(MATCHER!$A$5)+1&gt;R208),0),0),""))</f>
        <v/>
      </c>
      <c r="T208" s="15" t="str">
        <f>IF(S208="","",IFERROR(MATCH(1,INDEX((MATCHER!$B$5:$B$504=A208)*(MATCHER!$D$5:$D$504=C208)*(MATCHER!$K$5:$K$504="Ja")*(MATCHER!$C$5:$C$504&lt;E208)*(MATCHER!$M$5:$M$504&gt;D208)*(ROW(MATCHER!$A$5:$A$504)-ROW(MATCHER!$A$5)+1&gt;S208),0),0),""))</f>
        <v/>
      </c>
      <c r="U208" s="15">
        <f t="shared" si="48"/>
        <v>0</v>
      </c>
      <c r="V208" s="15">
        <f>IF(OR(I208&lt;&gt;"Ja",J208=""),"",COUNTIFS($O$5:O208,O208,$U$5:U208,1))</f>
        <v>1</v>
      </c>
      <c r="W208" s="15" t="str">
        <f t="shared" si="49"/>
        <v>2026-11-17 | Råsta Park|1</v>
      </c>
      <c r="X208" s="16">
        <f t="shared" si="50"/>
        <v>0.91666666666666696</v>
      </c>
      <c r="Y208" s="15">
        <f>IF(OR(I208&lt;&gt;"Ja",J208=""),0,IF(COUNTIFS($O$5:O208,O208,$I$5:I208,"Ja",$J$5:J208,"&lt;&gt;")=1,1,0))</f>
        <v>0</v>
      </c>
      <c r="Z208" s="15">
        <f>IF(OR(I208&lt;&gt;"Ja",J208=""),0,IF(COUNTIFS(O208:$O$546,O208,I208:$I$546,"Ja",J208:$J$546,"&lt;&gt;")=1,1,0))</f>
        <v>1</v>
      </c>
      <c r="AA208" s="15">
        <f>AA207</f>
        <v>1</v>
      </c>
      <c r="AB208" s="15" t="str">
        <f>IF(U208&lt;&gt;1,"",COUNTIF($U$5:U208,1))</f>
        <v/>
      </c>
      <c r="AC208" s="15" t="str">
        <f t="shared" si="51"/>
        <v>2026-11-17 | Råsta Park|1</v>
      </c>
      <c r="AD208" s="15" t="str">
        <f t="shared" si="52"/>
        <v>Minicafé</v>
      </c>
      <c r="AE208" s="15" t="str">
        <f t="shared" si="53"/>
        <v/>
      </c>
      <c r="AF208" t="str">
        <f>IF(T208="","",IFERROR(MATCH(1,INDEX((MATCHER!$B$5:$B$504=A208)*(MATCHER!$D$5:$D$504=C208)*(MATCHER!$K$5:$K$504="Ja")*(MATCHER!$C$5:$C$504&lt;E208)*(MATCHER!$M$5:$M$504&gt;D208)*(ROW(MATCHER!$A$5:$A$504)-ROW(MATCHER!$A$5)+1&gt;T208),0),0),""))</f>
        <v/>
      </c>
    </row>
    <row r="209" spans="1:32" ht="13">
      <c r="A209" s="61">
        <v>46347</v>
      </c>
      <c r="B209" s="62" t="s">
        <v>85</v>
      </c>
      <c r="C209" s="62" t="s">
        <v>94</v>
      </c>
      <c r="D209" s="63">
        <v>0.53125</v>
      </c>
      <c r="E209" s="63">
        <v>0.54166666666666696</v>
      </c>
      <c r="F209" s="64" t="str">
        <f>IF(R209="","",HOUR(INDEX(MATCHER!$C$5:$C$504,R209))&amp;":"&amp;IF(MINUTE(INDEX(MATCHER!$C$5:$C$504,R209))&lt;10,"0","")&amp;MINUTE(INDEX(MATCHER!$C$5:$C$504,R209))&amp;" "&amp;INDEX(MATCHER!$H$5:$H$504,R209)&amp;" – "&amp;INDEX(MATCHER!$I$5:$I$504,R209))&amp;IF(S209="",""," | "&amp;HOUR(INDEX(MATCHER!$C$5:$C$504,S209))&amp;":"&amp;IF(MINUTE(INDEX(MATCHER!$C$5:$C$504,S209))&lt;10,"0","")&amp;MINUTE(INDEX(MATCHER!$C$5:$C$504,S209))&amp;" "&amp;INDEX(MATCHER!$H$5:$H$504,S209)&amp;" – "&amp;INDEX(MATCHER!$I$5:$I$504,S209))&amp;IF(T209="",""," | "&amp;HOUR(INDEX(MATCHER!$C$5:$C$504,T209))&amp;":"&amp;IF(MINUTE(INDEX(MATCHER!$C$5:$C$504,T209))&lt;10,"0","")&amp;MINUTE(INDEX(MATCHER!$C$5:$C$504,T209))&amp;" "&amp;INDEX(MATCHER!$H$5:$H$504,T209)&amp;" – "&amp;INDEX(MATCHER!$I$5:$I$504,T209))&amp;IF(AF209="",""," | "&amp;HOUR(INDEX(MATCHER!$C$5:$C$504,AF209))&amp;":"&amp;IF(MINUTE(INDEX(MATCHER!$C$5:$C$504,AF209))&lt;10,"0","")&amp;MINUTE(INDEX(MATCHER!$C$5:$C$504,AF209))&amp;" "&amp;INDEX(MATCHER!$H$5:$H$504,AF209)&amp;" – "&amp;INDEX(MATCHER!$I$5:$I$504,AF209))</f>
        <v/>
      </c>
      <c r="G209" s="64" t="str">
        <f>MID(IF(R209="","",IF(OR(INDEX(MATCHER!$J$5:$J$504,R209)=""),""," / "&amp;INDEX(MATCHER!$J$5:$J$504,R209)))&amp;IF(S209="","",IF(OR(INDEX(MATCHER!$J$5:$J$504,S209)="",INDEX(MATCHER!$J$5:$J$504,S209)=IFERROR(INDEX(MATCHER!$J$5:$J$504,R209),"")),""," / "&amp;INDEX(MATCHER!$J$5:$J$504,S209)))&amp;IF(T209="","",IF(OR(INDEX(MATCHER!$J$5:$J$504,T209)="",INDEX(MATCHER!$J$5:$J$504,T209)=IFERROR(INDEX(MATCHER!$J$5:$J$504,R209),""),INDEX(MATCHER!$J$5:$J$504,T209)=IFERROR(INDEX(MATCHER!$J$5:$J$504,S209),"")),""," / "&amp;INDEX(MATCHER!$J$5:$J$504,T209)))&amp;IF(AF209="","",IF(OR(INDEX(MATCHER!$J$5:$J$504,AF209)="",INDEX(MATCHER!$J$5:$J$504,AF209)=IFERROR(INDEX(MATCHER!$J$5:$J$504,R209),""),INDEX(MATCHER!$J$5:$J$504,AF209)=IFERROR(INDEX(MATCHER!$J$5:$J$504,S209),""),INDEX(MATCHER!$J$5:$J$504,AF209)=IFERROR(INDEX(MATCHER!$J$5:$J$504,T209),"")),""," / "&amp;INDEX(MATCHER!$J$5:$J$504,AF209))),4,1000)</f>
        <v/>
      </c>
      <c r="H209" s="64" t="str">
        <f>MID(IF(COUNTIFS(MATCHER!$B$5:$B$504,A209,MATCHER!$D$5:$D$504,C209,MATCHER!$J$5:$J$504,REGLER!$I$6,MATCHER!$K$5:$K$504,"Ja")+COUNTIFS(MATCHER!$B$5:$B$504,A209,MATCHER!$D$5:$D$504,C209,MATCHER!$J$5:$J$504,REGLER!$I$6&amp;" 2",MATCHER!$K$5:$K$504,"Ja")&gt;0,", "&amp;REGLER!$I$6,"")&amp;IF(COUNTIFS(MATCHER!$B$5:$B$504,A209,MATCHER!$D$5:$D$504,C209,MATCHER!$J$5:$J$504,REGLER!$I$7,MATCHER!$K$5:$K$504,"Ja")+COUNTIFS(MATCHER!$B$5:$B$504,A209,MATCHER!$D$5:$D$504,C209,MATCHER!$J$5:$J$504,REGLER!$I$7&amp;" 2",MATCHER!$K$5:$K$504,"Ja")&gt;0,", "&amp;REGLER!$I$7,"")&amp;IF(COUNTIFS(MATCHER!$B$5:$B$504,A209,MATCHER!$D$5:$D$504,C209,MATCHER!$J$5:$J$504,REGLER!$I$8,MATCHER!$K$5:$K$504,"Ja")+COUNTIFS(MATCHER!$B$5:$B$504,A209,MATCHER!$D$5:$D$504,C209,MATCHER!$J$5:$J$504,REGLER!$I$8&amp;" 2",MATCHER!$K$5:$K$504,"Ja")&gt;0,", "&amp;REGLER!$I$8,"")&amp;IF(COUNTIFS(MATCHER!$B$5:$B$504,A209,MATCHER!$D$5:$D$504,C209,MATCHER!$J$5:$J$504,REGLER!$I$9,MATCHER!$K$5:$K$504,"Ja")+COUNTIFS(MATCHER!$B$5:$B$504,A209,MATCHER!$D$5:$D$504,C209,MATCHER!$J$5:$J$504,REGLER!$I$9&amp;" 2",MATCHER!$K$5:$K$504,"Ja")&gt;0,", "&amp;REGLER!$I$9,"")&amp;IF(COUNTIFS(MATCHER!$B$5:$B$504,A209,MATCHER!$D$5:$D$504,C209,MATCHER!$J$5:$J$504,REGLER!$I$10,MATCHER!$K$5:$K$504,"Ja")+COUNTIFS(MATCHER!$B$5:$B$504,A209,MATCHER!$D$5:$D$504,C209,MATCHER!$J$5:$J$504,REGLER!$I$10&amp;" 2",MATCHER!$K$5:$K$504,"Ja")&gt;0,", "&amp;REGLER!$I$10,"")&amp;IF(COUNTIFS(MATCHER!$B$5:$B$504,A209,MATCHER!$D$5:$D$504,C209,MATCHER!$J$5:$J$504,REGLER!$I$11,MATCHER!$K$5:$K$504,"Ja")+COUNTIFS(MATCHER!$B$5:$B$504,A209,MATCHER!$D$5:$D$504,C209,MATCHER!$J$5:$J$504,REGLER!$I$11&amp;" 2",MATCHER!$K$5:$K$504,"Ja")&gt;0,", "&amp;REGLER!$I$11,"")&amp;IF(COUNTIFS(MATCHER!$B$5:$B$504,A209,MATCHER!$D$5:$D$504,C209,MATCHER!$J$5:$J$504,REGLER!$I$12,MATCHER!$K$5:$K$504,"Ja")+COUNTIFS(MATCHER!$B$5:$B$504,A209,MATCHER!$D$5:$D$504,C209,MATCHER!$J$5:$J$504,REGLER!$I$12&amp;" 2",MATCHER!$K$5:$K$504,"Ja")&gt;0,", "&amp;REGLER!$I$12,"")&amp;IF(COUNTIFS(MATCHER!$B$5:$B$504,A209,MATCHER!$D$5:$D$504,C209,MATCHER!$J$5:$J$504,REGLER!$I$13,MATCHER!$K$5:$K$504,"Ja")+COUNTIFS(MATCHER!$B$5:$B$504,A209,MATCHER!$D$5:$D$504,C209,MATCHER!$J$5:$J$504,REGLER!$I$13&amp;" 2",MATCHER!$K$5:$K$504,"Ja")&gt;0,", "&amp;REGLER!$I$13,"")&amp;IF(COUNTIFS(MATCHER!$B$5:$B$504,A209,MATCHER!$D$5:$D$504,C209,MATCHER!$J$5:$J$504,REGLER!$I$14,MATCHER!$K$5:$K$504,"Ja")+COUNTIFS(MATCHER!$B$5:$B$504,A209,MATCHER!$D$5:$D$504,C209,MATCHER!$J$5:$J$504,REGLER!$I$14&amp;" 2",MATCHER!$K$5:$K$504,"Ja")&gt;0,", "&amp;REGLER!$I$14,"")&amp;IF(COUNTIFS(MATCHER!$B$5:$B$504,A209,MATCHER!$D$5:$D$504,C209,MATCHER!$J$5:$J$504,REGLER!$I$15,MATCHER!$K$5:$K$504,"Ja")+COUNTIFS(MATCHER!$B$5:$B$504,A209,MATCHER!$D$5:$D$504,C209,MATCHER!$J$5:$J$504,REGLER!$I$15&amp;" 2",MATCHER!$K$5:$K$504,"Ja")&gt;0,", "&amp;REGLER!$I$15,"")&amp;IF(COUNTIFS(MATCHER!$B$5:$B$504,A209,MATCHER!$D$5:$D$504,C209,MATCHER!$J$5:$J$504,REGLER!$I$16,MATCHER!$K$5:$K$504,"Ja")+COUNTIFS(MATCHER!$B$5:$B$504,A209,MATCHER!$D$5:$D$504,C209,MATCHER!$J$5:$J$504,REGLER!$I$16&amp;" 2",MATCHER!$K$5:$K$504,"Ja")&gt;0,", "&amp;REGLER!$I$16,"")&amp;IF(COUNTIFS(MATCHER!$B$5:$B$504,A209,MATCHER!$D$5:$D$504,C209,MATCHER!$J$5:$J$504,REGLER!$I$17,MATCHER!$K$5:$K$504,"Ja")+COUNTIFS(MATCHER!$B$5:$B$504,A209,MATCHER!$D$5:$D$504,C209,MATCHER!$J$5:$J$504,REGLER!$I$17&amp;" 2",MATCHER!$K$5:$K$504,"Ja")&gt;0,", "&amp;REGLER!$I$17,"")&amp;IF(COUNTIFS(MATCHER!$B$5:$B$504,A209,MATCHER!$D$5:$D$504,C209,MATCHER!$J$5:$J$504,REGLER!$I$18,MATCHER!$K$5:$K$504,"Ja")+COUNTIFS(MATCHER!$B$5:$B$504,A209,MATCHER!$D$5:$D$504,C209,MATCHER!$J$5:$J$504,REGLER!$I$18&amp;" 2",MATCHER!$K$5:$K$504,"Ja")&gt;0,", "&amp;REGLER!$I$18,"")&amp;IF(COUNTIFS(MATCHER!$B$5:$B$504,A209,MATCHER!$D$5:$D$504,C209,MATCHER!$J$5:$J$504,REGLER!$I$19,MATCHER!$K$5:$K$504,"Ja")+COUNTIFS(MATCHER!$B$5:$B$504,A209,MATCHER!$D$5:$D$504,C209,MATCHER!$J$5:$J$504,REGLER!$I$19&amp;" 2",MATCHER!$K$5:$K$504,"Ja")&gt;0,", "&amp;REGLER!$I$19,"")&amp;IF(COUNTIFS(MATCHER!$B$5:$B$504,A209,MATCHER!$D$5:$D$504,C209,MATCHER!$J$5:$J$504,REGLER!$I$20,MATCHER!$K$5:$K$504,"Ja")+COUNTIFS(MATCHER!$B$5:$B$504,A209,MATCHER!$D$5:$D$504,C209,MATCHER!$J$5:$J$504,REGLER!$I$20&amp;" 2",MATCHER!$K$5:$K$504,"Ja")&gt;0,", "&amp;REGLER!$I$20,"")&amp;IF(COUNTIFS(MATCHER!$B$5:$B$504,A209,MATCHER!$D$5:$D$504,C209,MATCHER!$J$5:$J$504,REGLER!$I$21,MATCHER!$K$5:$K$504,"Ja")+COUNTIFS(MATCHER!$B$5:$B$504,A209,MATCHER!$D$5:$D$504,C209,MATCHER!$J$5:$J$504,REGLER!$I$21&amp;" 2",MATCHER!$K$5:$K$504,"Ja")&gt;0,", "&amp;REGLER!$I$21,"")&amp;IF(COUNTIFS(MATCHER!$B$5:$B$504,A209,MATCHER!$D$5:$D$504,C209,MATCHER!$J$5:$J$504,REGLER!$I$22,MATCHER!$K$5:$K$504,"Ja")+COUNTIFS(MATCHER!$B$5:$B$504,A209,MATCHER!$D$5:$D$504,C209,MATCHER!$J$5:$J$504,REGLER!$I$22&amp;" 2",MATCHER!$K$5:$K$504,"Ja")&gt;0,", "&amp;REGLER!$I$22,"")&amp;IF(COUNTIFS(MATCHER!$B$5:$B$504,A209,MATCHER!$D$5:$D$504,C209,MATCHER!$J$5:$J$504,REGLER!$I$23,MATCHER!$K$5:$K$504,"Ja")+COUNTIFS(MATCHER!$B$5:$B$504,A209,MATCHER!$D$5:$D$504,C209,MATCHER!$J$5:$J$504,REGLER!$I$23&amp;" 2",MATCHER!$K$5:$K$504,"Ja")&gt;0,", "&amp;REGLER!$I$23,"")&amp;IF(COUNTIFS(MATCHER!$B$5:$B$504,A209,MATCHER!$D$5:$D$504,C209,MATCHER!$J$5:$J$504,REGLER!$I$24,MATCHER!$K$5:$K$504,"Ja")+COUNTIFS(MATCHER!$B$5:$B$504,A209,MATCHER!$D$5:$D$504,C209,MATCHER!$J$5:$J$504,REGLER!$I$24&amp;" 2",MATCHER!$K$5:$K$504,"Ja")&gt;0,", "&amp;REGLER!$I$24,"")&amp;IF(COUNTIFS(MATCHER!$B$5:$B$504,A209,MATCHER!$D$5:$D$504,C209,MATCHER!$J$5:$J$504,REGLER!$I$25,MATCHER!$K$5:$K$504,"Ja")+COUNTIFS(MATCHER!$B$5:$B$504,A209,MATCHER!$D$5:$D$504,C209,MATCHER!$J$5:$J$504,REGLER!$I$25&amp;" 2",MATCHER!$K$5:$K$504,"Ja")&gt;0,", "&amp;REGLER!$I$25,"")&amp;IF(COUNTIFS(MATCHER!$B$5:$B$504,A209,MATCHER!$D$5:$D$504,C209,MATCHER!$J$5:$J$504,REGLER!$I$26,MATCHER!$K$5:$K$504,"Ja")+COUNTIFS(MATCHER!$B$5:$B$504,A209,MATCHER!$D$5:$D$504,C209,MATCHER!$J$5:$J$504,REGLER!$I$26&amp;" 2",MATCHER!$K$5:$K$504,"Ja")&gt;0,", "&amp;REGLER!$I$26,""),3,1000)</f>
        <v>P16</v>
      </c>
      <c r="I209" s="65" t="s">
        <v>87</v>
      </c>
      <c r="J209" s="66"/>
      <c r="K209" s="67" t="s">
        <v>98</v>
      </c>
      <c r="L209" s="68"/>
      <c r="M209" s="69">
        <f>IF(O209&lt;&gt;O208,MAX(1,MIN(AA209,ROUNDUP(SUMPRODUCT(($O$5:$O$546=O209)*($I$5:$I$546="Ja")*($E$5:$E$546-$D$5:$D$546))*24/REGLER!$B$8,0))),"")</f>
        <v>1</v>
      </c>
      <c r="N209" s="70" t="str">
        <f t="shared" si="47"/>
        <v>Ej öppet</v>
      </c>
      <c r="O209" s="15" t="s">
        <v>125</v>
      </c>
      <c r="P209" s="16">
        <v>0.53125</v>
      </c>
      <c r="Q209" s="16">
        <v>0.625</v>
      </c>
      <c r="R209" s="15" t="str">
        <f>IFERROR(MATCH(1,INDEX((MATCHER!$B$5:$B$504=A209)*(MATCHER!$D$5:$D$504=C209)*(MATCHER!$K$5:$K$504="Ja")*(MATCHER!$C$5:$C$504&lt;E209)*(MATCHER!$M$5:$M$504&gt;D209),0),0),"")</f>
        <v/>
      </c>
      <c r="S209" s="15" t="str">
        <f>IF(R209="","",IFERROR(MATCH(1,INDEX((MATCHER!$B$5:$B$504=A209)*(MATCHER!$D$5:$D$504=C209)*(MATCHER!$K$5:$K$504="Ja")*(MATCHER!$C$5:$C$504&lt;E209)*(MATCHER!$M$5:$M$504&gt;D209)*(ROW(MATCHER!$A$5:$A$504)-ROW(MATCHER!$A$5)+1&gt;R209),0),0),""))</f>
        <v/>
      </c>
      <c r="T209" s="15" t="str">
        <f>IF(S209="","",IFERROR(MATCH(1,INDEX((MATCHER!$B$5:$B$504=A209)*(MATCHER!$D$5:$D$504=C209)*(MATCHER!$K$5:$K$504="Ja")*(MATCHER!$C$5:$C$504&lt;E209)*(MATCHER!$M$5:$M$504&gt;D209)*(ROW(MATCHER!$A$5:$A$504)-ROW(MATCHER!$A$5)+1&gt;S209),0),0),""))</f>
        <v/>
      </c>
      <c r="U209" s="15" t="str">
        <f t="shared" si="48"/>
        <v/>
      </c>
      <c r="V209" s="15" t="str">
        <f>IF(OR(I209&lt;&gt;"Ja",J209=""),"",COUNTIFS($O$5:O209,O209,$U$5:U209,1))</f>
        <v/>
      </c>
      <c r="W209" s="15" t="str">
        <f t="shared" si="49"/>
        <v/>
      </c>
      <c r="X209" s="16" t="str">
        <f t="shared" si="50"/>
        <v/>
      </c>
      <c r="Y209" s="15">
        <f>IF(OR(I209&lt;&gt;"Ja",J209=""),0,IF(COUNTIFS($O$5:O209,O209,$I$5:I209,"Ja",$J$5:J209,"&lt;&gt;")=1,1,0))</f>
        <v>0</v>
      </c>
      <c r="Z209" s="15">
        <f>IF(OR(I209&lt;&gt;"Ja",J209=""),0,IF(COUNTIFS(O209:$O$546,O209,I209:$I$546,"Ja",J209:$J$546,"&lt;&gt;")=1,1,0))</f>
        <v>0</v>
      </c>
      <c r="AA209" s="15">
        <f>IF(COUNTIFS(MATCHER!$B$5:$B$504,A209,MATCHER!$D$5:$D$504,C209,MATCHER!$J$5:$J$504,REGLER!$I$6,MATCHER!$K$5:$K$504,"Ja")+COUNTIFS(MATCHER!$B$5:$B$504,A209,MATCHER!$D$5:$D$504,C209,MATCHER!$J$5:$J$504,REGLER!$I$6&amp;" 2",MATCHER!$K$5:$K$504,"Ja")&gt;0,1,0)+IF(COUNTIFS(MATCHER!$B$5:$B$504,A209,MATCHER!$D$5:$D$504,C209,MATCHER!$J$5:$J$504,REGLER!$I$7,MATCHER!$K$5:$K$504,"Ja")+COUNTIFS(MATCHER!$B$5:$B$504,A209,MATCHER!$D$5:$D$504,C209,MATCHER!$J$5:$J$504,REGLER!$I$7&amp;" 2",MATCHER!$K$5:$K$504,"Ja")&gt;0,1,0)+IF(COUNTIFS(MATCHER!$B$5:$B$504,A209,MATCHER!$D$5:$D$504,C209,MATCHER!$J$5:$J$504,REGLER!$I$8,MATCHER!$K$5:$K$504,"Ja")+COUNTIFS(MATCHER!$B$5:$B$504,A209,MATCHER!$D$5:$D$504,C209,MATCHER!$J$5:$J$504,REGLER!$I$8&amp;" 2",MATCHER!$K$5:$K$504,"Ja")&gt;0,1,0)+IF(COUNTIFS(MATCHER!$B$5:$B$504,A209,MATCHER!$D$5:$D$504,C209,MATCHER!$J$5:$J$504,REGLER!$I$9,MATCHER!$K$5:$K$504,"Ja")+COUNTIFS(MATCHER!$B$5:$B$504,A209,MATCHER!$D$5:$D$504,C209,MATCHER!$J$5:$J$504,REGLER!$I$9&amp;" 2",MATCHER!$K$5:$K$504,"Ja")&gt;0,1,0)+IF(COUNTIFS(MATCHER!$B$5:$B$504,A209,MATCHER!$D$5:$D$504,C209,MATCHER!$J$5:$J$504,REGLER!$I$10,MATCHER!$K$5:$K$504,"Ja")+COUNTIFS(MATCHER!$B$5:$B$504,A209,MATCHER!$D$5:$D$504,C209,MATCHER!$J$5:$J$504,REGLER!$I$10&amp;" 2",MATCHER!$K$5:$K$504,"Ja")&gt;0,1,0)+IF(COUNTIFS(MATCHER!$B$5:$B$504,A209,MATCHER!$D$5:$D$504,C209,MATCHER!$J$5:$J$504,REGLER!$I$11,MATCHER!$K$5:$K$504,"Ja")+COUNTIFS(MATCHER!$B$5:$B$504,A209,MATCHER!$D$5:$D$504,C209,MATCHER!$J$5:$J$504,REGLER!$I$11&amp;" 2",MATCHER!$K$5:$K$504,"Ja")&gt;0,1,0)+IF(COUNTIFS(MATCHER!$B$5:$B$504,A209,MATCHER!$D$5:$D$504,C209,MATCHER!$J$5:$J$504,REGLER!$I$12,MATCHER!$K$5:$K$504,"Ja")+COUNTIFS(MATCHER!$B$5:$B$504,A209,MATCHER!$D$5:$D$504,C209,MATCHER!$J$5:$J$504,REGLER!$I$12&amp;" 2",MATCHER!$K$5:$K$504,"Ja")&gt;0,1,0)+IF(COUNTIFS(MATCHER!$B$5:$B$504,A209,MATCHER!$D$5:$D$504,C209,MATCHER!$J$5:$J$504,REGLER!$I$13,MATCHER!$K$5:$K$504,"Ja")+COUNTIFS(MATCHER!$B$5:$B$504,A209,MATCHER!$D$5:$D$504,C209,MATCHER!$J$5:$J$504,REGLER!$I$13&amp;" 2",MATCHER!$K$5:$K$504,"Ja")&gt;0,1,0)+IF(COUNTIFS(MATCHER!$B$5:$B$504,A209,MATCHER!$D$5:$D$504,C209,MATCHER!$J$5:$J$504,REGLER!$I$14,MATCHER!$K$5:$K$504,"Ja")+COUNTIFS(MATCHER!$B$5:$B$504,A209,MATCHER!$D$5:$D$504,C209,MATCHER!$J$5:$J$504,REGLER!$I$14&amp;" 2",MATCHER!$K$5:$K$504,"Ja")&gt;0,1,0)+IF(COUNTIFS(MATCHER!$B$5:$B$504,A209,MATCHER!$D$5:$D$504,C209,MATCHER!$J$5:$J$504,REGLER!$I$15,MATCHER!$K$5:$K$504,"Ja")+COUNTIFS(MATCHER!$B$5:$B$504,A209,MATCHER!$D$5:$D$504,C209,MATCHER!$J$5:$J$504,REGLER!$I$15&amp;" 2",MATCHER!$K$5:$K$504,"Ja")&gt;0,1,0)+IF(COUNTIFS(MATCHER!$B$5:$B$504,A209,MATCHER!$D$5:$D$504,C209,MATCHER!$J$5:$J$504,REGLER!$I$16,MATCHER!$K$5:$K$504,"Ja")+COUNTIFS(MATCHER!$B$5:$B$504,A209,MATCHER!$D$5:$D$504,C209,MATCHER!$J$5:$J$504,REGLER!$I$16&amp;" 2",MATCHER!$K$5:$K$504,"Ja")&gt;0,1,0)+IF(COUNTIFS(MATCHER!$B$5:$B$504,A209,MATCHER!$D$5:$D$504,C209,MATCHER!$J$5:$J$504,REGLER!$I$17,MATCHER!$K$5:$K$504,"Ja")+COUNTIFS(MATCHER!$B$5:$B$504,A209,MATCHER!$D$5:$D$504,C209,MATCHER!$J$5:$J$504,REGLER!$I$17&amp;" 2",MATCHER!$K$5:$K$504,"Ja")&gt;0,1,0)+IF(COUNTIFS(MATCHER!$B$5:$B$504,A209,MATCHER!$D$5:$D$504,C209,MATCHER!$J$5:$J$504,REGLER!$I$18,MATCHER!$K$5:$K$504,"Ja")+COUNTIFS(MATCHER!$B$5:$B$504,A209,MATCHER!$D$5:$D$504,C209,MATCHER!$J$5:$J$504,REGLER!$I$18&amp;" 2",MATCHER!$K$5:$K$504,"Ja")&gt;0,1,0)+IF(COUNTIFS(MATCHER!$B$5:$B$504,A209,MATCHER!$D$5:$D$504,C209,MATCHER!$J$5:$J$504,REGLER!$I$19,MATCHER!$K$5:$K$504,"Ja")+COUNTIFS(MATCHER!$B$5:$B$504,A209,MATCHER!$D$5:$D$504,C209,MATCHER!$J$5:$J$504,REGLER!$I$19&amp;" 2",MATCHER!$K$5:$K$504,"Ja")&gt;0,1,0)+IF(COUNTIFS(MATCHER!$B$5:$B$504,A209,MATCHER!$D$5:$D$504,C209,MATCHER!$J$5:$J$504,REGLER!$I$20,MATCHER!$K$5:$K$504,"Ja")+COUNTIFS(MATCHER!$B$5:$B$504,A209,MATCHER!$D$5:$D$504,C209,MATCHER!$J$5:$J$504,REGLER!$I$20&amp;" 2",MATCHER!$K$5:$K$504,"Ja")&gt;0,1,0)+IF(COUNTIFS(MATCHER!$B$5:$B$504,A209,MATCHER!$D$5:$D$504,C209,MATCHER!$J$5:$J$504,REGLER!$I$21,MATCHER!$K$5:$K$504,"Ja")+COUNTIFS(MATCHER!$B$5:$B$504,A209,MATCHER!$D$5:$D$504,C209,MATCHER!$J$5:$J$504,REGLER!$I$21&amp;" 2",MATCHER!$K$5:$K$504,"Ja")&gt;0,1,0)+IF(COUNTIFS(MATCHER!$B$5:$B$504,A209,MATCHER!$D$5:$D$504,C209,MATCHER!$J$5:$J$504,REGLER!$I$22,MATCHER!$K$5:$K$504,"Ja")+COUNTIFS(MATCHER!$B$5:$B$504,A209,MATCHER!$D$5:$D$504,C209,MATCHER!$J$5:$J$504,REGLER!$I$22&amp;" 2",MATCHER!$K$5:$K$504,"Ja")&gt;0,1,0)+IF(COUNTIFS(MATCHER!$B$5:$B$504,A209,MATCHER!$D$5:$D$504,C209,MATCHER!$J$5:$J$504,REGLER!$I$23,MATCHER!$K$5:$K$504,"Ja")+COUNTIFS(MATCHER!$B$5:$B$504,A209,MATCHER!$D$5:$D$504,C209,MATCHER!$J$5:$J$504,REGLER!$I$23&amp;" 2",MATCHER!$K$5:$K$504,"Ja")&gt;0,1,0)+IF(COUNTIFS(MATCHER!$B$5:$B$504,A209,MATCHER!$D$5:$D$504,C209,MATCHER!$J$5:$J$504,REGLER!$I$24,MATCHER!$K$5:$K$504,"Ja")+COUNTIFS(MATCHER!$B$5:$B$504,A209,MATCHER!$D$5:$D$504,C209,MATCHER!$J$5:$J$504,REGLER!$I$24&amp;" 2",MATCHER!$K$5:$K$504,"Ja")&gt;0,1,0)+IF(COUNTIFS(MATCHER!$B$5:$B$504,A209,MATCHER!$D$5:$D$504,C209,MATCHER!$J$5:$J$504,REGLER!$I$25,MATCHER!$K$5:$K$504,"Ja")+COUNTIFS(MATCHER!$B$5:$B$504,A209,MATCHER!$D$5:$D$504,C209,MATCHER!$J$5:$J$504,REGLER!$I$25&amp;" 2",MATCHER!$K$5:$K$504,"Ja")&gt;0,1,0)+IF(COUNTIFS(MATCHER!$B$5:$B$504,A209,MATCHER!$D$5:$D$504,C209,MATCHER!$J$5:$J$504,REGLER!$I$26,MATCHER!$K$5:$K$504,"Ja")+COUNTIFS(MATCHER!$B$5:$B$504,A209,MATCHER!$D$5:$D$504,C209,MATCHER!$J$5:$J$504,REGLER!$I$26&amp;" 2",MATCHER!$K$5:$K$504,"Ja")&gt;0,1,0)</f>
        <v>1</v>
      </c>
      <c r="AB209" s="15" t="str">
        <f>IF(U209&lt;&gt;1,"",COUNTIF($U$5:U209,1))</f>
        <v/>
      </c>
      <c r="AC209" s="15" t="str">
        <f t="shared" si="51"/>
        <v/>
      </c>
      <c r="AD209" s="15" t="str">
        <f t="shared" si="52"/>
        <v>Minicafé</v>
      </c>
      <c r="AE209" s="15" t="str">
        <f t="shared" si="53"/>
        <v/>
      </c>
      <c r="AF209" t="str">
        <f>IF(T209="","",IFERROR(MATCH(1,INDEX((MATCHER!$B$5:$B$504=A209)*(MATCHER!$D$5:$D$504=C209)*(MATCHER!$K$5:$K$504="Ja")*(MATCHER!$C$5:$C$504&lt;E209)*(MATCHER!$M$5:$M$504&gt;D209)*(ROW(MATCHER!$A$5:$A$504)-ROW(MATCHER!$A$5)+1&gt;T209),0),0),""))</f>
        <v/>
      </c>
    </row>
    <row r="210" spans="1:32" ht="13">
      <c r="A210" s="42">
        <v>46347</v>
      </c>
      <c r="B210" s="43" t="s">
        <v>85</v>
      </c>
      <c r="C210" s="43" t="s">
        <v>94</v>
      </c>
      <c r="D210" s="44">
        <v>0.54166666666666696</v>
      </c>
      <c r="E210" s="44">
        <v>0.5625</v>
      </c>
      <c r="F210" s="45" t="str">
        <f>IF(R210="","",HOUR(INDEX(MATCHER!$C$5:$C$504,R210))&amp;":"&amp;IF(MINUTE(INDEX(MATCHER!$C$5:$C$504,R210))&lt;10,"0","")&amp;MINUTE(INDEX(MATCHER!$C$5:$C$504,R210))&amp;" "&amp;INDEX(MATCHER!$H$5:$H$504,R210)&amp;" – "&amp;INDEX(MATCHER!$I$5:$I$504,R210))&amp;IF(S210="",""," | "&amp;HOUR(INDEX(MATCHER!$C$5:$C$504,S210))&amp;":"&amp;IF(MINUTE(INDEX(MATCHER!$C$5:$C$504,S210))&lt;10,"0","")&amp;MINUTE(INDEX(MATCHER!$C$5:$C$504,S210))&amp;" "&amp;INDEX(MATCHER!$H$5:$H$504,S210)&amp;" – "&amp;INDEX(MATCHER!$I$5:$I$504,S210))&amp;IF(T210="",""," | "&amp;HOUR(INDEX(MATCHER!$C$5:$C$504,T210))&amp;":"&amp;IF(MINUTE(INDEX(MATCHER!$C$5:$C$504,T210))&lt;10,"0","")&amp;MINUTE(INDEX(MATCHER!$C$5:$C$504,T210))&amp;" "&amp;INDEX(MATCHER!$H$5:$H$504,T210)&amp;" – "&amp;INDEX(MATCHER!$I$5:$I$504,T210))&amp;IF(AF210="",""," | "&amp;HOUR(INDEX(MATCHER!$C$5:$C$504,AF210))&amp;":"&amp;IF(MINUTE(INDEX(MATCHER!$C$5:$C$504,AF210))&lt;10,"0","")&amp;MINUTE(INDEX(MATCHER!$C$5:$C$504,AF210))&amp;" "&amp;INDEX(MATCHER!$H$5:$H$504,AF210)&amp;" – "&amp;INDEX(MATCHER!$I$5:$I$504,AF210))</f>
        <v/>
      </c>
      <c r="G210" s="45" t="str">
        <f>MID(IF(R210="","",IF(OR(INDEX(MATCHER!$J$5:$J$504,R210)=""),""," / "&amp;INDEX(MATCHER!$J$5:$J$504,R210)))&amp;IF(S210="","",IF(OR(INDEX(MATCHER!$J$5:$J$504,S210)="",INDEX(MATCHER!$J$5:$J$504,S210)=IFERROR(INDEX(MATCHER!$J$5:$J$504,R210),"")),""," / "&amp;INDEX(MATCHER!$J$5:$J$504,S210)))&amp;IF(T210="","",IF(OR(INDEX(MATCHER!$J$5:$J$504,T210)="",INDEX(MATCHER!$J$5:$J$504,T210)=IFERROR(INDEX(MATCHER!$J$5:$J$504,R210),""),INDEX(MATCHER!$J$5:$J$504,T210)=IFERROR(INDEX(MATCHER!$J$5:$J$504,S210),"")),""," / "&amp;INDEX(MATCHER!$J$5:$J$504,T210)))&amp;IF(AF210="","",IF(OR(INDEX(MATCHER!$J$5:$J$504,AF210)="",INDEX(MATCHER!$J$5:$J$504,AF210)=IFERROR(INDEX(MATCHER!$J$5:$J$504,R210),""),INDEX(MATCHER!$J$5:$J$504,AF210)=IFERROR(INDEX(MATCHER!$J$5:$J$504,S210),""),INDEX(MATCHER!$J$5:$J$504,AF210)=IFERROR(INDEX(MATCHER!$J$5:$J$504,T210),"")),""," / "&amp;INDEX(MATCHER!$J$5:$J$504,AF210))),4,1000)</f>
        <v/>
      </c>
      <c r="H210" s="45" t="str">
        <f>H209</f>
        <v>P16</v>
      </c>
      <c r="I210" s="46" t="s">
        <v>87</v>
      </c>
      <c r="J210" s="47"/>
      <c r="K210" s="48"/>
      <c r="L210" s="49"/>
      <c r="M210" s="50" t="str">
        <f>IF(O210&lt;&gt;O209,MAX(1,MIN(AA210,ROUNDUP(SUMPRODUCT(($O$5:$O$546=O210)*($I$5:$I$546="Ja")*($E$5:$E$546-$D$5:$D$546))*24/REGLER!$B$8,0))),"")</f>
        <v/>
      </c>
      <c r="N210" s="50" t="str">
        <f t="shared" si="47"/>
        <v>Ej öppet</v>
      </c>
      <c r="O210" s="15" t="s">
        <v>125</v>
      </c>
      <c r="P210" s="16">
        <v>0.53125</v>
      </c>
      <c r="Q210" s="16">
        <v>0.625</v>
      </c>
      <c r="R210" s="15" t="str">
        <f>IFERROR(MATCH(1,INDEX((MATCHER!$B$5:$B$504=A210)*(MATCHER!$D$5:$D$504=C210)*(MATCHER!$K$5:$K$504="Ja")*(MATCHER!$C$5:$C$504&lt;E210)*(MATCHER!$M$5:$M$504&gt;D210),0),0),"")</f>
        <v/>
      </c>
      <c r="S210" s="15" t="str">
        <f>IF(R210="","",IFERROR(MATCH(1,INDEX((MATCHER!$B$5:$B$504=A210)*(MATCHER!$D$5:$D$504=C210)*(MATCHER!$K$5:$K$504="Ja")*(MATCHER!$C$5:$C$504&lt;E210)*(MATCHER!$M$5:$M$504&gt;D210)*(ROW(MATCHER!$A$5:$A$504)-ROW(MATCHER!$A$5)+1&gt;R210),0),0),""))</f>
        <v/>
      </c>
      <c r="T210" s="15" t="str">
        <f>IF(S210="","",IFERROR(MATCH(1,INDEX((MATCHER!$B$5:$B$504=A210)*(MATCHER!$D$5:$D$504=C210)*(MATCHER!$K$5:$K$504="Ja")*(MATCHER!$C$5:$C$504&lt;E210)*(MATCHER!$M$5:$M$504&gt;D210)*(ROW(MATCHER!$A$5:$A$504)-ROW(MATCHER!$A$5)+1&gt;S210),0),0),""))</f>
        <v/>
      </c>
      <c r="U210" s="15" t="str">
        <f t="shared" si="48"/>
        <v/>
      </c>
      <c r="V210" s="15" t="str">
        <f>IF(OR(I210&lt;&gt;"Ja",J210=""),"",COUNTIFS($O$5:O210,O210,$U$5:U210,1))</f>
        <v/>
      </c>
      <c r="W210" s="15" t="str">
        <f t="shared" si="49"/>
        <v/>
      </c>
      <c r="X210" s="16" t="str">
        <f t="shared" si="50"/>
        <v/>
      </c>
      <c r="Y210" s="15">
        <f>IF(OR(I210&lt;&gt;"Ja",J210=""),0,IF(COUNTIFS($O$5:O210,O210,$I$5:I210,"Ja",$J$5:J210,"&lt;&gt;")=1,1,0))</f>
        <v>0</v>
      </c>
      <c r="Z210" s="15">
        <f>IF(OR(I210&lt;&gt;"Ja",J210=""),0,IF(COUNTIFS(O210:$O$546,O210,I210:$I$546,"Ja",J210:$J$546,"&lt;&gt;")=1,1,0))</f>
        <v>0</v>
      </c>
      <c r="AA210" s="15">
        <f>AA209</f>
        <v>1</v>
      </c>
      <c r="AB210" s="15" t="str">
        <f>IF(U210&lt;&gt;1,"",COUNTIF($U$5:U210,1))</f>
        <v/>
      </c>
      <c r="AC210" s="15" t="str">
        <f t="shared" si="51"/>
        <v/>
      </c>
      <c r="AD210" s="15" t="str">
        <f t="shared" si="52"/>
        <v>Minicafé</v>
      </c>
      <c r="AE210" s="15" t="str">
        <f t="shared" si="53"/>
        <v/>
      </c>
      <c r="AF210" t="str">
        <f>IF(T210="","",IFERROR(MATCH(1,INDEX((MATCHER!$B$5:$B$504=A210)*(MATCHER!$D$5:$D$504=C210)*(MATCHER!$K$5:$K$504="Ja")*(MATCHER!$C$5:$C$504&lt;E210)*(MATCHER!$M$5:$M$504&gt;D210)*(ROW(MATCHER!$A$5:$A$504)-ROW(MATCHER!$A$5)+1&gt;T210),0),0),""))</f>
        <v/>
      </c>
    </row>
    <row r="211" spans="1:32" ht="13">
      <c r="A211" s="42">
        <v>46347</v>
      </c>
      <c r="B211" s="43" t="s">
        <v>85</v>
      </c>
      <c r="C211" s="43" t="s">
        <v>94</v>
      </c>
      <c r="D211" s="44">
        <v>0.5625</v>
      </c>
      <c r="E211" s="44">
        <v>0.58333333333333304</v>
      </c>
      <c r="F211" s="45" t="str">
        <f>IF(R211="","",HOUR(INDEX(MATCHER!$C$5:$C$504,R211))&amp;":"&amp;IF(MINUTE(INDEX(MATCHER!$C$5:$C$504,R211))&lt;10,"0","")&amp;MINUTE(INDEX(MATCHER!$C$5:$C$504,R211))&amp;" "&amp;INDEX(MATCHER!$H$5:$H$504,R211)&amp;" – "&amp;INDEX(MATCHER!$I$5:$I$504,R211))&amp;IF(S211="",""," | "&amp;HOUR(INDEX(MATCHER!$C$5:$C$504,S211))&amp;":"&amp;IF(MINUTE(INDEX(MATCHER!$C$5:$C$504,S211))&lt;10,"0","")&amp;MINUTE(INDEX(MATCHER!$C$5:$C$504,S211))&amp;" "&amp;INDEX(MATCHER!$H$5:$H$504,S211)&amp;" – "&amp;INDEX(MATCHER!$I$5:$I$504,S211))&amp;IF(T211="",""," | "&amp;HOUR(INDEX(MATCHER!$C$5:$C$504,T211))&amp;":"&amp;IF(MINUTE(INDEX(MATCHER!$C$5:$C$504,T211))&lt;10,"0","")&amp;MINUTE(INDEX(MATCHER!$C$5:$C$504,T211))&amp;" "&amp;INDEX(MATCHER!$H$5:$H$504,T211)&amp;" – "&amp;INDEX(MATCHER!$I$5:$I$504,T211))&amp;IF(AF211="",""," | "&amp;HOUR(INDEX(MATCHER!$C$5:$C$504,AF211))&amp;":"&amp;IF(MINUTE(INDEX(MATCHER!$C$5:$C$504,AF211))&lt;10,"0","")&amp;MINUTE(INDEX(MATCHER!$C$5:$C$504,AF211))&amp;" "&amp;INDEX(MATCHER!$H$5:$H$504,AF211)&amp;" – "&amp;INDEX(MATCHER!$I$5:$I$504,AF211))</f>
        <v>13:40 AIK 2 – Spånga HK 3</v>
      </c>
      <c r="G211" s="45" t="str">
        <f>MID(IF(R211="","",IF(OR(INDEX(MATCHER!$J$5:$J$504,R211)=""),""," / "&amp;INDEX(MATCHER!$J$5:$J$504,R211)))&amp;IF(S211="","",IF(OR(INDEX(MATCHER!$J$5:$J$504,S211)="",INDEX(MATCHER!$J$5:$J$504,S211)=IFERROR(INDEX(MATCHER!$J$5:$J$504,R211),"")),""," / "&amp;INDEX(MATCHER!$J$5:$J$504,S211)))&amp;IF(T211="","",IF(OR(INDEX(MATCHER!$J$5:$J$504,T211)="",INDEX(MATCHER!$J$5:$J$504,T211)=IFERROR(INDEX(MATCHER!$J$5:$J$504,R211),""),INDEX(MATCHER!$J$5:$J$504,T211)=IFERROR(INDEX(MATCHER!$J$5:$J$504,S211),"")),""," / "&amp;INDEX(MATCHER!$J$5:$J$504,T211)))&amp;IF(AF211="","",IF(OR(INDEX(MATCHER!$J$5:$J$504,AF211)="",INDEX(MATCHER!$J$5:$J$504,AF211)=IFERROR(INDEX(MATCHER!$J$5:$J$504,R211),""),INDEX(MATCHER!$J$5:$J$504,AF211)=IFERROR(INDEX(MATCHER!$J$5:$J$504,S211),""),INDEX(MATCHER!$J$5:$J$504,AF211)=IFERROR(INDEX(MATCHER!$J$5:$J$504,T211),"")),""," / "&amp;INDEX(MATCHER!$J$5:$J$504,AF211))),4,1000)</f>
        <v>P16 2</v>
      </c>
      <c r="H211" s="45" t="str">
        <f>H210</f>
        <v>P16</v>
      </c>
      <c r="I211" s="46" t="s">
        <v>90</v>
      </c>
      <c r="J211" s="47" t="s">
        <v>100</v>
      </c>
      <c r="K211" s="48"/>
      <c r="L211" s="49"/>
      <c r="M211" s="50" t="str">
        <f>IF(O211&lt;&gt;O210,MAX(1,MIN(AA211,ROUNDUP(SUMPRODUCT(($O$5:$O$546=O211)*($I$5:$I$546="Ja")*($E$5:$E$546-$D$5:$D$546))*24/REGLER!$B$8,0))),"")</f>
        <v/>
      </c>
      <c r="N211" s="50" t="str">
        <f t="shared" si="47"/>
        <v>Klar</v>
      </c>
      <c r="O211" s="15" t="s">
        <v>125</v>
      </c>
      <c r="P211" s="16">
        <v>0.53125</v>
      </c>
      <c r="Q211" s="16">
        <v>0.625</v>
      </c>
      <c r="R211" s="15">
        <f>IFERROR(MATCH(1,INDEX((MATCHER!$B$5:$B$504=A211)*(MATCHER!$D$5:$D$504=C211)*(MATCHER!$K$5:$K$504="Ja")*(MATCHER!$C$5:$C$504&lt;E211)*(MATCHER!$M$5:$M$504&gt;D211),0),0),"")</f>
        <v>73</v>
      </c>
      <c r="S211" s="15" t="str">
        <f>IF(R211="","",IFERROR(MATCH(1,INDEX((MATCHER!$B$5:$B$504=A211)*(MATCHER!$D$5:$D$504=C211)*(MATCHER!$K$5:$K$504="Ja")*(MATCHER!$C$5:$C$504&lt;E211)*(MATCHER!$M$5:$M$504&gt;D211)*(ROW(MATCHER!$A$5:$A$504)-ROW(MATCHER!$A$5)+1&gt;R211),0),0),""))</f>
        <v/>
      </c>
      <c r="T211" s="15" t="str">
        <f>IF(S211="","",IFERROR(MATCH(1,INDEX((MATCHER!$B$5:$B$504=A211)*(MATCHER!$D$5:$D$504=C211)*(MATCHER!$K$5:$K$504="Ja")*(MATCHER!$C$5:$C$504&lt;E211)*(MATCHER!$M$5:$M$504&gt;D211)*(ROW(MATCHER!$A$5:$A$504)-ROW(MATCHER!$A$5)+1&gt;S211),0),0),""))</f>
        <v/>
      </c>
      <c r="U211" s="15">
        <f t="shared" si="48"/>
        <v>1</v>
      </c>
      <c r="V211" s="15">
        <f>IF(OR(I211&lt;&gt;"Ja",J211=""),"",COUNTIFS($O$5:O211,O211,$U$5:U211,1))</f>
        <v>1</v>
      </c>
      <c r="W211" s="15" t="str">
        <f t="shared" si="49"/>
        <v>2026-11-21 | Råsta Park|1</v>
      </c>
      <c r="X211" s="16" t="str">
        <f t="shared" si="50"/>
        <v/>
      </c>
      <c r="Y211" s="15">
        <f>IF(OR(I211&lt;&gt;"Ja",J211=""),0,IF(COUNTIFS($O$5:O211,O211,$I$5:I211,"Ja",$J$5:J211,"&lt;&gt;")=1,1,0))</f>
        <v>1</v>
      </c>
      <c r="Z211" s="15">
        <f>IF(OR(I211&lt;&gt;"Ja",J211=""),0,IF(COUNTIFS(O211:$O$546,O211,I211:$I$546,"Ja",J211:$J$546,"&lt;&gt;")=1,1,0))</f>
        <v>0</v>
      </c>
      <c r="AA211" s="15">
        <f>AA210</f>
        <v>1</v>
      </c>
      <c r="AB211" s="15">
        <f>IF(U211&lt;&gt;1,"",COUNTIF($U$5:U211,1))</f>
        <v>23</v>
      </c>
      <c r="AC211" s="15" t="str">
        <f t="shared" si="51"/>
        <v/>
      </c>
      <c r="AD211" s="15" t="str">
        <f t="shared" si="52"/>
        <v>Minicafé</v>
      </c>
      <c r="AE211" s="15">
        <f t="shared" si="53"/>
        <v>1.5</v>
      </c>
      <c r="AF211" t="str">
        <f>IF(T211="","",IFERROR(MATCH(1,INDEX((MATCHER!$B$5:$B$504=A211)*(MATCHER!$D$5:$D$504=C211)*(MATCHER!$K$5:$K$504="Ja")*(MATCHER!$C$5:$C$504&lt;E211)*(MATCHER!$M$5:$M$504&gt;D211)*(ROW(MATCHER!$A$5:$A$504)-ROW(MATCHER!$A$5)+1&gt;T211),0),0),""))</f>
        <v/>
      </c>
    </row>
    <row r="212" spans="1:32" ht="13">
      <c r="A212" s="42">
        <v>46347</v>
      </c>
      <c r="B212" s="43" t="s">
        <v>85</v>
      </c>
      <c r="C212" s="43" t="s">
        <v>94</v>
      </c>
      <c r="D212" s="44">
        <v>0.58333333333333304</v>
      </c>
      <c r="E212" s="44">
        <v>0.60416666666666696</v>
      </c>
      <c r="F212" s="45" t="str">
        <f>IF(R212="","",HOUR(INDEX(MATCHER!$C$5:$C$504,R212))&amp;":"&amp;IF(MINUTE(INDEX(MATCHER!$C$5:$C$504,R212))&lt;10,"0","")&amp;MINUTE(INDEX(MATCHER!$C$5:$C$504,R212))&amp;" "&amp;INDEX(MATCHER!$H$5:$H$504,R212)&amp;" – "&amp;INDEX(MATCHER!$I$5:$I$504,R212))&amp;IF(S212="",""," | "&amp;HOUR(INDEX(MATCHER!$C$5:$C$504,S212))&amp;":"&amp;IF(MINUTE(INDEX(MATCHER!$C$5:$C$504,S212))&lt;10,"0","")&amp;MINUTE(INDEX(MATCHER!$C$5:$C$504,S212))&amp;" "&amp;INDEX(MATCHER!$H$5:$H$504,S212)&amp;" – "&amp;INDEX(MATCHER!$I$5:$I$504,S212))&amp;IF(T212="",""," | "&amp;HOUR(INDEX(MATCHER!$C$5:$C$504,T212))&amp;":"&amp;IF(MINUTE(INDEX(MATCHER!$C$5:$C$504,T212))&lt;10,"0","")&amp;MINUTE(INDEX(MATCHER!$C$5:$C$504,T212))&amp;" "&amp;INDEX(MATCHER!$H$5:$H$504,T212)&amp;" – "&amp;INDEX(MATCHER!$I$5:$I$504,T212))&amp;IF(AF212="",""," | "&amp;HOUR(INDEX(MATCHER!$C$5:$C$504,AF212))&amp;":"&amp;IF(MINUTE(INDEX(MATCHER!$C$5:$C$504,AF212))&lt;10,"0","")&amp;MINUTE(INDEX(MATCHER!$C$5:$C$504,AF212))&amp;" "&amp;INDEX(MATCHER!$H$5:$H$504,AF212)&amp;" – "&amp;INDEX(MATCHER!$I$5:$I$504,AF212))</f>
        <v>13:40 AIK 2 – Spånga HK 3</v>
      </c>
      <c r="G212" s="45" t="str">
        <f>MID(IF(R212="","",IF(OR(INDEX(MATCHER!$J$5:$J$504,R212)=""),""," / "&amp;INDEX(MATCHER!$J$5:$J$504,R212)))&amp;IF(S212="","",IF(OR(INDEX(MATCHER!$J$5:$J$504,S212)="",INDEX(MATCHER!$J$5:$J$504,S212)=IFERROR(INDEX(MATCHER!$J$5:$J$504,R212),"")),""," / "&amp;INDEX(MATCHER!$J$5:$J$504,S212)))&amp;IF(T212="","",IF(OR(INDEX(MATCHER!$J$5:$J$504,T212)="",INDEX(MATCHER!$J$5:$J$504,T212)=IFERROR(INDEX(MATCHER!$J$5:$J$504,R212),""),INDEX(MATCHER!$J$5:$J$504,T212)=IFERROR(INDEX(MATCHER!$J$5:$J$504,S212),"")),""," / "&amp;INDEX(MATCHER!$J$5:$J$504,T212)))&amp;IF(AF212="","",IF(OR(INDEX(MATCHER!$J$5:$J$504,AF212)="",INDEX(MATCHER!$J$5:$J$504,AF212)=IFERROR(INDEX(MATCHER!$J$5:$J$504,R212),""),INDEX(MATCHER!$J$5:$J$504,AF212)=IFERROR(INDEX(MATCHER!$J$5:$J$504,S212),""),INDEX(MATCHER!$J$5:$J$504,AF212)=IFERROR(INDEX(MATCHER!$J$5:$J$504,T212),"")),""," / "&amp;INDEX(MATCHER!$J$5:$J$504,AF212))),4,1000)</f>
        <v>P16 2</v>
      </c>
      <c r="H212" s="45" t="str">
        <f>H211</f>
        <v>P16</v>
      </c>
      <c r="I212" s="46" t="s">
        <v>90</v>
      </c>
      <c r="J212" s="47" t="s">
        <v>100</v>
      </c>
      <c r="K212" s="48"/>
      <c r="L212" s="49"/>
      <c r="M212" s="50" t="str">
        <f>IF(O212&lt;&gt;O211,MAX(1,MIN(AA212,ROUNDUP(SUMPRODUCT(($O$5:$O$546=O212)*($I$5:$I$546="Ja")*($E$5:$E$546-$D$5:$D$546))*24/REGLER!$B$8,0))),"")</f>
        <v/>
      </c>
      <c r="N212" s="50" t="str">
        <f t="shared" si="47"/>
        <v>Klar</v>
      </c>
      <c r="O212" s="15" t="s">
        <v>125</v>
      </c>
      <c r="P212" s="16">
        <v>0.53125</v>
      </c>
      <c r="Q212" s="16">
        <v>0.625</v>
      </c>
      <c r="R212" s="15">
        <f>IFERROR(MATCH(1,INDEX((MATCHER!$B$5:$B$504=A212)*(MATCHER!$D$5:$D$504=C212)*(MATCHER!$K$5:$K$504="Ja")*(MATCHER!$C$5:$C$504&lt;E212)*(MATCHER!$M$5:$M$504&gt;D212),0),0),"")</f>
        <v>73</v>
      </c>
      <c r="S212" s="15" t="str">
        <f>IF(R212="","",IFERROR(MATCH(1,INDEX((MATCHER!$B$5:$B$504=A212)*(MATCHER!$D$5:$D$504=C212)*(MATCHER!$K$5:$K$504="Ja")*(MATCHER!$C$5:$C$504&lt;E212)*(MATCHER!$M$5:$M$504&gt;D212)*(ROW(MATCHER!$A$5:$A$504)-ROW(MATCHER!$A$5)+1&gt;R212),0),0),""))</f>
        <v/>
      </c>
      <c r="T212" s="15" t="str">
        <f>IF(S212="","",IFERROR(MATCH(1,INDEX((MATCHER!$B$5:$B$504=A212)*(MATCHER!$D$5:$D$504=C212)*(MATCHER!$K$5:$K$504="Ja")*(MATCHER!$C$5:$C$504&lt;E212)*(MATCHER!$M$5:$M$504&gt;D212)*(ROW(MATCHER!$A$5:$A$504)-ROW(MATCHER!$A$5)+1&gt;S212),0),0),""))</f>
        <v/>
      </c>
      <c r="U212" s="15">
        <f t="shared" si="48"/>
        <v>0</v>
      </c>
      <c r="V212" s="15">
        <f>IF(OR(I212&lt;&gt;"Ja",J212=""),"",COUNTIFS($O$5:O212,O212,$U$5:U212,1))</f>
        <v>1</v>
      </c>
      <c r="W212" s="15" t="str">
        <f t="shared" si="49"/>
        <v>2026-11-21 | Råsta Park|1</v>
      </c>
      <c r="X212" s="16" t="str">
        <f t="shared" si="50"/>
        <v/>
      </c>
      <c r="Y212" s="15">
        <f>IF(OR(I212&lt;&gt;"Ja",J212=""),0,IF(COUNTIFS($O$5:O212,O212,$I$5:I212,"Ja",$J$5:J212,"&lt;&gt;")=1,1,0))</f>
        <v>0</v>
      </c>
      <c r="Z212" s="15">
        <f>IF(OR(I212&lt;&gt;"Ja",J212=""),0,IF(COUNTIFS(O212:$O$546,O212,I212:$I$546,"Ja",J212:$J$546,"&lt;&gt;")=1,1,0))</f>
        <v>0</v>
      </c>
      <c r="AA212" s="15">
        <f>AA211</f>
        <v>1</v>
      </c>
      <c r="AB212" s="15" t="str">
        <f>IF(U212&lt;&gt;1,"",COUNTIF($U$5:U212,1))</f>
        <v/>
      </c>
      <c r="AC212" s="15" t="str">
        <f t="shared" si="51"/>
        <v/>
      </c>
      <c r="AD212" s="15" t="str">
        <f t="shared" si="52"/>
        <v>Minicafé</v>
      </c>
      <c r="AE212" s="15" t="str">
        <f t="shared" si="53"/>
        <v/>
      </c>
      <c r="AF212" t="str">
        <f>IF(T212="","",IFERROR(MATCH(1,INDEX((MATCHER!$B$5:$B$504=A212)*(MATCHER!$D$5:$D$504=C212)*(MATCHER!$K$5:$K$504="Ja")*(MATCHER!$C$5:$C$504&lt;E212)*(MATCHER!$M$5:$M$504&gt;D212)*(ROW(MATCHER!$A$5:$A$504)-ROW(MATCHER!$A$5)+1&gt;T212),0),0),""))</f>
        <v/>
      </c>
    </row>
    <row r="213" spans="1:32" ht="13.5" thickBot="1">
      <c r="A213" s="52">
        <v>46347</v>
      </c>
      <c r="B213" s="53" t="s">
        <v>85</v>
      </c>
      <c r="C213" s="53" t="s">
        <v>94</v>
      </c>
      <c r="D213" s="54">
        <v>0.60416666666666696</v>
      </c>
      <c r="E213" s="54">
        <v>0.625</v>
      </c>
      <c r="F213" s="55" t="str">
        <f>IF(R213="","",HOUR(INDEX(MATCHER!$C$5:$C$504,R213))&amp;":"&amp;IF(MINUTE(INDEX(MATCHER!$C$5:$C$504,R213))&lt;10,"0","")&amp;MINUTE(INDEX(MATCHER!$C$5:$C$504,R213))&amp;" "&amp;INDEX(MATCHER!$H$5:$H$504,R213)&amp;" – "&amp;INDEX(MATCHER!$I$5:$I$504,R213))&amp;IF(S213="",""," | "&amp;HOUR(INDEX(MATCHER!$C$5:$C$504,S213))&amp;":"&amp;IF(MINUTE(INDEX(MATCHER!$C$5:$C$504,S213))&lt;10,"0","")&amp;MINUTE(INDEX(MATCHER!$C$5:$C$504,S213))&amp;" "&amp;INDEX(MATCHER!$H$5:$H$504,S213)&amp;" – "&amp;INDEX(MATCHER!$I$5:$I$504,S213))&amp;IF(T213="",""," | "&amp;HOUR(INDEX(MATCHER!$C$5:$C$504,T213))&amp;":"&amp;IF(MINUTE(INDEX(MATCHER!$C$5:$C$504,T213))&lt;10,"0","")&amp;MINUTE(INDEX(MATCHER!$C$5:$C$504,T213))&amp;" "&amp;INDEX(MATCHER!$H$5:$H$504,T213)&amp;" – "&amp;INDEX(MATCHER!$I$5:$I$504,T213))&amp;IF(AF213="",""," | "&amp;HOUR(INDEX(MATCHER!$C$5:$C$504,AF213))&amp;":"&amp;IF(MINUTE(INDEX(MATCHER!$C$5:$C$504,AF213))&lt;10,"0","")&amp;MINUTE(INDEX(MATCHER!$C$5:$C$504,AF213))&amp;" "&amp;INDEX(MATCHER!$H$5:$H$504,AF213)&amp;" – "&amp;INDEX(MATCHER!$I$5:$I$504,AF213))</f>
        <v>13:40 AIK 2 – Spånga HK 3</v>
      </c>
      <c r="G213" s="55" t="str">
        <f>MID(IF(R213="","",IF(OR(INDEX(MATCHER!$J$5:$J$504,R213)=""),""," / "&amp;INDEX(MATCHER!$J$5:$J$504,R213)))&amp;IF(S213="","",IF(OR(INDEX(MATCHER!$J$5:$J$504,S213)="",INDEX(MATCHER!$J$5:$J$504,S213)=IFERROR(INDEX(MATCHER!$J$5:$J$504,R213),"")),""," / "&amp;INDEX(MATCHER!$J$5:$J$504,S213)))&amp;IF(T213="","",IF(OR(INDEX(MATCHER!$J$5:$J$504,T213)="",INDEX(MATCHER!$J$5:$J$504,T213)=IFERROR(INDEX(MATCHER!$J$5:$J$504,R213),""),INDEX(MATCHER!$J$5:$J$504,T213)=IFERROR(INDEX(MATCHER!$J$5:$J$504,S213),"")),""," / "&amp;INDEX(MATCHER!$J$5:$J$504,T213)))&amp;IF(AF213="","",IF(OR(INDEX(MATCHER!$J$5:$J$504,AF213)="",INDEX(MATCHER!$J$5:$J$504,AF213)=IFERROR(INDEX(MATCHER!$J$5:$J$504,R213),""),INDEX(MATCHER!$J$5:$J$504,AF213)=IFERROR(INDEX(MATCHER!$J$5:$J$504,S213),""),INDEX(MATCHER!$J$5:$J$504,AF213)=IFERROR(INDEX(MATCHER!$J$5:$J$504,T213),"")),""," / "&amp;INDEX(MATCHER!$J$5:$J$504,AF213))),4,1000)</f>
        <v>P16 2</v>
      </c>
      <c r="H213" s="55" t="str">
        <f>H212</f>
        <v>P16</v>
      </c>
      <c r="I213" s="56" t="s">
        <v>90</v>
      </c>
      <c r="J213" s="57" t="s">
        <v>100</v>
      </c>
      <c r="K213" s="58"/>
      <c r="L213" s="59"/>
      <c r="M213" s="60" t="str">
        <f>IF(O213&lt;&gt;O212,MAX(1,MIN(AA213,ROUNDUP(SUMPRODUCT(($O$5:$O$546=O213)*($I$5:$I$546="Ja")*($E$5:$E$546-$D$5:$D$546))*24/REGLER!$B$8,0))),"")</f>
        <v/>
      </c>
      <c r="N213" s="60" t="str">
        <f t="shared" si="47"/>
        <v>Klar</v>
      </c>
      <c r="O213" s="15" t="s">
        <v>125</v>
      </c>
      <c r="P213" s="16">
        <v>0.53125</v>
      </c>
      <c r="Q213" s="16">
        <v>0.625</v>
      </c>
      <c r="R213" s="15">
        <f>IFERROR(MATCH(1,INDEX((MATCHER!$B$5:$B$504=A213)*(MATCHER!$D$5:$D$504=C213)*(MATCHER!$K$5:$K$504="Ja")*(MATCHER!$C$5:$C$504&lt;E213)*(MATCHER!$M$5:$M$504&gt;D213),0),0),"")</f>
        <v>73</v>
      </c>
      <c r="S213" s="15" t="str">
        <f>IF(R213="","",IFERROR(MATCH(1,INDEX((MATCHER!$B$5:$B$504=A213)*(MATCHER!$D$5:$D$504=C213)*(MATCHER!$K$5:$K$504="Ja")*(MATCHER!$C$5:$C$504&lt;E213)*(MATCHER!$M$5:$M$504&gt;D213)*(ROW(MATCHER!$A$5:$A$504)-ROW(MATCHER!$A$5)+1&gt;R213),0),0),""))</f>
        <v/>
      </c>
      <c r="T213" s="15" t="str">
        <f>IF(S213="","",IFERROR(MATCH(1,INDEX((MATCHER!$B$5:$B$504=A213)*(MATCHER!$D$5:$D$504=C213)*(MATCHER!$K$5:$K$504="Ja")*(MATCHER!$C$5:$C$504&lt;E213)*(MATCHER!$M$5:$M$504&gt;D213)*(ROW(MATCHER!$A$5:$A$504)-ROW(MATCHER!$A$5)+1&gt;S213),0),0),""))</f>
        <v/>
      </c>
      <c r="U213" s="15">
        <f t="shared" si="48"/>
        <v>0</v>
      </c>
      <c r="V213" s="15">
        <f>IF(OR(I213&lt;&gt;"Ja",J213=""),"",COUNTIFS($O$5:O213,O213,$U$5:U213,1))</f>
        <v>1</v>
      </c>
      <c r="W213" s="15" t="str">
        <f t="shared" si="49"/>
        <v>2026-11-21 | Råsta Park|1</v>
      </c>
      <c r="X213" s="16">
        <f t="shared" si="50"/>
        <v>0.625</v>
      </c>
      <c r="Y213" s="15">
        <f>IF(OR(I213&lt;&gt;"Ja",J213=""),0,IF(COUNTIFS($O$5:O213,O213,$I$5:I213,"Ja",$J$5:J213,"&lt;&gt;")=1,1,0))</f>
        <v>0</v>
      </c>
      <c r="Z213" s="15">
        <f>IF(OR(I213&lt;&gt;"Ja",J213=""),0,IF(COUNTIFS(O213:$O$546,O213,I213:$I$546,"Ja",J213:$J$546,"&lt;&gt;")=1,1,0))</f>
        <v>1</v>
      </c>
      <c r="AA213" s="15">
        <f>AA212</f>
        <v>1</v>
      </c>
      <c r="AB213" s="15" t="str">
        <f>IF(U213&lt;&gt;1,"",COUNTIF($U$5:U213,1))</f>
        <v/>
      </c>
      <c r="AC213" s="15" t="str">
        <f t="shared" si="51"/>
        <v>2026-11-21 | Råsta Park|1</v>
      </c>
      <c r="AD213" s="15" t="str">
        <f t="shared" si="52"/>
        <v>Minicafé</v>
      </c>
      <c r="AE213" s="15" t="str">
        <f t="shared" si="53"/>
        <v/>
      </c>
      <c r="AF213" t="str">
        <f>IF(T213="","",IFERROR(MATCH(1,INDEX((MATCHER!$B$5:$B$504=A213)*(MATCHER!$D$5:$D$504=C213)*(MATCHER!$K$5:$K$504="Ja")*(MATCHER!$C$5:$C$504&lt;E213)*(MATCHER!$M$5:$M$504&gt;D213)*(ROW(MATCHER!$A$5:$A$504)-ROW(MATCHER!$A$5)+1&gt;T213),0),0),""))</f>
        <v/>
      </c>
    </row>
    <row r="214" spans="1:32" ht="26">
      <c r="A214" s="42">
        <v>46347</v>
      </c>
      <c r="B214" s="43" t="s">
        <v>85</v>
      </c>
      <c r="C214" s="43" t="s">
        <v>110</v>
      </c>
      <c r="D214" s="44">
        <v>0.4375</v>
      </c>
      <c r="E214" s="44">
        <v>0.45833333333333298</v>
      </c>
      <c r="F214" s="45" t="str">
        <f>IF(R214="","",HOUR(INDEX(MATCHER!$C$5:$C$504,R214))&amp;":"&amp;IF(MINUTE(INDEX(MATCHER!$C$5:$C$504,R214))&lt;10,"0","")&amp;MINUTE(INDEX(MATCHER!$C$5:$C$504,R214))&amp;" "&amp;INDEX(MATCHER!$H$5:$H$504,R214)&amp;" – "&amp;INDEX(MATCHER!$I$5:$I$504,R214))&amp;IF(S214="",""," | "&amp;HOUR(INDEX(MATCHER!$C$5:$C$504,S214))&amp;":"&amp;IF(MINUTE(INDEX(MATCHER!$C$5:$C$504,S214))&lt;10,"0","")&amp;MINUTE(INDEX(MATCHER!$C$5:$C$504,S214))&amp;" "&amp;INDEX(MATCHER!$H$5:$H$504,S214)&amp;" – "&amp;INDEX(MATCHER!$I$5:$I$504,S214))&amp;IF(T214="",""," | "&amp;HOUR(INDEX(MATCHER!$C$5:$C$504,T214))&amp;":"&amp;IF(MINUTE(INDEX(MATCHER!$C$5:$C$504,T214))&lt;10,"0","")&amp;MINUTE(INDEX(MATCHER!$C$5:$C$504,T214))&amp;" "&amp;INDEX(MATCHER!$H$5:$H$504,T214)&amp;" – "&amp;INDEX(MATCHER!$I$5:$I$504,T214))&amp;IF(AF214="",""," | "&amp;HOUR(INDEX(MATCHER!$C$5:$C$504,AF214))&amp;":"&amp;IF(MINUTE(INDEX(MATCHER!$C$5:$C$504,AF214))&lt;10,"0","")&amp;MINUTE(INDEX(MATCHER!$C$5:$C$504,AF214))&amp;" "&amp;INDEX(MATCHER!$H$5:$H$504,AF214)&amp;" – "&amp;INDEX(MATCHER!$I$5:$I$504,AF214))</f>
        <v/>
      </c>
      <c r="G214" s="45" t="str">
        <f>MID(IF(R214="","",IF(OR(INDEX(MATCHER!$J$5:$J$504,R214)=""),""," / "&amp;INDEX(MATCHER!$J$5:$J$504,R214)))&amp;IF(S214="","",IF(OR(INDEX(MATCHER!$J$5:$J$504,S214)="",INDEX(MATCHER!$J$5:$J$504,S214)=IFERROR(INDEX(MATCHER!$J$5:$J$504,R214),"")),""," / "&amp;INDEX(MATCHER!$J$5:$J$504,S214)))&amp;IF(T214="","",IF(OR(INDEX(MATCHER!$J$5:$J$504,T214)="",INDEX(MATCHER!$J$5:$J$504,T214)=IFERROR(INDEX(MATCHER!$J$5:$J$504,R214),""),INDEX(MATCHER!$J$5:$J$504,T214)=IFERROR(INDEX(MATCHER!$J$5:$J$504,S214),"")),""," / "&amp;INDEX(MATCHER!$J$5:$J$504,T214)))&amp;IF(AF214="","",IF(OR(INDEX(MATCHER!$J$5:$J$504,AF214)="",INDEX(MATCHER!$J$5:$J$504,AF214)=IFERROR(INDEX(MATCHER!$J$5:$J$504,R214),""),INDEX(MATCHER!$J$5:$J$504,AF214)=IFERROR(INDEX(MATCHER!$J$5:$J$504,S214),""),INDEX(MATCHER!$J$5:$J$504,AF214)=IFERROR(INDEX(MATCHER!$J$5:$J$504,T214),"")),""," / "&amp;INDEX(MATCHER!$J$5:$J$504,AF214))),4,1000)</f>
        <v/>
      </c>
      <c r="H214" s="45" t="str">
        <f>MID(IF(COUNTIFS(MATCHER!$B$5:$B$504,A214,MATCHER!$D$5:$D$504,C214,MATCHER!$J$5:$J$504,REGLER!$I$6,MATCHER!$K$5:$K$504,"Ja")+COUNTIFS(MATCHER!$B$5:$B$504,A214,MATCHER!$D$5:$D$504,C214,MATCHER!$J$5:$J$504,REGLER!$I$6&amp;" 2",MATCHER!$K$5:$K$504,"Ja")&gt;0,", "&amp;REGLER!$I$6,"")&amp;IF(COUNTIFS(MATCHER!$B$5:$B$504,A214,MATCHER!$D$5:$D$504,C214,MATCHER!$J$5:$J$504,REGLER!$I$7,MATCHER!$K$5:$K$504,"Ja")+COUNTIFS(MATCHER!$B$5:$B$504,A214,MATCHER!$D$5:$D$504,C214,MATCHER!$J$5:$J$504,REGLER!$I$7&amp;" 2",MATCHER!$K$5:$K$504,"Ja")&gt;0,", "&amp;REGLER!$I$7,"")&amp;IF(COUNTIFS(MATCHER!$B$5:$B$504,A214,MATCHER!$D$5:$D$504,C214,MATCHER!$J$5:$J$504,REGLER!$I$8,MATCHER!$K$5:$K$504,"Ja")+COUNTIFS(MATCHER!$B$5:$B$504,A214,MATCHER!$D$5:$D$504,C214,MATCHER!$J$5:$J$504,REGLER!$I$8&amp;" 2",MATCHER!$K$5:$K$504,"Ja")&gt;0,", "&amp;REGLER!$I$8,"")&amp;IF(COUNTIFS(MATCHER!$B$5:$B$504,A214,MATCHER!$D$5:$D$504,C214,MATCHER!$J$5:$J$504,REGLER!$I$9,MATCHER!$K$5:$K$504,"Ja")+COUNTIFS(MATCHER!$B$5:$B$504,A214,MATCHER!$D$5:$D$504,C214,MATCHER!$J$5:$J$504,REGLER!$I$9&amp;" 2",MATCHER!$K$5:$K$504,"Ja")&gt;0,", "&amp;REGLER!$I$9,"")&amp;IF(COUNTIFS(MATCHER!$B$5:$B$504,A214,MATCHER!$D$5:$D$504,C214,MATCHER!$J$5:$J$504,REGLER!$I$10,MATCHER!$K$5:$K$504,"Ja")+COUNTIFS(MATCHER!$B$5:$B$504,A214,MATCHER!$D$5:$D$504,C214,MATCHER!$J$5:$J$504,REGLER!$I$10&amp;" 2",MATCHER!$K$5:$K$504,"Ja")&gt;0,", "&amp;REGLER!$I$10,"")&amp;IF(COUNTIFS(MATCHER!$B$5:$B$504,A214,MATCHER!$D$5:$D$504,C214,MATCHER!$J$5:$J$504,REGLER!$I$11,MATCHER!$K$5:$K$504,"Ja")+COUNTIFS(MATCHER!$B$5:$B$504,A214,MATCHER!$D$5:$D$504,C214,MATCHER!$J$5:$J$504,REGLER!$I$11&amp;" 2",MATCHER!$K$5:$K$504,"Ja")&gt;0,", "&amp;REGLER!$I$11,"")&amp;IF(COUNTIFS(MATCHER!$B$5:$B$504,A214,MATCHER!$D$5:$D$504,C214,MATCHER!$J$5:$J$504,REGLER!$I$12,MATCHER!$K$5:$K$504,"Ja")+COUNTIFS(MATCHER!$B$5:$B$504,A214,MATCHER!$D$5:$D$504,C214,MATCHER!$J$5:$J$504,REGLER!$I$12&amp;" 2",MATCHER!$K$5:$K$504,"Ja")&gt;0,", "&amp;REGLER!$I$12,"")&amp;IF(COUNTIFS(MATCHER!$B$5:$B$504,A214,MATCHER!$D$5:$D$504,C214,MATCHER!$J$5:$J$504,REGLER!$I$13,MATCHER!$K$5:$K$504,"Ja")+COUNTIFS(MATCHER!$B$5:$B$504,A214,MATCHER!$D$5:$D$504,C214,MATCHER!$J$5:$J$504,REGLER!$I$13&amp;" 2",MATCHER!$K$5:$K$504,"Ja")&gt;0,", "&amp;REGLER!$I$13,"")&amp;IF(COUNTIFS(MATCHER!$B$5:$B$504,A214,MATCHER!$D$5:$D$504,C214,MATCHER!$J$5:$J$504,REGLER!$I$14,MATCHER!$K$5:$K$504,"Ja")+COUNTIFS(MATCHER!$B$5:$B$504,A214,MATCHER!$D$5:$D$504,C214,MATCHER!$J$5:$J$504,REGLER!$I$14&amp;" 2",MATCHER!$K$5:$K$504,"Ja")&gt;0,", "&amp;REGLER!$I$14,"")&amp;IF(COUNTIFS(MATCHER!$B$5:$B$504,A214,MATCHER!$D$5:$D$504,C214,MATCHER!$J$5:$J$504,REGLER!$I$15,MATCHER!$K$5:$K$504,"Ja")+COUNTIFS(MATCHER!$B$5:$B$504,A214,MATCHER!$D$5:$D$504,C214,MATCHER!$J$5:$J$504,REGLER!$I$15&amp;" 2",MATCHER!$K$5:$K$504,"Ja")&gt;0,", "&amp;REGLER!$I$15,"")&amp;IF(COUNTIFS(MATCHER!$B$5:$B$504,A214,MATCHER!$D$5:$D$504,C214,MATCHER!$J$5:$J$504,REGLER!$I$16,MATCHER!$K$5:$K$504,"Ja")+COUNTIFS(MATCHER!$B$5:$B$504,A214,MATCHER!$D$5:$D$504,C214,MATCHER!$J$5:$J$504,REGLER!$I$16&amp;" 2",MATCHER!$K$5:$K$504,"Ja")&gt;0,", "&amp;REGLER!$I$16,"")&amp;IF(COUNTIFS(MATCHER!$B$5:$B$504,A214,MATCHER!$D$5:$D$504,C214,MATCHER!$J$5:$J$504,REGLER!$I$17,MATCHER!$K$5:$K$504,"Ja")+COUNTIFS(MATCHER!$B$5:$B$504,A214,MATCHER!$D$5:$D$504,C214,MATCHER!$J$5:$J$504,REGLER!$I$17&amp;" 2",MATCHER!$K$5:$K$504,"Ja")&gt;0,", "&amp;REGLER!$I$17,"")&amp;IF(COUNTIFS(MATCHER!$B$5:$B$504,A214,MATCHER!$D$5:$D$504,C214,MATCHER!$J$5:$J$504,REGLER!$I$18,MATCHER!$K$5:$K$504,"Ja")+COUNTIFS(MATCHER!$B$5:$B$504,A214,MATCHER!$D$5:$D$504,C214,MATCHER!$J$5:$J$504,REGLER!$I$18&amp;" 2",MATCHER!$K$5:$K$504,"Ja")&gt;0,", "&amp;REGLER!$I$18,"")&amp;IF(COUNTIFS(MATCHER!$B$5:$B$504,A214,MATCHER!$D$5:$D$504,C214,MATCHER!$J$5:$J$504,REGLER!$I$19,MATCHER!$K$5:$K$504,"Ja")+COUNTIFS(MATCHER!$B$5:$B$504,A214,MATCHER!$D$5:$D$504,C214,MATCHER!$J$5:$J$504,REGLER!$I$19&amp;" 2",MATCHER!$K$5:$K$504,"Ja")&gt;0,", "&amp;REGLER!$I$19,"")&amp;IF(COUNTIFS(MATCHER!$B$5:$B$504,A214,MATCHER!$D$5:$D$504,C214,MATCHER!$J$5:$J$504,REGLER!$I$20,MATCHER!$K$5:$K$504,"Ja")+COUNTIFS(MATCHER!$B$5:$B$504,A214,MATCHER!$D$5:$D$504,C214,MATCHER!$J$5:$J$504,REGLER!$I$20&amp;" 2",MATCHER!$K$5:$K$504,"Ja")&gt;0,", "&amp;REGLER!$I$20,"")&amp;IF(COUNTIFS(MATCHER!$B$5:$B$504,A214,MATCHER!$D$5:$D$504,C214,MATCHER!$J$5:$J$504,REGLER!$I$21,MATCHER!$K$5:$K$504,"Ja")+COUNTIFS(MATCHER!$B$5:$B$504,A214,MATCHER!$D$5:$D$504,C214,MATCHER!$J$5:$J$504,REGLER!$I$21&amp;" 2",MATCHER!$K$5:$K$504,"Ja")&gt;0,", "&amp;REGLER!$I$21,"")&amp;IF(COUNTIFS(MATCHER!$B$5:$B$504,A214,MATCHER!$D$5:$D$504,C214,MATCHER!$J$5:$J$504,REGLER!$I$22,MATCHER!$K$5:$K$504,"Ja")+COUNTIFS(MATCHER!$B$5:$B$504,A214,MATCHER!$D$5:$D$504,C214,MATCHER!$J$5:$J$504,REGLER!$I$22&amp;" 2",MATCHER!$K$5:$K$504,"Ja")&gt;0,", "&amp;REGLER!$I$22,"")&amp;IF(COUNTIFS(MATCHER!$B$5:$B$504,A214,MATCHER!$D$5:$D$504,C214,MATCHER!$J$5:$J$504,REGLER!$I$23,MATCHER!$K$5:$K$504,"Ja")+COUNTIFS(MATCHER!$B$5:$B$504,A214,MATCHER!$D$5:$D$504,C214,MATCHER!$J$5:$J$504,REGLER!$I$23&amp;" 2",MATCHER!$K$5:$K$504,"Ja")&gt;0,", "&amp;REGLER!$I$23,"")&amp;IF(COUNTIFS(MATCHER!$B$5:$B$504,A214,MATCHER!$D$5:$D$504,C214,MATCHER!$J$5:$J$504,REGLER!$I$24,MATCHER!$K$5:$K$504,"Ja")+COUNTIFS(MATCHER!$B$5:$B$504,A214,MATCHER!$D$5:$D$504,C214,MATCHER!$J$5:$J$504,REGLER!$I$24&amp;" 2",MATCHER!$K$5:$K$504,"Ja")&gt;0,", "&amp;REGLER!$I$24,"")&amp;IF(COUNTIFS(MATCHER!$B$5:$B$504,A214,MATCHER!$D$5:$D$504,C214,MATCHER!$J$5:$J$504,REGLER!$I$25,MATCHER!$K$5:$K$504,"Ja")+COUNTIFS(MATCHER!$B$5:$B$504,A214,MATCHER!$D$5:$D$504,C214,MATCHER!$J$5:$J$504,REGLER!$I$25&amp;" 2",MATCHER!$K$5:$K$504,"Ja")&gt;0,", "&amp;REGLER!$I$25,"")&amp;IF(COUNTIFS(MATCHER!$B$5:$B$504,A214,MATCHER!$D$5:$D$504,C214,MATCHER!$J$5:$J$504,REGLER!$I$26,MATCHER!$K$5:$K$504,"Ja")+COUNTIFS(MATCHER!$B$5:$B$504,A214,MATCHER!$D$5:$D$504,C214,MATCHER!$J$5:$J$504,REGLER!$I$26&amp;" 2",MATCHER!$K$5:$K$504,"Ja")&gt;0,", "&amp;REGLER!$I$26,""),3,1000)</f>
        <v/>
      </c>
      <c r="I214" s="46" t="s">
        <v>90</v>
      </c>
      <c r="J214" s="47" t="s">
        <v>117</v>
      </c>
      <c r="K214" s="48" t="s">
        <v>98</v>
      </c>
      <c r="L214" s="157" t="s">
        <v>861</v>
      </c>
      <c r="M214" s="50">
        <f>IF(O214&lt;&gt;O213,MAX(1,MIN(AA214,ROUNDUP(SUMPRODUCT(($O$5:$O$546=O214)*($I$5:$I$546="Ja")*($E$5:$E$546-$D$5:$D$546))*24/REGLER!$B$8,0))),"")</f>
        <v>1</v>
      </c>
      <c r="N214" s="50" t="str">
        <f t="shared" si="47"/>
        <v>Kontrollera lag</v>
      </c>
      <c r="O214" s="15" t="s">
        <v>126</v>
      </c>
      <c r="P214" s="16">
        <v>0.4375</v>
      </c>
      <c r="Q214" s="16">
        <v>0.52083333333333304</v>
      </c>
      <c r="R214" s="15" t="str">
        <f>IFERROR(MATCH(1,INDEX((MATCHER!$B$5:$B$504=A214)*(MATCHER!$D$5:$D$504=C214)*(MATCHER!$K$5:$K$504="Ja")*(MATCHER!$C$5:$C$504&lt;E214)*(MATCHER!$M$5:$M$504&gt;D214),0),0),"")</f>
        <v/>
      </c>
      <c r="S214" s="15" t="str">
        <f>IF(R214="","",IFERROR(MATCH(1,INDEX((MATCHER!$B$5:$B$504=A214)*(MATCHER!$D$5:$D$504=C214)*(MATCHER!$K$5:$K$504="Ja")*(MATCHER!$C$5:$C$504&lt;E214)*(MATCHER!$M$5:$M$504&gt;D214)*(ROW(MATCHER!$A$5:$A$504)-ROW(MATCHER!$A$5)+1&gt;R214),0),0),""))</f>
        <v/>
      </c>
      <c r="T214" s="15" t="str">
        <f>IF(S214="","",IFERROR(MATCH(1,INDEX((MATCHER!$B$5:$B$504=A214)*(MATCHER!$D$5:$D$504=C214)*(MATCHER!$K$5:$K$504="Ja")*(MATCHER!$C$5:$C$504&lt;E214)*(MATCHER!$M$5:$M$504&gt;D214)*(ROW(MATCHER!$A$5:$A$504)-ROW(MATCHER!$A$5)+1&gt;S214),0),0),""))</f>
        <v/>
      </c>
      <c r="U214" s="15">
        <f t="shared" si="48"/>
        <v>1</v>
      </c>
      <c r="V214" s="15">
        <f>IF(OR(I214&lt;&gt;"Ja",J214=""),"",COUNTIFS($O$5:O214,O214,$U$5:U214,1))</f>
        <v>1</v>
      </c>
      <c r="W214" s="15" t="str">
        <f t="shared" si="49"/>
        <v>2026-11-21 | Tallbackaskolan|1</v>
      </c>
      <c r="X214" s="16" t="str">
        <f t="shared" si="50"/>
        <v/>
      </c>
      <c r="Y214" s="15">
        <f>IF(OR(I214&lt;&gt;"Ja",J214=""),0,IF(COUNTIFS($O$5:O214,O214,$I$5:I214,"Ja",$J$5:J214,"&lt;&gt;")=1,1,0))</f>
        <v>1</v>
      </c>
      <c r="Z214" s="15">
        <f>IF(OR(I214&lt;&gt;"Ja",J214=""),0,IF(COUNTIFS(O214:$O$546,O214,I214:$I$546,"Ja",J214:$J$546,"&lt;&gt;")=1,1,0))</f>
        <v>0</v>
      </c>
      <c r="AA214" s="15">
        <f>IF(COUNTIFS(MATCHER!$B$5:$B$504,A214,MATCHER!$D$5:$D$504,C214,MATCHER!$J$5:$J$504,REGLER!$I$6,MATCHER!$K$5:$K$504,"Ja")+COUNTIFS(MATCHER!$B$5:$B$504,A214,MATCHER!$D$5:$D$504,C214,MATCHER!$J$5:$J$504,REGLER!$I$6&amp;" 2",MATCHER!$K$5:$K$504,"Ja")&gt;0,1,0)+IF(COUNTIFS(MATCHER!$B$5:$B$504,A214,MATCHER!$D$5:$D$504,C214,MATCHER!$J$5:$J$504,REGLER!$I$7,MATCHER!$K$5:$K$504,"Ja")+COUNTIFS(MATCHER!$B$5:$B$504,A214,MATCHER!$D$5:$D$504,C214,MATCHER!$J$5:$J$504,REGLER!$I$7&amp;" 2",MATCHER!$K$5:$K$504,"Ja")&gt;0,1,0)+IF(COUNTIFS(MATCHER!$B$5:$B$504,A214,MATCHER!$D$5:$D$504,C214,MATCHER!$J$5:$J$504,REGLER!$I$8,MATCHER!$K$5:$K$504,"Ja")+COUNTIFS(MATCHER!$B$5:$B$504,A214,MATCHER!$D$5:$D$504,C214,MATCHER!$J$5:$J$504,REGLER!$I$8&amp;" 2",MATCHER!$K$5:$K$504,"Ja")&gt;0,1,0)+IF(COUNTIFS(MATCHER!$B$5:$B$504,A214,MATCHER!$D$5:$D$504,C214,MATCHER!$J$5:$J$504,REGLER!$I$9,MATCHER!$K$5:$K$504,"Ja")+COUNTIFS(MATCHER!$B$5:$B$504,A214,MATCHER!$D$5:$D$504,C214,MATCHER!$J$5:$J$504,REGLER!$I$9&amp;" 2",MATCHER!$K$5:$K$504,"Ja")&gt;0,1,0)+IF(COUNTIFS(MATCHER!$B$5:$B$504,A214,MATCHER!$D$5:$D$504,C214,MATCHER!$J$5:$J$504,REGLER!$I$10,MATCHER!$K$5:$K$504,"Ja")+COUNTIFS(MATCHER!$B$5:$B$504,A214,MATCHER!$D$5:$D$504,C214,MATCHER!$J$5:$J$504,REGLER!$I$10&amp;" 2",MATCHER!$K$5:$K$504,"Ja")&gt;0,1,0)+IF(COUNTIFS(MATCHER!$B$5:$B$504,A214,MATCHER!$D$5:$D$504,C214,MATCHER!$J$5:$J$504,REGLER!$I$11,MATCHER!$K$5:$K$504,"Ja")+COUNTIFS(MATCHER!$B$5:$B$504,A214,MATCHER!$D$5:$D$504,C214,MATCHER!$J$5:$J$504,REGLER!$I$11&amp;" 2",MATCHER!$K$5:$K$504,"Ja")&gt;0,1,0)+IF(COUNTIFS(MATCHER!$B$5:$B$504,A214,MATCHER!$D$5:$D$504,C214,MATCHER!$J$5:$J$504,REGLER!$I$12,MATCHER!$K$5:$K$504,"Ja")+COUNTIFS(MATCHER!$B$5:$B$504,A214,MATCHER!$D$5:$D$504,C214,MATCHER!$J$5:$J$504,REGLER!$I$12&amp;" 2",MATCHER!$K$5:$K$504,"Ja")&gt;0,1,0)+IF(COUNTIFS(MATCHER!$B$5:$B$504,A214,MATCHER!$D$5:$D$504,C214,MATCHER!$J$5:$J$504,REGLER!$I$13,MATCHER!$K$5:$K$504,"Ja")+COUNTIFS(MATCHER!$B$5:$B$504,A214,MATCHER!$D$5:$D$504,C214,MATCHER!$J$5:$J$504,REGLER!$I$13&amp;" 2",MATCHER!$K$5:$K$504,"Ja")&gt;0,1,0)+IF(COUNTIFS(MATCHER!$B$5:$B$504,A214,MATCHER!$D$5:$D$504,C214,MATCHER!$J$5:$J$504,REGLER!$I$14,MATCHER!$K$5:$K$504,"Ja")+COUNTIFS(MATCHER!$B$5:$B$504,A214,MATCHER!$D$5:$D$504,C214,MATCHER!$J$5:$J$504,REGLER!$I$14&amp;" 2",MATCHER!$K$5:$K$504,"Ja")&gt;0,1,0)+IF(COUNTIFS(MATCHER!$B$5:$B$504,A214,MATCHER!$D$5:$D$504,C214,MATCHER!$J$5:$J$504,REGLER!$I$15,MATCHER!$K$5:$K$504,"Ja")+COUNTIFS(MATCHER!$B$5:$B$504,A214,MATCHER!$D$5:$D$504,C214,MATCHER!$J$5:$J$504,REGLER!$I$15&amp;" 2",MATCHER!$K$5:$K$504,"Ja")&gt;0,1,0)+IF(COUNTIFS(MATCHER!$B$5:$B$504,A214,MATCHER!$D$5:$D$504,C214,MATCHER!$J$5:$J$504,REGLER!$I$16,MATCHER!$K$5:$K$504,"Ja")+COUNTIFS(MATCHER!$B$5:$B$504,A214,MATCHER!$D$5:$D$504,C214,MATCHER!$J$5:$J$504,REGLER!$I$16&amp;" 2",MATCHER!$K$5:$K$504,"Ja")&gt;0,1,0)+IF(COUNTIFS(MATCHER!$B$5:$B$504,A214,MATCHER!$D$5:$D$504,C214,MATCHER!$J$5:$J$504,REGLER!$I$17,MATCHER!$K$5:$K$504,"Ja")+COUNTIFS(MATCHER!$B$5:$B$504,A214,MATCHER!$D$5:$D$504,C214,MATCHER!$J$5:$J$504,REGLER!$I$17&amp;" 2",MATCHER!$K$5:$K$504,"Ja")&gt;0,1,0)+IF(COUNTIFS(MATCHER!$B$5:$B$504,A214,MATCHER!$D$5:$D$504,C214,MATCHER!$J$5:$J$504,REGLER!$I$18,MATCHER!$K$5:$K$504,"Ja")+COUNTIFS(MATCHER!$B$5:$B$504,A214,MATCHER!$D$5:$D$504,C214,MATCHER!$J$5:$J$504,REGLER!$I$18&amp;" 2",MATCHER!$K$5:$K$504,"Ja")&gt;0,1,0)+IF(COUNTIFS(MATCHER!$B$5:$B$504,A214,MATCHER!$D$5:$D$504,C214,MATCHER!$J$5:$J$504,REGLER!$I$19,MATCHER!$K$5:$K$504,"Ja")+COUNTIFS(MATCHER!$B$5:$B$504,A214,MATCHER!$D$5:$D$504,C214,MATCHER!$J$5:$J$504,REGLER!$I$19&amp;" 2",MATCHER!$K$5:$K$504,"Ja")&gt;0,1,0)+IF(COUNTIFS(MATCHER!$B$5:$B$504,A214,MATCHER!$D$5:$D$504,C214,MATCHER!$J$5:$J$504,REGLER!$I$20,MATCHER!$K$5:$K$504,"Ja")+COUNTIFS(MATCHER!$B$5:$B$504,A214,MATCHER!$D$5:$D$504,C214,MATCHER!$J$5:$J$504,REGLER!$I$20&amp;" 2",MATCHER!$K$5:$K$504,"Ja")&gt;0,1,0)+IF(COUNTIFS(MATCHER!$B$5:$B$504,A214,MATCHER!$D$5:$D$504,C214,MATCHER!$J$5:$J$504,REGLER!$I$21,MATCHER!$K$5:$K$504,"Ja")+COUNTIFS(MATCHER!$B$5:$B$504,A214,MATCHER!$D$5:$D$504,C214,MATCHER!$J$5:$J$504,REGLER!$I$21&amp;" 2",MATCHER!$K$5:$K$504,"Ja")&gt;0,1,0)+IF(COUNTIFS(MATCHER!$B$5:$B$504,A214,MATCHER!$D$5:$D$504,C214,MATCHER!$J$5:$J$504,REGLER!$I$22,MATCHER!$K$5:$K$504,"Ja")+COUNTIFS(MATCHER!$B$5:$B$504,A214,MATCHER!$D$5:$D$504,C214,MATCHER!$J$5:$J$504,REGLER!$I$22&amp;" 2",MATCHER!$K$5:$K$504,"Ja")&gt;0,1,0)+IF(COUNTIFS(MATCHER!$B$5:$B$504,A214,MATCHER!$D$5:$D$504,C214,MATCHER!$J$5:$J$504,REGLER!$I$23,MATCHER!$K$5:$K$504,"Ja")+COUNTIFS(MATCHER!$B$5:$B$504,A214,MATCHER!$D$5:$D$504,C214,MATCHER!$J$5:$J$504,REGLER!$I$23&amp;" 2",MATCHER!$K$5:$K$504,"Ja")&gt;0,1,0)+IF(COUNTIFS(MATCHER!$B$5:$B$504,A214,MATCHER!$D$5:$D$504,C214,MATCHER!$J$5:$J$504,REGLER!$I$24,MATCHER!$K$5:$K$504,"Ja")+COUNTIFS(MATCHER!$B$5:$B$504,A214,MATCHER!$D$5:$D$504,C214,MATCHER!$J$5:$J$504,REGLER!$I$24&amp;" 2",MATCHER!$K$5:$K$504,"Ja")&gt;0,1,0)+IF(COUNTIFS(MATCHER!$B$5:$B$504,A214,MATCHER!$D$5:$D$504,C214,MATCHER!$J$5:$J$504,REGLER!$I$25,MATCHER!$K$5:$K$504,"Ja")+COUNTIFS(MATCHER!$B$5:$B$504,A214,MATCHER!$D$5:$D$504,C214,MATCHER!$J$5:$J$504,REGLER!$I$25&amp;" 2",MATCHER!$K$5:$K$504,"Ja")&gt;0,1,0)+IF(COUNTIFS(MATCHER!$B$5:$B$504,A214,MATCHER!$D$5:$D$504,C214,MATCHER!$J$5:$J$504,REGLER!$I$26,MATCHER!$K$5:$K$504,"Ja")+COUNTIFS(MATCHER!$B$5:$B$504,A214,MATCHER!$D$5:$D$504,C214,MATCHER!$J$5:$J$504,REGLER!$I$26&amp;" 2",MATCHER!$K$5:$K$504,"Ja")&gt;0,1,0)</f>
        <v>0</v>
      </c>
      <c r="AB214" s="15">
        <f>IF(U214&lt;&gt;1,"",COUNTIF($U$5:U214,1))</f>
        <v>24</v>
      </c>
      <c r="AC214" s="15" t="str">
        <f t="shared" si="51"/>
        <v/>
      </c>
      <c r="AD214" s="15" t="str">
        <f t="shared" si="52"/>
        <v>Minicafé</v>
      </c>
      <c r="AE214" s="15">
        <f t="shared" si="53"/>
        <v>1.9999999999999929</v>
      </c>
      <c r="AF214" t="str">
        <f>IF(T214="","",IFERROR(MATCH(1,INDEX((MATCHER!$B$5:$B$504=A214)*(MATCHER!$D$5:$D$504=C214)*(MATCHER!$K$5:$K$504="Ja")*(MATCHER!$C$5:$C$504&lt;E214)*(MATCHER!$M$5:$M$504&gt;D214)*(ROW(MATCHER!$A$5:$A$504)-ROW(MATCHER!$A$5)+1&gt;T214),0),0),""))</f>
        <v/>
      </c>
    </row>
    <row r="215" spans="1:32" ht="26">
      <c r="A215" s="42">
        <v>46347</v>
      </c>
      <c r="B215" s="43" t="s">
        <v>85</v>
      </c>
      <c r="C215" s="43" t="s">
        <v>110</v>
      </c>
      <c r="D215" s="44">
        <v>0.45833333333333298</v>
      </c>
      <c r="E215" s="44">
        <v>0.47916666666666702</v>
      </c>
      <c r="F215" s="45" t="str">
        <f>IF(R215="","",HOUR(INDEX(MATCHER!$C$5:$C$504,R215))&amp;":"&amp;IF(MINUTE(INDEX(MATCHER!$C$5:$C$504,R215))&lt;10,"0","")&amp;MINUTE(INDEX(MATCHER!$C$5:$C$504,R215))&amp;" "&amp;INDEX(MATCHER!$H$5:$H$504,R215)&amp;" – "&amp;INDEX(MATCHER!$I$5:$I$504,R215))&amp;IF(S215="",""," | "&amp;HOUR(INDEX(MATCHER!$C$5:$C$504,S215))&amp;":"&amp;IF(MINUTE(INDEX(MATCHER!$C$5:$C$504,S215))&lt;10,"0","")&amp;MINUTE(INDEX(MATCHER!$C$5:$C$504,S215))&amp;" "&amp;INDEX(MATCHER!$H$5:$H$504,S215)&amp;" – "&amp;INDEX(MATCHER!$I$5:$I$504,S215))&amp;IF(T215="",""," | "&amp;HOUR(INDEX(MATCHER!$C$5:$C$504,T215))&amp;":"&amp;IF(MINUTE(INDEX(MATCHER!$C$5:$C$504,T215))&lt;10,"0","")&amp;MINUTE(INDEX(MATCHER!$C$5:$C$504,T215))&amp;" "&amp;INDEX(MATCHER!$H$5:$H$504,T215)&amp;" – "&amp;INDEX(MATCHER!$I$5:$I$504,T215))&amp;IF(AF215="",""," | "&amp;HOUR(INDEX(MATCHER!$C$5:$C$504,AF215))&amp;":"&amp;IF(MINUTE(INDEX(MATCHER!$C$5:$C$504,AF215))&lt;10,"0","")&amp;MINUTE(INDEX(MATCHER!$C$5:$C$504,AF215))&amp;" "&amp;INDEX(MATCHER!$H$5:$H$504,AF215)&amp;" – "&amp;INDEX(MATCHER!$I$5:$I$504,AF215))</f>
        <v/>
      </c>
      <c r="G215" s="45" t="str">
        <f>MID(IF(R215="","",IF(OR(INDEX(MATCHER!$J$5:$J$504,R215)=""),""," / "&amp;INDEX(MATCHER!$J$5:$J$504,R215)))&amp;IF(S215="","",IF(OR(INDEX(MATCHER!$J$5:$J$504,S215)="",INDEX(MATCHER!$J$5:$J$504,S215)=IFERROR(INDEX(MATCHER!$J$5:$J$504,R215),"")),""," / "&amp;INDEX(MATCHER!$J$5:$J$504,S215)))&amp;IF(T215="","",IF(OR(INDEX(MATCHER!$J$5:$J$504,T215)="",INDEX(MATCHER!$J$5:$J$504,T215)=IFERROR(INDEX(MATCHER!$J$5:$J$504,R215),""),INDEX(MATCHER!$J$5:$J$504,T215)=IFERROR(INDEX(MATCHER!$J$5:$J$504,S215),"")),""," / "&amp;INDEX(MATCHER!$J$5:$J$504,T215)))&amp;IF(AF215="","",IF(OR(INDEX(MATCHER!$J$5:$J$504,AF215)="",INDEX(MATCHER!$J$5:$J$504,AF215)=IFERROR(INDEX(MATCHER!$J$5:$J$504,R215),""),INDEX(MATCHER!$J$5:$J$504,AF215)=IFERROR(INDEX(MATCHER!$J$5:$J$504,S215),""),INDEX(MATCHER!$J$5:$J$504,AF215)=IFERROR(INDEX(MATCHER!$J$5:$J$504,T215),"")),""," / "&amp;INDEX(MATCHER!$J$5:$J$504,AF215))),4,1000)</f>
        <v/>
      </c>
      <c r="H215" s="45" t="str">
        <f>H214</f>
        <v/>
      </c>
      <c r="I215" s="46" t="s">
        <v>90</v>
      </c>
      <c r="J215" s="47" t="s">
        <v>117</v>
      </c>
      <c r="K215" s="48"/>
      <c r="L215" s="49"/>
      <c r="M215" s="50" t="str">
        <f>IF(O215&lt;&gt;O214,MAX(1,MIN(AA215,ROUNDUP(SUMPRODUCT(($O$5:$O$546=O215)*($I$5:$I$546="Ja")*($E$5:$E$546-$D$5:$D$546))*24/REGLER!$B$8,0))),"")</f>
        <v/>
      </c>
      <c r="N215" s="50" t="str">
        <f t="shared" si="47"/>
        <v>Kontrollera lag</v>
      </c>
      <c r="O215" s="15" t="s">
        <v>126</v>
      </c>
      <c r="P215" s="16">
        <v>0.4375</v>
      </c>
      <c r="Q215" s="16">
        <v>0.52083333333333304</v>
      </c>
      <c r="R215" s="15" t="str">
        <f>IFERROR(MATCH(1,INDEX((MATCHER!$B$5:$B$504=A215)*(MATCHER!$D$5:$D$504=C215)*(MATCHER!$K$5:$K$504="Ja")*(MATCHER!$C$5:$C$504&lt;E215)*(MATCHER!$M$5:$M$504&gt;D215),0),0),"")</f>
        <v/>
      </c>
      <c r="S215" s="15" t="str">
        <f>IF(R215="","",IFERROR(MATCH(1,INDEX((MATCHER!$B$5:$B$504=A215)*(MATCHER!$D$5:$D$504=C215)*(MATCHER!$K$5:$K$504="Ja")*(MATCHER!$C$5:$C$504&lt;E215)*(MATCHER!$M$5:$M$504&gt;D215)*(ROW(MATCHER!$A$5:$A$504)-ROW(MATCHER!$A$5)+1&gt;R215),0),0),""))</f>
        <v/>
      </c>
      <c r="T215" s="15" t="str">
        <f>IF(S215="","",IFERROR(MATCH(1,INDEX((MATCHER!$B$5:$B$504=A215)*(MATCHER!$D$5:$D$504=C215)*(MATCHER!$K$5:$K$504="Ja")*(MATCHER!$C$5:$C$504&lt;E215)*(MATCHER!$M$5:$M$504&gt;D215)*(ROW(MATCHER!$A$5:$A$504)-ROW(MATCHER!$A$5)+1&gt;S215),0),0),""))</f>
        <v/>
      </c>
      <c r="U215" s="15">
        <f t="shared" si="48"/>
        <v>0</v>
      </c>
      <c r="V215" s="15">
        <f>IF(OR(I215&lt;&gt;"Ja",J215=""),"",COUNTIFS($O$5:O215,O215,$U$5:U215,1))</f>
        <v>1</v>
      </c>
      <c r="W215" s="15" t="str">
        <f t="shared" si="49"/>
        <v>2026-11-21 | Tallbackaskolan|1</v>
      </c>
      <c r="X215" s="16" t="str">
        <f t="shared" si="50"/>
        <v/>
      </c>
      <c r="Y215" s="15">
        <f>IF(OR(I215&lt;&gt;"Ja",J215=""),0,IF(COUNTIFS($O$5:O215,O215,$I$5:I215,"Ja",$J$5:J215,"&lt;&gt;")=1,1,0))</f>
        <v>0</v>
      </c>
      <c r="Z215" s="15">
        <f>IF(OR(I215&lt;&gt;"Ja",J215=""),0,IF(COUNTIFS(O215:$O$546,O215,I215:$I$546,"Ja",J215:$J$546,"&lt;&gt;")=1,1,0))</f>
        <v>0</v>
      </c>
      <c r="AA215" s="15">
        <f>AA214</f>
        <v>0</v>
      </c>
      <c r="AB215" s="15" t="str">
        <f>IF(U215&lt;&gt;1,"",COUNTIF($U$5:U215,1))</f>
        <v/>
      </c>
      <c r="AC215" s="15" t="str">
        <f t="shared" si="51"/>
        <v/>
      </c>
      <c r="AD215" s="15" t="str">
        <f t="shared" si="52"/>
        <v>Minicafé</v>
      </c>
      <c r="AE215" s="15" t="str">
        <f t="shared" si="53"/>
        <v/>
      </c>
      <c r="AF215" t="str">
        <f>IF(T215="","",IFERROR(MATCH(1,INDEX((MATCHER!$B$5:$B$504=A215)*(MATCHER!$D$5:$D$504=C215)*(MATCHER!$K$5:$K$504="Ja")*(MATCHER!$C$5:$C$504&lt;E215)*(MATCHER!$M$5:$M$504&gt;D215)*(ROW(MATCHER!$A$5:$A$504)-ROW(MATCHER!$A$5)+1&gt;T215),0),0),""))</f>
        <v/>
      </c>
    </row>
    <row r="216" spans="1:32" ht="26">
      <c r="A216" s="42">
        <v>46347</v>
      </c>
      <c r="B216" s="43" t="s">
        <v>85</v>
      </c>
      <c r="C216" s="43" t="s">
        <v>110</v>
      </c>
      <c r="D216" s="44">
        <v>0.47916666666666702</v>
      </c>
      <c r="E216" s="44">
        <v>0.5</v>
      </c>
      <c r="F216" s="45" t="str">
        <f>IF(R216="","",HOUR(INDEX(MATCHER!$C$5:$C$504,R216))&amp;":"&amp;IF(MINUTE(INDEX(MATCHER!$C$5:$C$504,R216))&lt;10,"0","")&amp;MINUTE(INDEX(MATCHER!$C$5:$C$504,R216))&amp;" "&amp;INDEX(MATCHER!$H$5:$H$504,R216)&amp;" – "&amp;INDEX(MATCHER!$I$5:$I$504,R216))&amp;IF(S216="",""," | "&amp;HOUR(INDEX(MATCHER!$C$5:$C$504,S216))&amp;":"&amp;IF(MINUTE(INDEX(MATCHER!$C$5:$C$504,S216))&lt;10,"0","")&amp;MINUTE(INDEX(MATCHER!$C$5:$C$504,S216))&amp;" "&amp;INDEX(MATCHER!$H$5:$H$504,S216)&amp;" – "&amp;INDEX(MATCHER!$I$5:$I$504,S216))&amp;IF(T216="",""," | "&amp;HOUR(INDEX(MATCHER!$C$5:$C$504,T216))&amp;":"&amp;IF(MINUTE(INDEX(MATCHER!$C$5:$C$504,T216))&lt;10,"0","")&amp;MINUTE(INDEX(MATCHER!$C$5:$C$504,T216))&amp;" "&amp;INDEX(MATCHER!$H$5:$H$504,T216)&amp;" – "&amp;INDEX(MATCHER!$I$5:$I$504,T216))&amp;IF(AF216="",""," | "&amp;HOUR(INDEX(MATCHER!$C$5:$C$504,AF216))&amp;":"&amp;IF(MINUTE(INDEX(MATCHER!$C$5:$C$504,AF216))&lt;10,"0","")&amp;MINUTE(INDEX(MATCHER!$C$5:$C$504,AF216))&amp;" "&amp;INDEX(MATCHER!$H$5:$H$504,AF216)&amp;" – "&amp;INDEX(MATCHER!$I$5:$I$504,AF216))</f>
        <v>11:30 Uppsala HK Södra – Skå IK Grön</v>
      </c>
      <c r="G216" s="45" t="str">
        <f>MID(IF(R216="","",IF(OR(INDEX(MATCHER!$J$5:$J$504,R216)=""),""," / "&amp;INDEX(MATCHER!$J$5:$J$504,R216)))&amp;IF(S216="","",IF(OR(INDEX(MATCHER!$J$5:$J$504,S216)="",INDEX(MATCHER!$J$5:$J$504,S216)=IFERROR(INDEX(MATCHER!$J$5:$J$504,R216),"")),""," / "&amp;INDEX(MATCHER!$J$5:$J$504,S216)))&amp;IF(T216="","",IF(OR(INDEX(MATCHER!$J$5:$J$504,T216)="",INDEX(MATCHER!$J$5:$J$504,T216)=IFERROR(INDEX(MATCHER!$J$5:$J$504,R216),""),INDEX(MATCHER!$J$5:$J$504,T216)=IFERROR(INDEX(MATCHER!$J$5:$J$504,S216),"")),""," / "&amp;INDEX(MATCHER!$J$5:$J$504,T216)))&amp;IF(AF216="","",IF(OR(INDEX(MATCHER!$J$5:$J$504,AF216)="",INDEX(MATCHER!$J$5:$J$504,AF216)=IFERROR(INDEX(MATCHER!$J$5:$J$504,R216),""),INDEX(MATCHER!$J$5:$J$504,AF216)=IFERROR(INDEX(MATCHER!$J$5:$J$504,S216),""),INDEX(MATCHER!$J$5:$J$504,AF216)=IFERROR(INDEX(MATCHER!$J$5:$J$504,T216),"")),""," / "&amp;INDEX(MATCHER!$J$5:$J$504,AF216))),4,1000)</f>
        <v/>
      </c>
      <c r="H216" s="45" t="str">
        <f>H215</f>
        <v/>
      </c>
      <c r="I216" s="46" t="s">
        <v>90</v>
      </c>
      <c r="J216" s="47" t="s">
        <v>117</v>
      </c>
      <c r="K216" s="48"/>
      <c r="L216" s="49"/>
      <c r="M216" s="50" t="str">
        <f>IF(O216&lt;&gt;O215,MAX(1,MIN(AA216,ROUNDUP(SUMPRODUCT(($O$5:$O$546=O216)*($I$5:$I$546="Ja")*($E$5:$E$546-$D$5:$D$546))*24/REGLER!$B$8,0))),"")</f>
        <v/>
      </c>
      <c r="N216" s="50" t="str">
        <f t="shared" si="47"/>
        <v>Kontrollera lag</v>
      </c>
      <c r="O216" s="15" t="s">
        <v>126</v>
      </c>
      <c r="P216" s="16">
        <v>0.4375</v>
      </c>
      <c r="Q216" s="16">
        <v>0.52083333333333304</v>
      </c>
      <c r="R216" s="15">
        <f>IFERROR(MATCH(1,INDEX((MATCHER!$B$5:$B$504=A216)*(MATCHER!$D$5:$D$504=C216)*(MATCHER!$K$5:$K$504="Ja")*(MATCHER!$C$5:$C$504&lt;E216)*(MATCHER!$M$5:$M$504&gt;D216),0),0),"")</f>
        <v>74</v>
      </c>
      <c r="S216" s="15" t="str">
        <f>IF(R216="","",IFERROR(MATCH(1,INDEX((MATCHER!$B$5:$B$504=A216)*(MATCHER!$D$5:$D$504=C216)*(MATCHER!$K$5:$K$504="Ja")*(MATCHER!$C$5:$C$504&lt;E216)*(MATCHER!$M$5:$M$504&gt;D216)*(ROW(MATCHER!$A$5:$A$504)-ROW(MATCHER!$A$5)+1&gt;R216),0),0),""))</f>
        <v/>
      </c>
      <c r="T216" s="15" t="str">
        <f>IF(S216="","",IFERROR(MATCH(1,INDEX((MATCHER!$B$5:$B$504=A216)*(MATCHER!$D$5:$D$504=C216)*(MATCHER!$K$5:$K$504="Ja")*(MATCHER!$C$5:$C$504&lt;E216)*(MATCHER!$M$5:$M$504&gt;D216)*(ROW(MATCHER!$A$5:$A$504)-ROW(MATCHER!$A$5)+1&gt;S216),0),0),""))</f>
        <v/>
      </c>
      <c r="U216" s="15">
        <f t="shared" si="48"/>
        <v>0</v>
      </c>
      <c r="V216" s="15">
        <f>IF(OR(I216&lt;&gt;"Ja",J216=""),"",COUNTIFS($O$5:O216,O216,$U$5:U216,1))</f>
        <v>1</v>
      </c>
      <c r="W216" s="15" t="str">
        <f t="shared" si="49"/>
        <v>2026-11-21 | Tallbackaskolan|1</v>
      </c>
      <c r="X216" s="16" t="str">
        <f t="shared" si="50"/>
        <v/>
      </c>
      <c r="Y216" s="15">
        <f>IF(OR(I216&lt;&gt;"Ja",J216=""),0,IF(COUNTIFS($O$5:O216,O216,$I$5:I216,"Ja",$J$5:J216,"&lt;&gt;")=1,1,0))</f>
        <v>0</v>
      </c>
      <c r="Z216" s="15">
        <f>IF(OR(I216&lt;&gt;"Ja",J216=""),0,IF(COUNTIFS(O216:$O$546,O216,I216:$I$546,"Ja",J216:$J$546,"&lt;&gt;")=1,1,0))</f>
        <v>0</v>
      </c>
      <c r="AA216" s="15">
        <f>AA215</f>
        <v>0</v>
      </c>
      <c r="AB216" s="15" t="str">
        <f>IF(U216&lt;&gt;1,"",COUNTIF($U$5:U216,1))</f>
        <v/>
      </c>
      <c r="AC216" s="15" t="str">
        <f t="shared" si="51"/>
        <v/>
      </c>
      <c r="AD216" s="15" t="str">
        <f t="shared" si="52"/>
        <v>Minicafé</v>
      </c>
      <c r="AE216" s="15" t="str">
        <f t="shared" si="53"/>
        <v/>
      </c>
      <c r="AF216" t="str">
        <f>IF(T216="","",IFERROR(MATCH(1,INDEX((MATCHER!$B$5:$B$504=A216)*(MATCHER!$D$5:$D$504=C216)*(MATCHER!$K$5:$K$504="Ja")*(MATCHER!$C$5:$C$504&lt;E216)*(MATCHER!$M$5:$M$504&gt;D216)*(ROW(MATCHER!$A$5:$A$504)-ROW(MATCHER!$A$5)+1&gt;T216),0),0),""))</f>
        <v/>
      </c>
    </row>
    <row r="217" spans="1:32" ht="26.5" thickBot="1">
      <c r="A217" s="52">
        <v>46347</v>
      </c>
      <c r="B217" s="53" t="s">
        <v>85</v>
      </c>
      <c r="C217" s="53" t="s">
        <v>110</v>
      </c>
      <c r="D217" s="54">
        <v>0.5</v>
      </c>
      <c r="E217" s="54">
        <v>0.52083333333333304</v>
      </c>
      <c r="F217" s="55" t="str">
        <f>IF(R217="","",HOUR(INDEX(MATCHER!$C$5:$C$504,R217))&amp;":"&amp;IF(MINUTE(INDEX(MATCHER!$C$5:$C$504,R217))&lt;10,"0","")&amp;MINUTE(INDEX(MATCHER!$C$5:$C$504,R217))&amp;" "&amp;INDEX(MATCHER!$H$5:$H$504,R217)&amp;" – "&amp;INDEX(MATCHER!$I$5:$I$504,R217))&amp;IF(S217="",""," | "&amp;HOUR(INDEX(MATCHER!$C$5:$C$504,S217))&amp;":"&amp;IF(MINUTE(INDEX(MATCHER!$C$5:$C$504,S217))&lt;10,"0","")&amp;MINUTE(INDEX(MATCHER!$C$5:$C$504,S217))&amp;" "&amp;INDEX(MATCHER!$H$5:$H$504,S217)&amp;" – "&amp;INDEX(MATCHER!$I$5:$I$504,S217))&amp;IF(T217="",""," | "&amp;HOUR(INDEX(MATCHER!$C$5:$C$504,T217))&amp;":"&amp;IF(MINUTE(INDEX(MATCHER!$C$5:$C$504,T217))&lt;10,"0","")&amp;MINUTE(INDEX(MATCHER!$C$5:$C$504,T217))&amp;" "&amp;INDEX(MATCHER!$H$5:$H$504,T217)&amp;" – "&amp;INDEX(MATCHER!$I$5:$I$504,T217))&amp;IF(AF217="",""," | "&amp;HOUR(INDEX(MATCHER!$C$5:$C$504,AF217))&amp;":"&amp;IF(MINUTE(INDEX(MATCHER!$C$5:$C$504,AF217))&lt;10,"0","")&amp;MINUTE(INDEX(MATCHER!$C$5:$C$504,AF217))&amp;" "&amp;INDEX(MATCHER!$H$5:$H$504,AF217)&amp;" – "&amp;INDEX(MATCHER!$I$5:$I$504,AF217))</f>
        <v>11:30 Uppsala HK Södra – Skå IK Grön</v>
      </c>
      <c r="G217" s="55" t="str">
        <f>MID(IF(R217="","",IF(OR(INDEX(MATCHER!$J$5:$J$504,R217)=""),""," / "&amp;INDEX(MATCHER!$J$5:$J$504,R217)))&amp;IF(S217="","",IF(OR(INDEX(MATCHER!$J$5:$J$504,S217)="",INDEX(MATCHER!$J$5:$J$504,S217)=IFERROR(INDEX(MATCHER!$J$5:$J$504,R217),"")),""," / "&amp;INDEX(MATCHER!$J$5:$J$504,S217)))&amp;IF(T217="","",IF(OR(INDEX(MATCHER!$J$5:$J$504,T217)="",INDEX(MATCHER!$J$5:$J$504,T217)=IFERROR(INDEX(MATCHER!$J$5:$J$504,R217),""),INDEX(MATCHER!$J$5:$J$504,T217)=IFERROR(INDEX(MATCHER!$J$5:$J$504,S217),"")),""," / "&amp;INDEX(MATCHER!$J$5:$J$504,T217)))&amp;IF(AF217="","",IF(OR(INDEX(MATCHER!$J$5:$J$504,AF217)="",INDEX(MATCHER!$J$5:$J$504,AF217)=IFERROR(INDEX(MATCHER!$J$5:$J$504,R217),""),INDEX(MATCHER!$J$5:$J$504,AF217)=IFERROR(INDEX(MATCHER!$J$5:$J$504,S217),""),INDEX(MATCHER!$J$5:$J$504,AF217)=IFERROR(INDEX(MATCHER!$J$5:$J$504,T217),"")),""," / "&amp;INDEX(MATCHER!$J$5:$J$504,AF217))),4,1000)</f>
        <v/>
      </c>
      <c r="H217" s="55" t="str">
        <f>H216</f>
        <v/>
      </c>
      <c r="I217" s="56" t="s">
        <v>90</v>
      </c>
      <c r="J217" s="57" t="s">
        <v>117</v>
      </c>
      <c r="K217" s="58"/>
      <c r="L217" s="59"/>
      <c r="M217" s="60" t="str">
        <f>IF(O217&lt;&gt;O216,MAX(1,MIN(AA217,ROUNDUP(SUMPRODUCT(($O$5:$O$546=O217)*($I$5:$I$546="Ja")*($E$5:$E$546-$D$5:$D$546))*24/REGLER!$B$8,0))),"")</f>
        <v/>
      </c>
      <c r="N217" s="60" t="str">
        <f t="shared" si="47"/>
        <v>Kontrollera lag</v>
      </c>
      <c r="O217" s="15" t="s">
        <v>126</v>
      </c>
      <c r="P217" s="16">
        <v>0.4375</v>
      </c>
      <c r="Q217" s="16">
        <v>0.52083333333333304</v>
      </c>
      <c r="R217" s="15">
        <f>IFERROR(MATCH(1,INDEX((MATCHER!$B$5:$B$504=A217)*(MATCHER!$D$5:$D$504=C217)*(MATCHER!$K$5:$K$504="Ja")*(MATCHER!$C$5:$C$504&lt;E217)*(MATCHER!$M$5:$M$504&gt;D217),0),0),"")</f>
        <v>74</v>
      </c>
      <c r="S217" s="15" t="str">
        <f>IF(R217="","",IFERROR(MATCH(1,INDEX((MATCHER!$B$5:$B$504=A217)*(MATCHER!$D$5:$D$504=C217)*(MATCHER!$K$5:$K$504="Ja")*(MATCHER!$C$5:$C$504&lt;E217)*(MATCHER!$M$5:$M$504&gt;D217)*(ROW(MATCHER!$A$5:$A$504)-ROW(MATCHER!$A$5)+1&gt;R217),0),0),""))</f>
        <v/>
      </c>
      <c r="T217" s="15" t="str">
        <f>IF(S217="","",IFERROR(MATCH(1,INDEX((MATCHER!$B$5:$B$504=A217)*(MATCHER!$D$5:$D$504=C217)*(MATCHER!$K$5:$K$504="Ja")*(MATCHER!$C$5:$C$504&lt;E217)*(MATCHER!$M$5:$M$504&gt;D217)*(ROW(MATCHER!$A$5:$A$504)-ROW(MATCHER!$A$5)+1&gt;S217),0),0),""))</f>
        <v/>
      </c>
      <c r="U217" s="15">
        <f t="shared" si="48"/>
        <v>0</v>
      </c>
      <c r="V217" s="15">
        <f>IF(OR(I217&lt;&gt;"Ja",J217=""),"",COUNTIFS($O$5:O217,O217,$U$5:U217,1))</f>
        <v>1</v>
      </c>
      <c r="W217" s="15" t="str">
        <f t="shared" si="49"/>
        <v>2026-11-21 | Tallbackaskolan|1</v>
      </c>
      <c r="X217" s="16">
        <f t="shared" si="50"/>
        <v>0.52083333333333304</v>
      </c>
      <c r="Y217" s="15">
        <f>IF(OR(I217&lt;&gt;"Ja",J217=""),0,IF(COUNTIFS($O$5:O217,O217,$I$5:I217,"Ja",$J$5:J217,"&lt;&gt;")=1,1,0))</f>
        <v>0</v>
      </c>
      <c r="Z217" s="15">
        <f>IF(OR(I217&lt;&gt;"Ja",J217=""),0,IF(COUNTIFS(O217:$O$546,O217,I217:$I$546,"Ja",J217:$J$546,"&lt;&gt;")=1,1,0))</f>
        <v>1</v>
      </c>
      <c r="AA217" s="15">
        <f>AA216</f>
        <v>0</v>
      </c>
      <c r="AB217" s="15" t="str">
        <f>IF(U217&lt;&gt;1,"",COUNTIF($U$5:U217,1))</f>
        <v/>
      </c>
      <c r="AC217" s="15" t="str">
        <f t="shared" si="51"/>
        <v>2026-11-21 | Tallbackaskolan|1</v>
      </c>
      <c r="AD217" s="15" t="str">
        <f t="shared" si="52"/>
        <v>Minicafé</v>
      </c>
      <c r="AE217" s="15" t="str">
        <f t="shared" si="53"/>
        <v/>
      </c>
      <c r="AF217" t="str">
        <f>IF(T217="","",IFERROR(MATCH(1,INDEX((MATCHER!$B$5:$B$504=A217)*(MATCHER!$D$5:$D$504=C217)*(MATCHER!$K$5:$K$504="Ja")*(MATCHER!$C$5:$C$504&lt;E217)*(MATCHER!$M$5:$M$504&gt;D217)*(ROW(MATCHER!$A$5:$A$504)-ROW(MATCHER!$A$5)+1&gt;T217),0),0),""))</f>
        <v/>
      </c>
    </row>
    <row r="218" spans="1:32" ht="26">
      <c r="A218" s="42">
        <v>46347</v>
      </c>
      <c r="B218" s="43" t="s">
        <v>85</v>
      </c>
      <c r="C218" s="43" t="s">
        <v>86</v>
      </c>
      <c r="D218" s="44">
        <v>0.33333333333333298</v>
      </c>
      <c r="E218" s="44">
        <v>0.35416666666666702</v>
      </c>
      <c r="F218" s="45" t="str">
        <f>IF(R218="","",HOUR(INDEX(MATCHER!$C$5:$C$504,R218))&amp;":"&amp;IF(MINUTE(INDEX(MATCHER!$C$5:$C$504,R218))&lt;10,"0","")&amp;MINUTE(INDEX(MATCHER!$C$5:$C$504,R218))&amp;" "&amp;INDEX(MATCHER!$H$5:$H$504,R218)&amp;" – "&amp;INDEX(MATCHER!$I$5:$I$504,R218))&amp;IF(S218="",""," | "&amp;HOUR(INDEX(MATCHER!$C$5:$C$504,S218))&amp;":"&amp;IF(MINUTE(INDEX(MATCHER!$C$5:$C$504,S218))&lt;10,"0","")&amp;MINUTE(INDEX(MATCHER!$C$5:$C$504,S218))&amp;" "&amp;INDEX(MATCHER!$H$5:$H$504,S218)&amp;" – "&amp;INDEX(MATCHER!$I$5:$I$504,S218))&amp;IF(T218="",""," | "&amp;HOUR(INDEX(MATCHER!$C$5:$C$504,T218))&amp;":"&amp;IF(MINUTE(INDEX(MATCHER!$C$5:$C$504,T218))&lt;10,"0","")&amp;MINUTE(INDEX(MATCHER!$C$5:$C$504,T218))&amp;" "&amp;INDEX(MATCHER!$H$5:$H$504,T218)&amp;" – "&amp;INDEX(MATCHER!$I$5:$I$504,T218))&amp;IF(AF218="",""," | "&amp;HOUR(INDEX(MATCHER!$C$5:$C$504,AF218))&amp;":"&amp;IF(MINUTE(INDEX(MATCHER!$C$5:$C$504,AF218))&lt;10,"0","")&amp;MINUTE(INDEX(MATCHER!$C$5:$C$504,AF218))&amp;" "&amp;INDEX(MATCHER!$H$5:$H$504,AF218)&amp;" – "&amp;INDEX(MATCHER!$I$5:$I$504,AF218))</f>
        <v/>
      </c>
      <c r="G218" s="45" t="str">
        <f>MID(IF(R218="","",IF(OR(INDEX(MATCHER!$J$5:$J$504,R218)=""),""," / "&amp;INDEX(MATCHER!$J$5:$J$504,R218)))&amp;IF(S218="","",IF(OR(INDEX(MATCHER!$J$5:$J$504,S218)="",INDEX(MATCHER!$J$5:$J$504,S218)=IFERROR(INDEX(MATCHER!$J$5:$J$504,R218),"")),""," / "&amp;INDEX(MATCHER!$J$5:$J$504,S218)))&amp;IF(T218="","",IF(OR(INDEX(MATCHER!$J$5:$J$504,T218)="",INDEX(MATCHER!$J$5:$J$504,T218)=IFERROR(INDEX(MATCHER!$J$5:$J$504,R218),""),INDEX(MATCHER!$J$5:$J$504,T218)=IFERROR(INDEX(MATCHER!$J$5:$J$504,S218),"")),""," / "&amp;INDEX(MATCHER!$J$5:$J$504,T218)))&amp;IF(AF218="","",IF(OR(INDEX(MATCHER!$J$5:$J$504,AF218)="",INDEX(MATCHER!$J$5:$J$504,AF218)=IFERROR(INDEX(MATCHER!$J$5:$J$504,R218),""),INDEX(MATCHER!$J$5:$J$504,AF218)=IFERROR(INDEX(MATCHER!$J$5:$J$504,S218),""),INDEX(MATCHER!$J$5:$J$504,AF218)=IFERROR(INDEX(MATCHER!$J$5:$J$504,T218),"")),""," / "&amp;INDEX(MATCHER!$J$5:$J$504,AF218))),4,1000)</f>
        <v/>
      </c>
      <c r="H218" s="45" t="str">
        <f>MID(IF(COUNTIFS(MATCHER!$B$5:$B$504,A218,MATCHER!$D$5:$D$504,C218,MATCHER!$J$5:$J$504,REGLER!$I$6,MATCHER!$K$5:$K$504,"Ja")+COUNTIFS(MATCHER!$B$5:$B$504,A218,MATCHER!$D$5:$D$504,C218,MATCHER!$J$5:$J$504,REGLER!$I$6&amp;" 2",MATCHER!$K$5:$K$504,"Ja")&gt;0,", "&amp;REGLER!$I$6,"")&amp;IF(COUNTIFS(MATCHER!$B$5:$B$504,A218,MATCHER!$D$5:$D$504,C218,MATCHER!$J$5:$J$504,REGLER!$I$7,MATCHER!$K$5:$K$504,"Ja")+COUNTIFS(MATCHER!$B$5:$B$504,A218,MATCHER!$D$5:$D$504,C218,MATCHER!$J$5:$J$504,REGLER!$I$7&amp;" 2",MATCHER!$K$5:$K$504,"Ja")&gt;0,", "&amp;REGLER!$I$7,"")&amp;IF(COUNTIFS(MATCHER!$B$5:$B$504,A218,MATCHER!$D$5:$D$504,C218,MATCHER!$J$5:$J$504,REGLER!$I$8,MATCHER!$K$5:$K$504,"Ja")+COUNTIFS(MATCHER!$B$5:$B$504,A218,MATCHER!$D$5:$D$504,C218,MATCHER!$J$5:$J$504,REGLER!$I$8&amp;" 2",MATCHER!$K$5:$K$504,"Ja")&gt;0,", "&amp;REGLER!$I$8,"")&amp;IF(COUNTIFS(MATCHER!$B$5:$B$504,A218,MATCHER!$D$5:$D$504,C218,MATCHER!$J$5:$J$504,REGLER!$I$9,MATCHER!$K$5:$K$504,"Ja")+COUNTIFS(MATCHER!$B$5:$B$504,A218,MATCHER!$D$5:$D$504,C218,MATCHER!$J$5:$J$504,REGLER!$I$9&amp;" 2",MATCHER!$K$5:$K$504,"Ja")&gt;0,", "&amp;REGLER!$I$9,"")&amp;IF(COUNTIFS(MATCHER!$B$5:$B$504,A218,MATCHER!$D$5:$D$504,C218,MATCHER!$J$5:$J$504,REGLER!$I$10,MATCHER!$K$5:$K$504,"Ja")+COUNTIFS(MATCHER!$B$5:$B$504,A218,MATCHER!$D$5:$D$504,C218,MATCHER!$J$5:$J$504,REGLER!$I$10&amp;" 2",MATCHER!$K$5:$K$504,"Ja")&gt;0,", "&amp;REGLER!$I$10,"")&amp;IF(COUNTIFS(MATCHER!$B$5:$B$504,A218,MATCHER!$D$5:$D$504,C218,MATCHER!$J$5:$J$504,REGLER!$I$11,MATCHER!$K$5:$K$504,"Ja")+COUNTIFS(MATCHER!$B$5:$B$504,A218,MATCHER!$D$5:$D$504,C218,MATCHER!$J$5:$J$504,REGLER!$I$11&amp;" 2",MATCHER!$K$5:$K$504,"Ja")&gt;0,", "&amp;REGLER!$I$11,"")&amp;IF(COUNTIFS(MATCHER!$B$5:$B$504,A218,MATCHER!$D$5:$D$504,C218,MATCHER!$J$5:$J$504,REGLER!$I$12,MATCHER!$K$5:$K$504,"Ja")+COUNTIFS(MATCHER!$B$5:$B$504,A218,MATCHER!$D$5:$D$504,C218,MATCHER!$J$5:$J$504,REGLER!$I$12&amp;" 2",MATCHER!$K$5:$K$504,"Ja")&gt;0,", "&amp;REGLER!$I$12,"")&amp;IF(COUNTIFS(MATCHER!$B$5:$B$504,A218,MATCHER!$D$5:$D$504,C218,MATCHER!$J$5:$J$504,REGLER!$I$13,MATCHER!$K$5:$K$504,"Ja")+COUNTIFS(MATCHER!$B$5:$B$504,A218,MATCHER!$D$5:$D$504,C218,MATCHER!$J$5:$J$504,REGLER!$I$13&amp;" 2",MATCHER!$K$5:$K$504,"Ja")&gt;0,", "&amp;REGLER!$I$13,"")&amp;IF(COUNTIFS(MATCHER!$B$5:$B$504,A218,MATCHER!$D$5:$D$504,C218,MATCHER!$J$5:$J$504,REGLER!$I$14,MATCHER!$K$5:$K$504,"Ja")+COUNTIFS(MATCHER!$B$5:$B$504,A218,MATCHER!$D$5:$D$504,C218,MATCHER!$J$5:$J$504,REGLER!$I$14&amp;" 2",MATCHER!$K$5:$K$504,"Ja")&gt;0,", "&amp;REGLER!$I$14,"")&amp;IF(COUNTIFS(MATCHER!$B$5:$B$504,A218,MATCHER!$D$5:$D$504,C218,MATCHER!$J$5:$J$504,REGLER!$I$15,MATCHER!$K$5:$K$504,"Ja")+COUNTIFS(MATCHER!$B$5:$B$504,A218,MATCHER!$D$5:$D$504,C218,MATCHER!$J$5:$J$504,REGLER!$I$15&amp;" 2",MATCHER!$K$5:$K$504,"Ja")&gt;0,", "&amp;REGLER!$I$15,"")&amp;IF(COUNTIFS(MATCHER!$B$5:$B$504,A218,MATCHER!$D$5:$D$504,C218,MATCHER!$J$5:$J$504,REGLER!$I$16,MATCHER!$K$5:$K$504,"Ja")+COUNTIFS(MATCHER!$B$5:$B$504,A218,MATCHER!$D$5:$D$504,C218,MATCHER!$J$5:$J$504,REGLER!$I$16&amp;" 2",MATCHER!$K$5:$K$504,"Ja")&gt;0,", "&amp;REGLER!$I$16,"")&amp;IF(COUNTIFS(MATCHER!$B$5:$B$504,A218,MATCHER!$D$5:$D$504,C218,MATCHER!$J$5:$J$504,REGLER!$I$17,MATCHER!$K$5:$K$504,"Ja")+COUNTIFS(MATCHER!$B$5:$B$504,A218,MATCHER!$D$5:$D$504,C218,MATCHER!$J$5:$J$504,REGLER!$I$17&amp;" 2",MATCHER!$K$5:$K$504,"Ja")&gt;0,", "&amp;REGLER!$I$17,"")&amp;IF(COUNTIFS(MATCHER!$B$5:$B$504,A218,MATCHER!$D$5:$D$504,C218,MATCHER!$J$5:$J$504,REGLER!$I$18,MATCHER!$K$5:$K$504,"Ja")+COUNTIFS(MATCHER!$B$5:$B$504,A218,MATCHER!$D$5:$D$504,C218,MATCHER!$J$5:$J$504,REGLER!$I$18&amp;" 2",MATCHER!$K$5:$K$504,"Ja")&gt;0,", "&amp;REGLER!$I$18,"")&amp;IF(COUNTIFS(MATCHER!$B$5:$B$504,A218,MATCHER!$D$5:$D$504,C218,MATCHER!$J$5:$J$504,REGLER!$I$19,MATCHER!$K$5:$K$504,"Ja")+COUNTIFS(MATCHER!$B$5:$B$504,A218,MATCHER!$D$5:$D$504,C218,MATCHER!$J$5:$J$504,REGLER!$I$19&amp;" 2",MATCHER!$K$5:$K$504,"Ja")&gt;0,", "&amp;REGLER!$I$19,"")&amp;IF(COUNTIFS(MATCHER!$B$5:$B$504,A218,MATCHER!$D$5:$D$504,C218,MATCHER!$J$5:$J$504,REGLER!$I$20,MATCHER!$K$5:$K$504,"Ja")+COUNTIFS(MATCHER!$B$5:$B$504,A218,MATCHER!$D$5:$D$504,C218,MATCHER!$J$5:$J$504,REGLER!$I$20&amp;" 2",MATCHER!$K$5:$K$504,"Ja")&gt;0,", "&amp;REGLER!$I$20,"")&amp;IF(COUNTIFS(MATCHER!$B$5:$B$504,A218,MATCHER!$D$5:$D$504,C218,MATCHER!$J$5:$J$504,REGLER!$I$21,MATCHER!$K$5:$K$504,"Ja")+COUNTIFS(MATCHER!$B$5:$B$504,A218,MATCHER!$D$5:$D$504,C218,MATCHER!$J$5:$J$504,REGLER!$I$21&amp;" 2",MATCHER!$K$5:$K$504,"Ja")&gt;0,", "&amp;REGLER!$I$21,"")&amp;IF(COUNTIFS(MATCHER!$B$5:$B$504,A218,MATCHER!$D$5:$D$504,C218,MATCHER!$J$5:$J$504,REGLER!$I$22,MATCHER!$K$5:$K$504,"Ja")+COUNTIFS(MATCHER!$B$5:$B$504,A218,MATCHER!$D$5:$D$504,C218,MATCHER!$J$5:$J$504,REGLER!$I$22&amp;" 2",MATCHER!$K$5:$K$504,"Ja")&gt;0,", "&amp;REGLER!$I$22,"")&amp;IF(COUNTIFS(MATCHER!$B$5:$B$504,A218,MATCHER!$D$5:$D$504,C218,MATCHER!$J$5:$J$504,REGLER!$I$23,MATCHER!$K$5:$K$504,"Ja")+COUNTIFS(MATCHER!$B$5:$B$504,A218,MATCHER!$D$5:$D$504,C218,MATCHER!$J$5:$J$504,REGLER!$I$23&amp;" 2",MATCHER!$K$5:$K$504,"Ja")&gt;0,", "&amp;REGLER!$I$23,"")&amp;IF(COUNTIFS(MATCHER!$B$5:$B$504,A218,MATCHER!$D$5:$D$504,C218,MATCHER!$J$5:$J$504,REGLER!$I$24,MATCHER!$K$5:$K$504,"Ja")+COUNTIFS(MATCHER!$B$5:$B$504,A218,MATCHER!$D$5:$D$504,C218,MATCHER!$J$5:$J$504,REGLER!$I$24&amp;" 2",MATCHER!$K$5:$K$504,"Ja")&gt;0,", "&amp;REGLER!$I$24,"")&amp;IF(COUNTIFS(MATCHER!$B$5:$B$504,A218,MATCHER!$D$5:$D$504,C218,MATCHER!$J$5:$J$504,REGLER!$I$25,MATCHER!$K$5:$K$504,"Ja")+COUNTIFS(MATCHER!$B$5:$B$504,A218,MATCHER!$D$5:$D$504,C218,MATCHER!$J$5:$J$504,REGLER!$I$25&amp;" 2",MATCHER!$K$5:$K$504,"Ja")&gt;0,", "&amp;REGLER!$I$25,"")&amp;IF(COUNTIFS(MATCHER!$B$5:$B$504,A218,MATCHER!$D$5:$D$504,C218,MATCHER!$J$5:$J$504,REGLER!$I$26,MATCHER!$K$5:$K$504,"Ja")+COUNTIFS(MATCHER!$B$5:$B$504,A218,MATCHER!$D$5:$D$504,C218,MATCHER!$J$5:$J$504,REGLER!$I$26&amp;" 2",MATCHER!$K$5:$K$504,"Ja")&gt;0,", "&amp;REGLER!$I$26,""),3,1000)</f>
        <v>F13, F14</v>
      </c>
      <c r="I218" s="46" t="s">
        <v>90</v>
      </c>
      <c r="J218" s="47" t="s">
        <v>117</v>
      </c>
      <c r="K218" s="48" t="s">
        <v>88</v>
      </c>
      <c r="L218" s="49"/>
      <c r="M218" s="50">
        <f>IF(O218&lt;&gt;O217,MAX(1,MIN(AA218,ROUNDUP(SUMPRODUCT(($O$5:$O$546=O218)*($I$5:$I$546="Ja")*($E$5:$E$546-$D$5:$D$546))*24/REGLER!$B$8,0))),"")</f>
        <v>2</v>
      </c>
      <c r="N218" s="50" t="str">
        <f t="shared" si="47"/>
        <v>Kontrollera lag</v>
      </c>
      <c r="O218" s="15" t="s">
        <v>127</v>
      </c>
      <c r="P218" s="16">
        <v>0.33333333333333298</v>
      </c>
      <c r="Q218" s="16">
        <v>0.70833333333333304</v>
      </c>
      <c r="R218" s="15" t="str">
        <f>IFERROR(MATCH(1,INDEX((MATCHER!$B$5:$B$504=A218)*(MATCHER!$D$5:$D$504=C218)*(MATCHER!$K$5:$K$504="Ja")*(MATCHER!$C$5:$C$504&lt;E218)*(MATCHER!$M$5:$M$504&gt;D218),0),0),"")</f>
        <v/>
      </c>
      <c r="S218" s="15" t="str">
        <f>IF(R218="","",IFERROR(MATCH(1,INDEX((MATCHER!$B$5:$B$504=A218)*(MATCHER!$D$5:$D$504=C218)*(MATCHER!$K$5:$K$504="Ja")*(MATCHER!$C$5:$C$504&lt;E218)*(MATCHER!$M$5:$M$504&gt;D218)*(ROW(MATCHER!$A$5:$A$504)-ROW(MATCHER!$A$5)+1&gt;R218),0),0),""))</f>
        <v/>
      </c>
      <c r="T218" s="15" t="str">
        <f>IF(S218="","",IFERROR(MATCH(1,INDEX((MATCHER!$B$5:$B$504=A218)*(MATCHER!$D$5:$D$504=C218)*(MATCHER!$K$5:$K$504="Ja")*(MATCHER!$C$5:$C$504&lt;E218)*(MATCHER!$M$5:$M$504&gt;D218)*(ROW(MATCHER!$A$5:$A$504)-ROW(MATCHER!$A$5)+1&gt;S218),0),0),""))</f>
        <v/>
      </c>
      <c r="U218" s="15">
        <f t="shared" si="48"/>
        <v>1</v>
      </c>
      <c r="V218" s="15">
        <f>IF(OR(I218&lt;&gt;"Ja",J218=""),"",COUNTIFS($O$5:O218,O218,$U$5:U218,1))</f>
        <v>1</v>
      </c>
      <c r="W218" s="15" t="str">
        <f t="shared" si="49"/>
        <v>2026-11-21 | Ulriksdalshallen|1</v>
      </c>
      <c r="X218" s="16" t="str">
        <f t="shared" si="50"/>
        <v/>
      </c>
      <c r="Y218" s="15">
        <f>IF(OR(I218&lt;&gt;"Ja",J218=""),0,IF(COUNTIFS($O$5:O218,O218,$I$5:I218,"Ja",$J$5:J218,"&lt;&gt;")=1,1,0))</f>
        <v>1</v>
      </c>
      <c r="Z218" s="15">
        <f>IF(OR(I218&lt;&gt;"Ja",J218=""),0,IF(COUNTIFS(O218:$O$546,O218,I218:$I$546,"Ja",J218:$J$546,"&lt;&gt;")=1,1,0))</f>
        <v>0</v>
      </c>
      <c r="AA218" s="15">
        <f>IF(COUNTIFS(MATCHER!$B$5:$B$504,A218,MATCHER!$D$5:$D$504,C218,MATCHER!$J$5:$J$504,REGLER!$I$6,MATCHER!$K$5:$K$504,"Ja")+COUNTIFS(MATCHER!$B$5:$B$504,A218,MATCHER!$D$5:$D$504,C218,MATCHER!$J$5:$J$504,REGLER!$I$6&amp;" 2",MATCHER!$K$5:$K$504,"Ja")&gt;0,1,0)+IF(COUNTIFS(MATCHER!$B$5:$B$504,A218,MATCHER!$D$5:$D$504,C218,MATCHER!$J$5:$J$504,REGLER!$I$7,MATCHER!$K$5:$K$504,"Ja")+COUNTIFS(MATCHER!$B$5:$B$504,A218,MATCHER!$D$5:$D$504,C218,MATCHER!$J$5:$J$504,REGLER!$I$7&amp;" 2",MATCHER!$K$5:$K$504,"Ja")&gt;0,1,0)+IF(COUNTIFS(MATCHER!$B$5:$B$504,A218,MATCHER!$D$5:$D$504,C218,MATCHER!$J$5:$J$504,REGLER!$I$8,MATCHER!$K$5:$K$504,"Ja")+COUNTIFS(MATCHER!$B$5:$B$504,A218,MATCHER!$D$5:$D$504,C218,MATCHER!$J$5:$J$504,REGLER!$I$8&amp;" 2",MATCHER!$K$5:$K$504,"Ja")&gt;0,1,0)+IF(COUNTIFS(MATCHER!$B$5:$B$504,A218,MATCHER!$D$5:$D$504,C218,MATCHER!$J$5:$J$504,REGLER!$I$9,MATCHER!$K$5:$K$504,"Ja")+COUNTIFS(MATCHER!$B$5:$B$504,A218,MATCHER!$D$5:$D$504,C218,MATCHER!$J$5:$J$504,REGLER!$I$9&amp;" 2",MATCHER!$K$5:$K$504,"Ja")&gt;0,1,0)+IF(COUNTIFS(MATCHER!$B$5:$B$504,A218,MATCHER!$D$5:$D$504,C218,MATCHER!$J$5:$J$504,REGLER!$I$10,MATCHER!$K$5:$K$504,"Ja")+COUNTIFS(MATCHER!$B$5:$B$504,A218,MATCHER!$D$5:$D$504,C218,MATCHER!$J$5:$J$504,REGLER!$I$10&amp;" 2",MATCHER!$K$5:$K$504,"Ja")&gt;0,1,0)+IF(COUNTIFS(MATCHER!$B$5:$B$504,A218,MATCHER!$D$5:$D$504,C218,MATCHER!$J$5:$J$504,REGLER!$I$11,MATCHER!$K$5:$K$504,"Ja")+COUNTIFS(MATCHER!$B$5:$B$504,A218,MATCHER!$D$5:$D$504,C218,MATCHER!$J$5:$J$504,REGLER!$I$11&amp;" 2",MATCHER!$K$5:$K$504,"Ja")&gt;0,1,0)+IF(COUNTIFS(MATCHER!$B$5:$B$504,A218,MATCHER!$D$5:$D$504,C218,MATCHER!$J$5:$J$504,REGLER!$I$12,MATCHER!$K$5:$K$504,"Ja")+COUNTIFS(MATCHER!$B$5:$B$504,A218,MATCHER!$D$5:$D$504,C218,MATCHER!$J$5:$J$504,REGLER!$I$12&amp;" 2",MATCHER!$K$5:$K$504,"Ja")&gt;0,1,0)+IF(COUNTIFS(MATCHER!$B$5:$B$504,A218,MATCHER!$D$5:$D$504,C218,MATCHER!$J$5:$J$504,REGLER!$I$13,MATCHER!$K$5:$K$504,"Ja")+COUNTIFS(MATCHER!$B$5:$B$504,A218,MATCHER!$D$5:$D$504,C218,MATCHER!$J$5:$J$504,REGLER!$I$13&amp;" 2",MATCHER!$K$5:$K$504,"Ja")&gt;0,1,0)+IF(COUNTIFS(MATCHER!$B$5:$B$504,A218,MATCHER!$D$5:$D$504,C218,MATCHER!$J$5:$J$504,REGLER!$I$14,MATCHER!$K$5:$K$504,"Ja")+COUNTIFS(MATCHER!$B$5:$B$504,A218,MATCHER!$D$5:$D$504,C218,MATCHER!$J$5:$J$504,REGLER!$I$14&amp;" 2",MATCHER!$K$5:$K$504,"Ja")&gt;0,1,0)+IF(COUNTIFS(MATCHER!$B$5:$B$504,A218,MATCHER!$D$5:$D$504,C218,MATCHER!$J$5:$J$504,REGLER!$I$15,MATCHER!$K$5:$K$504,"Ja")+COUNTIFS(MATCHER!$B$5:$B$504,A218,MATCHER!$D$5:$D$504,C218,MATCHER!$J$5:$J$504,REGLER!$I$15&amp;" 2",MATCHER!$K$5:$K$504,"Ja")&gt;0,1,0)+IF(COUNTIFS(MATCHER!$B$5:$B$504,A218,MATCHER!$D$5:$D$504,C218,MATCHER!$J$5:$J$504,REGLER!$I$16,MATCHER!$K$5:$K$504,"Ja")+COUNTIFS(MATCHER!$B$5:$B$504,A218,MATCHER!$D$5:$D$504,C218,MATCHER!$J$5:$J$504,REGLER!$I$16&amp;" 2",MATCHER!$K$5:$K$504,"Ja")&gt;0,1,0)+IF(COUNTIFS(MATCHER!$B$5:$B$504,A218,MATCHER!$D$5:$D$504,C218,MATCHER!$J$5:$J$504,REGLER!$I$17,MATCHER!$K$5:$K$504,"Ja")+COUNTIFS(MATCHER!$B$5:$B$504,A218,MATCHER!$D$5:$D$504,C218,MATCHER!$J$5:$J$504,REGLER!$I$17&amp;" 2",MATCHER!$K$5:$K$504,"Ja")&gt;0,1,0)+IF(COUNTIFS(MATCHER!$B$5:$B$504,A218,MATCHER!$D$5:$D$504,C218,MATCHER!$J$5:$J$504,REGLER!$I$18,MATCHER!$K$5:$K$504,"Ja")+COUNTIFS(MATCHER!$B$5:$B$504,A218,MATCHER!$D$5:$D$504,C218,MATCHER!$J$5:$J$504,REGLER!$I$18&amp;" 2",MATCHER!$K$5:$K$504,"Ja")&gt;0,1,0)+IF(COUNTIFS(MATCHER!$B$5:$B$504,A218,MATCHER!$D$5:$D$504,C218,MATCHER!$J$5:$J$504,REGLER!$I$19,MATCHER!$K$5:$K$504,"Ja")+COUNTIFS(MATCHER!$B$5:$B$504,A218,MATCHER!$D$5:$D$504,C218,MATCHER!$J$5:$J$504,REGLER!$I$19&amp;" 2",MATCHER!$K$5:$K$504,"Ja")&gt;0,1,0)+IF(COUNTIFS(MATCHER!$B$5:$B$504,A218,MATCHER!$D$5:$D$504,C218,MATCHER!$J$5:$J$504,REGLER!$I$20,MATCHER!$K$5:$K$504,"Ja")+COUNTIFS(MATCHER!$B$5:$B$504,A218,MATCHER!$D$5:$D$504,C218,MATCHER!$J$5:$J$504,REGLER!$I$20&amp;" 2",MATCHER!$K$5:$K$504,"Ja")&gt;0,1,0)+IF(COUNTIFS(MATCHER!$B$5:$B$504,A218,MATCHER!$D$5:$D$504,C218,MATCHER!$J$5:$J$504,REGLER!$I$21,MATCHER!$K$5:$K$504,"Ja")+COUNTIFS(MATCHER!$B$5:$B$504,A218,MATCHER!$D$5:$D$504,C218,MATCHER!$J$5:$J$504,REGLER!$I$21&amp;" 2",MATCHER!$K$5:$K$504,"Ja")&gt;0,1,0)+IF(COUNTIFS(MATCHER!$B$5:$B$504,A218,MATCHER!$D$5:$D$504,C218,MATCHER!$J$5:$J$504,REGLER!$I$22,MATCHER!$K$5:$K$504,"Ja")+COUNTIFS(MATCHER!$B$5:$B$504,A218,MATCHER!$D$5:$D$504,C218,MATCHER!$J$5:$J$504,REGLER!$I$22&amp;" 2",MATCHER!$K$5:$K$504,"Ja")&gt;0,1,0)+IF(COUNTIFS(MATCHER!$B$5:$B$504,A218,MATCHER!$D$5:$D$504,C218,MATCHER!$J$5:$J$504,REGLER!$I$23,MATCHER!$K$5:$K$504,"Ja")+COUNTIFS(MATCHER!$B$5:$B$504,A218,MATCHER!$D$5:$D$504,C218,MATCHER!$J$5:$J$504,REGLER!$I$23&amp;" 2",MATCHER!$K$5:$K$504,"Ja")&gt;0,1,0)+IF(COUNTIFS(MATCHER!$B$5:$B$504,A218,MATCHER!$D$5:$D$504,C218,MATCHER!$J$5:$J$504,REGLER!$I$24,MATCHER!$K$5:$K$504,"Ja")+COUNTIFS(MATCHER!$B$5:$B$504,A218,MATCHER!$D$5:$D$504,C218,MATCHER!$J$5:$J$504,REGLER!$I$24&amp;" 2",MATCHER!$K$5:$K$504,"Ja")&gt;0,1,0)+IF(COUNTIFS(MATCHER!$B$5:$B$504,A218,MATCHER!$D$5:$D$504,C218,MATCHER!$J$5:$J$504,REGLER!$I$25,MATCHER!$K$5:$K$504,"Ja")+COUNTIFS(MATCHER!$B$5:$B$504,A218,MATCHER!$D$5:$D$504,C218,MATCHER!$J$5:$J$504,REGLER!$I$25&amp;" 2",MATCHER!$K$5:$K$504,"Ja")&gt;0,1,0)+IF(COUNTIFS(MATCHER!$B$5:$B$504,A218,MATCHER!$D$5:$D$504,C218,MATCHER!$J$5:$J$504,REGLER!$I$26,MATCHER!$K$5:$K$504,"Ja")+COUNTIFS(MATCHER!$B$5:$B$504,A218,MATCHER!$D$5:$D$504,C218,MATCHER!$J$5:$J$504,REGLER!$I$26&amp;" 2",MATCHER!$K$5:$K$504,"Ja")&gt;0,1,0)</f>
        <v>2</v>
      </c>
      <c r="AB218" s="15">
        <f>IF(U218&lt;&gt;1,"",COUNTIF($U$5:U218,1))</f>
        <v>25</v>
      </c>
      <c r="AC218" s="15" t="str">
        <f t="shared" si="51"/>
        <v/>
      </c>
      <c r="AD218" s="15" t="str">
        <f t="shared" si="52"/>
        <v>Vanligt café</v>
      </c>
      <c r="AE218" s="15">
        <f t="shared" si="53"/>
        <v>6.0000000000000018</v>
      </c>
      <c r="AF218" t="str">
        <f>IF(T218="","",IFERROR(MATCH(1,INDEX((MATCHER!$B$5:$B$504=A218)*(MATCHER!$D$5:$D$504=C218)*(MATCHER!$K$5:$K$504="Ja")*(MATCHER!$C$5:$C$504&lt;E218)*(MATCHER!$M$5:$M$504&gt;D218)*(ROW(MATCHER!$A$5:$A$504)-ROW(MATCHER!$A$5)+1&gt;T218),0),0),""))</f>
        <v/>
      </c>
    </row>
    <row r="219" spans="1:32" ht="26">
      <c r="A219" s="42">
        <v>46347</v>
      </c>
      <c r="B219" s="43" t="s">
        <v>85</v>
      </c>
      <c r="C219" s="43" t="s">
        <v>86</v>
      </c>
      <c r="D219" s="44">
        <v>0.35416666666666702</v>
      </c>
      <c r="E219" s="44">
        <v>0.375</v>
      </c>
      <c r="F219" s="45" t="str">
        <f>IF(R219="","",HOUR(INDEX(MATCHER!$C$5:$C$504,R219))&amp;":"&amp;IF(MINUTE(INDEX(MATCHER!$C$5:$C$504,R219))&lt;10,"0","")&amp;MINUTE(INDEX(MATCHER!$C$5:$C$504,R219))&amp;" "&amp;INDEX(MATCHER!$H$5:$H$504,R219)&amp;" – "&amp;INDEX(MATCHER!$I$5:$I$504,R219))&amp;IF(S219="",""," | "&amp;HOUR(INDEX(MATCHER!$C$5:$C$504,S219))&amp;":"&amp;IF(MINUTE(INDEX(MATCHER!$C$5:$C$504,S219))&lt;10,"0","")&amp;MINUTE(INDEX(MATCHER!$C$5:$C$504,S219))&amp;" "&amp;INDEX(MATCHER!$H$5:$H$504,S219)&amp;" – "&amp;INDEX(MATCHER!$I$5:$I$504,S219))&amp;IF(T219="",""," | "&amp;HOUR(INDEX(MATCHER!$C$5:$C$504,T219))&amp;":"&amp;IF(MINUTE(INDEX(MATCHER!$C$5:$C$504,T219))&lt;10,"0","")&amp;MINUTE(INDEX(MATCHER!$C$5:$C$504,T219))&amp;" "&amp;INDEX(MATCHER!$H$5:$H$504,T219)&amp;" – "&amp;INDEX(MATCHER!$I$5:$I$504,T219))&amp;IF(AF219="",""," | "&amp;HOUR(INDEX(MATCHER!$C$5:$C$504,AF219))&amp;":"&amp;IF(MINUTE(INDEX(MATCHER!$C$5:$C$504,AF219))&lt;10,"0","")&amp;MINUTE(INDEX(MATCHER!$C$5:$C$504,AF219))&amp;" "&amp;INDEX(MATCHER!$H$5:$H$504,AF219)&amp;" – "&amp;INDEX(MATCHER!$I$5:$I$504,AF219))</f>
        <v/>
      </c>
      <c r="G219" s="45" t="str">
        <f>MID(IF(R219="","",IF(OR(INDEX(MATCHER!$J$5:$J$504,R219)=""),""," / "&amp;INDEX(MATCHER!$J$5:$J$504,R219)))&amp;IF(S219="","",IF(OR(INDEX(MATCHER!$J$5:$J$504,S219)="",INDEX(MATCHER!$J$5:$J$504,S219)=IFERROR(INDEX(MATCHER!$J$5:$J$504,R219),"")),""," / "&amp;INDEX(MATCHER!$J$5:$J$504,S219)))&amp;IF(T219="","",IF(OR(INDEX(MATCHER!$J$5:$J$504,T219)="",INDEX(MATCHER!$J$5:$J$504,T219)=IFERROR(INDEX(MATCHER!$J$5:$J$504,R219),""),INDEX(MATCHER!$J$5:$J$504,T219)=IFERROR(INDEX(MATCHER!$J$5:$J$504,S219),"")),""," / "&amp;INDEX(MATCHER!$J$5:$J$504,T219)))&amp;IF(AF219="","",IF(OR(INDEX(MATCHER!$J$5:$J$504,AF219)="",INDEX(MATCHER!$J$5:$J$504,AF219)=IFERROR(INDEX(MATCHER!$J$5:$J$504,R219),""),INDEX(MATCHER!$J$5:$J$504,AF219)=IFERROR(INDEX(MATCHER!$J$5:$J$504,S219),""),INDEX(MATCHER!$J$5:$J$504,AF219)=IFERROR(INDEX(MATCHER!$J$5:$J$504,T219),"")),""," / "&amp;INDEX(MATCHER!$J$5:$J$504,AF219))),4,1000)</f>
        <v/>
      </c>
      <c r="H219" s="45" t="str">
        <f t="shared" ref="H219:H235" si="54">H218</f>
        <v>F13, F14</v>
      </c>
      <c r="I219" s="46" t="s">
        <v>90</v>
      </c>
      <c r="J219" s="47" t="s">
        <v>117</v>
      </c>
      <c r="K219" s="48"/>
      <c r="L219" s="49"/>
      <c r="M219" s="50" t="str">
        <f>IF(O219&lt;&gt;O218,MAX(1,MIN(AA219,ROUNDUP(SUMPRODUCT(($O$5:$O$546=O219)*($I$5:$I$546="Ja")*($E$5:$E$546-$D$5:$D$546))*24/REGLER!$B$8,0))),"")</f>
        <v/>
      </c>
      <c r="N219" s="50" t="str">
        <f t="shared" si="47"/>
        <v>Kontrollera lag</v>
      </c>
      <c r="O219" s="15" t="s">
        <v>127</v>
      </c>
      <c r="P219" s="16">
        <v>0.33333333333333298</v>
      </c>
      <c r="Q219" s="16">
        <v>0.70833333333333304</v>
      </c>
      <c r="R219" s="15" t="str">
        <f>IFERROR(MATCH(1,INDEX((MATCHER!$B$5:$B$504=A219)*(MATCHER!$D$5:$D$504=C219)*(MATCHER!$K$5:$K$504="Ja")*(MATCHER!$C$5:$C$504&lt;E219)*(MATCHER!$M$5:$M$504&gt;D219),0),0),"")</f>
        <v/>
      </c>
      <c r="S219" s="15" t="str">
        <f>IF(R219="","",IFERROR(MATCH(1,INDEX((MATCHER!$B$5:$B$504=A219)*(MATCHER!$D$5:$D$504=C219)*(MATCHER!$K$5:$K$504="Ja")*(MATCHER!$C$5:$C$504&lt;E219)*(MATCHER!$M$5:$M$504&gt;D219)*(ROW(MATCHER!$A$5:$A$504)-ROW(MATCHER!$A$5)+1&gt;R219),0),0),""))</f>
        <v/>
      </c>
      <c r="T219" s="15" t="str">
        <f>IF(S219="","",IFERROR(MATCH(1,INDEX((MATCHER!$B$5:$B$504=A219)*(MATCHER!$D$5:$D$504=C219)*(MATCHER!$K$5:$K$504="Ja")*(MATCHER!$C$5:$C$504&lt;E219)*(MATCHER!$M$5:$M$504&gt;D219)*(ROW(MATCHER!$A$5:$A$504)-ROW(MATCHER!$A$5)+1&gt;S219),0),0),""))</f>
        <v/>
      </c>
      <c r="U219" s="15">
        <f t="shared" si="48"/>
        <v>0</v>
      </c>
      <c r="V219" s="15">
        <f>IF(OR(I219&lt;&gt;"Ja",J219=""),"",COUNTIFS($O$5:O219,O219,$U$5:U219,1))</f>
        <v>1</v>
      </c>
      <c r="W219" s="15" t="str">
        <f t="shared" si="49"/>
        <v>2026-11-21 | Ulriksdalshallen|1</v>
      </c>
      <c r="X219" s="16" t="str">
        <f t="shared" si="50"/>
        <v/>
      </c>
      <c r="Y219" s="15">
        <f>IF(OR(I219&lt;&gt;"Ja",J219=""),0,IF(COUNTIFS($O$5:O219,O219,$I$5:I219,"Ja",$J$5:J219,"&lt;&gt;")=1,1,0))</f>
        <v>0</v>
      </c>
      <c r="Z219" s="15">
        <f>IF(OR(I219&lt;&gt;"Ja",J219=""),0,IF(COUNTIFS(O219:$O$546,O219,I219:$I$546,"Ja",J219:$J$546,"&lt;&gt;")=1,1,0))</f>
        <v>0</v>
      </c>
      <c r="AA219" s="15">
        <f t="shared" ref="AA219:AA235" si="55">AA218</f>
        <v>2</v>
      </c>
      <c r="AB219" s="15" t="str">
        <f>IF(U219&lt;&gt;1,"",COUNTIF($U$5:U219,1))</f>
        <v/>
      </c>
      <c r="AC219" s="15" t="str">
        <f t="shared" si="51"/>
        <v/>
      </c>
      <c r="AD219" s="15" t="str">
        <f t="shared" si="52"/>
        <v>Vanligt café</v>
      </c>
      <c r="AE219" s="15" t="str">
        <f t="shared" si="53"/>
        <v/>
      </c>
      <c r="AF219" t="str">
        <f>IF(T219="","",IFERROR(MATCH(1,INDEX((MATCHER!$B$5:$B$504=A219)*(MATCHER!$D$5:$D$504=C219)*(MATCHER!$K$5:$K$504="Ja")*(MATCHER!$C$5:$C$504&lt;E219)*(MATCHER!$M$5:$M$504&gt;D219)*(ROW(MATCHER!$A$5:$A$504)-ROW(MATCHER!$A$5)+1&gt;T219),0),0),""))</f>
        <v/>
      </c>
    </row>
    <row r="220" spans="1:32" ht="26">
      <c r="A220" s="42">
        <v>46347</v>
      </c>
      <c r="B220" s="43" t="s">
        <v>85</v>
      </c>
      <c r="C220" s="43" t="s">
        <v>86</v>
      </c>
      <c r="D220" s="44">
        <v>0.375</v>
      </c>
      <c r="E220" s="44">
        <v>0.39583333333333298</v>
      </c>
      <c r="F220" s="45" t="str">
        <f>IF(R220="","",HOUR(INDEX(MATCHER!$C$5:$C$504,R220))&amp;":"&amp;IF(MINUTE(INDEX(MATCHER!$C$5:$C$504,R220))&lt;10,"0","")&amp;MINUTE(INDEX(MATCHER!$C$5:$C$504,R220))&amp;" "&amp;INDEX(MATCHER!$H$5:$H$504,R220)&amp;" – "&amp;INDEX(MATCHER!$I$5:$I$504,R220))&amp;IF(S220="",""," | "&amp;HOUR(INDEX(MATCHER!$C$5:$C$504,S220))&amp;":"&amp;IF(MINUTE(INDEX(MATCHER!$C$5:$C$504,S220))&lt;10,"0","")&amp;MINUTE(INDEX(MATCHER!$C$5:$C$504,S220))&amp;" "&amp;INDEX(MATCHER!$H$5:$H$504,S220)&amp;" – "&amp;INDEX(MATCHER!$I$5:$I$504,S220))&amp;IF(T220="",""," | "&amp;HOUR(INDEX(MATCHER!$C$5:$C$504,T220))&amp;":"&amp;IF(MINUTE(INDEX(MATCHER!$C$5:$C$504,T220))&lt;10,"0","")&amp;MINUTE(INDEX(MATCHER!$C$5:$C$504,T220))&amp;" "&amp;INDEX(MATCHER!$H$5:$H$504,T220)&amp;" – "&amp;INDEX(MATCHER!$I$5:$I$504,T220))&amp;IF(AF220="",""," | "&amp;HOUR(INDEX(MATCHER!$C$5:$C$504,AF220))&amp;":"&amp;IF(MINUTE(INDEX(MATCHER!$C$5:$C$504,AF220))&lt;10,"0","")&amp;MINUTE(INDEX(MATCHER!$C$5:$C$504,AF220))&amp;" "&amp;INDEX(MATCHER!$H$5:$H$504,AF220)&amp;" – "&amp;INDEX(MATCHER!$I$5:$I$504,AF220))</f>
        <v>9:00 IF Swithiod – Vacant- 44</v>
      </c>
      <c r="G220" s="45" t="str">
        <f>MID(IF(R220="","",IF(OR(INDEX(MATCHER!$J$5:$J$504,R220)=""),""," / "&amp;INDEX(MATCHER!$J$5:$J$504,R220)))&amp;IF(S220="","",IF(OR(INDEX(MATCHER!$J$5:$J$504,S220)="",INDEX(MATCHER!$J$5:$J$504,S220)=IFERROR(INDEX(MATCHER!$J$5:$J$504,R220),"")),""," / "&amp;INDEX(MATCHER!$J$5:$J$504,S220)))&amp;IF(T220="","",IF(OR(INDEX(MATCHER!$J$5:$J$504,T220)="",INDEX(MATCHER!$J$5:$J$504,T220)=IFERROR(INDEX(MATCHER!$J$5:$J$504,R220),""),INDEX(MATCHER!$J$5:$J$504,T220)=IFERROR(INDEX(MATCHER!$J$5:$J$504,S220),"")),""," / "&amp;INDEX(MATCHER!$J$5:$J$504,T220)))&amp;IF(AF220="","",IF(OR(INDEX(MATCHER!$J$5:$J$504,AF220)="",INDEX(MATCHER!$J$5:$J$504,AF220)=IFERROR(INDEX(MATCHER!$J$5:$J$504,R220),""),INDEX(MATCHER!$J$5:$J$504,AF220)=IFERROR(INDEX(MATCHER!$J$5:$J$504,S220),""),INDEX(MATCHER!$J$5:$J$504,AF220)=IFERROR(INDEX(MATCHER!$J$5:$J$504,T220),"")),""," / "&amp;INDEX(MATCHER!$J$5:$J$504,AF220))),4,1000)</f>
        <v/>
      </c>
      <c r="H220" s="45" t="str">
        <f t="shared" si="54"/>
        <v>F13, F14</v>
      </c>
      <c r="I220" s="46" t="s">
        <v>90</v>
      </c>
      <c r="J220" s="47" t="s">
        <v>117</v>
      </c>
      <c r="K220" s="48"/>
      <c r="L220" s="49"/>
      <c r="M220" s="50" t="str">
        <f>IF(O220&lt;&gt;O219,MAX(1,MIN(AA220,ROUNDUP(SUMPRODUCT(($O$5:$O$546=O220)*($I$5:$I$546="Ja")*($E$5:$E$546-$D$5:$D$546))*24/REGLER!$B$8,0))),"")</f>
        <v/>
      </c>
      <c r="N220" s="50" t="str">
        <f t="shared" si="47"/>
        <v>Kontrollera lag</v>
      </c>
      <c r="O220" s="15" t="s">
        <v>127</v>
      </c>
      <c r="P220" s="16">
        <v>0.33333333333333298</v>
      </c>
      <c r="Q220" s="16">
        <v>0.70833333333333304</v>
      </c>
      <c r="R220" s="15">
        <f>IFERROR(MATCH(1,INDEX((MATCHER!$B$5:$B$504=A220)*(MATCHER!$D$5:$D$504=C220)*(MATCHER!$K$5:$K$504="Ja")*(MATCHER!$C$5:$C$504&lt;E220)*(MATCHER!$M$5:$M$504&gt;D220),0),0),"")</f>
        <v>75</v>
      </c>
      <c r="S220" s="15" t="str">
        <f>IF(R220="","",IFERROR(MATCH(1,INDEX((MATCHER!$B$5:$B$504=A220)*(MATCHER!$D$5:$D$504=C220)*(MATCHER!$K$5:$K$504="Ja")*(MATCHER!$C$5:$C$504&lt;E220)*(MATCHER!$M$5:$M$504&gt;D220)*(ROW(MATCHER!$A$5:$A$504)-ROW(MATCHER!$A$5)+1&gt;R220),0),0),""))</f>
        <v/>
      </c>
      <c r="T220" s="15" t="str">
        <f>IF(S220="","",IFERROR(MATCH(1,INDEX((MATCHER!$B$5:$B$504=A220)*(MATCHER!$D$5:$D$504=C220)*(MATCHER!$K$5:$K$504="Ja")*(MATCHER!$C$5:$C$504&lt;E220)*(MATCHER!$M$5:$M$504&gt;D220)*(ROW(MATCHER!$A$5:$A$504)-ROW(MATCHER!$A$5)+1&gt;S220),0),0),""))</f>
        <v/>
      </c>
      <c r="U220" s="15">
        <f t="shared" si="48"/>
        <v>0</v>
      </c>
      <c r="V220" s="15">
        <f>IF(OR(I220&lt;&gt;"Ja",J220=""),"",COUNTIFS($O$5:O220,O220,$U$5:U220,1))</f>
        <v>1</v>
      </c>
      <c r="W220" s="15" t="str">
        <f t="shared" si="49"/>
        <v>2026-11-21 | Ulriksdalshallen|1</v>
      </c>
      <c r="X220" s="16" t="str">
        <f t="shared" si="50"/>
        <v/>
      </c>
      <c r="Y220" s="15">
        <f>IF(OR(I220&lt;&gt;"Ja",J220=""),0,IF(COUNTIFS($O$5:O220,O220,$I$5:I220,"Ja",$J$5:J220,"&lt;&gt;")=1,1,0))</f>
        <v>0</v>
      </c>
      <c r="Z220" s="15">
        <f>IF(OR(I220&lt;&gt;"Ja",J220=""),0,IF(COUNTIFS(O220:$O$546,O220,I220:$I$546,"Ja",J220:$J$546,"&lt;&gt;")=1,1,0))</f>
        <v>0</v>
      </c>
      <c r="AA220" s="15">
        <f t="shared" si="55"/>
        <v>2</v>
      </c>
      <c r="AB220" s="15" t="str">
        <f>IF(U220&lt;&gt;1,"",COUNTIF($U$5:U220,1))</f>
        <v/>
      </c>
      <c r="AC220" s="15" t="str">
        <f t="shared" si="51"/>
        <v/>
      </c>
      <c r="AD220" s="15" t="str">
        <f t="shared" si="52"/>
        <v>Vanligt café</v>
      </c>
      <c r="AE220" s="15" t="str">
        <f t="shared" si="53"/>
        <v/>
      </c>
      <c r="AF220" t="str">
        <f>IF(T220="","",IFERROR(MATCH(1,INDEX((MATCHER!$B$5:$B$504=A220)*(MATCHER!$D$5:$D$504=C220)*(MATCHER!$K$5:$K$504="Ja")*(MATCHER!$C$5:$C$504&lt;E220)*(MATCHER!$M$5:$M$504&gt;D220)*(ROW(MATCHER!$A$5:$A$504)-ROW(MATCHER!$A$5)+1&gt;T220),0),0),""))</f>
        <v/>
      </c>
    </row>
    <row r="221" spans="1:32" ht="26">
      <c r="A221" s="42">
        <v>46347</v>
      </c>
      <c r="B221" s="43" t="s">
        <v>85</v>
      </c>
      <c r="C221" s="43" t="s">
        <v>86</v>
      </c>
      <c r="D221" s="44">
        <v>0.39583333333333298</v>
      </c>
      <c r="E221" s="44">
        <v>0.41666666666666702</v>
      </c>
      <c r="F221" s="45" t="str">
        <f>IF(R221="","",HOUR(INDEX(MATCHER!$C$5:$C$504,R221))&amp;":"&amp;IF(MINUTE(INDEX(MATCHER!$C$5:$C$504,R221))&lt;10,"0","")&amp;MINUTE(INDEX(MATCHER!$C$5:$C$504,R221))&amp;" "&amp;INDEX(MATCHER!$H$5:$H$504,R221)&amp;" – "&amp;INDEX(MATCHER!$I$5:$I$504,R221))&amp;IF(S221="",""," | "&amp;HOUR(INDEX(MATCHER!$C$5:$C$504,S221))&amp;":"&amp;IF(MINUTE(INDEX(MATCHER!$C$5:$C$504,S221))&lt;10,"0","")&amp;MINUTE(INDEX(MATCHER!$C$5:$C$504,S221))&amp;" "&amp;INDEX(MATCHER!$H$5:$H$504,S221)&amp;" – "&amp;INDEX(MATCHER!$I$5:$I$504,S221))&amp;IF(T221="",""," | "&amp;HOUR(INDEX(MATCHER!$C$5:$C$504,T221))&amp;":"&amp;IF(MINUTE(INDEX(MATCHER!$C$5:$C$504,T221))&lt;10,"0","")&amp;MINUTE(INDEX(MATCHER!$C$5:$C$504,T221))&amp;" "&amp;INDEX(MATCHER!$H$5:$H$504,T221)&amp;" – "&amp;INDEX(MATCHER!$I$5:$I$504,T221))&amp;IF(AF221="",""," | "&amp;HOUR(INDEX(MATCHER!$C$5:$C$504,AF221))&amp;":"&amp;IF(MINUTE(INDEX(MATCHER!$C$5:$C$504,AF221))&lt;10,"0","")&amp;MINUTE(INDEX(MATCHER!$C$5:$C$504,AF221))&amp;" "&amp;INDEX(MATCHER!$H$5:$H$504,AF221)&amp;" – "&amp;INDEX(MATCHER!$I$5:$I$504,AF221))</f>
        <v>9:00 IF Swithiod – Vacant- 44 | 9:45 Vacant- 45 – Vacant- 46</v>
      </c>
      <c r="G221" s="45" t="str">
        <f>MID(IF(R221="","",IF(OR(INDEX(MATCHER!$J$5:$J$504,R221)=""),""," / "&amp;INDEX(MATCHER!$J$5:$J$504,R221)))&amp;IF(S221="","",IF(OR(INDEX(MATCHER!$J$5:$J$504,S221)="",INDEX(MATCHER!$J$5:$J$504,S221)=IFERROR(INDEX(MATCHER!$J$5:$J$504,R221),"")),""," / "&amp;INDEX(MATCHER!$J$5:$J$504,S221)))&amp;IF(T221="","",IF(OR(INDEX(MATCHER!$J$5:$J$504,T221)="",INDEX(MATCHER!$J$5:$J$504,T221)=IFERROR(INDEX(MATCHER!$J$5:$J$504,R221),""),INDEX(MATCHER!$J$5:$J$504,T221)=IFERROR(INDEX(MATCHER!$J$5:$J$504,S221),"")),""," / "&amp;INDEX(MATCHER!$J$5:$J$504,T221)))&amp;IF(AF221="","",IF(OR(INDEX(MATCHER!$J$5:$J$504,AF221)="",INDEX(MATCHER!$J$5:$J$504,AF221)=IFERROR(INDEX(MATCHER!$J$5:$J$504,R221),""),INDEX(MATCHER!$J$5:$J$504,AF221)=IFERROR(INDEX(MATCHER!$J$5:$J$504,S221),""),INDEX(MATCHER!$J$5:$J$504,AF221)=IFERROR(INDEX(MATCHER!$J$5:$J$504,T221),"")),""," / "&amp;INDEX(MATCHER!$J$5:$J$504,AF221))),4,1000)</f>
        <v/>
      </c>
      <c r="H221" s="45" t="str">
        <f t="shared" si="54"/>
        <v>F13, F14</v>
      </c>
      <c r="I221" s="46" t="s">
        <v>90</v>
      </c>
      <c r="J221" s="47" t="s">
        <v>117</v>
      </c>
      <c r="K221" s="48"/>
      <c r="L221" s="49"/>
      <c r="M221" s="50" t="str">
        <f>IF(O221&lt;&gt;O220,MAX(1,MIN(AA221,ROUNDUP(SUMPRODUCT(($O$5:$O$546=O221)*($I$5:$I$546="Ja")*($E$5:$E$546-$D$5:$D$546))*24/REGLER!$B$8,0))),"")</f>
        <v/>
      </c>
      <c r="N221" s="50" t="str">
        <f t="shared" si="47"/>
        <v>Kontrollera lag</v>
      </c>
      <c r="O221" s="15" t="s">
        <v>127</v>
      </c>
      <c r="P221" s="16">
        <v>0.33333333333333298</v>
      </c>
      <c r="Q221" s="16">
        <v>0.70833333333333304</v>
      </c>
      <c r="R221" s="15">
        <f>IFERROR(MATCH(1,INDEX((MATCHER!$B$5:$B$504=A221)*(MATCHER!$D$5:$D$504=C221)*(MATCHER!$K$5:$K$504="Ja")*(MATCHER!$C$5:$C$504&lt;E221)*(MATCHER!$M$5:$M$504&gt;D221),0),0),"")</f>
        <v>75</v>
      </c>
      <c r="S221" s="15">
        <f>IF(R221="","",IFERROR(MATCH(1,INDEX((MATCHER!$B$5:$B$504=A221)*(MATCHER!$D$5:$D$504=C221)*(MATCHER!$K$5:$K$504="Ja")*(MATCHER!$C$5:$C$504&lt;E221)*(MATCHER!$M$5:$M$504&gt;D221)*(ROW(MATCHER!$A$5:$A$504)-ROW(MATCHER!$A$5)+1&gt;R221),0),0),""))</f>
        <v>76</v>
      </c>
      <c r="T221" s="15" t="str">
        <f>IF(S221="","",IFERROR(MATCH(1,INDEX((MATCHER!$B$5:$B$504=A221)*(MATCHER!$D$5:$D$504=C221)*(MATCHER!$K$5:$K$504="Ja")*(MATCHER!$C$5:$C$504&lt;E221)*(MATCHER!$M$5:$M$504&gt;D221)*(ROW(MATCHER!$A$5:$A$504)-ROW(MATCHER!$A$5)+1&gt;S221),0),0),""))</f>
        <v/>
      </c>
      <c r="U221" s="15">
        <f t="shared" si="48"/>
        <v>0</v>
      </c>
      <c r="V221" s="15">
        <f>IF(OR(I221&lt;&gt;"Ja",J221=""),"",COUNTIFS($O$5:O221,O221,$U$5:U221,1))</f>
        <v>1</v>
      </c>
      <c r="W221" s="15" t="str">
        <f t="shared" si="49"/>
        <v>2026-11-21 | Ulriksdalshallen|1</v>
      </c>
      <c r="X221" s="16" t="str">
        <f t="shared" si="50"/>
        <v/>
      </c>
      <c r="Y221" s="15">
        <f>IF(OR(I221&lt;&gt;"Ja",J221=""),0,IF(COUNTIFS($O$5:O221,O221,$I$5:I221,"Ja",$J$5:J221,"&lt;&gt;")=1,1,0))</f>
        <v>0</v>
      </c>
      <c r="Z221" s="15">
        <f>IF(OR(I221&lt;&gt;"Ja",J221=""),0,IF(COUNTIFS(O221:$O$546,O221,I221:$I$546,"Ja",J221:$J$546,"&lt;&gt;")=1,1,0))</f>
        <v>0</v>
      </c>
      <c r="AA221" s="15">
        <f t="shared" si="55"/>
        <v>2</v>
      </c>
      <c r="AB221" s="15" t="str">
        <f>IF(U221&lt;&gt;1,"",COUNTIF($U$5:U221,1))</f>
        <v/>
      </c>
      <c r="AC221" s="15" t="str">
        <f t="shared" si="51"/>
        <v/>
      </c>
      <c r="AD221" s="15" t="str">
        <f t="shared" si="52"/>
        <v>Vanligt café</v>
      </c>
      <c r="AE221" s="15" t="str">
        <f t="shared" si="53"/>
        <v/>
      </c>
      <c r="AF221" t="str">
        <f>IF(T221="","",IFERROR(MATCH(1,INDEX((MATCHER!$B$5:$B$504=A221)*(MATCHER!$D$5:$D$504=C221)*(MATCHER!$K$5:$K$504="Ja")*(MATCHER!$C$5:$C$504&lt;E221)*(MATCHER!$M$5:$M$504&gt;D221)*(ROW(MATCHER!$A$5:$A$504)-ROW(MATCHER!$A$5)+1&gt;T221),0),0),""))</f>
        <v/>
      </c>
    </row>
    <row r="222" spans="1:32" ht="26">
      <c r="A222" s="42">
        <v>46347</v>
      </c>
      <c r="B222" s="43" t="s">
        <v>85</v>
      </c>
      <c r="C222" s="43" t="s">
        <v>86</v>
      </c>
      <c r="D222" s="44">
        <v>0.41666666666666702</v>
      </c>
      <c r="E222" s="44">
        <v>0.4375</v>
      </c>
      <c r="F222" s="45" t="str">
        <f>IF(R222="","",HOUR(INDEX(MATCHER!$C$5:$C$504,R222))&amp;":"&amp;IF(MINUTE(INDEX(MATCHER!$C$5:$C$504,R222))&lt;10,"0","")&amp;MINUTE(INDEX(MATCHER!$C$5:$C$504,R222))&amp;" "&amp;INDEX(MATCHER!$H$5:$H$504,R222)&amp;" – "&amp;INDEX(MATCHER!$I$5:$I$504,R222))&amp;IF(S222="",""," | "&amp;HOUR(INDEX(MATCHER!$C$5:$C$504,S222))&amp;":"&amp;IF(MINUTE(INDEX(MATCHER!$C$5:$C$504,S222))&lt;10,"0","")&amp;MINUTE(INDEX(MATCHER!$C$5:$C$504,S222))&amp;" "&amp;INDEX(MATCHER!$H$5:$H$504,S222)&amp;" – "&amp;INDEX(MATCHER!$I$5:$I$504,S222))&amp;IF(T222="",""," | "&amp;HOUR(INDEX(MATCHER!$C$5:$C$504,T222))&amp;":"&amp;IF(MINUTE(INDEX(MATCHER!$C$5:$C$504,T222))&lt;10,"0","")&amp;MINUTE(INDEX(MATCHER!$C$5:$C$504,T222))&amp;" "&amp;INDEX(MATCHER!$H$5:$H$504,T222)&amp;" – "&amp;INDEX(MATCHER!$I$5:$I$504,T222))&amp;IF(AF222="",""," | "&amp;HOUR(INDEX(MATCHER!$C$5:$C$504,AF222))&amp;":"&amp;IF(MINUTE(INDEX(MATCHER!$C$5:$C$504,AF222))&lt;10,"0","")&amp;MINUTE(INDEX(MATCHER!$C$5:$C$504,AF222))&amp;" "&amp;INDEX(MATCHER!$H$5:$H$504,AF222)&amp;" – "&amp;INDEX(MATCHER!$I$5:$I$504,AF222))</f>
        <v>9:45 Vacant- 45 – Vacant- 46</v>
      </c>
      <c r="G222" s="45" t="str">
        <f>MID(IF(R222="","",IF(OR(INDEX(MATCHER!$J$5:$J$504,R222)=""),""," / "&amp;INDEX(MATCHER!$J$5:$J$504,R222)))&amp;IF(S222="","",IF(OR(INDEX(MATCHER!$J$5:$J$504,S222)="",INDEX(MATCHER!$J$5:$J$504,S222)=IFERROR(INDEX(MATCHER!$J$5:$J$504,R222),"")),""," / "&amp;INDEX(MATCHER!$J$5:$J$504,S222)))&amp;IF(T222="","",IF(OR(INDEX(MATCHER!$J$5:$J$504,T222)="",INDEX(MATCHER!$J$5:$J$504,T222)=IFERROR(INDEX(MATCHER!$J$5:$J$504,R222),""),INDEX(MATCHER!$J$5:$J$504,T222)=IFERROR(INDEX(MATCHER!$J$5:$J$504,S222),"")),""," / "&amp;INDEX(MATCHER!$J$5:$J$504,T222)))&amp;IF(AF222="","",IF(OR(INDEX(MATCHER!$J$5:$J$504,AF222)="",INDEX(MATCHER!$J$5:$J$504,AF222)=IFERROR(INDEX(MATCHER!$J$5:$J$504,R222),""),INDEX(MATCHER!$J$5:$J$504,AF222)=IFERROR(INDEX(MATCHER!$J$5:$J$504,S222),""),INDEX(MATCHER!$J$5:$J$504,AF222)=IFERROR(INDEX(MATCHER!$J$5:$J$504,T222),"")),""," / "&amp;INDEX(MATCHER!$J$5:$J$504,AF222))),4,1000)</f>
        <v/>
      </c>
      <c r="H222" s="45" t="str">
        <f t="shared" si="54"/>
        <v>F13, F14</v>
      </c>
      <c r="I222" s="46" t="s">
        <v>90</v>
      </c>
      <c r="J222" s="47" t="s">
        <v>117</v>
      </c>
      <c r="K222" s="48"/>
      <c r="L222" s="49"/>
      <c r="M222" s="50" t="str">
        <f>IF(O222&lt;&gt;O221,MAX(1,MIN(AA222,ROUNDUP(SUMPRODUCT(($O$5:$O$546=O222)*($I$5:$I$546="Ja")*($E$5:$E$546-$D$5:$D$546))*24/REGLER!$B$8,0))),"")</f>
        <v/>
      </c>
      <c r="N222" s="50" t="str">
        <f t="shared" si="47"/>
        <v>Kontrollera lag</v>
      </c>
      <c r="O222" s="15" t="s">
        <v>127</v>
      </c>
      <c r="P222" s="16">
        <v>0.33333333333333298</v>
      </c>
      <c r="Q222" s="16">
        <v>0.70833333333333304</v>
      </c>
      <c r="R222" s="15">
        <f>IFERROR(MATCH(1,INDEX((MATCHER!$B$5:$B$504=A222)*(MATCHER!$D$5:$D$504=C222)*(MATCHER!$K$5:$K$504="Ja")*(MATCHER!$C$5:$C$504&lt;E222)*(MATCHER!$M$5:$M$504&gt;D222),0),0),"")</f>
        <v>76</v>
      </c>
      <c r="S222" s="15" t="str">
        <f>IF(R222="","",IFERROR(MATCH(1,INDEX((MATCHER!$B$5:$B$504=A222)*(MATCHER!$D$5:$D$504=C222)*(MATCHER!$K$5:$K$504="Ja")*(MATCHER!$C$5:$C$504&lt;E222)*(MATCHER!$M$5:$M$504&gt;D222)*(ROW(MATCHER!$A$5:$A$504)-ROW(MATCHER!$A$5)+1&gt;R222),0),0),""))</f>
        <v/>
      </c>
      <c r="T222" s="15" t="str">
        <f>IF(S222="","",IFERROR(MATCH(1,INDEX((MATCHER!$B$5:$B$504=A222)*(MATCHER!$D$5:$D$504=C222)*(MATCHER!$K$5:$K$504="Ja")*(MATCHER!$C$5:$C$504&lt;E222)*(MATCHER!$M$5:$M$504&gt;D222)*(ROW(MATCHER!$A$5:$A$504)-ROW(MATCHER!$A$5)+1&gt;S222),0),0),""))</f>
        <v/>
      </c>
      <c r="U222" s="15">
        <f t="shared" si="48"/>
        <v>0</v>
      </c>
      <c r="V222" s="15">
        <f>IF(OR(I222&lt;&gt;"Ja",J222=""),"",COUNTIFS($O$5:O222,O222,$U$5:U222,1))</f>
        <v>1</v>
      </c>
      <c r="W222" s="15" t="str">
        <f t="shared" si="49"/>
        <v>2026-11-21 | Ulriksdalshallen|1</v>
      </c>
      <c r="X222" s="16" t="str">
        <f t="shared" si="50"/>
        <v/>
      </c>
      <c r="Y222" s="15">
        <f>IF(OR(I222&lt;&gt;"Ja",J222=""),0,IF(COUNTIFS($O$5:O222,O222,$I$5:I222,"Ja",$J$5:J222,"&lt;&gt;")=1,1,0))</f>
        <v>0</v>
      </c>
      <c r="Z222" s="15">
        <f>IF(OR(I222&lt;&gt;"Ja",J222=""),0,IF(COUNTIFS(O222:$O$546,O222,I222:$I$546,"Ja",J222:$J$546,"&lt;&gt;")=1,1,0))</f>
        <v>0</v>
      </c>
      <c r="AA222" s="15">
        <f t="shared" si="55"/>
        <v>2</v>
      </c>
      <c r="AB222" s="15" t="str">
        <f>IF(U222&lt;&gt;1,"",COUNTIF($U$5:U222,1))</f>
        <v/>
      </c>
      <c r="AC222" s="15" t="str">
        <f t="shared" si="51"/>
        <v/>
      </c>
      <c r="AD222" s="15" t="str">
        <f t="shared" si="52"/>
        <v>Vanligt café</v>
      </c>
      <c r="AE222" s="15" t="str">
        <f t="shared" si="53"/>
        <v/>
      </c>
      <c r="AF222" t="str">
        <f>IF(T222="","",IFERROR(MATCH(1,INDEX((MATCHER!$B$5:$B$504=A222)*(MATCHER!$D$5:$D$504=C222)*(MATCHER!$K$5:$K$504="Ja")*(MATCHER!$C$5:$C$504&lt;E222)*(MATCHER!$M$5:$M$504&gt;D222)*(ROW(MATCHER!$A$5:$A$504)-ROW(MATCHER!$A$5)+1&gt;T222),0),0),""))</f>
        <v/>
      </c>
    </row>
    <row r="223" spans="1:32" ht="26">
      <c r="A223" s="42">
        <v>46347</v>
      </c>
      <c r="B223" s="43" t="s">
        <v>85</v>
      </c>
      <c r="C223" s="43" t="s">
        <v>86</v>
      </c>
      <c r="D223" s="44">
        <v>0.4375</v>
      </c>
      <c r="E223" s="44">
        <v>0.45833333333333298</v>
      </c>
      <c r="F223" s="45" t="str">
        <f>IF(R223="","",HOUR(INDEX(MATCHER!$C$5:$C$504,R223))&amp;":"&amp;IF(MINUTE(INDEX(MATCHER!$C$5:$C$504,R223))&lt;10,"0","")&amp;MINUTE(INDEX(MATCHER!$C$5:$C$504,R223))&amp;" "&amp;INDEX(MATCHER!$H$5:$H$504,R223)&amp;" – "&amp;INDEX(MATCHER!$I$5:$I$504,R223))&amp;IF(S223="",""," | "&amp;HOUR(INDEX(MATCHER!$C$5:$C$504,S223))&amp;":"&amp;IF(MINUTE(INDEX(MATCHER!$C$5:$C$504,S223))&lt;10,"0","")&amp;MINUTE(INDEX(MATCHER!$C$5:$C$504,S223))&amp;" "&amp;INDEX(MATCHER!$H$5:$H$504,S223)&amp;" – "&amp;INDEX(MATCHER!$I$5:$I$504,S223))&amp;IF(T223="",""," | "&amp;HOUR(INDEX(MATCHER!$C$5:$C$504,T223))&amp;":"&amp;IF(MINUTE(INDEX(MATCHER!$C$5:$C$504,T223))&lt;10,"0","")&amp;MINUTE(INDEX(MATCHER!$C$5:$C$504,T223))&amp;" "&amp;INDEX(MATCHER!$H$5:$H$504,T223)&amp;" – "&amp;INDEX(MATCHER!$I$5:$I$504,T223))&amp;IF(AF223="",""," | "&amp;HOUR(INDEX(MATCHER!$C$5:$C$504,AF223))&amp;":"&amp;IF(MINUTE(INDEX(MATCHER!$C$5:$C$504,AF223))&lt;10,"0","")&amp;MINUTE(INDEX(MATCHER!$C$5:$C$504,AF223))&amp;" "&amp;INDEX(MATCHER!$H$5:$H$504,AF223)&amp;" – "&amp;INDEX(MATCHER!$I$5:$I$504,AF223))</f>
        <v/>
      </c>
      <c r="G223" s="45" t="str">
        <f>MID(IF(R223="","",IF(OR(INDEX(MATCHER!$J$5:$J$504,R223)=""),""," / "&amp;INDEX(MATCHER!$J$5:$J$504,R223)))&amp;IF(S223="","",IF(OR(INDEX(MATCHER!$J$5:$J$504,S223)="",INDEX(MATCHER!$J$5:$J$504,S223)=IFERROR(INDEX(MATCHER!$J$5:$J$504,R223),"")),""," / "&amp;INDEX(MATCHER!$J$5:$J$504,S223)))&amp;IF(T223="","",IF(OR(INDEX(MATCHER!$J$5:$J$504,T223)="",INDEX(MATCHER!$J$5:$J$504,T223)=IFERROR(INDEX(MATCHER!$J$5:$J$504,R223),""),INDEX(MATCHER!$J$5:$J$504,T223)=IFERROR(INDEX(MATCHER!$J$5:$J$504,S223),"")),""," / "&amp;INDEX(MATCHER!$J$5:$J$504,T223)))&amp;IF(AF223="","",IF(OR(INDEX(MATCHER!$J$5:$J$504,AF223)="",INDEX(MATCHER!$J$5:$J$504,AF223)=IFERROR(INDEX(MATCHER!$J$5:$J$504,R223),""),INDEX(MATCHER!$J$5:$J$504,AF223)=IFERROR(INDEX(MATCHER!$J$5:$J$504,S223),""),INDEX(MATCHER!$J$5:$J$504,AF223)=IFERROR(INDEX(MATCHER!$J$5:$J$504,T223),"")),""," / "&amp;INDEX(MATCHER!$J$5:$J$504,AF223))),4,1000)</f>
        <v/>
      </c>
      <c r="H223" s="45" t="str">
        <f t="shared" si="54"/>
        <v>F13, F14</v>
      </c>
      <c r="I223" s="46" t="s">
        <v>90</v>
      </c>
      <c r="J223" s="47" t="s">
        <v>117</v>
      </c>
      <c r="K223" s="48"/>
      <c r="L223" s="49"/>
      <c r="M223" s="50" t="str">
        <f>IF(O223&lt;&gt;O222,MAX(1,MIN(AA223,ROUNDUP(SUMPRODUCT(($O$5:$O$546=O223)*($I$5:$I$546="Ja")*($E$5:$E$546-$D$5:$D$546))*24/REGLER!$B$8,0))),"")</f>
        <v/>
      </c>
      <c r="N223" s="50" t="str">
        <f t="shared" si="47"/>
        <v>Kontrollera lag</v>
      </c>
      <c r="O223" s="15" t="s">
        <v>127</v>
      </c>
      <c r="P223" s="16">
        <v>0.33333333333333298</v>
      </c>
      <c r="Q223" s="16">
        <v>0.70833333333333304</v>
      </c>
      <c r="R223" s="15" t="str">
        <f>IFERROR(MATCH(1,INDEX((MATCHER!$B$5:$B$504=A223)*(MATCHER!$D$5:$D$504=C223)*(MATCHER!$K$5:$K$504="Ja")*(MATCHER!$C$5:$C$504&lt;E223)*(MATCHER!$M$5:$M$504&gt;D223),0),0),"")</f>
        <v/>
      </c>
      <c r="S223" s="15" t="str">
        <f>IF(R223="","",IFERROR(MATCH(1,INDEX((MATCHER!$B$5:$B$504=A223)*(MATCHER!$D$5:$D$504=C223)*(MATCHER!$K$5:$K$504="Ja")*(MATCHER!$C$5:$C$504&lt;E223)*(MATCHER!$M$5:$M$504&gt;D223)*(ROW(MATCHER!$A$5:$A$504)-ROW(MATCHER!$A$5)+1&gt;R223),0),0),""))</f>
        <v/>
      </c>
      <c r="T223" s="15" t="str">
        <f>IF(S223="","",IFERROR(MATCH(1,INDEX((MATCHER!$B$5:$B$504=A223)*(MATCHER!$D$5:$D$504=C223)*(MATCHER!$K$5:$K$504="Ja")*(MATCHER!$C$5:$C$504&lt;E223)*(MATCHER!$M$5:$M$504&gt;D223)*(ROW(MATCHER!$A$5:$A$504)-ROW(MATCHER!$A$5)+1&gt;S223),0),0),""))</f>
        <v/>
      </c>
      <c r="U223" s="15">
        <f t="shared" si="48"/>
        <v>0</v>
      </c>
      <c r="V223" s="15">
        <f>IF(OR(I223&lt;&gt;"Ja",J223=""),"",COUNTIFS($O$5:O223,O223,$U$5:U223,1))</f>
        <v>1</v>
      </c>
      <c r="W223" s="15" t="str">
        <f t="shared" si="49"/>
        <v>2026-11-21 | Ulriksdalshallen|1</v>
      </c>
      <c r="X223" s="16" t="str">
        <f t="shared" si="50"/>
        <v/>
      </c>
      <c r="Y223" s="15">
        <f>IF(OR(I223&lt;&gt;"Ja",J223=""),0,IF(COUNTIFS($O$5:O223,O223,$I$5:I223,"Ja",$J$5:J223,"&lt;&gt;")=1,1,0))</f>
        <v>0</v>
      </c>
      <c r="Z223" s="15">
        <f>IF(OR(I223&lt;&gt;"Ja",J223=""),0,IF(COUNTIFS(O223:$O$546,O223,I223:$I$546,"Ja",J223:$J$546,"&lt;&gt;")=1,1,0))</f>
        <v>0</v>
      </c>
      <c r="AA223" s="15">
        <f t="shared" si="55"/>
        <v>2</v>
      </c>
      <c r="AB223" s="15" t="str">
        <f>IF(U223&lt;&gt;1,"",COUNTIF($U$5:U223,1))</f>
        <v/>
      </c>
      <c r="AC223" s="15" t="str">
        <f t="shared" si="51"/>
        <v/>
      </c>
      <c r="AD223" s="15" t="str">
        <f t="shared" si="52"/>
        <v>Vanligt café</v>
      </c>
      <c r="AE223" s="15" t="str">
        <f t="shared" si="53"/>
        <v/>
      </c>
      <c r="AF223" t="str">
        <f>IF(T223="","",IFERROR(MATCH(1,INDEX((MATCHER!$B$5:$B$504=A223)*(MATCHER!$D$5:$D$504=C223)*(MATCHER!$K$5:$K$504="Ja")*(MATCHER!$C$5:$C$504&lt;E223)*(MATCHER!$M$5:$M$504&gt;D223)*(ROW(MATCHER!$A$5:$A$504)-ROW(MATCHER!$A$5)+1&gt;T223),0),0),""))</f>
        <v/>
      </c>
    </row>
    <row r="224" spans="1:32" ht="26">
      <c r="A224" s="42">
        <v>46347</v>
      </c>
      <c r="B224" s="43" t="s">
        <v>85</v>
      </c>
      <c r="C224" s="43" t="s">
        <v>86</v>
      </c>
      <c r="D224" s="44">
        <v>0.45833333333333298</v>
      </c>
      <c r="E224" s="44">
        <v>0.47916666666666702</v>
      </c>
      <c r="F224" s="45" t="str">
        <f>IF(R224="","",HOUR(INDEX(MATCHER!$C$5:$C$504,R224))&amp;":"&amp;IF(MINUTE(INDEX(MATCHER!$C$5:$C$504,R224))&lt;10,"0","")&amp;MINUTE(INDEX(MATCHER!$C$5:$C$504,R224))&amp;" "&amp;INDEX(MATCHER!$H$5:$H$504,R224)&amp;" – "&amp;INDEX(MATCHER!$I$5:$I$504,R224))&amp;IF(S224="",""," | "&amp;HOUR(INDEX(MATCHER!$C$5:$C$504,S224))&amp;":"&amp;IF(MINUTE(INDEX(MATCHER!$C$5:$C$504,S224))&lt;10,"0","")&amp;MINUTE(INDEX(MATCHER!$C$5:$C$504,S224))&amp;" "&amp;INDEX(MATCHER!$H$5:$H$504,S224)&amp;" – "&amp;INDEX(MATCHER!$I$5:$I$504,S224))&amp;IF(T224="",""," | "&amp;HOUR(INDEX(MATCHER!$C$5:$C$504,T224))&amp;":"&amp;IF(MINUTE(INDEX(MATCHER!$C$5:$C$504,T224))&lt;10,"0","")&amp;MINUTE(INDEX(MATCHER!$C$5:$C$504,T224))&amp;" "&amp;INDEX(MATCHER!$H$5:$H$504,T224)&amp;" – "&amp;INDEX(MATCHER!$I$5:$I$504,T224))&amp;IF(AF224="",""," | "&amp;HOUR(INDEX(MATCHER!$C$5:$C$504,AF224))&amp;":"&amp;IF(MINUTE(INDEX(MATCHER!$C$5:$C$504,AF224))&lt;10,"0","")&amp;MINUTE(INDEX(MATCHER!$C$5:$C$504,AF224))&amp;" "&amp;INDEX(MATCHER!$H$5:$H$504,AF224)&amp;" – "&amp;INDEX(MATCHER!$I$5:$I$504,AF224))</f>
        <v>11:00 IF Swithiod – Vacant- 45</v>
      </c>
      <c r="G224" s="45" t="str">
        <f>MID(IF(R224="","",IF(OR(INDEX(MATCHER!$J$5:$J$504,R224)=""),""," / "&amp;INDEX(MATCHER!$J$5:$J$504,R224)))&amp;IF(S224="","",IF(OR(INDEX(MATCHER!$J$5:$J$504,S224)="",INDEX(MATCHER!$J$5:$J$504,S224)=IFERROR(INDEX(MATCHER!$J$5:$J$504,R224),"")),""," / "&amp;INDEX(MATCHER!$J$5:$J$504,S224)))&amp;IF(T224="","",IF(OR(INDEX(MATCHER!$J$5:$J$504,T224)="",INDEX(MATCHER!$J$5:$J$504,T224)=IFERROR(INDEX(MATCHER!$J$5:$J$504,R224),""),INDEX(MATCHER!$J$5:$J$504,T224)=IFERROR(INDEX(MATCHER!$J$5:$J$504,S224),"")),""," / "&amp;INDEX(MATCHER!$J$5:$J$504,T224)))&amp;IF(AF224="","",IF(OR(INDEX(MATCHER!$J$5:$J$504,AF224)="",INDEX(MATCHER!$J$5:$J$504,AF224)=IFERROR(INDEX(MATCHER!$J$5:$J$504,R224),""),INDEX(MATCHER!$J$5:$J$504,AF224)=IFERROR(INDEX(MATCHER!$J$5:$J$504,S224),""),INDEX(MATCHER!$J$5:$J$504,AF224)=IFERROR(INDEX(MATCHER!$J$5:$J$504,T224),"")),""," / "&amp;INDEX(MATCHER!$J$5:$J$504,AF224))),4,1000)</f>
        <v/>
      </c>
      <c r="H224" s="45" t="str">
        <f t="shared" si="54"/>
        <v>F13, F14</v>
      </c>
      <c r="I224" s="46" t="s">
        <v>90</v>
      </c>
      <c r="J224" s="47" t="s">
        <v>117</v>
      </c>
      <c r="K224" s="48"/>
      <c r="L224" s="49"/>
      <c r="M224" s="50" t="str">
        <f>IF(O224&lt;&gt;O223,MAX(1,MIN(AA224,ROUNDUP(SUMPRODUCT(($O$5:$O$546=O224)*($I$5:$I$546="Ja")*($E$5:$E$546-$D$5:$D$546))*24/REGLER!$B$8,0))),"")</f>
        <v/>
      </c>
      <c r="N224" s="50" t="str">
        <f t="shared" si="47"/>
        <v>Kontrollera lag</v>
      </c>
      <c r="O224" s="15" t="s">
        <v>127</v>
      </c>
      <c r="P224" s="16">
        <v>0.33333333333333298</v>
      </c>
      <c r="Q224" s="16">
        <v>0.70833333333333304</v>
      </c>
      <c r="R224" s="15">
        <f>IFERROR(MATCH(1,INDEX((MATCHER!$B$5:$B$504=A224)*(MATCHER!$D$5:$D$504=C224)*(MATCHER!$K$5:$K$504="Ja")*(MATCHER!$C$5:$C$504&lt;E224)*(MATCHER!$M$5:$M$504&gt;D224),0),0),"")</f>
        <v>77</v>
      </c>
      <c r="S224" s="15" t="str">
        <f>IF(R224="","",IFERROR(MATCH(1,INDEX((MATCHER!$B$5:$B$504=A224)*(MATCHER!$D$5:$D$504=C224)*(MATCHER!$K$5:$K$504="Ja")*(MATCHER!$C$5:$C$504&lt;E224)*(MATCHER!$M$5:$M$504&gt;D224)*(ROW(MATCHER!$A$5:$A$504)-ROW(MATCHER!$A$5)+1&gt;R224),0),0),""))</f>
        <v/>
      </c>
      <c r="T224" s="15" t="str">
        <f>IF(S224="","",IFERROR(MATCH(1,INDEX((MATCHER!$B$5:$B$504=A224)*(MATCHER!$D$5:$D$504=C224)*(MATCHER!$K$5:$K$504="Ja")*(MATCHER!$C$5:$C$504&lt;E224)*(MATCHER!$M$5:$M$504&gt;D224)*(ROW(MATCHER!$A$5:$A$504)-ROW(MATCHER!$A$5)+1&gt;S224),0),0),""))</f>
        <v/>
      </c>
      <c r="U224" s="15">
        <f t="shared" si="48"/>
        <v>0</v>
      </c>
      <c r="V224" s="15">
        <f>IF(OR(I224&lt;&gt;"Ja",J224=""),"",COUNTIFS($O$5:O224,O224,$U$5:U224,1))</f>
        <v>1</v>
      </c>
      <c r="W224" s="15" t="str">
        <f t="shared" si="49"/>
        <v>2026-11-21 | Ulriksdalshallen|1</v>
      </c>
      <c r="X224" s="16" t="str">
        <f t="shared" si="50"/>
        <v/>
      </c>
      <c r="Y224" s="15">
        <f>IF(OR(I224&lt;&gt;"Ja",J224=""),0,IF(COUNTIFS($O$5:O224,O224,$I$5:I224,"Ja",$J$5:J224,"&lt;&gt;")=1,1,0))</f>
        <v>0</v>
      </c>
      <c r="Z224" s="15">
        <f>IF(OR(I224&lt;&gt;"Ja",J224=""),0,IF(COUNTIFS(O224:$O$546,O224,I224:$I$546,"Ja",J224:$J$546,"&lt;&gt;")=1,1,0))</f>
        <v>0</v>
      </c>
      <c r="AA224" s="15">
        <f t="shared" si="55"/>
        <v>2</v>
      </c>
      <c r="AB224" s="15" t="str">
        <f>IF(U224&lt;&gt;1,"",COUNTIF($U$5:U224,1))</f>
        <v/>
      </c>
      <c r="AC224" s="15" t="str">
        <f t="shared" si="51"/>
        <v/>
      </c>
      <c r="AD224" s="15" t="str">
        <f t="shared" si="52"/>
        <v>Vanligt café</v>
      </c>
      <c r="AE224" s="15" t="str">
        <f t="shared" si="53"/>
        <v/>
      </c>
      <c r="AF224" t="str">
        <f>IF(T224="","",IFERROR(MATCH(1,INDEX((MATCHER!$B$5:$B$504=A224)*(MATCHER!$D$5:$D$504=C224)*(MATCHER!$K$5:$K$504="Ja")*(MATCHER!$C$5:$C$504&lt;E224)*(MATCHER!$M$5:$M$504&gt;D224)*(ROW(MATCHER!$A$5:$A$504)-ROW(MATCHER!$A$5)+1&gt;T224),0),0),""))</f>
        <v/>
      </c>
    </row>
    <row r="225" spans="1:32" ht="26">
      <c r="A225" s="42">
        <v>46347</v>
      </c>
      <c r="B225" s="43" t="s">
        <v>85</v>
      </c>
      <c r="C225" s="43" t="s">
        <v>86</v>
      </c>
      <c r="D225" s="44">
        <v>0.47916666666666702</v>
      </c>
      <c r="E225" s="44">
        <v>0.5</v>
      </c>
      <c r="F225" s="45" t="str">
        <f>IF(R225="","",HOUR(INDEX(MATCHER!$C$5:$C$504,R225))&amp;":"&amp;IF(MINUTE(INDEX(MATCHER!$C$5:$C$504,R225))&lt;10,"0","")&amp;MINUTE(INDEX(MATCHER!$C$5:$C$504,R225))&amp;" "&amp;INDEX(MATCHER!$H$5:$H$504,R225)&amp;" – "&amp;INDEX(MATCHER!$I$5:$I$504,R225))&amp;IF(S225="",""," | "&amp;HOUR(INDEX(MATCHER!$C$5:$C$504,S225))&amp;":"&amp;IF(MINUTE(INDEX(MATCHER!$C$5:$C$504,S225))&lt;10,"0","")&amp;MINUTE(INDEX(MATCHER!$C$5:$C$504,S225))&amp;" "&amp;INDEX(MATCHER!$H$5:$H$504,S225)&amp;" – "&amp;INDEX(MATCHER!$I$5:$I$504,S225))&amp;IF(T225="",""," | "&amp;HOUR(INDEX(MATCHER!$C$5:$C$504,T225))&amp;":"&amp;IF(MINUTE(INDEX(MATCHER!$C$5:$C$504,T225))&lt;10,"0","")&amp;MINUTE(INDEX(MATCHER!$C$5:$C$504,T225))&amp;" "&amp;INDEX(MATCHER!$H$5:$H$504,T225)&amp;" – "&amp;INDEX(MATCHER!$I$5:$I$504,T225))&amp;IF(AF225="",""," | "&amp;HOUR(INDEX(MATCHER!$C$5:$C$504,AF225))&amp;":"&amp;IF(MINUTE(INDEX(MATCHER!$C$5:$C$504,AF225))&lt;10,"0","")&amp;MINUTE(INDEX(MATCHER!$C$5:$C$504,AF225))&amp;" "&amp;INDEX(MATCHER!$H$5:$H$504,AF225)&amp;" – "&amp;INDEX(MATCHER!$I$5:$I$504,AF225))</f>
        <v>11:00 IF Swithiod – Vacant- 45 | 11:45 Vacant- 46 – Vacant- 44</v>
      </c>
      <c r="G225" s="45" t="str">
        <f>MID(IF(R225="","",IF(OR(INDEX(MATCHER!$J$5:$J$504,R225)=""),""," / "&amp;INDEX(MATCHER!$J$5:$J$504,R225)))&amp;IF(S225="","",IF(OR(INDEX(MATCHER!$J$5:$J$504,S225)="",INDEX(MATCHER!$J$5:$J$504,S225)=IFERROR(INDEX(MATCHER!$J$5:$J$504,R225),"")),""," / "&amp;INDEX(MATCHER!$J$5:$J$504,S225)))&amp;IF(T225="","",IF(OR(INDEX(MATCHER!$J$5:$J$504,T225)="",INDEX(MATCHER!$J$5:$J$504,T225)=IFERROR(INDEX(MATCHER!$J$5:$J$504,R225),""),INDEX(MATCHER!$J$5:$J$504,T225)=IFERROR(INDEX(MATCHER!$J$5:$J$504,S225),"")),""," / "&amp;INDEX(MATCHER!$J$5:$J$504,T225)))&amp;IF(AF225="","",IF(OR(INDEX(MATCHER!$J$5:$J$504,AF225)="",INDEX(MATCHER!$J$5:$J$504,AF225)=IFERROR(INDEX(MATCHER!$J$5:$J$504,R225),""),INDEX(MATCHER!$J$5:$J$504,AF225)=IFERROR(INDEX(MATCHER!$J$5:$J$504,S225),""),INDEX(MATCHER!$J$5:$J$504,AF225)=IFERROR(INDEX(MATCHER!$J$5:$J$504,T225),"")),""," / "&amp;INDEX(MATCHER!$J$5:$J$504,AF225))),4,1000)</f>
        <v/>
      </c>
      <c r="H225" s="45" t="str">
        <f t="shared" si="54"/>
        <v>F13, F14</v>
      </c>
      <c r="I225" s="46" t="s">
        <v>90</v>
      </c>
      <c r="J225" s="47" t="s">
        <v>117</v>
      </c>
      <c r="K225" s="48"/>
      <c r="L225" s="49"/>
      <c r="M225" s="50" t="str">
        <f>IF(O225&lt;&gt;O224,MAX(1,MIN(AA225,ROUNDUP(SUMPRODUCT(($O$5:$O$546=O225)*($I$5:$I$546="Ja")*($E$5:$E$546-$D$5:$D$546))*24/REGLER!$B$8,0))),"")</f>
        <v/>
      </c>
      <c r="N225" s="50" t="str">
        <f t="shared" si="47"/>
        <v>Kontrollera lag</v>
      </c>
      <c r="O225" s="15" t="s">
        <v>127</v>
      </c>
      <c r="P225" s="16">
        <v>0.33333333333333298</v>
      </c>
      <c r="Q225" s="16">
        <v>0.70833333333333304</v>
      </c>
      <c r="R225" s="15">
        <f>IFERROR(MATCH(1,INDEX((MATCHER!$B$5:$B$504=A225)*(MATCHER!$D$5:$D$504=C225)*(MATCHER!$K$5:$K$504="Ja")*(MATCHER!$C$5:$C$504&lt;E225)*(MATCHER!$M$5:$M$504&gt;D225),0),0),"")</f>
        <v>77</v>
      </c>
      <c r="S225" s="15">
        <f>IF(R225="","",IFERROR(MATCH(1,INDEX((MATCHER!$B$5:$B$504=A225)*(MATCHER!$D$5:$D$504=C225)*(MATCHER!$K$5:$K$504="Ja")*(MATCHER!$C$5:$C$504&lt;E225)*(MATCHER!$M$5:$M$504&gt;D225)*(ROW(MATCHER!$A$5:$A$504)-ROW(MATCHER!$A$5)+1&gt;R225),0),0),""))</f>
        <v>78</v>
      </c>
      <c r="T225" s="15" t="str">
        <f>IF(S225="","",IFERROR(MATCH(1,INDEX((MATCHER!$B$5:$B$504=A225)*(MATCHER!$D$5:$D$504=C225)*(MATCHER!$K$5:$K$504="Ja")*(MATCHER!$C$5:$C$504&lt;E225)*(MATCHER!$M$5:$M$504&gt;D225)*(ROW(MATCHER!$A$5:$A$504)-ROW(MATCHER!$A$5)+1&gt;S225),0),0),""))</f>
        <v/>
      </c>
      <c r="U225" s="15">
        <f t="shared" si="48"/>
        <v>0</v>
      </c>
      <c r="V225" s="15">
        <f>IF(OR(I225&lt;&gt;"Ja",J225=""),"",COUNTIFS($O$5:O225,O225,$U$5:U225,1))</f>
        <v>1</v>
      </c>
      <c r="W225" s="15" t="str">
        <f t="shared" si="49"/>
        <v>2026-11-21 | Ulriksdalshallen|1</v>
      </c>
      <c r="X225" s="16" t="str">
        <f t="shared" si="50"/>
        <v/>
      </c>
      <c r="Y225" s="15">
        <f>IF(OR(I225&lt;&gt;"Ja",J225=""),0,IF(COUNTIFS($O$5:O225,O225,$I$5:I225,"Ja",$J$5:J225,"&lt;&gt;")=1,1,0))</f>
        <v>0</v>
      </c>
      <c r="Z225" s="15">
        <f>IF(OR(I225&lt;&gt;"Ja",J225=""),0,IF(COUNTIFS(O225:$O$546,O225,I225:$I$546,"Ja",J225:$J$546,"&lt;&gt;")=1,1,0))</f>
        <v>0</v>
      </c>
      <c r="AA225" s="15">
        <f t="shared" si="55"/>
        <v>2</v>
      </c>
      <c r="AB225" s="15" t="str">
        <f>IF(U225&lt;&gt;1,"",COUNTIF($U$5:U225,1))</f>
        <v/>
      </c>
      <c r="AC225" s="15" t="str">
        <f t="shared" si="51"/>
        <v/>
      </c>
      <c r="AD225" s="15" t="str">
        <f t="shared" si="52"/>
        <v>Vanligt café</v>
      </c>
      <c r="AE225" s="15" t="str">
        <f t="shared" si="53"/>
        <v/>
      </c>
      <c r="AF225" t="str">
        <f>IF(T225="","",IFERROR(MATCH(1,INDEX((MATCHER!$B$5:$B$504=A225)*(MATCHER!$D$5:$D$504=C225)*(MATCHER!$K$5:$K$504="Ja")*(MATCHER!$C$5:$C$504&lt;E225)*(MATCHER!$M$5:$M$504&gt;D225)*(ROW(MATCHER!$A$5:$A$504)-ROW(MATCHER!$A$5)+1&gt;T225),0),0),""))</f>
        <v/>
      </c>
    </row>
    <row r="226" spans="1:32" ht="26">
      <c r="A226" s="42">
        <v>46347</v>
      </c>
      <c r="B226" s="43" t="s">
        <v>85</v>
      </c>
      <c r="C226" s="43" t="s">
        <v>86</v>
      </c>
      <c r="D226" s="44">
        <v>0.5</v>
      </c>
      <c r="E226" s="44">
        <v>0.52083333333333304</v>
      </c>
      <c r="F226" s="45" t="str">
        <f>IF(R226="","",HOUR(INDEX(MATCHER!$C$5:$C$504,R226))&amp;":"&amp;IF(MINUTE(INDEX(MATCHER!$C$5:$C$504,R226))&lt;10,"0","")&amp;MINUTE(INDEX(MATCHER!$C$5:$C$504,R226))&amp;" "&amp;INDEX(MATCHER!$H$5:$H$504,R226)&amp;" – "&amp;INDEX(MATCHER!$I$5:$I$504,R226))&amp;IF(S226="",""," | "&amp;HOUR(INDEX(MATCHER!$C$5:$C$504,S226))&amp;":"&amp;IF(MINUTE(INDEX(MATCHER!$C$5:$C$504,S226))&lt;10,"0","")&amp;MINUTE(INDEX(MATCHER!$C$5:$C$504,S226))&amp;" "&amp;INDEX(MATCHER!$H$5:$H$504,S226)&amp;" – "&amp;INDEX(MATCHER!$I$5:$I$504,S226))&amp;IF(T226="",""," | "&amp;HOUR(INDEX(MATCHER!$C$5:$C$504,T226))&amp;":"&amp;IF(MINUTE(INDEX(MATCHER!$C$5:$C$504,T226))&lt;10,"0","")&amp;MINUTE(INDEX(MATCHER!$C$5:$C$504,T226))&amp;" "&amp;INDEX(MATCHER!$H$5:$H$504,T226)&amp;" – "&amp;INDEX(MATCHER!$I$5:$I$504,T226))&amp;IF(AF226="",""," | "&amp;HOUR(INDEX(MATCHER!$C$5:$C$504,AF226))&amp;":"&amp;IF(MINUTE(INDEX(MATCHER!$C$5:$C$504,AF226))&lt;10,"0","")&amp;MINUTE(INDEX(MATCHER!$C$5:$C$504,AF226))&amp;" "&amp;INDEX(MATCHER!$H$5:$H$504,AF226)&amp;" – "&amp;INDEX(MATCHER!$I$5:$I$504,AF226))</f>
        <v>11:45 Vacant- 46 – Vacant- 44</v>
      </c>
      <c r="G226" s="45" t="str">
        <f>MID(IF(R226="","",IF(OR(INDEX(MATCHER!$J$5:$J$504,R226)=""),""," / "&amp;INDEX(MATCHER!$J$5:$J$504,R226)))&amp;IF(S226="","",IF(OR(INDEX(MATCHER!$J$5:$J$504,S226)="",INDEX(MATCHER!$J$5:$J$504,S226)=IFERROR(INDEX(MATCHER!$J$5:$J$504,R226),"")),""," / "&amp;INDEX(MATCHER!$J$5:$J$504,S226)))&amp;IF(T226="","",IF(OR(INDEX(MATCHER!$J$5:$J$504,T226)="",INDEX(MATCHER!$J$5:$J$504,T226)=IFERROR(INDEX(MATCHER!$J$5:$J$504,R226),""),INDEX(MATCHER!$J$5:$J$504,T226)=IFERROR(INDEX(MATCHER!$J$5:$J$504,S226),"")),""," / "&amp;INDEX(MATCHER!$J$5:$J$504,T226)))&amp;IF(AF226="","",IF(OR(INDEX(MATCHER!$J$5:$J$504,AF226)="",INDEX(MATCHER!$J$5:$J$504,AF226)=IFERROR(INDEX(MATCHER!$J$5:$J$504,R226),""),INDEX(MATCHER!$J$5:$J$504,AF226)=IFERROR(INDEX(MATCHER!$J$5:$J$504,S226),""),INDEX(MATCHER!$J$5:$J$504,AF226)=IFERROR(INDEX(MATCHER!$J$5:$J$504,T226),"")),""," / "&amp;INDEX(MATCHER!$J$5:$J$504,AF226))),4,1000)</f>
        <v/>
      </c>
      <c r="H226" s="45" t="str">
        <f t="shared" si="54"/>
        <v>F13, F14</v>
      </c>
      <c r="I226" s="46" t="s">
        <v>90</v>
      </c>
      <c r="J226" s="47" t="s">
        <v>117</v>
      </c>
      <c r="K226" s="48"/>
      <c r="L226" s="49"/>
      <c r="M226" s="50" t="str">
        <f>IF(O226&lt;&gt;O225,MAX(1,MIN(AA226,ROUNDUP(SUMPRODUCT(($O$5:$O$546=O226)*($I$5:$I$546="Ja")*($E$5:$E$546-$D$5:$D$546))*24/REGLER!$B$8,0))),"")</f>
        <v/>
      </c>
      <c r="N226" s="50" t="str">
        <f t="shared" si="47"/>
        <v>Kontrollera lag</v>
      </c>
      <c r="O226" s="15" t="s">
        <v>127</v>
      </c>
      <c r="P226" s="16">
        <v>0.33333333333333298</v>
      </c>
      <c r="Q226" s="16">
        <v>0.70833333333333304</v>
      </c>
      <c r="R226" s="15">
        <f>IFERROR(MATCH(1,INDEX((MATCHER!$B$5:$B$504=A226)*(MATCHER!$D$5:$D$504=C226)*(MATCHER!$K$5:$K$504="Ja")*(MATCHER!$C$5:$C$504&lt;E226)*(MATCHER!$M$5:$M$504&gt;D226),0),0),"")</f>
        <v>78</v>
      </c>
      <c r="S226" s="15" t="str">
        <f>IF(R226="","",IFERROR(MATCH(1,INDEX((MATCHER!$B$5:$B$504=A226)*(MATCHER!$D$5:$D$504=C226)*(MATCHER!$K$5:$K$504="Ja")*(MATCHER!$C$5:$C$504&lt;E226)*(MATCHER!$M$5:$M$504&gt;D226)*(ROW(MATCHER!$A$5:$A$504)-ROW(MATCHER!$A$5)+1&gt;R226),0),0),""))</f>
        <v/>
      </c>
      <c r="T226" s="15" t="str">
        <f>IF(S226="","",IFERROR(MATCH(1,INDEX((MATCHER!$B$5:$B$504=A226)*(MATCHER!$D$5:$D$504=C226)*(MATCHER!$K$5:$K$504="Ja")*(MATCHER!$C$5:$C$504&lt;E226)*(MATCHER!$M$5:$M$504&gt;D226)*(ROW(MATCHER!$A$5:$A$504)-ROW(MATCHER!$A$5)+1&gt;S226),0),0),""))</f>
        <v/>
      </c>
      <c r="U226" s="15">
        <f t="shared" si="48"/>
        <v>0</v>
      </c>
      <c r="V226" s="15">
        <f>IF(OR(I226&lt;&gt;"Ja",J226=""),"",COUNTIFS($O$5:O226,O226,$U$5:U226,1))</f>
        <v>1</v>
      </c>
      <c r="W226" s="15" t="str">
        <f t="shared" si="49"/>
        <v>2026-11-21 | Ulriksdalshallen|1</v>
      </c>
      <c r="X226" s="16" t="str">
        <f t="shared" si="50"/>
        <v/>
      </c>
      <c r="Y226" s="15">
        <f>IF(OR(I226&lt;&gt;"Ja",J226=""),0,IF(COUNTIFS($O$5:O226,O226,$I$5:I226,"Ja",$J$5:J226,"&lt;&gt;")=1,1,0))</f>
        <v>0</v>
      </c>
      <c r="Z226" s="15">
        <f>IF(OR(I226&lt;&gt;"Ja",J226=""),0,IF(COUNTIFS(O226:$O$546,O226,I226:$I$546,"Ja",J226:$J$546,"&lt;&gt;")=1,1,0))</f>
        <v>0</v>
      </c>
      <c r="AA226" s="15">
        <f t="shared" si="55"/>
        <v>2</v>
      </c>
      <c r="AB226" s="15" t="str">
        <f>IF(U226&lt;&gt;1,"",COUNTIF($U$5:U226,1))</f>
        <v/>
      </c>
      <c r="AC226" s="15" t="str">
        <f t="shared" si="51"/>
        <v/>
      </c>
      <c r="AD226" s="15" t="str">
        <f t="shared" si="52"/>
        <v>Vanligt café</v>
      </c>
      <c r="AE226" s="15" t="str">
        <f t="shared" si="53"/>
        <v/>
      </c>
      <c r="AF226" t="str">
        <f>IF(T226="","",IFERROR(MATCH(1,INDEX((MATCHER!$B$5:$B$504=A226)*(MATCHER!$D$5:$D$504=C226)*(MATCHER!$K$5:$K$504="Ja")*(MATCHER!$C$5:$C$504&lt;E226)*(MATCHER!$M$5:$M$504&gt;D226)*(ROW(MATCHER!$A$5:$A$504)-ROW(MATCHER!$A$5)+1&gt;T226),0),0),""))</f>
        <v/>
      </c>
    </row>
    <row r="227" spans="1:32" ht="26">
      <c r="A227" s="42">
        <v>46347</v>
      </c>
      <c r="B227" s="43" t="s">
        <v>85</v>
      </c>
      <c r="C227" s="43" t="s">
        <v>86</v>
      </c>
      <c r="D227" s="44">
        <v>0.52083333333333304</v>
      </c>
      <c r="E227" s="44">
        <v>0.54166666666666696</v>
      </c>
      <c r="F227" s="45" t="str">
        <f>IF(R227="","",HOUR(INDEX(MATCHER!$C$5:$C$504,R227))&amp;":"&amp;IF(MINUTE(INDEX(MATCHER!$C$5:$C$504,R227))&lt;10,"0","")&amp;MINUTE(INDEX(MATCHER!$C$5:$C$504,R227))&amp;" "&amp;INDEX(MATCHER!$H$5:$H$504,R227)&amp;" – "&amp;INDEX(MATCHER!$I$5:$I$504,R227))&amp;IF(S227="",""," | "&amp;HOUR(INDEX(MATCHER!$C$5:$C$504,S227))&amp;":"&amp;IF(MINUTE(INDEX(MATCHER!$C$5:$C$504,S227))&lt;10,"0","")&amp;MINUTE(INDEX(MATCHER!$C$5:$C$504,S227))&amp;" "&amp;INDEX(MATCHER!$H$5:$H$504,S227)&amp;" – "&amp;INDEX(MATCHER!$I$5:$I$504,S227))&amp;IF(T227="",""," | "&amp;HOUR(INDEX(MATCHER!$C$5:$C$504,T227))&amp;":"&amp;IF(MINUTE(INDEX(MATCHER!$C$5:$C$504,T227))&lt;10,"0","")&amp;MINUTE(INDEX(MATCHER!$C$5:$C$504,T227))&amp;" "&amp;INDEX(MATCHER!$H$5:$H$504,T227)&amp;" – "&amp;INDEX(MATCHER!$I$5:$I$504,T227))&amp;IF(AF227="",""," | "&amp;HOUR(INDEX(MATCHER!$C$5:$C$504,AF227))&amp;":"&amp;IF(MINUTE(INDEX(MATCHER!$C$5:$C$504,AF227))&lt;10,"0","")&amp;MINUTE(INDEX(MATCHER!$C$5:$C$504,AF227))&amp;" "&amp;INDEX(MATCHER!$H$5:$H$504,AF227)&amp;" – "&amp;INDEX(MATCHER!$I$5:$I$504,AF227))</f>
        <v/>
      </c>
      <c r="G227" s="45" t="str">
        <f>MID(IF(R227="","",IF(OR(INDEX(MATCHER!$J$5:$J$504,R227)=""),""," / "&amp;INDEX(MATCHER!$J$5:$J$504,R227)))&amp;IF(S227="","",IF(OR(INDEX(MATCHER!$J$5:$J$504,S227)="",INDEX(MATCHER!$J$5:$J$504,S227)=IFERROR(INDEX(MATCHER!$J$5:$J$504,R227),"")),""," / "&amp;INDEX(MATCHER!$J$5:$J$504,S227)))&amp;IF(T227="","",IF(OR(INDEX(MATCHER!$J$5:$J$504,T227)="",INDEX(MATCHER!$J$5:$J$504,T227)=IFERROR(INDEX(MATCHER!$J$5:$J$504,R227),""),INDEX(MATCHER!$J$5:$J$504,T227)=IFERROR(INDEX(MATCHER!$J$5:$J$504,S227),"")),""," / "&amp;INDEX(MATCHER!$J$5:$J$504,T227)))&amp;IF(AF227="","",IF(OR(INDEX(MATCHER!$J$5:$J$504,AF227)="",INDEX(MATCHER!$J$5:$J$504,AF227)=IFERROR(INDEX(MATCHER!$J$5:$J$504,R227),""),INDEX(MATCHER!$J$5:$J$504,AF227)=IFERROR(INDEX(MATCHER!$J$5:$J$504,S227),""),INDEX(MATCHER!$J$5:$J$504,AF227)=IFERROR(INDEX(MATCHER!$J$5:$J$504,T227),"")),""," / "&amp;INDEX(MATCHER!$J$5:$J$504,AF227))),4,1000)</f>
        <v/>
      </c>
      <c r="H227" s="45" t="str">
        <f t="shared" si="54"/>
        <v>F13, F14</v>
      </c>
      <c r="I227" s="46" t="s">
        <v>90</v>
      </c>
      <c r="J227" s="47" t="s">
        <v>117</v>
      </c>
      <c r="K227" s="48"/>
      <c r="L227" s="49"/>
      <c r="M227" s="50" t="str">
        <f>IF(O227&lt;&gt;O226,MAX(1,MIN(AA227,ROUNDUP(SUMPRODUCT(($O$5:$O$546=O227)*($I$5:$I$546="Ja")*($E$5:$E$546-$D$5:$D$546))*24/REGLER!$B$8,0))),"")</f>
        <v/>
      </c>
      <c r="N227" s="50" t="str">
        <f t="shared" si="47"/>
        <v>Kontrollera lag</v>
      </c>
      <c r="O227" s="15" t="s">
        <v>127</v>
      </c>
      <c r="P227" s="16">
        <v>0.33333333333333298</v>
      </c>
      <c r="Q227" s="16">
        <v>0.70833333333333304</v>
      </c>
      <c r="R227" s="15" t="str">
        <f>IFERROR(MATCH(1,INDEX((MATCHER!$B$5:$B$504=A227)*(MATCHER!$D$5:$D$504=C227)*(MATCHER!$K$5:$K$504="Ja")*(MATCHER!$C$5:$C$504&lt;E227)*(MATCHER!$M$5:$M$504&gt;D227),0),0),"")</f>
        <v/>
      </c>
      <c r="S227" s="15" t="str">
        <f>IF(R227="","",IFERROR(MATCH(1,INDEX((MATCHER!$B$5:$B$504=A227)*(MATCHER!$D$5:$D$504=C227)*(MATCHER!$K$5:$K$504="Ja")*(MATCHER!$C$5:$C$504&lt;E227)*(MATCHER!$M$5:$M$504&gt;D227)*(ROW(MATCHER!$A$5:$A$504)-ROW(MATCHER!$A$5)+1&gt;R227),0),0),""))</f>
        <v/>
      </c>
      <c r="T227" s="15" t="str">
        <f>IF(S227="","",IFERROR(MATCH(1,INDEX((MATCHER!$B$5:$B$504=A227)*(MATCHER!$D$5:$D$504=C227)*(MATCHER!$K$5:$K$504="Ja")*(MATCHER!$C$5:$C$504&lt;E227)*(MATCHER!$M$5:$M$504&gt;D227)*(ROW(MATCHER!$A$5:$A$504)-ROW(MATCHER!$A$5)+1&gt;S227),0),0),""))</f>
        <v/>
      </c>
      <c r="U227" s="15">
        <f t="shared" si="48"/>
        <v>0</v>
      </c>
      <c r="V227" s="15">
        <f>IF(OR(I227&lt;&gt;"Ja",J227=""),"",COUNTIFS($O$5:O227,O227,$U$5:U227,1))</f>
        <v>1</v>
      </c>
      <c r="W227" s="15" t="str">
        <f t="shared" si="49"/>
        <v>2026-11-21 | Ulriksdalshallen|1</v>
      </c>
      <c r="X227" s="16" t="str">
        <f t="shared" si="50"/>
        <v/>
      </c>
      <c r="Y227" s="15">
        <f>IF(OR(I227&lt;&gt;"Ja",J227=""),0,IF(COUNTIFS($O$5:O227,O227,$I$5:I227,"Ja",$J$5:J227,"&lt;&gt;")=1,1,0))</f>
        <v>0</v>
      </c>
      <c r="Z227" s="15">
        <f>IF(OR(I227&lt;&gt;"Ja",J227=""),0,IF(COUNTIFS(O227:$O$546,O227,I227:$I$546,"Ja",J227:$J$546,"&lt;&gt;")=1,1,0))</f>
        <v>0</v>
      </c>
      <c r="AA227" s="15">
        <f t="shared" si="55"/>
        <v>2</v>
      </c>
      <c r="AB227" s="15" t="str">
        <f>IF(U227&lt;&gt;1,"",COUNTIF($U$5:U227,1))</f>
        <v/>
      </c>
      <c r="AC227" s="15" t="str">
        <f t="shared" si="51"/>
        <v/>
      </c>
      <c r="AD227" s="15" t="str">
        <f t="shared" si="52"/>
        <v>Vanligt café</v>
      </c>
      <c r="AE227" s="15" t="str">
        <f t="shared" si="53"/>
        <v/>
      </c>
      <c r="AF227" t="str">
        <f>IF(T227="","",IFERROR(MATCH(1,INDEX((MATCHER!$B$5:$B$504=A227)*(MATCHER!$D$5:$D$504=C227)*(MATCHER!$K$5:$K$504="Ja")*(MATCHER!$C$5:$C$504&lt;E227)*(MATCHER!$M$5:$M$504&gt;D227)*(ROW(MATCHER!$A$5:$A$504)-ROW(MATCHER!$A$5)+1&gt;T227),0),0),""))</f>
        <v/>
      </c>
    </row>
    <row r="228" spans="1:32" ht="26">
      <c r="A228" s="42">
        <v>46347</v>
      </c>
      <c r="B228" s="43" t="s">
        <v>85</v>
      </c>
      <c r="C228" s="43" t="s">
        <v>86</v>
      </c>
      <c r="D228" s="44">
        <v>0.54166666666666696</v>
      </c>
      <c r="E228" s="44">
        <v>0.5625</v>
      </c>
      <c r="F228" s="45" t="str">
        <f>IF(R228="","",HOUR(INDEX(MATCHER!$C$5:$C$504,R228))&amp;":"&amp;IF(MINUTE(INDEX(MATCHER!$C$5:$C$504,R228))&lt;10,"0","")&amp;MINUTE(INDEX(MATCHER!$C$5:$C$504,R228))&amp;" "&amp;INDEX(MATCHER!$H$5:$H$504,R228)&amp;" – "&amp;INDEX(MATCHER!$I$5:$I$504,R228))&amp;IF(S228="",""," | "&amp;HOUR(INDEX(MATCHER!$C$5:$C$504,S228))&amp;":"&amp;IF(MINUTE(INDEX(MATCHER!$C$5:$C$504,S228))&lt;10,"0","")&amp;MINUTE(INDEX(MATCHER!$C$5:$C$504,S228))&amp;" "&amp;INDEX(MATCHER!$H$5:$H$504,S228)&amp;" – "&amp;INDEX(MATCHER!$I$5:$I$504,S228))&amp;IF(T228="",""," | "&amp;HOUR(INDEX(MATCHER!$C$5:$C$504,T228))&amp;":"&amp;IF(MINUTE(INDEX(MATCHER!$C$5:$C$504,T228))&lt;10,"0","")&amp;MINUTE(INDEX(MATCHER!$C$5:$C$504,T228))&amp;" "&amp;INDEX(MATCHER!$H$5:$H$504,T228)&amp;" – "&amp;INDEX(MATCHER!$I$5:$I$504,T228))&amp;IF(AF228="",""," | "&amp;HOUR(INDEX(MATCHER!$C$5:$C$504,AF228))&amp;":"&amp;IF(MINUTE(INDEX(MATCHER!$C$5:$C$504,AF228))&lt;10,"0","")&amp;MINUTE(INDEX(MATCHER!$C$5:$C$504,AF228))&amp;" "&amp;INDEX(MATCHER!$H$5:$H$504,AF228)&amp;" – "&amp;INDEX(MATCHER!$I$5:$I$504,AF228))</f>
        <v>13:00 Vacant- 44 – Vacant- 45</v>
      </c>
      <c r="G228" s="45" t="str">
        <f>MID(IF(R228="","",IF(OR(INDEX(MATCHER!$J$5:$J$504,R228)=""),""," / "&amp;INDEX(MATCHER!$J$5:$J$504,R228)))&amp;IF(S228="","",IF(OR(INDEX(MATCHER!$J$5:$J$504,S228)="",INDEX(MATCHER!$J$5:$J$504,S228)=IFERROR(INDEX(MATCHER!$J$5:$J$504,R228),"")),""," / "&amp;INDEX(MATCHER!$J$5:$J$504,S228)))&amp;IF(T228="","",IF(OR(INDEX(MATCHER!$J$5:$J$504,T228)="",INDEX(MATCHER!$J$5:$J$504,T228)=IFERROR(INDEX(MATCHER!$J$5:$J$504,R228),""),INDEX(MATCHER!$J$5:$J$504,T228)=IFERROR(INDEX(MATCHER!$J$5:$J$504,S228),"")),""," / "&amp;INDEX(MATCHER!$J$5:$J$504,T228)))&amp;IF(AF228="","",IF(OR(INDEX(MATCHER!$J$5:$J$504,AF228)="",INDEX(MATCHER!$J$5:$J$504,AF228)=IFERROR(INDEX(MATCHER!$J$5:$J$504,R228),""),INDEX(MATCHER!$J$5:$J$504,AF228)=IFERROR(INDEX(MATCHER!$J$5:$J$504,S228),""),INDEX(MATCHER!$J$5:$J$504,AF228)=IFERROR(INDEX(MATCHER!$J$5:$J$504,T228),"")),""," / "&amp;INDEX(MATCHER!$J$5:$J$504,AF228))),4,1000)</f>
        <v/>
      </c>
      <c r="H228" s="45" t="str">
        <f t="shared" si="54"/>
        <v>F13, F14</v>
      </c>
      <c r="I228" s="46" t="s">
        <v>90</v>
      </c>
      <c r="J228" s="47" t="s">
        <v>117</v>
      </c>
      <c r="K228" s="48"/>
      <c r="L228" s="49"/>
      <c r="M228" s="50" t="str">
        <f>IF(O228&lt;&gt;O227,MAX(1,MIN(AA228,ROUNDUP(SUMPRODUCT(($O$5:$O$546=O228)*($I$5:$I$546="Ja")*($E$5:$E$546-$D$5:$D$546))*24/REGLER!$B$8,0))),"")</f>
        <v/>
      </c>
      <c r="N228" s="50" t="str">
        <f t="shared" si="47"/>
        <v>Kontrollera lag</v>
      </c>
      <c r="O228" s="15" t="s">
        <v>127</v>
      </c>
      <c r="P228" s="16">
        <v>0.33333333333333298</v>
      </c>
      <c r="Q228" s="16">
        <v>0.70833333333333304</v>
      </c>
      <c r="R228" s="15">
        <f>IFERROR(MATCH(1,INDEX((MATCHER!$B$5:$B$504=A228)*(MATCHER!$D$5:$D$504=C228)*(MATCHER!$K$5:$K$504="Ja")*(MATCHER!$C$5:$C$504&lt;E228)*(MATCHER!$M$5:$M$504&gt;D228),0),0),"")</f>
        <v>79</v>
      </c>
      <c r="S228" s="15" t="str">
        <f>IF(R228="","",IFERROR(MATCH(1,INDEX((MATCHER!$B$5:$B$504=A228)*(MATCHER!$D$5:$D$504=C228)*(MATCHER!$K$5:$K$504="Ja")*(MATCHER!$C$5:$C$504&lt;E228)*(MATCHER!$M$5:$M$504&gt;D228)*(ROW(MATCHER!$A$5:$A$504)-ROW(MATCHER!$A$5)+1&gt;R228),0),0),""))</f>
        <v/>
      </c>
      <c r="T228" s="15" t="str">
        <f>IF(S228="","",IFERROR(MATCH(1,INDEX((MATCHER!$B$5:$B$504=A228)*(MATCHER!$D$5:$D$504=C228)*(MATCHER!$K$5:$K$504="Ja")*(MATCHER!$C$5:$C$504&lt;E228)*(MATCHER!$M$5:$M$504&gt;D228)*(ROW(MATCHER!$A$5:$A$504)-ROW(MATCHER!$A$5)+1&gt;S228),0),0),""))</f>
        <v/>
      </c>
      <c r="U228" s="15">
        <f t="shared" si="48"/>
        <v>0</v>
      </c>
      <c r="V228" s="15">
        <f>IF(OR(I228&lt;&gt;"Ja",J228=""),"",COUNTIFS($O$5:O228,O228,$U$5:U228,1))</f>
        <v>1</v>
      </c>
      <c r="W228" s="15" t="str">
        <f t="shared" si="49"/>
        <v>2026-11-21 | Ulriksdalshallen|1</v>
      </c>
      <c r="X228" s="16" t="str">
        <f t="shared" si="50"/>
        <v/>
      </c>
      <c r="Y228" s="15">
        <f>IF(OR(I228&lt;&gt;"Ja",J228=""),0,IF(COUNTIFS($O$5:O228,O228,$I$5:I228,"Ja",$J$5:J228,"&lt;&gt;")=1,1,0))</f>
        <v>0</v>
      </c>
      <c r="Z228" s="15">
        <f>IF(OR(I228&lt;&gt;"Ja",J228=""),0,IF(COUNTIFS(O228:$O$546,O228,I228:$I$546,"Ja",J228:$J$546,"&lt;&gt;")=1,1,0))</f>
        <v>0</v>
      </c>
      <c r="AA228" s="15">
        <f t="shared" si="55"/>
        <v>2</v>
      </c>
      <c r="AB228" s="15" t="str">
        <f>IF(U228&lt;&gt;1,"",COUNTIF($U$5:U228,1))</f>
        <v/>
      </c>
      <c r="AC228" s="15" t="str">
        <f t="shared" si="51"/>
        <v/>
      </c>
      <c r="AD228" s="15" t="str">
        <f t="shared" si="52"/>
        <v>Vanligt café</v>
      </c>
      <c r="AE228" s="15" t="str">
        <f t="shared" si="53"/>
        <v/>
      </c>
      <c r="AF228" t="str">
        <f>IF(T228="","",IFERROR(MATCH(1,INDEX((MATCHER!$B$5:$B$504=A228)*(MATCHER!$D$5:$D$504=C228)*(MATCHER!$K$5:$K$504="Ja")*(MATCHER!$C$5:$C$504&lt;E228)*(MATCHER!$M$5:$M$504&gt;D228)*(ROW(MATCHER!$A$5:$A$504)-ROW(MATCHER!$A$5)+1&gt;T228),0),0),""))</f>
        <v/>
      </c>
    </row>
    <row r="229" spans="1:32" ht="26">
      <c r="A229" s="42">
        <v>46347</v>
      </c>
      <c r="B229" s="43" t="s">
        <v>85</v>
      </c>
      <c r="C229" s="43" t="s">
        <v>86</v>
      </c>
      <c r="D229" s="44">
        <v>0.5625</v>
      </c>
      <c r="E229" s="44">
        <v>0.58333333333333304</v>
      </c>
      <c r="F229" s="45" t="str">
        <f>IF(R229="","",HOUR(INDEX(MATCHER!$C$5:$C$504,R229))&amp;":"&amp;IF(MINUTE(INDEX(MATCHER!$C$5:$C$504,R229))&lt;10,"0","")&amp;MINUTE(INDEX(MATCHER!$C$5:$C$504,R229))&amp;" "&amp;INDEX(MATCHER!$H$5:$H$504,R229)&amp;" – "&amp;INDEX(MATCHER!$I$5:$I$504,R229))&amp;IF(S229="",""," | "&amp;HOUR(INDEX(MATCHER!$C$5:$C$504,S229))&amp;":"&amp;IF(MINUTE(INDEX(MATCHER!$C$5:$C$504,S229))&lt;10,"0","")&amp;MINUTE(INDEX(MATCHER!$C$5:$C$504,S229))&amp;" "&amp;INDEX(MATCHER!$H$5:$H$504,S229)&amp;" – "&amp;INDEX(MATCHER!$I$5:$I$504,S229))&amp;IF(T229="",""," | "&amp;HOUR(INDEX(MATCHER!$C$5:$C$504,T229))&amp;":"&amp;IF(MINUTE(INDEX(MATCHER!$C$5:$C$504,T229))&lt;10,"0","")&amp;MINUTE(INDEX(MATCHER!$C$5:$C$504,T229))&amp;" "&amp;INDEX(MATCHER!$H$5:$H$504,T229)&amp;" – "&amp;INDEX(MATCHER!$I$5:$I$504,T229))&amp;IF(AF229="",""," | "&amp;HOUR(INDEX(MATCHER!$C$5:$C$504,AF229))&amp;":"&amp;IF(MINUTE(INDEX(MATCHER!$C$5:$C$504,AF229))&lt;10,"0","")&amp;MINUTE(INDEX(MATCHER!$C$5:$C$504,AF229))&amp;" "&amp;INDEX(MATCHER!$H$5:$H$504,AF229)&amp;" – "&amp;INDEX(MATCHER!$I$5:$I$504,AF229))</f>
        <v>13:00 Vacant- 44 – Vacant- 45 | 13:45 IF Swithiod – Vacant- 46</v>
      </c>
      <c r="G229" s="45" t="str">
        <f>MID(IF(R229="","",IF(OR(INDEX(MATCHER!$J$5:$J$504,R229)=""),""," / "&amp;INDEX(MATCHER!$J$5:$J$504,R229)))&amp;IF(S229="","",IF(OR(INDEX(MATCHER!$J$5:$J$504,S229)="",INDEX(MATCHER!$J$5:$J$504,S229)=IFERROR(INDEX(MATCHER!$J$5:$J$504,R229),"")),""," / "&amp;INDEX(MATCHER!$J$5:$J$504,S229)))&amp;IF(T229="","",IF(OR(INDEX(MATCHER!$J$5:$J$504,T229)="",INDEX(MATCHER!$J$5:$J$504,T229)=IFERROR(INDEX(MATCHER!$J$5:$J$504,R229),""),INDEX(MATCHER!$J$5:$J$504,T229)=IFERROR(INDEX(MATCHER!$J$5:$J$504,S229),"")),""," / "&amp;INDEX(MATCHER!$J$5:$J$504,T229)))&amp;IF(AF229="","",IF(OR(INDEX(MATCHER!$J$5:$J$504,AF229)="",INDEX(MATCHER!$J$5:$J$504,AF229)=IFERROR(INDEX(MATCHER!$J$5:$J$504,R229),""),INDEX(MATCHER!$J$5:$J$504,AF229)=IFERROR(INDEX(MATCHER!$J$5:$J$504,S229),""),INDEX(MATCHER!$J$5:$J$504,AF229)=IFERROR(INDEX(MATCHER!$J$5:$J$504,T229),"")),""," / "&amp;INDEX(MATCHER!$J$5:$J$504,AF229))),4,1000)</f>
        <v/>
      </c>
      <c r="H229" s="45" t="str">
        <f t="shared" si="54"/>
        <v>F13, F14</v>
      </c>
      <c r="I229" s="46" t="s">
        <v>90</v>
      </c>
      <c r="J229" s="47" t="s">
        <v>117</v>
      </c>
      <c r="K229" s="48"/>
      <c r="L229" s="49"/>
      <c r="M229" s="50" t="str">
        <f>IF(O229&lt;&gt;O228,MAX(1,MIN(AA229,ROUNDUP(SUMPRODUCT(($O$5:$O$546=O229)*($I$5:$I$546="Ja")*($E$5:$E$546-$D$5:$D$546))*24/REGLER!$B$8,0))),"")</f>
        <v/>
      </c>
      <c r="N229" s="50" t="str">
        <f t="shared" si="47"/>
        <v>Kontrollera lag</v>
      </c>
      <c r="O229" s="15" t="s">
        <v>127</v>
      </c>
      <c r="P229" s="16">
        <v>0.33333333333333298</v>
      </c>
      <c r="Q229" s="16">
        <v>0.70833333333333304</v>
      </c>
      <c r="R229" s="15">
        <f>IFERROR(MATCH(1,INDEX((MATCHER!$B$5:$B$504=A229)*(MATCHER!$D$5:$D$504=C229)*(MATCHER!$K$5:$K$504="Ja")*(MATCHER!$C$5:$C$504&lt;E229)*(MATCHER!$M$5:$M$504&gt;D229),0),0),"")</f>
        <v>79</v>
      </c>
      <c r="S229" s="15">
        <f>IF(R229="","",IFERROR(MATCH(1,INDEX((MATCHER!$B$5:$B$504=A229)*(MATCHER!$D$5:$D$504=C229)*(MATCHER!$K$5:$K$504="Ja")*(MATCHER!$C$5:$C$504&lt;E229)*(MATCHER!$M$5:$M$504&gt;D229)*(ROW(MATCHER!$A$5:$A$504)-ROW(MATCHER!$A$5)+1&gt;R229),0),0),""))</f>
        <v>80</v>
      </c>
      <c r="T229" s="15" t="str">
        <f>IF(S229="","",IFERROR(MATCH(1,INDEX((MATCHER!$B$5:$B$504=A229)*(MATCHER!$D$5:$D$504=C229)*(MATCHER!$K$5:$K$504="Ja")*(MATCHER!$C$5:$C$504&lt;E229)*(MATCHER!$M$5:$M$504&gt;D229)*(ROW(MATCHER!$A$5:$A$504)-ROW(MATCHER!$A$5)+1&gt;S229),0),0),""))</f>
        <v/>
      </c>
      <c r="U229" s="15">
        <f t="shared" si="48"/>
        <v>0</v>
      </c>
      <c r="V229" s="15">
        <f>IF(OR(I229&lt;&gt;"Ja",J229=""),"",COUNTIFS($O$5:O229,O229,$U$5:U229,1))</f>
        <v>1</v>
      </c>
      <c r="W229" s="15" t="str">
        <f t="shared" si="49"/>
        <v>2026-11-21 | Ulriksdalshallen|1</v>
      </c>
      <c r="X229" s="16">
        <f t="shared" si="50"/>
        <v>0.58333333333333304</v>
      </c>
      <c r="Y229" s="15">
        <f>IF(OR(I229&lt;&gt;"Ja",J229=""),0,IF(COUNTIFS($O$5:O229,O229,$I$5:I229,"Ja",$J$5:J229,"&lt;&gt;")=1,1,0))</f>
        <v>0</v>
      </c>
      <c r="Z229" s="15">
        <f>IF(OR(I229&lt;&gt;"Ja",J229=""),0,IF(COUNTIFS(O229:$O$546,O229,I229:$I$546,"Ja",J229:$J$546,"&lt;&gt;")=1,1,0))</f>
        <v>0</v>
      </c>
      <c r="AA229" s="15">
        <f t="shared" si="55"/>
        <v>2</v>
      </c>
      <c r="AB229" s="15" t="str">
        <f>IF(U229&lt;&gt;1,"",COUNTIF($U$5:U229,1))</f>
        <v/>
      </c>
      <c r="AC229" s="15" t="str">
        <f t="shared" si="51"/>
        <v>2026-11-21 | Ulriksdalshallen|1</v>
      </c>
      <c r="AD229" s="15" t="str">
        <f t="shared" si="52"/>
        <v>Vanligt café</v>
      </c>
      <c r="AE229" s="15" t="str">
        <f t="shared" si="53"/>
        <v/>
      </c>
      <c r="AF229" t="str">
        <f>IF(T229="","",IFERROR(MATCH(1,INDEX((MATCHER!$B$5:$B$504=A229)*(MATCHER!$D$5:$D$504=C229)*(MATCHER!$K$5:$K$504="Ja")*(MATCHER!$C$5:$C$504&lt;E229)*(MATCHER!$M$5:$M$504&gt;D229)*(ROW(MATCHER!$A$5:$A$504)-ROW(MATCHER!$A$5)+1&gt;T229),0),0),""))</f>
        <v/>
      </c>
    </row>
    <row r="230" spans="1:32" ht="26">
      <c r="A230" s="42">
        <v>46347</v>
      </c>
      <c r="B230" s="43" t="s">
        <v>85</v>
      </c>
      <c r="C230" s="43" t="s">
        <v>86</v>
      </c>
      <c r="D230" s="44">
        <v>0.58333333333333304</v>
      </c>
      <c r="E230" s="44">
        <v>0.60416666666666696</v>
      </c>
      <c r="F230" s="45" t="str">
        <f>IF(R230="","",HOUR(INDEX(MATCHER!$C$5:$C$504,R230))&amp;":"&amp;IF(MINUTE(INDEX(MATCHER!$C$5:$C$504,R230))&lt;10,"0","")&amp;MINUTE(INDEX(MATCHER!$C$5:$C$504,R230))&amp;" "&amp;INDEX(MATCHER!$H$5:$H$504,R230)&amp;" – "&amp;INDEX(MATCHER!$I$5:$I$504,R230))&amp;IF(S230="",""," | "&amp;HOUR(INDEX(MATCHER!$C$5:$C$504,S230))&amp;":"&amp;IF(MINUTE(INDEX(MATCHER!$C$5:$C$504,S230))&lt;10,"0","")&amp;MINUTE(INDEX(MATCHER!$C$5:$C$504,S230))&amp;" "&amp;INDEX(MATCHER!$H$5:$H$504,S230)&amp;" – "&amp;INDEX(MATCHER!$I$5:$I$504,S230))&amp;IF(T230="",""," | "&amp;HOUR(INDEX(MATCHER!$C$5:$C$504,T230))&amp;":"&amp;IF(MINUTE(INDEX(MATCHER!$C$5:$C$504,T230))&lt;10,"0","")&amp;MINUTE(INDEX(MATCHER!$C$5:$C$504,T230))&amp;" "&amp;INDEX(MATCHER!$H$5:$H$504,T230)&amp;" – "&amp;INDEX(MATCHER!$I$5:$I$504,T230))&amp;IF(AF230="",""," | "&amp;HOUR(INDEX(MATCHER!$C$5:$C$504,AF230))&amp;":"&amp;IF(MINUTE(INDEX(MATCHER!$C$5:$C$504,AF230))&lt;10,"0","")&amp;MINUTE(INDEX(MATCHER!$C$5:$C$504,AF230))&amp;" "&amp;INDEX(MATCHER!$H$5:$H$504,AF230)&amp;" – "&amp;INDEX(MATCHER!$I$5:$I$504,AF230))</f>
        <v>13:45 IF Swithiod – Vacant- 46</v>
      </c>
      <c r="G230" s="45" t="str">
        <f>MID(IF(R230="","",IF(OR(INDEX(MATCHER!$J$5:$J$504,R230)=""),""," / "&amp;INDEX(MATCHER!$J$5:$J$504,R230)))&amp;IF(S230="","",IF(OR(INDEX(MATCHER!$J$5:$J$504,S230)="",INDEX(MATCHER!$J$5:$J$504,S230)=IFERROR(INDEX(MATCHER!$J$5:$J$504,R230),"")),""," / "&amp;INDEX(MATCHER!$J$5:$J$504,S230)))&amp;IF(T230="","",IF(OR(INDEX(MATCHER!$J$5:$J$504,T230)="",INDEX(MATCHER!$J$5:$J$504,T230)=IFERROR(INDEX(MATCHER!$J$5:$J$504,R230),""),INDEX(MATCHER!$J$5:$J$504,T230)=IFERROR(INDEX(MATCHER!$J$5:$J$504,S230),"")),""," / "&amp;INDEX(MATCHER!$J$5:$J$504,T230)))&amp;IF(AF230="","",IF(OR(INDEX(MATCHER!$J$5:$J$504,AF230)="",INDEX(MATCHER!$J$5:$J$504,AF230)=IFERROR(INDEX(MATCHER!$J$5:$J$504,R230),""),INDEX(MATCHER!$J$5:$J$504,AF230)=IFERROR(INDEX(MATCHER!$J$5:$J$504,S230),""),INDEX(MATCHER!$J$5:$J$504,AF230)=IFERROR(INDEX(MATCHER!$J$5:$J$504,T230),"")),""," / "&amp;INDEX(MATCHER!$J$5:$J$504,AF230))),4,1000)</f>
        <v/>
      </c>
      <c r="H230" s="45" t="str">
        <f t="shared" si="54"/>
        <v>F13, F14</v>
      </c>
      <c r="I230" s="46" t="s">
        <v>90</v>
      </c>
      <c r="J230" s="47" t="s">
        <v>103</v>
      </c>
      <c r="K230" s="48"/>
      <c r="L230" s="49"/>
      <c r="M230" s="50" t="str">
        <f>IF(O230&lt;&gt;O229,MAX(1,MIN(AA230,ROUNDUP(SUMPRODUCT(($O$5:$O$546=O230)*($I$5:$I$546="Ja")*($E$5:$E$546-$D$5:$D$546))*24/REGLER!$B$8,0))),"")</f>
        <v/>
      </c>
      <c r="N230" s="50" t="str">
        <f t="shared" si="47"/>
        <v>Klar</v>
      </c>
      <c r="O230" s="15" t="s">
        <v>127</v>
      </c>
      <c r="P230" s="16">
        <v>0.33333333333333298</v>
      </c>
      <c r="Q230" s="16">
        <v>0.70833333333333304</v>
      </c>
      <c r="R230" s="15">
        <f>IFERROR(MATCH(1,INDEX((MATCHER!$B$5:$B$504=A230)*(MATCHER!$D$5:$D$504=C230)*(MATCHER!$K$5:$K$504="Ja")*(MATCHER!$C$5:$C$504&lt;E230)*(MATCHER!$M$5:$M$504&gt;D230),0),0),"")</f>
        <v>80</v>
      </c>
      <c r="S230" s="15" t="str">
        <f>IF(R230="","",IFERROR(MATCH(1,INDEX((MATCHER!$B$5:$B$504=A230)*(MATCHER!$D$5:$D$504=C230)*(MATCHER!$K$5:$K$504="Ja")*(MATCHER!$C$5:$C$504&lt;E230)*(MATCHER!$M$5:$M$504&gt;D230)*(ROW(MATCHER!$A$5:$A$504)-ROW(MATCHER!$A$5)+1&gt;R230),0),0),""))</f>
        <v/>
      </c>
      <c r="T230" s="15" t="str">
        <f>IF(S230="","",IFERROR(MATCH(1,INDEX((MATCHER!$B$5:$B$504=A230)*(MATCHER!$D$5:$D$504=C230)*(MATCHER!$K$5:$K$504="Ja")*(MATCHER!$C$5:$C$504&lt;E230)*(MATCHER!$M$5:$M$504&gt;D230)*(ROW(MATCHER!$A$5:$A$504)-ROW(MATCHER!$A$5)+1&gt;S230),0),0),""))</f>
        <v/>
      </c>
      <c r="U230" s="15">
        <f t="shared" si="48"/>
        <v>1</v>
      </c>
      <c r="V230" s="15">
        <f>IF(OR(I230&lt;&gt;"Ja",J230=""),"",COUNTIFS($O$5:O230,O230,$U$5:U230,1))</f>
        <v>2</v>
      </c>
      <c r="W230" s="15" t="str">
        <f t="shared" si="49"/>
        <v>2026-11-21 | Ulriksdalshallen|2</v>
      </c>
      <c r="X230" s="16" t="str">
        <f t="shared" si="50"/>
        <v/>
      </c>
      <c r="Y230" s="15">
        <f>IF(OR(I230&lt;&gt;"Ja",J230=""),0,IF(COUNTIFS($O$5:O230,O230,$I$5:I230,"Ja",$J$5:J230,"&lt;&gt;")=1,1,0))</f>
        <v>0</v>
      </c>
      <c r="Z230" s="15">
        <f>IF(OR(I230&lt;&gt;"Ja",J230=""),0,IF(COUNTIFS(O230:$O$546,O230,I230:$I$546,"Ja",J230:$J$546,"&lt;&gt;")=1,1,0))</f>
        <v>0</v>
      </c>
      <c r="AA230" s="15">
        <f t="shared" si="55"/>
        <v>2</v>
      </c>
      <c r="AB230" s="15">
        <f>IF(U230&lt;&gt;1,"",COUNTIF($U$5:U230,1))</f>
        <v>26</v>
      </c>
      <c r="AC230" s="15" t="str">
        <f t="shared" si="51"/>
        <v/>
      </c>
      <c r="AD230" s="15" t="str">
        <f t="shared" si="52"/>
        <v>Vanligt café</v>
      </c>
      <c r="AE230" s="15">
        <f t="shared" si="53"/>
        <v>3</v>
      </c>
      <c r="AF230" t="str">
        <f>IF(T230="","",IFERROR(MATCH(1,INDEX((MATCHER!$B$5:$B$504=A230)*(MATCHER!$D$5:$D$504=C230)*(MATCHER!$K$5:$K$504="Ja")*(MATCHER!$C$5:$C$504&lt;E230)*(MATCHER!$M$5:$M$504&gt;D230)*(ROW(MATCHER!$A$5:$A$504)-ROW(MATCHER!$A$5)+1&gt;T230),0),0),""))</f>
        <v/>
      </c>
    </row>
    <row r="231" spans="1:32" ht="26">
      <c r="A231" s="42">
        <v>46347</v>
      </c>
      <c r="B231" s="43" t="s">
        <v>85</v>
      </c>
      <c r="C231" s="43" t="s">
        <v>86</v>
      </c>
      <c r="D231" s="44">
        <v>0.60416666666666696</v>
      </c>
      <c r="E231" s="44">
        <v>0.625</v>
      </c>
      <c r="F231" s="45" t="str">
        <f>IF(R231="","",HOUR(INDEX(MATCHER!$C$5:$C$504,R231))&amp;":"&amp;IF(MINUTE(INDEX(MATCHER!$C$5:$C$504,R231))&lt;10,"0","")&amp;MINUTE(INDEX(MATCHER!$C$5:$C$504,R231))&amp;" "&amp;INDEX(MATCHER!$H$5:$H$504,R231)&amp;" – "&amp;INDEX(MATCHER!$I$5:$I$504,R231))&amp;IF(S231="",""," | "&amp;HOUR(INDEX(MATCHER!$C$5:$C$504,S231))&amp;":"&amp;IF(MINUTE(INDEX(MATCHER!$C$5:$C$504,S231))&lt;10,"0","")&amp;MINUTE(INDEX(MATCHER!$C$5:$C$504,S231))&amp;" "&amp;INDEX(MATCHER!$H$5:$H$504,S231)&amp;" – "&amp;INDEX(MATCHER!$I$5:$I$504,S231))&amp;IF(T231="",""," | "&amp;HOUR(INDEX(MATCHER!$C$5:$C$504,T231))&amp;":"&amp;IF(MINUTE(INDEX(MATCHER!$C$5:$C$504,T231))&lt;10,"0","")&amp;MINUTE(INDEX(MATCHER!$C$5:$C$504,T231))&amp;" "&amp;INDEX(MATCHER!$H$5:$H$504,T231)&amp;" – "&amp;INDEX(MATCHER!$I$5:$I$504,T231))&amp;IF(AF231="",""," | "&amp;HOUR(INDEX(MATCHER!$C$5:$C$504,AF231))&amp;":"&amp;IF(MINUTE(INDEX(MATCHER!$C$5:$C$504,AF231))&lt;10,"0","")&amp;MINUTE(INDEX(MATCHER!$C$5:$C$504,AF231))&amp;" "&amp;INDEX(MATCHER!$H$5:$H$504,AF231)&amp;" – "&amp;INDEX(MATCHER!$I$5:$I$504,AF231))</f>
        <v>14:45 AIK – Gustavsbergs IF HK - Röd</v>
      </c>
      <c r="G231" s="45" t="str">
        <f>MID(IF(R231="","",IF(OR(INDEX(MATCHER!$J$5:$J$504,R231)=""),""," / "&amp;INDEX(MATCHER!$J$5:$J$504,R231)))&amp;IF(S231="","",IF(OR(INDEX(MATCHER!$J$5:$J$504,S231)="",INDEX(MATCHER!$J$5:$J$504,S231)=IFERROR(INDEX(MATCHER!$J$5:$J$504,R231),"")),""," / "&amp;INDEX(MATCHER!$J$5:$J$504,S231)))&amp;IF(T231="","",IF(OR(INDEX(MATCHER!$J$5:$J$504,T231)="",INDEX(MATCHER!$J$5:$J$504,T231)=IFERROR(INDEX(MATCHER!$J$5:$J$504,R231),""),INDEX(MATCHER!$J$5:$J$504,T231)=IFERROR(INDEX(MATCHER!$J$5:$J$504,S231),"")),""," / "&amp;INDEX(MATCHER!$J$5:$J$504,T231)))&amp;IF(AF231="","",IF(OR(INDEX(MATCHER!$J$5:$J$504,AF231)="",INDEX(MATCHER!$J$5:$J$504,AF231)=IFERROR(INDEX(MATCHER!$J$5:$J$504,R231),""),INDEX(MATCHER!$J$5:$J$504,AF231)=IFERROR(INDEX(MATCHER!$J$5:$J$504,S231),""),INDEX(MATCHER!$J$5:$J$504,AF231)=IFERROR(INDEX(MATCHER!$J$5:$J$504,T231),"")),""," / "&amp;INDEX(MATCHER!$J$5:$J$504,AF231))),4,1000)</f>
        <v>F13</v>
      </c>
      <c r="H231" s="45" t="str">
        <f t="shared" si="54"/>
        <v>F13, F14</v>
      </c>
      <c r="I231" s="46" t="s">
        <v>90</v>
      </c>
      <c r="J231" s="47" t="s">
        <v>103</v>
      </c>
      <c r="K231" s="48"/>
      <c r="L231" s="49"/>
      <c r="M231" s="50" t="str">
        <f>IF(O231&lt;&gt;O230,MAX(1,MIN(AA231,ROUNDUP(SUMPRODUCT(($O$5:$O$546=O231)*($I$5:$I$546="Ja")*($E$5:$E$546-$D$5:$D$546))*24/REGLER!$B$8,0))),"")</f>
        <v/>
      </c>
      <c r="N231" s="50" t="str">
        <f t="shared" si="47"/>
        <v>Klar</v>
      </c>
      <c r="O231" s="15" t="s">
        <v>127</v>
      </c>
      <c r="P231" s="16">
        <v>0.33333333333333298</v>
      </c>
      <c r="Q231" s="16">
        <v>0.70833333333333304</v>
      </c>
      <c r="R231" s="15">
        <f>IFERROR(MATCH(1,INDEX((MATCHER!$B$5:$B$504=A231)*(MATCHER!$D$5:$D$504=C231)*(MATCHER!$K$5:$K$504="Ja")*(MATCHER!$C$5:$C$504&lt;E231)*(MATCHER!$M$5:$M$504&gt;D231),0),0),"")</f>
        <v>81</v>
      </c>
      <c r="S231" s="15" t="str">
        <f>IF(R231="","",IFERROR(MATCH(1,INDEX((MATCHER!$B$5:$B$504=A231)*(MATCHER!$D$5:$D$504=C231)*(MATCHER!$K$5:$K$504="Ja")*(MATCHER!$C$5:$C$504&lt;E231)*(MATCHER!$M$5:$M$504&gt;D231)*(ROW(MATCHER!$A$5:$A$504)-ROW(MATCHER!$A$5)+1&gt;R231),0),0),""))</f>
        <v/>
      </c>
      <c r="T231" s="15" t="str">
        <f>IF(S231="","",IFERROR(MATCH(1,INDEX((MATCHER!$B$5:$B$504=A231)*(MATCHER!$D$5:$D$504=C231)*(MATCHER!$K$5:$K$504="Ja")*(MATCHER!$C$5:$C$504&lt;E231)*(MATCHER!$M$5:$M$504&gt;D231)*(ROW(MATCHER!$A$5:$A$504)-ROW(MATCHER!$A$5)+1&gt;S231),0),0),""))</f>
        <v/>
      </c>
      <c r="U231" s="15">
        <f t="shared" si="48"/>
        <v>0</v>
      </c>
      <c r="V231" s="15">
        <f>IF(OR(I231&lt;&gt;"Ja",J231=""),"",COUNTIFS($O$5:O231,O231,$U$5:U231,1))</f>
        <v>2</v>
      </c>
      <c r="W231" s="15" t="str">
        <f t="shared" si="49"/>
        <v>2026-11-21 | Ulriksdalshallen|2</v>
      </c>
      <c r="X231" s="16" t="str">
        <f t="shared" si="50"/>
        <v/>
      </c>
      <c r="Y231" s="15">
        <f>IF(OR(I231&lt;&gt;"Ja",J231=""),0,IF(COUNTIFS($O$5:O231,O231,$I$5:I231,"Ja",$J$5:J231,"&lt;&gt;")=1,1,0))</f>
        <v>0</v>
      </c>
      <c r="Z231" s="15">
        <f>IF(OR(I231&lt;&gt;"Ja",J231=""),0,IF(COUNTIFS(O231:$O$546,O231,I231:$I$546,"Ja",J231:$J$546,"&lt;&gt;")=1,1,0))</f>
        <v>0</v>
      </c>
      <c r="AA231" s="15">
        <f t="shared" si="55"/>
        <v>2</v>
      </c>
      <c r="AB231" s="15" t="str">
        <f>IF(U231&lt;&gt;1,"",COUNTIF($U$5:U231,1))</f>
        <v/>
      </c>
      <c r="AC231" s="15" t="str">
        <f t="shared" si="51"/>
        <v/>
      </c>
      <c r="AD231" s="15" t="str">
        <f t="shared" si="52"/>
        <v>Vanligt café</v>
      </c>
      <c r="AE231" s="15" t="str">
        <f t="shared" si="53"/>
        <v/>
      </c>
      <c r="AF231" t="str">
        <f>IF(T231="","",IFERROR(MATCH(1,INDEX((MATCHER!$B$5:$B$504=A231)*(MATCHER!$D$5:$D$504=C231)*(MATCHER!$K$5:$K$504="Ja")*(MATCHER!$C$5:$C$504&lt;E231)*(MATCHER!$M$5:$M$504&gt;D231)*(ROW(MATCHER!$A$5:$A$504)-ROW(MATCHER!$A$5)+1&gt;T231),0),0),""))</f>
        <v/>
      </c>
    </row>
    <row r="232" spans="1:32" ht="26">
      <c r="A232" s="42">
        <v>46347</v>
      </c>
      <c r="B232" s="43" t="s">
        <v>85</v>
      </c>
      <c r="C232" s="43" t="s">
        <v>86</v>
      </c>
      <c r="D232" s="44">
        <v>0.625</v>
      </c>
      <c r="E232" s="44">
        <v>0.64583333333333304</v>
      </c>
      <c r="F232" s="45" t="str">
        <f>IF(R232="","",HOUR(INDEX(MATCHER!$C$5:$C$504,R232))&amp;":"&amp;IF(MINUTE(INDEX(MATCHER!$C$5:$C$504,R232))&lt;10,"0","")&amp;MINUTE(INDEX(MATCHER!$C$5:$C$504,R232))&amp;" "&amp;INDEX(MATCHER!$H$5:$H$504,R232)&amp;" – "&amp;INDEX(MATCHER!$I$5:$I$504,R232))&amp;IF(S232="",""," | "&amp;HOUR(INDEX(MATCHER!$C$5:$C$504,S232))&amp;":"&amp;IF(MINUTE(INDEX(MATCHER!$C$5:$C$504,S232))&lt;10,"0","")&amp;MINUTE(INDEX(MATCHER!$C$5:$C$504,S232))&amp;" "&amp;INDEX(MATCHER!$H$5:$H$504,S232)&amp;" – "&amp;INDEX(MATCHER!$I$5:$I$504,S232))&amp;IF(T232="",""," | "&amp;HOUR(INDEX(MATCHER!$C$5:$C$504,T232))&amp;":"&amp;IF(MINUTE(INDEX(MATCHER!$C$5:$C$504,T232))&lt;10,"0","")&amp;MINUTE(INDEX(MATCHER!$C$5:$C$504,T232))&amp;" "&amp;INDEX(MATCHER!$H$5:$H$504,T232)&amp;" – "&amp;INDEX(MATCHER!$I$5:$I$504,T232))&amp;IF(AF232="",""," | "&amp;HOUR(INDEX(MATCHER!$C$5:$C$504,AF232))&amp;":"&amp;IF(MINUTE(INDEX(MATCHER!$C$5:$C$504,AF232))&lt;10,"0","")&amp;MINUTE(INDEX(MATCHER!$C$5:$C$504,AF232))&amp;" "&amp;INDEX(MATCHER!$H$5:$H$504,AF232)&amp;" – "&amp;INDEX(MATCHER!$I$5:$I$504,AF232))</f>
        <v>14:45 AIK – Gustavsbergs IF HK - Röd</v>
      </c>
      <c r="G232" s="45" t="str">
        <f>MID(IF(R232="","",IF(OR(INDEX(MATCHER!$J$5:$J$504,R232)=""),""," / "&amp;INDEX(MATCHER!$J$5:$J$504,R232)))&amp;IF(S232="","",IF(OR(INDEX(MATCHER!$J$5:$J$504,S232)="",INDEX(MATCHER!$J$5:$J$504,S232)=IFERROR(INDEX(MATCHER!$J$5:$J$504,R232),"")),""," / "&amp;INDEX(MATCHER!$J$5:$J$504,S232)))&amp;IF(T232="","",IF(OR(INDEX(MATCHER!$J$5:$J$504,T232)="",INDEX(MATCHER!$J$5:$J$504,T232)=IFERROR(INDEX(MATCHER!$J$5:$J$504,R232),""),INDEX(MATCHER!$J$5:$J$504,T232)=IFERROR(INDEX(MATCHER!$J$5:$J$504,S232),"")),""," / "&amp;INDEX(MATCHER!$J$5:$J$504,T232)))&amp;IF(AF232="","",IF(OR(INDEX(MATCHER!$J$5:$J$504,AF232)="",INDEX(MATCHER!$J$5:$J$504,AF232)=IFERROR(INDEX(MATCHER!$J$5:$J$504,R232),""),INDEX(MATCHER!$J$5:$J$504,AF232)=IFERROR(INDEX(MATCHER!$J$5:$J$504,S232),""),INDEX(MATCHER!$J$5:$J$504,AF232)=IFERROR(INDEX(MATCHER!$J$5:$J$504,T232),"")),""," / "&amp;INDEX(MATCHER!$J$5:$J$504,AF232))),4,1000)</f>
        <v>F13</v>
      </c>
      <c r="H232" s="45" t="str">
        <f t="shared" si="54"/>
        <v>F13, F14</v>
      </c>
      <c r="I232" s="46" t="s">
        <v>90</v>
      </c>
      <c r="J232" s="47" t="s">
        <v>103</v>
      </c>
      <c r="K232" s="48"/>
      <c r="L232" s="49"/>
      <c r="M232" s="50" t="str">
        <f>IF(O232&lt;&gt;O231,MAX(1,MIN(AA232,ROUNDUP(SUMPRODUCT(($O$5:$O$546=O232)*($I$5:$I$546="Ja")*($E$5:$E$546-$D$5:$D$546))*24/REGLER!$B$8,0))),"")</f>
        <v/>
      </c>
      <c r="N232" s="50" t="str">
        <f t="shared" si="47"/>
        <v>Klar</v>
      </c>
      <c r="O232" s="15" t="s">
        <v>127</v>
      </c>
      <c r="P232" s="16">
        <v>0.33333333333333298</v>
      </c>
      <c r="Q232" s="16">
        <v>0.70833333333333304</v>
      </c>
      <c r="R232" s="15">
        <f>IFERROR(MATCH(1,INDEX((MATCHER!$B$5:$B$504=A232)*(MATCHER!$D$5:$D$504=C232)*(MATCHER!$K$5:$K$504="Ja")*(MATCHER!$C$5:$C$504&lt;E232)*(MATCHER!$M$5:$M$504&gt;D232),0),0),"")</f>
        <v>81</v>
      </c>
      <c r="S232" s="15" t="str">
        <f>IF(R232="","",IFERROR(MATCH(1,INDEX((MATCHER!$B$5:$B$504=A232)*(MATCHER!$D$5:$D$504=C232)*(MATCHER!$K$5:$K$504="Ja")*(MATCHER!$C$5:$C$504&lt;E232)*(MATCHER!$M$5:$M$504&gt;D232)*(ROW(MATCHER!$A$5:$A$504)-ROW(MATCHER!$A$5)+1&gt;R232),0),0),""))</f>
        <v/>
      </c>
      <c r="T232" s="15" t="str">
        <f>IF(S232="","",IFERROR(MATCH(1,INDEX((MATCHER!$B$5:$B$504=A232)*(MATCHER!$D$5:$D$504=C232)*(MATCHER!$K$5:$K$504="Ja")*(MATCHER!$C$5:$C$504&lt;E232)*(MATCHER!$M$5:$M$504&gt;D232)*(ROW(MATCHER!$A$5:$A$504)-ROW(MATCHER!$A$5)+1&gt;S232),0),0),""))</f>
        <v/>
      </c>
      <c r="U232" s="15">
        <f t="shared" si="48"/>
        <v>0</v>
      </c>
      <c r="V232" s="15">
        <f>IF(OR(I232&lt;&gt;"Ja",J232=""),"",COUNTIFS($O$5:O232,O232,$U$5:U232,1))</f>
        <v>2</v>
      </c>
      <c r="W232" s="15" t="str">
        <f t="shared" si="49"/>
        <v>2026-11-21 | Ulriksdalshallen|2</v>
      </c>
      <c r="X232" s="16" t="str">
        <f t="shared" si="50"/>
        <v/>
      </c>
      <c r="Y232" s="15">
        <f>IF(OR(I232&lt;&gt;"Ja",J232=""),0,IF(COUNTIFS($O$5:O232,O232,$I$5:I232,"Ja",$J$5:J232,"&lt;&gt;")=1,1,0))</f>
        <v>0</v>
      </c>
      <c r="Z232" s="15">
        <f>IF(OR(I232&lt;&gt;"Ja",J232=""),0,IF(COUNTIFS(O232:$O$546,O232,I232:$I$546,"Ja",J232:$J$546,"&lt;&gt;")=1,1,0))</f>
        <v>0</v>
      </c>
      <c r="AA232" s="15">
        <f t="shared" si="55"/>
        <v>2</v>
      </c>
      <c r="AB232" s="15" t="str">
        <f>IF(U232&lt;&gt;1,"",COUNTIF($U$5:U232,1))</f>
        <v/>
      </c>
      <c r="AC232" s="15" t="str">
        <f t="shared" si="51"/>
        <v/>
      </c>
      <c r="AD232" s="15" t="str">
        <f t="shared" si="52"/>
        <v>Vanligt café</v>
      </c>
      <c r="AE232" s="15" t="str">
        <f t="shared" si="53"/>
        <v/>
      </c>
      <c r="AF232" t="str">
        <f>IF(T232="","",IFERROR(MATCH(1,INDEX((MATCHER!$B$5:$B$504=A232)*(MATCHER!$D$5:$D$504=C232)*(MATCHER!$K$5:$K$504="Ja")*(MATCHER!$C$5:$C$504&lt;E232)*(MATCHER!$M$5:$M$504&gt;D232)*(ROW(MATCHER!$A$5:$A$504)-ROW(MATCHER!$A$5)+1&gt;T232),0),0),""))</f>
        <v/>
      </c>
    </row>
    <row r="233" spans="1:32" ht="26">
      <c r="A233" s="42">
        <v>46347</v>
      </c>
      <c r="B233" s="43" t="s">
        <v>85</v>
      </c>
      <c r="C233" s="43" t="s">
        <v>86</v>
      </c>
      <c r="D233" s="44">
        <v>0.64583333333333304</v>
      </c>
      <c r="E233" s="44">
        <v>0.66666666666666696</v>
      </c>
      <c r="F233" s="45" t="str">
        <f>IF(R233="","",HOUR(INDEX(MATCHER!$C$5:$C$504,R233))&amp;":"&amp;IF(MINUTE(INDEX(MATCHER!$C$5:$C$504,R233))&lt;10,"0","")&amp;MINUTE(INDEX(MATCHER!$C$5:$C$504,R233))&amp;" "&amp;INDEX(MATCHER!$H$5:$H$504,R233)&amp;" – "&amp;INDEX(MATCHER!$I$5:$I$504,R233))&amp;IF(S233="",""," | "&amp;HOUR(INDEX(MATCHER!$C$5:$C$504,S233))&amp;":"&amp;IF(MINUTE(INDEX(MATCHER!$C$5:$C$504,S233))&lt;10,"0","")&amp;MINUTE(INDEX(MATCHER!$C$5:$C$504,S233))&amp;" "&amp;INDEX(MATCHER!$H$5:$H$504,S233)&amp;" – "&amp;INDEX(MATCHER!$I$5:$I$504,S233))&amp;IF(T233="",""," | "&amp;HOUR(INDEX(MATCHER!$C$5:$C$504,T233))&amp;":"&amp;IF(MINUTE(INDEX(MATCHER!$C$5:$C$504,T233))&lt;10,"0","")&amp;MINUTE(INDEX(MATCHER!$C$5:$C$504,T233))&amp;" "&amp;INDEX(MATCHER!$H$5:$H$504,T233)&amp;" – "&amp;INDEX(MATCHER!$I$5:$I$504,T233))&amp;IF(AF233="",""," | "&amp;HOUR(INDEX(MATCHER!$C$5:$C$504,AF233))&amp;":"&amp;IF(MINUTE(INDEX(MATCHER!$C$5:$C$504,AF233))&lt;10,"0","")&amp;MINUTE(INDEX(MATCHER!$C$5:$C$504,AF233))&amp;" "&amp;INDEX(MATCHER!$H$5:$H$504,AF233)&amp;" – "&amp;INDEX(MATCHER!$I$5:$I$504,AF233))</f>
        <v/>
      </c>
      <c r="G233" s="45" t="str">
        <f>MID(IF(R233="","",IF(OR(INDEX(MATCHER!$J$5:$J$504,R233)=""),""," / "&amp;INDEX(MATCHER!$J$5:$J$504,R233)))&amp;IF(S233="","",IF(OR(INDEX(MATCHER!$J$5:$J$504,S233)="",INDEX(MATCHER!$J$5:$J$504,S233)=IFERROR(INDEX(MATCHER!$J$5:$J$504,R233),"")),""," / "&amp;INDEX(MATCHER!$J$5:$J$504,S233)))&amp;IF(T233="","",IF(OR(INDEX(MATCHER!$J$5:$J$504,T233)="",INDEX(MATCHER!$J$5:$J$504,T233)=IFERROR(INDEX(MATCHER!$J$5:$J$504,R233),""),INDEX(MATCHER!$J$5:$J$504,T233)=IFERROR(INDEX(MATCHER!$J$5:$J$504,S233),"")),""," / "&amp;INDEX(MATCHER!$J$5:$J$504,T233)))&amp;IF(AF233="","",IF(OR(INDEX(MATCHER!$J$5:$J$504,AF233)="",INDEX(MATCHER!$J$5:$J$504,AF233)=IFERROR(INDEX(MATCHER!$J$5:$J$504,R233),""),INDEX(MATCHER!$J$5:$J$504,AF233)=IFERROR(INDEX(MATCHER!$J$5:$J$504,S233),""),INDEX(MATCHER!$J$5:$J$504,AF233)=IFERROR(INDEX(MATCHER!$J$5:$J$504,T233),"")),""," / "&amp;INDEX(MATCHER!$J$5:$J$504,AF233))),4,1000)</f>
        <v/>
      </c>
      <c r="H233" s="45" t="str">
        <f t="shared" si="54"/>
        <v>F13, F14</v>
      </c>
      <c r="I233" s="46" t="s">
        <v>90</v>
      </c>
      <c r="J233" s="47" t="s">
        <v>103</v>
      </c>
      <c r="K233" s="48"/>
      <c r="L233" s="49"/>
      <c r="M233" s="50" t="str">
        <f>IF(O233&lt;&gt;O232,MAX(1,MIN(AA233,ROUNDUP(SUMPRODUCT(($O$5:$O$546=O233)*($I$5:$I$546="Ja")*($E$5:$E$546-$D$5:$D$546))*24/REGLER!$B$8,0))),"")</f>
        <v/>
      </c>
      <c r="N233" s="50" t="str">
        <f t="shared" si="47"/>
        <v>Klar</v>
      </c>
      <c r="O233" s="15" t="s">
        <v>127</v>
      </c>
      <c r="P233" s="16">
        <v>0.33333333333333298</v>
      </c>
      <c r="Q233" s="16">
        <v>0.70833333333333304</v>
      </c>
      <c r="R233" s="15" t="str">
        <f>IFERROR(MATCH(1,INDEX((MATCHER!$B$5:$B$504=A233)*(MATCHER!$D$5:$D$504=C233)*(MATCHER!$K$5:$K$504="Ja")*(MATCHER!$C$5:$C$504&lt;E233)*(MATCHER!$M$5:$M$504&gt;D233),0),0),"")</f>
        <v/>
      </c>
      <c r="S233" s="15" t="str">
        <f>IF(R233="","",IFERROR(MATCH(1,INDEX((MATCHER!$B$5:$B$504=A233)*(MATCHER!$D$5:$D$504=C233)*(MATCHER!$K$5:$K$504="Ja")*(MATCHER!$C$5:$C$504&lt;E233)*(MATCHER!$M$5:$M$504&gt;D233)*(ROW(MATCHER!$A$5:$A$504)-ROW(MATCHER!$A$5)+1&gt;R233),0),0),""))</f>
        <v/>
      </c>
      <c r="T233" s="15" t="str">
        <f>IF(S233="","",IFERROR(MATCH(1,INDEX((MATCHER!$B$5:$B$504=A233)*(MATCHER!$D$5:$D$504=C233)*(MATCHER!$K$5:$K$504="Ja")*(MATCHER!$C$5:$C$504&lt;E233)*(MATCHER!$M$5:$M$504&gt;D233)*(ROW(MATCHER!$A$5:$A$504)-ROW(MATCHER!$A$5)+1&gt;S233),0),0),""))</f>
        <v/>
      </c>
      <c r="U233" s="15">
        <f t="shared" si="48"/>
        <v>0</v>
      </c>
      <c r="V233" s="15">
        <f>IF(OR(I233&lt;&gt;"Ja",J233=""),"",COUNTIFS($O$5:O233,O233,$U$5:U233,1))</f>
        <v>2</v>
      </c>
      <c r="W233" s="15" t="str">
        <f t="shared" si="49"/>
        <v>2026-11-21 | Ulriksdalshallen|2</v>
      </c>
      <c r="X233" s="16" t="str">
        <f t="shared" si="50"/>
        <v/>
      </c>
      <c r="Y233" s="15">
        <f>IF(OR(I233&lt;&gt;"Ja",J233=""),0,IF(COUNTIFS($O$5:O233,O233,$I$5:I233,"Ja",$J$5:J233,"&lt;&gt;")=1,1,0))</f>
        <v>0</v>
      </c>
      <c r="Z233" s="15">
        <f>IF(OR(I233&lt;&gt;"Ja",J233=""),0,IF(COUNTIFS(O233:$O$546,O233,I233:$I$546,"Ja",J233:$J$546,"&lt;&gt;")=1,1,0))</f>
        <v>0</v>
      </c>
      <c r="AA233" s="15">
        <f t="shared" si="55"/>
        <v>2</v>
      </c>
      <c r="AB233" s="15" t="str">
        <f>IF(U233&lt;&gt;1,"",COUNTIF($U$5:U233,1))</f>
        <v/>
      </c>
      <c r="AC233" s="15" t="str">
        <f t="shared" si="51"/>
        <v/>
      </c>
      <c r="AD233" s="15" t="str">
        <f t="shared" si="52"/>
        <v>Vanligt café</v>
      </c>
      <c r="AE233" s="15" t="str">
        <f t="shared" si="53"/>
        <v/>
      </c>
      <c r="AF233" t="str">
        <f>IF(T233="","",IFERROR(MATCH(1,INDEX((MATCHER!$B$5:$B$504=A233)*(MATCHER!$D$5:$D$504=C233)*(MATCHER!$K$5:$K$504="Ja")*(MATCHER!$C$5:$C$504&lt;E233)*(MATCHER!$M$5:$M$504&gt;D233)*(ROW(MATCHER!$A$5:$A$504)-ROW(MATCHER!$A$5)+1&gt;T233),0),0),""))</f>
        <v/>
      </c>
    </row>
    <row r="234" spans="1:32" ht="26">
      <c r="A234" s="42">
        <v>46347</v>
      </c>
      <c r="B234" s="43" t="s">
        <v>85</v>
      </c>
      <c r="C234" s="43" t="s">
        <v>86</v>
      </c>
      <c r="D234" s="44">
        <v>0.66666666666666696</v>
      </c>
      <c r="E234" s="44">
        <v>0.6875</v>
      </c>
      <c r="F234" s="45" t="str">
        <f>IF(R234="","",HOUR(INDEX(MATCHER!$C$5:$C$504,R234))&amp;":"&amp;IF(MINUTE(INDEX(MATCHER!$C$5:$C$504,R234))&lt;10,"0","")&amp;MINUTE(INDEX(MATCHER!$C$5:$C$504,R234))&amp;" "&amp;INDEX(MATCHER!$H$5:$H$504,R234)&amp;" – "&amp;INDEX(MATCHER!$I$5:$I$504,R234))&amp;IF(S234="",""," | "&amp;HOUR(INDEX(MATCHER!$C$5:$C$504,S234))&amp;":"&amp;IF(MINUTE(INDEX(MATCHER!$C$5:$C$504,S234))&lt;10,"0","")&amp;MINUTE(INDEX(MATCHER!$C$5:$C$504,S234))&amp;" "&amp;INDEX(MATCHER!$H$5:$H$504,S234)&amp;" – "&amp;INDEX(MATCHER!$I$5:$I$504,S234))&amp;IF(T234="",""," | "&amp;HOUR(INDEX(MATCHER!$C$5:$C$504,T234))&amp;":"&amp;IF(MINUTE(INDEX(MATCHER!$C$5:$C$504,T234))&lt;10,"0","")&amp;MINUTE(INDEX(MATCHER!$C$5:$C$504,T234))&amp;" "&amp;INDEX(MATCHER!$H$5:$H$504,T234)&amp;" – "&amp;INDEX(MATCHER!$I$5:$I$504,T234))&amp;IF(AF234="",""," | "&amp;HOUR(INDEX(MATCHER!$C$5:$C$504,AF234))&amp;":"&amp;IF(MINUTE(INDEX(MATCHER!$C$5:$C$504,AF234))&lt;10,"0","")&amp;MINUTE(INDEX(MATCHER!$C$5:$C$504,AF234))&amp;" "&amp;INDEX(MATCHER!$H$5:$H$504,AF234)&amp;" – "&amp;INDEX(MATCHER!$I$5:$I$504,AF234))</f>
        <v>16:00 AIK – Hammarby IF HF 3</v>
      </c>
      <c r="G234" s="45" t="str">
        <f>MID(IF(R234="","",IF(OR(INDEX(MATCHER!$J$5:$J$504,R234)=""),""," / "&amp;INDEX(MATCHER!$J$5:$J$504,R234)))&amp;IF(S234="","",IF(OR(INDEX(MATCHER!$J$5:$J$504,S234)="",INDEX(MATCHER!$J$5:$J$504,S234)=IFERROR(INDEX(MATCHER!$J$5:$J$504,R234),"")),""," / "&amp;INDEX(MATCHER!$J$5:$J$504,S234)))&amp;IF(T234="","",IF(OR(INDEX(MATCHER!$J$5:$J$504,T234)="",INDEX(MATCHER!$J$5:$J$504,T234)=IFERROR(INDEX(MATCHER!$J$5:$J$504,R234),""),INDEX(MATCHER!$J$5:$J$504,T234)=IFERROR(INDEX(MATCHER!$J$5:$J$504,S234),"")),""," / "&amp;INDEX(MATCHER!$J$5:$J$504,T234)))&amp;IF(AF234="","",IF(OR(INDEX(MATCHER!$J$5:$J$504,AF234)="",INDEX(MATCHER!$J$5:$J$504,AF234)=IFERROR(INDEX(MATCHER!$J$5:$J$504,R234),""),INDEX(MATCHER!$J$5:$J$504,AF234)=IFERROR(INDEX(MATCHER!$J$5:$J$504,S234),""),INDEX(MATCHER!$J$5:$J$504,AF234)=IFERROR(INDEX(MATCHER!$J$5:$J$504,T234),"")),""," / "&amp;INDEX(MATCHER!$J$5:$J$504,AF234))),4,1000)</f>
        <v>F14</v>
      </c>
      <c r="H234" s="45" t="str">
        <f t="shared" si="54"/>
        <v>F13, F14</v>
      </c>
      <c r="I234" s="46" t="s">
        <v>90</v>
      </c>
      <c r="J234" s="47" t="s">
        <v>103</v>
      </c>
      <c r="K234" s="48"/>
      <c r="L234" s="49"/>
      <c r="M234" s="50" t="str">
        <f>IF(O234&lt;&gt;O233,MAX(1,MIN(AA234,ROUNDUP(SUMPRODUCT(($O$5:$O$546=O234)*($I$5:$I$546="Ja")*($E$5:$E$546-$D$5:$D$546))*24/REGLER!$B$8,0))),"")</f>
        <v/>
      </c>
      <c r="N234" s="50" t="str">
        <f t="shared" si="47"/>
        <v>Klar</v>
      </c>
      <c r="O234" s="15" t="s">
        <v>127</v>
      </c>
      <c r="P234" s="16">
        <v>0.33333333333333298</v>
      </c>
      <c r="Q234" s="16">
        <v>0.70833333333333304</v>
      </c>
      <c r="R234" s="15">
        <f>IFERROR(MATCH(1,INDEX((MATCHER!$B$5:$B$504=A234)*(MATCHER!$D$5:$D$504=C234)*(MATCHER!$K$5:$K$504="Ja")*(MATCHER!$C$5:$C$504&lt;E234)*(MATCHER!$M$5:$M$504&gt;D234),0),0),"")</f>
        <v>82</v>
      </c>
      <c r="S234" s="15" t="str">
        <f>IF(R234="","",IFERROR(MATCH(1,INDEX((MATCHER!$B$5:$B$504=A234)*(MATCHER!$D$5:$D$504=C234)*(MATCHER!$K$5:$K$504="Ja")*(MATCHER!$C$5:$C$504&lt;E234)*(MATCHER!$M$5:$M$504&gt;D234)*(ROW(MATCHER!$A$5:$A$504)-ROW(MATCHER!$A$5)+1&gt;R234),0),0),""))</f>
        <v/>
      </c>
      <c r="T234" s="15" t="str">
        <f>IF(S234="","",IFERROR(MATCH(1,INDEX((MATCHER!$B$5:$B$504=A234)*(MATCHER!$D$5:$D$504=C234)*(MATCHER!$K$5:$K$504="Ja")*(MATCHER!$C$5:$C$504&lt;E234)*(MATCHER!$M$5:$M$504&gt;D234)*(ROW(MATCHER!$A$5:$A$504)-ROW(MATCHER!$A$5)+1&gt;S234),0),0),""))</f>
        <v/>
      </c>
      <c r="U234" s="15">
        <f t="shared" si="48"/>
        <v>0</v>
      </c>
      <c r="V234" s="15">
        <f>IF(OR(I234&lt;&gt;"Ja",J234=""),"",COUNTIFS($O$5:O234,O234,$U$5:U234,1))</f>
        <v>2</v>
      </c>
      <c r="W234" s="15" t="str">
        <f t="shared" si="49"/>
        <v>2026-11-21 | Ulriksdalshallen|2</v>
      </c>
      <c r="X234" s="16" t="str">
        <f t="shared" si="50"/>
        <v/>
      </c>
      <c r="Y234" s="15">
        <f>IF(OR(I234&lt;&gt;"Ja",J234=""),0,IF(COUNTIFS($O$5:O234,O234,$I$5:I234,"Ja",$J$5:J234,"&lt;&gt;")=1,1,0))</f>
        <v>0</v>
      </c>
      <c r="Z234" s="15">
        <f>IF(OR(I234&lt;&gt;"Ja",J234=""),0,IF(COUNTIFS(O234:$O$546,O234,I234:$I$546,"Ja",J234:$J$546,"&lt;&gt;")=1,1,0))</f>
        <v>0</v>
      </c>
      <c r="AA234" s="15">
        <f t="shared" si="55"/>
        <v>2</v>
      </c>
      <c r="AB234" s="15" t="str">
        <f>IF(U234&lt;&gt;1,"",COUNTIF($U$5:U234,1))</f>
        <v/>
      </c>
      <c r="AC234" s="15" t="str">
        <f t="shared" si="51"/>
        <v/>
      </c>
      <c r="AD234" s="15" t="str">
        <f t="shared" si="52"/>
        <v>Vanligt café</v>
      </c>
      <c r="AE234" s="15" t="str">
        <f t="shared" si="53"/>
        <v/>
      </c>
      <c r="AF234" t="str">
        <f>IF(T234="","",IFERROR(MATCH(1,INDEX((MATCHER!$B$5:$B$504=A234)*(MATCHER!$D$5:$D$504=C234)*(MATCHER!$K$5:$K$504="Ja")*(MATCHER!$C$5:$C$504&lt;E234)*(MATCHER!$M$5:$M$504&gt;D234)*(ROW(MATCHER!$A$5:$A$504)-ROW(MATCHER!$A$5)+1&gt;T234),0),0),""))</f>
        <v/>
      </c>
    </row>
    <row r="235" spans="1:32" ht="26.5" thickBot="1">
      <c r="A235" s="52">
        <v>46347</v>
      </c>
      <c r="B235" s="53" t="s">
        <v>85</v>
      </c>
      <c r="C235" s="53" t="s">
        <v>86</v>
      </c>
      <c r="D235" s="54">
        <v>0.6875</v>
      </c>
      <c r="E235" s="54">
        <v>0.70833333333333304</v>
      </c>
      <c r="F235" s="55" t="str">
        <f>IF(R235="","",HOUR(INDEX(MATCHER!$C$5:$C$504,R235))&amp;":"&amp;IF(MINUTE(INDEX(MATCHER!$C$5:$C$504,R235))&lt;10,"0","")&amp;MINUTE(INDEX(MATCHER!$C$5:$C$504,R235))&amp;" "&amp;INDEX(MATCHER!$H$5:$H$504,R235)&amp;" – "&amp;INDEX(MATCHER!$I$5:$I$504,R235))&amp;IF(S235="",""," | "&amp;HOUR(INDEX(MATCHER!$C$5:$C$504,S235))&amp;":"&amp;IF(MINUTE(INDEX(MATCHER!$C$5:$C$504,S235))&lt;10,"0","")&amp;MINUTE(INDEX(MATCHER!$C$5:$C$504,S235))&amp;" "&amp;INDEX(MATCHER!$H$5:$H$504,S235)&amp;" – "&amp;INDEX(MATCHER!$I$5:$I$504,S235))&amp;IF(T235="",""," | "&amp;HOUR(INDEX(MATCHER!$C$5:$C$504,T235))&amp;":"&amp;IF(MINUTE(INDEX(MATCHER!$C$5:$C$504,T235))&lt;10,"0","")&amp;MINUTE(INDEX(MATCHER!$C$5:$C$504,T235))&amp;" "&amp;INDEX(MATCHER!$H$5:$H$504,T235)&amp;" – "&amp;INDEX(MATCHER!$I$5:$I$504,T235))&amp;IF(AF235="",""," | "&amp;HOUR(INDEX(MATCHER!$C$5:$C$504,AF235))&amp;":"&amp;IF(MINUTE(INDEX(MATCHER!$C$5:$C$504,AF235))&lt;10,"0","")&amp;MINUTE(INDEX(MATCHER!$C$5:$C$504,AF235))&amp;" "&amp;INDEX(MATCHER!$H$5:$H$504,AF235)&amp;" – "&amp;INDEX(MATCHER!$I$5:$I$504,AF235))</f>
        <v>16:00 AIK – Hammarby IF HF 3</v>
      </c>
      <c r="G235" s="55" t="str">
        <f>MID(IF(R235="","",IF(OR(INDEX(MATCHER!$J$5:$J$504,R235)=""),""," / "&amp;INDEX(MATCHER!$J$5:$J$504,R235)))&amp;IF(S235="","",IF(OR(INDEX(MATCHER!$J$5:$J$504,S235)="",INDEX(MATCHER!$J$5:$J$504,S235)=IFERROR(INDEX(MATCHER!$J$5:$J$504,R235),"")),""," / "&amp;INDEX(MATCHER!$J$5:$J$504,S235)))&amp;IF(T235="","",IF(OR(INDEX(MATCHER!$J$5:$J$504,T235)="",INDEX(MATCHER!$J$5:$J$504,T235)=IFERROR(INDEX(MATCHER!$J$5:$J$504,R235),""),INDEX(MATCHER!$J$5:$J$504,T235)=IFERROR(INDEX(MATCHER!$J$5:$J$504,S235),"")),""," / "&amp;INDEX(MATCHER!$J$5:$J$504,T235)))&amp;IF(AF235="","",IF(OR(INDEX(MATCHER!$J$5:$J$504,AF235)="",INDEX(MATCHER!$J$5:$J$504,AF235)=IFERROR(INDEX(MATCHER!$J$5:$J$504,R235),""),INDEX(MATCHER!$J$5:$J$504,AF235)=IFERROR(INDEX(MATCHER!$J$5:$J$504,S235),""),INDEX(MATCHER!$J$5:$J$504,AF235)=IFERROR(INDEX(MATCHER!$J$5:$J$504,T235),"")),""," / "&amp;INDEX(MATCHER!$J$5:$J$504,AF235))),4,1000)</f>
        <v>F14</v>
      </c>
      <c r="H235" s="55" t="str">
        <f t="shared" si="54"/>
        <v>F13, F14</v>
      </c>
      <c r="I235" s="56" t="s">
        <v>90</v>
      </c>
      <c r="J235" s="57" t="s">
        <v>103</v>
      </c>
      <c r="K235" s="58"/>
      <c r="L235" s="59"/>
      <c r="M235" s="60" t="str">
        <f>IF(O235&lt;&gt;O234,MAX(1,MIN(AA235,ROUNDUP(SUMPRODUCT(($O$5:$O$546=O235)*($I$5:$I$546="Ja")*($E$5:$E$546-$D$5:$D$546))*24/REGLER!$B$8,0))),"")</f>
        <v/>
      </c>
      <c r="N235" s="60" t="str">
        <f t="shared" si="47"/>
        <v>Klar</v>
      </c>
      <c r="O235" s="15" t="s">
        <v>127</v>
      </c>
      <c r="P235" s="16">
        <v>0.33333333333333298</v>
      </c>
      <c r="Q235" s="16">
        <v>0.70833333333333304</v>
      </c>
      <c r="R235" s="15">
        <f>IFERROR(MATCH(1,INDEX((MATCHER!$B$5:$B$504=A235)*(MATCHER!$D$5:$D$504=C235)*(MATCHER!$K$5:$K$504="Ja")*(MATCHER!$C$5:$C$504&lt;E235)*(MATCHER!$M$5:$M$504&gt;D235),0),0),"")</f>
        <v>82</v>
      </c>
      <c r="S235" s="15" t="str">
        <f>IF(R235="","",IFERROR(MATCH(1,INDEX((MATCHER!$B$5:$B$504=A235)*(MATCHER!$D$5:$D$504=C235)*(MATCHER!$K$5:$K$504="Ja")*(MATCHER!$C$5:$C$504&lt;E235)*(MATCHER!$M$5:$M$504&gt;D235)*(ROW(MATCHER!$A$5:$A$504)-ROW(MATCHER!$A$5)+1&gt;R235),0),0),""))</f>
        <v/>
      </c>
      <c r="T235" s="15" t="str">
        <f>IF(S235="","",IFERROR(MATCH(1,INDEX((MATCHER!$B$5:$B$504=A235)*(MATCHER!$D$5:$D$504=C235)*(MATCHER!$K$5:$K$504="Ja")*(MATCHER!$C$5:$C$504&lt;E235)*(MATCHER!$M$5:$M$504&gt;D235)*(ROW(MATCHER!$A$5:$A$504)-ROW(MATCHER!$A$5)+1&gt;S235),0),0),""))</f>
        <v/>
      </c>
      <c r="U235" s="15">
        <f t="shared" si="48"/>
        <v>0</v>
      </c>
      <c r="V235" s="15">
        <f>IF(OR(I235&lt;&gt;"Ja",J235=""),"",COUNTIFS($O$5:O235,O235,$U$5:U235,1))</f>
        <v>2</v>
      </c>
      <c r="W235" s="15" t="str">
        <f t="shared" si="49"/>
        <v>2026-11-21 | Ulriksdalshallen|2</v>
      </c>
      <c r="X235" s="16">
        <f t="shared" si="50"/>
        <v>0.70833333333333304</v>
      </c>
      <c r="Y235" s="15">
        <f>IF(OR(I235&lt;&gt;"Ja",J235=""),0,IF(COUNTIFS($O$5:O235,O235,$I$5:I235,"Ja",$J$5:J235,"&lt;&gt;")=1,1,0))</f>
        <v>0</v>
      </c>
      <c r="Z235" s="15">
        <f>IF(OR(I235&lt;&gt;"Ja",J235=""),0,IF(COUNTIFS(O235:$O$546,O235,I235:$I$546,"Ja",J235:$J$546,"&lt;&gt;")=1,1,0))</f>
        <v>1</v>
      </c>
      <c r="AA235" s="15">
        <f t="shared" si="55"/>
        <v>2</v>
      </c>
      <c r="AB235" s="15" t="str">
        <f>IF(U235&lt;&gt;1,"",COUNTIF($U$5:U235,1))</f>
        <v/>
      </c>
      <c r="AC235" s="15" t="str">
        <f t="shared" si="51"/>
        <v>2026-11-21 | Ulriksdalshallen|2</v>
      </c>
      <c r="AD235" s="15" t="str">
        <f t="shared" si="52"/>
        <v>Vanligt café</v>
      </c>
      <c r="AE235" s="15" t="str">
        <f t="shared" si="53"/>
        <v/>
      </c>
      <c r="AF235" t="str">
        <f>IF(T235="","",IFERROR(MATCH(1,INDEX((MATCHER!$B$5:$B$504=A235)*(MATCHER!$D$5:$D$504=C235)*(MATCHER!$K$5:$K$504="Ja")*(MATCHER!$C$5:$C$504&lt;E235)*(MATCHER!$M$5:$M$504&gt;D235)*(ROW(MATCHER!$A$5:$A$504)-ROW(MATCHER!$A$5)+1&gt;T235),0),0),""))</f>
        <v/>
      </c>
    </row>
    <row r="236" spans="1:32" ht="13">
      <c r="A236" s="42">
        <v>46354</v>
      </c>
      <c r="B236" s="43" t="s">
        <v>85</v>
      </c>
      <c r="C236" s="43" t="s">
        <v>94</v>
      </c>
      <c r="D236" s="44">
        <v>0.45833333333333298</v>
      </c>
      <c r="E236" s="44">
        <v>0.47916666666666702</v>
      </c>
      <c r="F236" s="45" t="str">
        <f>IF(R236="","",HOUR(INDEX(MATCHER!$C$5:$C$504,R236))&amp;":"&amp;IF(MINUTE(INDEX(MATCHER!$C$5:$C$504,R236))&lt;10,"0","")&amp;MINUTE(INDEX(MATCHER!$C$5:$C$504,R236))&amp;" "&amp;INDEX(MATCHER!$H$5:$H$504,R236)&amp;" – "&amp;INDEX(MATCHER!$I$5:$I$504,R236))&amp;IF(S236="",""," | "&amp;HOUR(INDEX(MATCHER!$C$5:$C$504,S236))&amp;":"&amp;IF(MINUTE(INDEX(MATCHER!$C$5:$C$504,S236))&lt;10,"0","")&amp;MINUTE(INDEX(MATCHER!$C$5:$C$504,S236))&amp;" "&amp;INDEX(MATCHER!$H$5:$H$504,S236)&amp;" – "&amp;INDEX(MATCHER!$I$5:$I$504,S236))&amp;IF(T236="",""," | "&amp;HOUR(INDEX(MATCHER!$C$5:$C$504,T236))&amp;":"&amp;IF(MINUTE(INDEX(MATCHER!$C$5:$C$504,T236))&lt;10,"0","")&amp;MINUTE(INDEX(MATCHER!$C$5:$C$504,T236))&amp;" "&amp;INDEX(MATCHER!$H$5:$H$504,T236)&amp;" – "&amp;INDEX(MATCHER!$I$5:$I$504,T236))&amp;IF(AF236="",""," | "&amp;HOUR(INDEX(MATCHER!$C$5:$C$504,AF236))&amp;":"&amp;IF(MINUTE(INDEX(MATCHER!$C$5:$C$504,AF236))&lt;10,"0","")&amp;MINUTE(INDEX(MATCHER!$C$5:$C$504,AF236))&amp;" "&amp;INDEX(MATCHER!$H$5:$H$504,AF236)&amp;" – "&amp;INDEX(MATCHER!$I$5:$I$504,AF236))</f>
        <v/>
      </c>
      <c r="G236" s="45" t="str">
        <f>MID(IF(R236="","",IF(OR(INDEX(MATCHER!$J$5:$J$504,R236)=""),""," / "&amp;INDEX(MATCHER!$J$5:$J$504,R236)))&amp;IF(S236="","",IF(OR(INDEX(MATCHER!$J$5:$J$504,S236)="",INDEX(MATCHER!$J$5:$J$504,S236)=IFERROR(INDEX(MATCHER!$J$5:$J$504,R236),"")),""," / "&amp;INDEX(MATCHER!$J$5:$J$504,S236)))&amp;IF(T236="","",IF(OR(INDEX(MATCHER!$J$5:$J$504,T236)="",INDEX(MATCHER!$J$5:$J$504,T236)=IFERROR(INDEX(MATCHER!$J$5:$J$504,R236),""),INDEX(MATCHER!$J$5:$J$504,T236)=IFERROR(INDEX(MATCHER!$J$5:$J$504,S236),"")),""," / "&amp;INDEX(MATCHER!$J$5:$J$504,T236)))&amp;IF(AF236="","",IF(OR(INDEX(MATCHER!$J$5:$J$504,AF236)="",INDEX(MATCHER!$J$5:$J$504,AF236)=IFERROR(INDEX(MATCHER!$J$5:$J$504,R236),""),INDEX(MATCHER!$J$5:$J$504,AF236)=IFERROR(INDEX(MATCHER!$J$5:$J$504,S236),""),INDEX(MATCHER!$J$5:$J$504,AF236)=IFERROR(INDEX(MATCHER!$J$5:$J$504,T236),"")),""," / "&amp;INDEX(MATCHER!$J$5:$J$504,AF236))),4,1000)</f>
        <v/>
      </c>
      <c r="H236" s="45" t="str">
        <f>MID(IF(COUNTIFS(MATCHER!$B$5:$B$504,A236,MATCHER!$D$5:$D$504,C236,MATCHER!$J$5:$J$504,REGLER!$I$6,MATCHER!$K$5:$K$504,"Ja")+COUNTIFS(MATCHER!$B$5:$B$504,A236,MATCHER!$D$5:$D$504,C236,MATCHER!$J$5:$J$504,REGLER!$I$6&amp;" 2",MATCHER!$K$5:$K$504,"Ja")&gt;0,", "&amp;REGLER!$I$6,"")&amp;IF(COUNTIFS(MATCHER!$B$5:$B$504,A236,MATCHER!$D$5:$D$504,C236,MATCHER!$J$5:$J$504,REGLER!$I$7,MATCHER!$K$5:$K$504,"Ja")+COUNTIFS(MATCHER!$B$5:$B$504,A236,MATCHER!$D$5:$D$504,C236,MATCHER!$J$5:$J$504,REGLER!$I$7&amp;" 2",MATCHER!$K$5:$K$504,"Ja")&gt;0,", "&amp;REGLER!$I$7,"")&amp;IF(COUNTIFS(MATCHER!$B$5:$B$504,A236,MATCHER!$D$5:$D$504,C236,MATCHER!$J$5:$J$504,REGLER!$I$8,MATCHER!$K$5:$K$504,"Ja")+COUNTIFS(MATCHER!$B$5:$B$504,A236,MATCHER!$D$5:$D$504,C236,MATCHER!$J$5:$J$504,REGLER!$I$8&amp;" 2",MATCHER!$K$5:$K$504,"Ja")&gt;0,", "&amp;REGLER!$I$8,"")&amp;IF(COUNTIFS(MATCHER!$B$5:$B$504,A236,MATCHER!$D$5:$D$504,C236,MATCHER!$J$5:$J$504,REGLER!$I$9,MATCHER!$K$5:$K$504,"Ja")+COUNTIFS(MATCHER!$B$5:$B$504,A236,MATCHER!$D$5:$D$504,C236,MATCHER!$J$5:$J$504,REGLER!$I$9&amp;" 2",MATCHER!$K$5:$K$504,"Ja")&gt;0,", "&amp;REGLER!$I$9,"")&amp;IF(COUNTIFS(MATCHER!$B$5:$B$504,A236,MATCHER!$D$5:$D$504,C236,MATCHER!$J$5:$J$504,REGLER!$I$10,MATCHER!$K$5:$K$504,"Ja")+COUNTIFS(MATCHER!$B$5:$B$504,A236,MATCHER!$D$5:$D$504,C236,MATCHER!$J$5:$J$504,REGLER!$I$10&amp;" 2",MATCHER!$K$5:$K$504,"Ja")&gt;0,", "&amp;REGLER!$I$10,"")&amp;IF(COUNTIFS(MATCHER!$B$5:$B$504,A236,MATCHER!$D$5:$D$504,C236,MATCHER!$J$5:$J$504,REGLER!$I$11,MATCHER!$K$5:$K$504,"Ja")+COUNTIFS(MATCHER!$B$5:$B$504,A236,MATCHER!$D$5:$D$504,C236,MATCHER!$J$5:$J$504,REGLER!$I$11&amp;" 2",MATCHER!$K$5:$K$504,"Ja")&gt;0,", "&amp;REGLER!$I$11,"")&amp;IF(COUNTIFS(MATCHER!$B$5:$B$504,A236,MATCHER!$D$5:$D$504,C236,MATCHER!$J$5:$J$504,REGLER!$I$12,MATCHER!$K$5:$K$504,"Ja")+COUNTIFS(MATCHER!$B$5:$B$504,A236,MATCHER!$D$5:$D$504,C236,MATCHER!$J$5:$J$504,REGLER!$I$12&amp;" 2",MATCHER!$K$5:$K$504,"Ja")&gt;0,", "&amp;REGLER!$I$12,"")&amp;IF(COUNTIFS(MATCHER!$B$5:$B$504,A236,MATCHER!$D$5:$D$504,C236,MATCHER!$J$5:$J$504,REGLER!$I$13,MATCHER!$K$5:$K$504,"Ja")+COUNTIFS(MATCHER!$B$5:$B$504,A236,MATCHER!$D$5:$D$504,C236,MATCHER!$J$5:$J$504,REGLER!$I$13&amp;" 2",MATCHER!$K$5:$K$504,"Ja")&gt;0,", "&amp;REGLER!$I$13,"")&amp;IF(COUNTIFS(MATCHER!$B$5:$B$504,A236,MATCHER!$D$5:$D$504,C236,MATCHER!$J$5:$J$504,REGLER!$I$14,MATCHER!$K$5:$K$504,"Ja")+COUNTIFS(MATCHER!$B$5:$B$504,A236,MATCHER!$D$5:$D$504,C236,MATCHER!$J$5:$J$504,REGLER!$I$14&amp;" 2",MATCHER!$K$5:$K$504,"Ja")&gt;0,", "&amp;REGLER!$I$14,"")&amp;IF(COUNTIFS(MATCHER!$B$5:$B$504,A236,MATCHER!$D$5:$D$504,C236,MATCHER!$J$5:$J$504,REGLER!$I$15,MATCHER!$K$5:$K$504,"Ja")+COUNTIFS(MATCHER!$B$5:$B$504,A236,MATCHER!$D$5:$D$504,C236,MATCHER!$J$5:$J$504,REGLER!$I$15&amp;" 2",MATCHER!$K$5:$K$504,"Ja")&gt;0,", "&amp;REGLER!$I$15,"")&amp;IF(COUNTIFS(MATCHER!$B$5:$B$504,A236,MATCHER!$D$5:$D$504,C236,MATCHER!$J$5:$J$504,REGLER!$I$16,MATCHER!$K$5:$K$504,"Ja")+COUNTIFS(MATCHER!$B$5:$B$504,A236,MATCHER!$D$5:$D$504,C236,MATCHER!$J$5:$J$504,REGLER!$I$16&amp;" 2",MATCHER!$K$5:$K$504,"Ja")&gt;0,", "&amp;REGLER!$I$16,"")&amp;IF(COUNTIFS(MATCHER!$B$5:$B$504,A236,MATCHER!$D$5:$D$504,C236,MATCHER!$J$5:$J$504,REGLER!$I$17,MATCHER!$K$5:$K$504,"Ja")+COUNTIFS(MATCHER!$B$5:$B$504,A236,MATCHER!$D$5:$D$504,C236,MATCHER!$J$5:$J$504,REGLER!$I$17&amp;" 2",MATCHER!$K$5:$K$504,"Ja")&gt;0,", "&amp;REGLER!$I$17,"")&amp;IF(COUNTIFS(MATCHER!$B$5:$B$504,A236,MATCHER!$D$5:$D$504,C236,MATCHER!$J$5:$J$504,REGLER!$I$18,MATCHER!$K$5:$K$504,"Ja")+COUNTIFS(MATCHER!$B$5:$B$504,A236,MATCHER!$D$5:$D$504,C236,MATCHER!$J$5:$J$504,REGLER!$I$18&amp;" 2",MATCHER!$K$5:$K$504,"Ja")&gt;0,", "&amp;REGLER!$I$18,"")&amp;IF(COUNTIFS(MATCHER!$B$5:$B$504,A236,MATCHER!$D$5:$D$504,C236,MATCHER!$J$5:$J$504,REGLER!$I$19,MATCHER!$K$5:$K$504,"Ja")+COUNTIFS(MATCHER!$B$5:$B$504,A236,MATCHER!$D$5:$D$504,C236,MATCHER!$J$5:$J$504,REGLER!$I$19&amp;" 2",MATCHER!$K$5:$K$504,"Ja")&gt;0,", "&amp;REGLER!$I$19,"")&amp;IF(COUNTIFS(MATCHER!$B$5:$B$504,A236,MATCHER!$D$5:$D$504,C236,MATCHER!$J$5:$J$504,REGLER!$I$20,MATCHER!$K$5:$K$504,"Ja")+COUNTIFS(MATCHER!$B$5:$B$504,A236,MATCHER!$D$5:$D$504,C236,MATCHER!$J$5:$J$504,REGLER!$I$20&amp;" 2",MATCHER!$K$5:$K$504,"Ja")&gt;0,", "&amp;REGLER!$I$20,"")&amp;IF(COUNTIFS(MATCHER!$B$5:$B$504,A236,MATCHER!$D$5:$D$504,C236,MATCHER!$J$5:$J$504,REGLER!$I$21,MATCHER!$K$5:$K$504,"Ja")+COUNTIFS(MATCHER!$B$5:$B$504,A236,MATCHER!$D$5:$D$504,C236,MATCHER!$J$5:$J$504,REGLER!$I$21&amp;" 2",MATCHER!$K$5:$K$504,"Ja")&gt;0,", "&amp;REGLER!$I$21,"")&amp;IF(COUNTIFS(MATCHER!$B$5:$B$504,A236,MATCHER!$D$5:$D$504,C236,MATCHER!$J$5:$J$504,REGLER!$I$22,MATCHER!$K$5:$K$504,"Ja")+COUNTIFS(MATCHER!$B$5:$B$504,A236,MATCHER!$D$5:$D$504,C236,MATCHER!$J$5:$J$504,REGLER!$I$22&amp;" 2",MATCHER!$K$5:$K$504,"Ja")&gt;0,", "&amp;REGLER!$I$22,"")&amp;IF(COUNTIFS(MATCHER!$B$5:$B$504,A236,MATCHER!$D$5:$D$504,C236,MATCHER!$J$5:$J$504,REGLER!$I$23,MATCHER!$K$5:$K$504,"Ja")+COUNTIFS(MATCHER!$B$5:$B$504,A236,MATCHER!$D$5:$D$504,C236,MATCHER!$J$5:$J$504,REGLER!$I$23&amp;" 2",MATCHER!$K$5:$K$504,"Ja")&gt;0,", "&amp;REGLER!$I$23,"")&amp;IF(COUNTIFS(MATCHER!$B$5:$B$504,A236,MATCHER!$D$5:$D$504,C236,MATCHER!$J$5:$J$504,REGLER!$I$24,MATCHER!$K$5:$K$504,"Ja")+COUNTIFS(MATCHER!$B$5:$B$504,A236,MATCHER!$D$5:$D$504,C236,MATCHER!$J$5:$J$504,REGLER!$I$24&amp;" 2",MATCHER!$K$5:$K$504,"Ja")&gt;0,", "&amp;REGLER!$I$24,"")&amp;IF(COUNTIFS(MATCHER!$B$5:$B$504,A236,MATCHER!$D$5:$D$504,C236,MATCHER!$J$5:$J$504,REGLER!$I$25,MATCHER!$K$5:$K$504,"Ja")+COUNTIFS(MATCHER!$B$5:$B$504,A236,MATCHER!$D$5:$D$504,C236,MATCHER!$J$5:$J$504,REGLER!$I$25&amp;" 2",MATCHER!$K$5:$K$504,"Ja")&gt;0,", "&amp;REGLER!$I$25,"")&amp;IF(COUNTIFS(MATCHER!$B$5:$B$504,A236,MATCHER!$D$5:$D$504,C236,MATCHER!$J$5:$J$504,REGLER!$I$26,MATCHER!$K$5:$K$504,"Ja")+COUNTIFS(MATCHER!$B$5:$B$504,A236,MATCHER!$D$5:$D$504,C236,MATCHER!$J$5:$J$504,REGLER!$I$26&amp;" 2",MATCHER!$K$5:$K$504,"Ja")&gt;0,", "&amp;REGLER!$I$26,""),3,1000)</f>
        <v>F16, Herr</v>
      </c>
      <c r="I236" s="46" t="s">
        <v>90</v>
      </c>
      <c r="J236" s="47" t="s">
        <v>128</v>
      </c>
      <c r="K236" s="48" t="s">
        <v>98</v>
      </c>
      <c r="L236" s="49"/>
      <c r="M236" s="50">
        <f>IF(O236&lt;&gt;O235,MAX(1,MIN(AA236,ROUNDUP(SUMPRODUCT(($O$5:$O$546=O236)*($I$5:$I$546="Ja")*($E$5:$E$546-$D$5:$D$546))*24/REGLER!$B$8,0))),"")</f>
        <v>2</v>
      </c>
      <c r="N236" s="50" t="str">
        <f t="shared" si="47"/>
        <v>Klar</v>
      </c>
      <c r="O236" s="15" t="s">
        <v>129</v>
      </c>
      <c r="P236" s="16">
        <v>0.45833333333333298</v>
      </c>
      <c r="Q236" s="16">
        <v>0.625</v>
      </c>
      <c r="R236" s="15" t="str">
        <f>IFERROR(MATCH(1,INDEX((MATCHER!$B$5:$B$504=A236)*(MATCHER!$D$5:$D$504=C236)*(MATCHER!$K$5:$K$504="Ja")*(MATCHER!$C$5:$C$504&lt;E236)*(MATCHER!$M$5:$M$504&gt;D236),0),0),"")</f>
        <v/>
      </c>
      <c r="S236" s="15" t="str">
        <f>IF(R236="","",IFERROR(MATCH(1,INDEX((MATCHER!$B$5:$B$504=A236)*(MATCHER!$D$5:$D$504=C236)*(MATCHER!$K$5:$K$504="Ja")*(MATCHER!$C$5:$C$504&lt;E236)*(MATCHER!$M$5:$M$504&gt;D236)*(ROW(MATCHER!$A$5:$A$504)-ROW(MATCHER!$A$5)+1&gt;R236),0),0),""))</f>
        <v/>
      </c>
      <c r="T236" s="15" t="str">
        <f>IF(S236="","",IFERROR(MATCH(1,INDEX((MATCHER!$B$5:$B$504=A236)*(MATCHER!$D$5:$D$504=C236)*(MATCHER!$K$5:$K$504="Ja")*(MATCHER!$C$5:$C$504&lt;E236)*(MATCHER!$M$5:$M$504&gt;D236)*(ROW(MATCHER!$A$5:$A$504)-ROW(MATCHER!$A$5)+1&gt;S236),0),0),""))</f>
        <v/>
      </c>
      <c r="U236" s="15">
        <f t="shared" si="48"/>
        <v>1</v>
      </c>
      <c r="V236" s="15">
        <f>IF(OR(I236&lt;&gt;"Ja",J236=""),"",COUNTIFS($O$5:O236,O236,$U$5:U236,1))</f>
        <v>1</v>
      </c>
      <c r="W236" s="15" t="str">
        <f t="shared" si="49"/>
        <v>2026-11-28 | Råsta Park|1</v>
      </c>
      <c r="X236" s="16" t="str">
        <f t="shared" si="50"/>
        <v/>
      </c>
      <c r="Y236" s="15">
        <f>IF(OR(I236&lt;&gt;"Ja",J236=""),0,IF(COUNTIFS($O$5:O236,O236,$I$5:I236,"Ja",$J$5:J236,"&lt;&gt;")=1,1,0))</f>
        <v>1</v>
      </c>
      <c r="Z236" s="15">
        <f>IF(OR(I236&lt;&gt;"Ja",J236=""),0,IF(COUNTIFS(O236:$O$546,O236,I236:$I$546,"Ja",J236:$J$546,"&lt;&gt;")=1,1,0))</f>
        <v>0</v>
      </c>
      <c r="AA236" s="15">
        <f>IF(COUNTIFS(MATCHER!$B$5:$B$504,A236,MATCHER!$D$5:$D$504,C236,MATCHER!$J$5:$J$504,REGLER!$I$6,MATCHER!$K$5:$K$504,"Ja")+COUNTIFS(MATCHER!$B$5:$B$504,A236,MATCHER!$D$5:$D$504,C236,MATCHER!$J$5:$J$504,REGLER!$I$6&amp;" 2",MATCHER!$K$5:$K$504,"Ja")&gt;0,1,0)+IF(COUNTIFS(MATCHER!$B$5:$B$504,A236,MATCHER!$D$5:$D$504,C236,MATCHER!$J$5:$J$504,REGLER!$I$7,MATCHER!$K$5:$K$504,"Ja")+COUNTIFS(MATCHER!$B$5:$B$504,A236,MATCHER!$D$5:$D$504,C236,MATCHER!$J$5:$J$504,REGLER!$I$7&amp;" 2",MATCHER!$K$5:$K$504,"Ja")&gt;0,1,0)+IF(COUNTIFS(MATCHER!$B$5:$B$504,A236,MATCHER!$D$5:$D$504,C236,MATCHER!$J$5:$J$504,REGLER!$I$8,MATCHER!$K$5:$K$504,"Ja")+COUNTIFS(MATCHER!$B$5:$B$504,A236,MATCHER!$D$5:$D$504,C236,MATCHER!$J$5:$J$504,REGLER!$I$8&amp;" 2",MATCHER!$K$5:$K$504,"Ja")&gt;0,1,0)+IF(COUNTIFS(MATCHER!$B$5:$B$504,A236,MATCHER!$D$5:$D$504,C236,MATCHER!$J$5:$J$504,REGLER!$I$9,MATCHER!$K$5:$K$504,"Ja")+COUNTIFS(MATCHER!$B$5:$B$504,A236,MATCHER!$D$5:$D$504,C236,MATCHER!$J$5:$J$504,REGLER!$I$9&amp;" 2",MATCHER!$K$5:$K$504,"Ja")&gt;0,1,0)+IF(COUNTIFS(MATCHER!$B$5:$B$504,A236,MATCHER!$D$5:$D$504,C236,MATCHER!$J$5:$J$504,REGLER!$I$10,MATCHER!$K$5:$K$504,"Ja")+COUNTIFS(MATCHER!$B$5:$B$504,A236,MATCHER!$D$5:$D$504,C236,MATCHER!$J$5:$J$504,REGLER!$I$10&amp;" 2",MATCHER!$K$5:$K$504,"Ja")&gt;0,1,0)+IF(COUNTIFS(MATCHER!$B$5:$B$504,A236,MATCHER!$D$5:$D$504,C236,MATCHER!$J$5:$J$504,REGLER!$I$11,MATCHER!$K$5:$K$504,"Ja")+COUNTIFS(MATCHER!$B$5:$B$504,A236,MATCHER!$D$5:$D$504,C236,MATCHER!$J$5:$J$504,REGLER!$I$11&amp;" 2",MATCHER!$K$5:$K$504,"Ja")&gt;0,1,0)+IF(COUNTIFS(MATCHER!$B$5:$B$504,A236,MATCHER!$D$5:$D$504,C236,MATCHER!$J$5:$J$504,REGLER!$I$12,MATCHER!$K$5:$K$504,"Ja")+COUNTIFS(MATCHER!$B$5:$B$504,A236,MATCHER!$D$5:$D$504,C236,MATCHER!$J$5:$J$504,REGLER!$I$12&amp;" 2",MATCHER!$K$5:$K$504,"Ja")&gt;0,1,0)+IF(COUNTIFS(MATCHER!$B$5:$B$504,A236,MATCHER!$D$5:$D$504,C236,MATCHER!$J$5:$J$504,REGLER!$I$13,MATCHER!$K$5:$K$504,"Ja")+COUNTIFS(MATCHER!$B$5:$B$504,A236,MATCHER!$D$5:$D$504,C236,MATCHER!$J$5:$J$504,REGLER!$I$13&amp;" 2",MATCHER!$K$5:$K$504,"Ja")&gt;0,1,0)+IF(COUNTIFS(MATCHER!$B$5:$B$504,A236,MATCHER!$D$5:$D$504,C236,MATCHER!$J$5:$J$504,REGLER!$I$14,MATCHER!$K$5:$K$504,"Ja")+COUNTIFS(MATCHER!$B$5:$B$504,A236,MATCHER!$D$5:$D$504,C236,MATCHER!$J$5:$J$504,REGLER!$I$14&amp;" 2",MATCHER!$K$5:$K$504,"Ja")&gt;0,1,0)+IF(COUNTIFS(MATCHER!$B$5:$B$504,A236,MATCHER!$D$5:$D$504,C236,MATCHER!$J$5:$J$504,REGLER!$I$15,MATCHER!$K$5:$K$504,"Ja")+COUNTIFS(MATCHER!$B$5:$B$504,A236,MATCHER!$D$5:$D$504,C236,MATCHER!$J$5:$J$504,REGLER!$I$15&amp;" 2",MATCHER!$K$5:$K$504,"Ja")&gt;0,1,0)+IF(COUNTIFS(MATCHER!$B$5:$B$504,A236,MATCHER!$D$5:$D$504,C236,MATCHER!$J$5:$J$504,REGLER!$I$16,MATCHER!$K$5:$K$504,"Ja")+COUNTIFS(MATCHER!$B$5:$B$504,A236,MATCHER!$D$5:$D$504,C236,MATCHER!$J$5:$J$504,REGLER!$I$16&amp;" 2",MATCHER!$K$5:$K$504,"Ja")&gt;0,1,0)+IF(COUNTIFS(MATCHER!$B$5:$B$504,A236,MATCHER!$D$5:$D$504,C236,MATCHER!$J$5:$J$504,REGLER!$I$17,MATCHER!$K$5:$K$504,"Ja")+COUNTIFS(MATCHER!$B$5:$B$504,A236,MATCHER!$D$5:$D$504,C236,MATCHER!$J$5:$J$504,REGLER!$I$17&amp;" 2",MATCHER!$K$5:$K$504,"Ja")&gt;0,1,0)+IF(COUNTIFS(MATCHER!$B$5:$B$504,A236,MATCHER!$D$5:$D$504,C236,MATCHER!$J$5:$J$504,REGLER!$I$18,MATCHER!$K$5:$K$504,"Ja")+COUNTIFS(MATCHER!$B$5:$B$504,A236,MATCHER!$D$5:$D$504,C236,MATCHER!$J$5:$J$504,REGLER!$I$18&amp;" 2",MATCHER!$K$5:$K$504,"Ja")&gt;0,1,0)+IF(COUNTIFS(MATCHER!$B$5:$B$504,A236,MATCHER!$D$5:$D$504,C236,MATCHER!$J$5:$J$504,REGLER!$I$19,MATCHER!$K$5:$K$504,"Ja")+COUNTIFS(MATCHER!$B$5:$B$504,A236,MATCHER!$D$5:$D$504,C236,MATCHER!$J$5:$J$504,REGLER!$I$19&amp;" 2",MATCHER!$K$5:$K$504,"Ja")&gt;0,1,0)+IF(COUNTIFS(MATCHER!$B$5:$B$504,A236,MATCHER!$D$5:$D$504,C236,MATCHER!$J$5:$J$504,REGLER!$I$20,MATCHER!$K$5:$K$504,"Ja")+COUNTIFS(MATCHER!$B$5:$B$504,A236,MATCHER!$D$5:$D$504,C236,MATCHER!$J$5:$J$504,REGLER!$I$20&amp;" 2",MATCHER!$K$5:$K$504,"Ja")&gt;0,1,0)+IF(COUNTIFS(MATCHER!$B$5:$B$504,A236,MATCHER!$D$5:$D$504,C236,MATCHER!$J$5:$J$504,REGLER!$I$21,MATCHER!$K$5:$K$504,"Ja")+COUNTIFS(MATCHER!$B$5:$B$504,A236,MATCHER!$D$5:$D$504,C236,MATCHER!$J$5:$J$504,REGLER!$I$21&amp;" 2",MATCHER!$K$5:$K$504,"Ja")&gt;0,1,0)+IF(COUNTIFS(MATCHER!$B$5:$B$504,A236,MATCHER!$D$5:$D$504,C236,MATCHER!$J$5:$J$504,REGLER!$I$22,MATCHER!$K$5:$K$504,"Ja")+COUNTIFS(MATCHER!$B$5:$B$504,A236,MATCHER!$D$5:$D$504,C236,MATCHER!$J$5:$J$504,REGLER!$I$22&amp;" 2",MATCHER!$K$5:$K$504,"Ja")&gt;0,1,0)+IF(COUNTIFS(MATCHER!$B$5:$B$504,A236,MATCHER!$D$5:$D$504,C236,MATCHER!$J$5:$J$504,REGLER!$I$23,MATCHER!$K$5:$K$504,"Ja")+COUNTIFS(MATCHER!$B$5:$B$504,A236,MATCHER!$D$5:$D$504,C236,MATCHER!$J$5:$J$504,REGLER!$I$23&amp;" 2",MATCHER!$K$5:$K$504,"Ja")&gt;0,1,0)+IF(COUNTIFS(MATCHER!$B$5:$B$504,A236,MATCHER!$D$5:$D$504,C236,MATCHER!$J$5:$J$504,REGLER!$I$24,MATCHER!$K$5:$K$504,"Ja")+COUNTIFS(MATCHER!$B$5:$B$504,A236,MATCHER!$D$5:$D$504,C236,MATCHER!$J$5:$J$504,REGLER!$I$24&amp;" 2",MATCHER!$K$5:$K$504,"Ja")&gt;0,1,0)+IF(COUNTIFS(MATCHER!$B$5:$B$504,A236,MATCHER!$D$5:$D$504,C236,MATCHER!$J$5:$J$504,REGLER!$I$25,MATCHER!$K$5:$K$504,"Ja")+COUNTIFS(MATCHER!$B$5:$B$504,A236,MATCHER!$D$5:$D$504,C236,MATCHER!$J$5:$J$504,REGLER!$I$25&amp;" 2",MATCHER!$K$5:$K$504,"Ja")&gt;0,1,0)+IF(COUNTIFS(MATCHER!$B$5:$B$504,A236,MATCHER!$D$5:$D$504,C236,MATCHER!$J$5:$J$504,REGLER!$I$26,MATCHER!$K$5:$K$504,"Ja")+COUNTIFS(MATCHER!$B$5:$B$504,A236,MATCHER!$D$5:$D$504,C236,MATCHER!$J$5:$J$504,REGLER!$I$26&amp;" 2",MATCHER!$K$5:$K$504,"Ja")&gt;0,1,0)</f>
        <v>2</v>
      </c>
      <c r="AB236" s="15">
        <f>IF(U236&lt;&gt;1,"",COUNTIF($U$5:U236,1))</f>
        <v>27</v>
      </c>
      <c r="AC236" s="15" t="str">
        <f t="shared" si="51"/>
        <v/>
      </c>
      <c r="AD236" s="15" t="str">
        <f t="shared" si="52"/>
        <v>Minicafé</v>
      </c>
      <c r="AE236" s="15">
        <f t="shared" si="53"/>
        <v>2.0000000000000155</v>
      </c>
      <c r="AF236" t="str">
        <f>IF(T236="","",IFERROR(MATCH(1,INDEX((MATCHER!$B$5:$B$504=A236)*(MATCHER!$D$5:$D$504=C236)*(MATCHER!$K$5:$K$504="Ja")*(MATCHER!$C$5:$C$504&lt;E236)*(MATCHER!$M$5:$M$504&gt;D236)*(ROW(MATCHER!$A$5:$A$504)-ROW(MATCHER!$A$5)+1&gt;T236),0),0),""))</f>
        <v/>
      </c>
    </row>
    <row r="237" spans="1:32" ht="13">
      <c r="A237" s="42">
        <v>46354</v>
      </c>
      <c r="B237" s="43" t="s">
        <v>85</v>
      </c>
      <c r="C237" s="43" t="s">
        <v>94</v>
      </c>
      <c r="D237" s="44">
        <v>0.47916666666666702</v>
      </c>
      <c r="E237" s="44">
        <v>0.5</v>
      </c>
      <c r="F237" s="45" t="str">
        <f>IF(R237="","",HOUR(INDEX(MATCHER!$C$5:$C$504,R237))&amp;":"&amp;IF(MINUTE(INDEX(MATCHER!$C$5:$C$504,R237))&lt;10,"0","")&amp;MINUTE(INDEX(MATCHER!$C$5:$C$504,R237))&amp;" "&amp;INDEX(MATCHER!$H$5:$H$504,R237)&amp;" – "&amp;INDEX(MATCHER!$I$5:$I$504,R237))&amp;IF(S237="",""," | "&amp;HOUR(INDEX(MATCHER!$C$5:$C$504,S237))&amp;":"&amp;IF(MINUTE(INDEX(MATCHER!$C$5:$C$504,S237))&lt;10,"0","")&amp;MINUTE(INDEX(MATCHER!$C$5:$C$504,S237))&amp;" "&amp;INDEX(MATCHER!$H$5:$H$504,S237)&amp;" – "&amp;INDEX(MATCHER!$I$5:$I$504,S237))&amp;IF(T237="",""," | "&amp;HOUR(INDEX(MATCHER!$C$5:$C$504,T237))&amp;":"&amp;IF(MINUTE(INDEX(MATCHER!$C$5:$C$504,T237))&lt;10,"0","")&amp;MINUTE(INDEX(MATCHER!$C$5:$C$504,T237))&amp;" "&amp;INDEX(MATCHER!$H$5:$H$504,T237)&amp;" – "&amp;INDEX(MATCHER!$I$5:$I$504,T237))&amp;IF(AF237="",""," | "&amp;HOUR(INDEX(MATCHER!$C$5:$C$504,AF237))&amp;":"&amp;IF(MINUTE(INDEX(MATCHER!$C$5:$C$504,AF237))&lt;10,"0","")&amp;MINUTE(INDEX(MATCHER!$C$5:$C$504,AF237))&amp;" "&amp;INDEX(MATCHER!$H$5:$H$504,AF237)&amp;" – "&amp;INDEX(MATCHER!$I$5:$I$504,AF237))</f>
        <v>11:45 AIK 2 – Årsta AIK HF 3</v>
      </c>
      <c r="G237" s="45" t="str">
        <f>MID(IF(R237="","",IF(OR(INDEX(MATCHER!$J$5:$J$504,R237)=""),""," / "&amp;INDEX(MATCHER!$J$5:$J$504,R237)))&amp;IF(S237="","",IF(OR(INDEX(MATCHER!$J$5:$J$504,S237)="",INDEX(MATCHER!$J$5:$J$504,S237)=IFERROR(INDEX(MATCHER!$J$5:$J$504,R237),"")),""," / "&amp;INDEX(MATCHER!$J$5:$J$504,S237)))&amp;IF(T237="","",IF(OR(INDEX(MATCHER!$J$5:$J$504,T237)="",INDEX(MATCHER!$J$5:$J$504,T237)=IFERROR(INDEX(MATCHER!$J$5:$J$504,R237),""),INDEX(MATCHER!$J$5:$J$504,T237)=IFERROR(INDEX(MATCHER!$J$5:$J$504,S237),"")),""," / "&amp;INDEX(MATCHER!$J$5:$J$504,T237)))&amp;IF(AF237="","",IF(OR(INDEX(MATCHER!$J$5:$J$504,AF237)="",INDEX(MATCHER!$J$5:$J$504,AF237)=IFERROR(INDEX(MATCHER!$J$5:$J$504,R237),""),INDEX(MATCHER!$J$5:$J$504,AF237)=IFERROR(INDEX(MATCHER!$J$5:$J$504,S237),""),INDEX(MATCHER!$J$5:$J$504,AF237)=IFERROR(INDEX(MATCHER!$J$5:$J$504,T237),"")),""," / "&amp;INDEX(MATCHER!$J$5:$J$504,AF237))),4,1000)</f>
        <v>F16 2</v>
      </c>
      <c r="H237" s="45" t="str">
        <f t="shared" ref="H237:H244" si="56">H236</f>
        <v>F16, Herr</v>
      </c>
      <c r="I237" s="46" t="s">
        <v>90</v>
      </c>
      <c r="J237" s="47" t="s">
        <v>128</v>
      </c>
      <c r="K237" s="48"/>
      <c r="L237" s="49"/>
      <c r="M237" s="50" t="str">
        <f>IF(O237&lt;&gt;O236,MAX(1,MIN(AA237,ROUNDUP(SUMPRODUCT(($O$5:$O$546=O237)*($I$5:$I$546="Ja")*($E$5:$E$546-$D$5:$D$546))*24/REGLER!$B$8,0))),"")</f>
        <v/>
      </c>
      <c r="N237" s="50" t="str">
        <f t="shared" si="47"/>
        <v>Klar</v>
      </c>
      <c r="O237" s="15" t="s">
        <v>129</v>
      </c>
      <c r="P237" s="16">
        <v>0.45833333333333298</v>
      </c>
      <c r="Q237" s="16">
        <v>0.625</v>
      </c>
      <c r="R237" s="15">
        <f>IFERROR(MATCH(1,INDEX((MATCHER!$B$5:$B$504=A237)*(MATCHER!$D$5:$D$504=C237)*(MATCHER!$K$5:$K$504="Ja")*(MATCHER!$C$5:$C$504&lt;E237)*(MATCHER!$M$5:$M$504&gt;D237),0),0),"")</f>
        <v>84</v>
      </c>
      <c r="S237" s="15" t="str">
        <f>IF(R237="","",IFERROR(MATCH(1,INDEX((MATCHER!$B$5:$B$504=A237)*(MATCHER!$D$5:$D$504=C237)*(MATCHER!$K$5:$K$504="Ja")*(MATCHER!$C$5:$C$504&lt;E237)*(MATCHER!$M$5:$M$504&gt;D237)*(ROW(MATCHER!$A$5:$A$504)-ROW(MATCHER!$A$5)+1&gt;R237),0),0),""))</f>
        <v/>
      </c>
      <c r="T237" s="15" t="str">
        <f>IF(S237="","",IFERROR(MATCH(1,INDEX((MATCHER!$B$5:$B$504=A237)*(MATCHER!$D$5:$D$504=C237)*(MATCHER!$K$5:$K$504="Ja")*(MATCHER!$C$5:$C$504&lt;E237)*(MATCHER!$M$5:$M$504&gt;D237)*(ROW(MATCHER!$A$5:$A$504)-ROW(MATCHER!$A$5)+1&gt;S237),0),0),""))</f>
        <v/>
      </c>
      <c r="U237" s="15">
        <f t="shared" si="48"/>
        <v>0</v>
      </c>
      <c r="V237" s="15">
        <f>IF(OR(I237&lt;&gt;"Ja",J237=""),"",COUNTIFS($O$5:O237,O237,$U$5:U237,1))</f>
        <v>1</v>
      </c>
      <c r="W237" s="15" t="str">
        <f t="shared" si="49"/>
        <v>2026-11-28 | Råsta Park|1</v>
      </c>
      <c r="X237" s="16" t="str">
        <f t="shared" si="50"/>
        <v/>
      </c>
      <c r="Y237" s="15">
        <f>IF(OR(I237&lt;&gt;"Ja",J237=""),0,IF(COUNTIFS($O$5:O237,O237,$I$5:I237,"Ja",$J$5:J237,"&lt;&gt;")=1,1,0))</f>
        <v>0</v>
      </c>
      <c r="Z237" s="15">
        <f>IF(OR(I237&lt;&gt;"Ja",J237=""),0,IF(COUNTIFS(O237:$O$546,O237,I237:$I$546,"Ja",J237:$J$546,"&lt;&gt;")=1,1,0))</f>
        <v>0</v>
      </c>
      <c r="AA237" s="15">
        <f t="shared" ref="AA237:AA244" si="57">AA236</f>
        <v>2</v>
      </c>
      <c r="AB237" s="15" t="str">
        <f>IF(U237&lt;&gt;1,"",COUNTIF($U$5:U237,1))</f>
        <v/>
      </c>
      <c r="AC237" s="15" t="str">
        <f t="shared" si="51"/>
        <v/>
      </c>
      <c r="AD237" s="15" t="str">
        <f t="shared" si="52"/>
        <v>Minicafé</v>
      </c>
      <c r="AE237" s="15" t="str">
        <f t="shared" si="53"/>
        <v/>
      </c>
      <c r="AF237" t="str">
        <f>IF(T237="","",IFERROR(MATCH(1,INDEX((MATCHER!$B$5:$B$504=A237)*(MATCHER!$D$5:$D$504=C237)*(MATCHER!$K$5:$K$504="Ja")*(MATCHER!$C$5:$C$504&lt;E237)*(MATCHER!$M$5:$M$504&gt;D237)*(ROW(MATCHER!$A$5:$A$504)-ROW(MATCHER!$A$5)+1&gt;T237),0),0),""))</f>
        <v/>
      </c>
    </row>
    <row r="238" spans="1:32" ht="13">
      <c r="A238" s="42">
        <v>46354</v>
      </c>
      <c r="B238" s="43" t="s">
        <v>85</v>
      </c>
      <c r="C238" s="43" t="s">
        <v>94</v>
      </c>
      <c r="D238" s="44">
        <v>0.5</v>
      </c>
      <c r="E238" s="44">
        <v>0.52083333333333304</v>
      </c>
      <c r="F238" s="45" t="str">
        <f>IF(R238="","",HOUR(INDEX(MATCHER!$C$5:$C$504,R238))&amp;":"&amp;IF(MINUTE(INDEX(MATCHER!$C$5:$C$504,R238))&lt;10,"0","")&amp;MINUTE(INDEX(MATCHER!$C$5:$C$504,R238))&amp;" "&amp;INDEX(MATCHER!$H$5:$H$504,R238)&amp;" – "&amp;INDEX(MATCHER!$I$5:$I$504,R238))&amp;IF(S238="",""," | "&amp;HOUR(INDEX(MATCHER!$C$5:$C$504,S238))&amp;":"&amp;IF(MINUTE(INDEX(MATCHER!$C$5:$C$504,S238))&lt;10,"0","")&amp;MINUTE(INDEX(MATCHER!$C$5:$C$504,S238))&amp;" "&amp;INDEX(MATCHER!$H$5:$H$504,S238)&amp;" – "&amp;INDEX(MATCHER!$I$5:$I$504,S238))&amp;IF(T238="",""," | "&amp;HOUR(INDEX(MATCHER!$C$5:$C$504,T238))&amp;":"&amp;IF(MINUTE(INDEX(MATCHER!$C$5:$C$504,T238))&lt;10,"0","")&amp;MINUTE(INDEX(MATCHER!$C$5:$C$504,T238))&amp;" "&amp;INDEX(MATCHER!$H$5:$H$504,T238)&amp;" – "&amp;INDEX(MATCHER!$I$5:$I$504,T238))&amp;IF(AF238="",""," | "&amp;HOUR(INDEX(MATCHER!$C$5:$C$504,AF238))&amp;":"&amp;IF(MINUTE(INDEX(MATCHER!$C$5:$C$504,AF238))&lt;10,"0","")&amp;MINUTE(INDEX(MATCHER!$C$5:$C$504,AF238))&amp;" "&amp;INDEX(MATCHER!$H$5:$H$504,AF238)&amp;" – "&amp;INDEX(MATCHER!$I$5:$I$504,AF238))</f>
        <v>11:45 AIK 2 – Årsta AIK HF 3</v>
      </c>
      <c r="G238" s="45" t="str">
        <f>MID(IF(R238="","",IF(OR(INDEX(MATCHER!$J$5:$J$504,R238)=""),""," / "&amp;INDEX(MATCHER!$J$5:$J$504,R238)))&amp;IF(S238="","",IF(OR(INDEX(MATCHER!$J$5:$J$504,S238)="",INDEX(MATCHER!$J$5:$J$504,S238)=IFERROR(INDEX(MATCHER!$J$5:$J$504,R238),"")),""," / "&amp;INDEX(MATCHER!$J$5:$J$504,S238)))&amp;IF(T238="","",IF(OR(INDEX(MATCHER!$J$5:$J$504,T238)="",INDEX(MATCHER!$J$5:$J$504,T238)=IFERROR(INDEX(MATCHER!$J$5:$J$504,R238),""),INDEX(MATCHER!$J$5:$J$504,T238)=IFERROR(INDEX(MATCHER!$J$5:$J$504,S238),"")),""," / "&amp;INDEX(MATCHER!$J$5:$J$504,T238)))&amp;IF(AF238="","",IF(OR(INDEX(MATCHER!$J$5:$J$504,AF238)="",INDEX(MATCHER!$J$5:$J$504,AF238)=IFERROR(INDEX(MATCHER!$J$5:$J$504,R238),""),INDEX(MATCHER!$J$5:$J$504,AF238)=IFERROR(INDEX(MATCHER!$J$5:$J$504,S238),""),INDEX(MATCHER!$J$5:$J$504,AF238)=IFERROR(INDEX(MATCHER!$J$5:$J$504,T238),"")),""," / "&amp;INDEX(MATCHER!$J$5:$J$504,AF238))),4,1000)</f>
        <v>F16 2</v>
      </c>
      <c r="H238" s="45" t="str">
        <f t="shared" si="56"/>
        <v>F16, Herr</v>
      </c>
      <c r="I238" s="46" t="s">
        <v>90</v>
      </c>
      <c r="J238" s="47" t="s">
        <v>128</v>
      </c>
      <c r="K238" s="48"/>
      <c r="L238" s="49"/>
      <c r="M238" s="50" t="str">
        <f>IF(O238&lt;&gt;O237,MAX(1,MIN(AA238,ROUNDUP(SUMPRODUCT(($O$5:$O$546=O238)*($I$5:$I$546="Ja")*($E$5:$E$546-$D$5:$D$546))*24/REGLER!$B$8,0))),"")</f>
        <v/>
      </c>
      <c r="N238" s="50" t="str">
        <f t="shared" si="47"/>
        <v>Klar</v>
      </c>
      <c r="O238" s="15" t="s">
        <v>129</v>
      </c>
      <c r="P238" s="16">
        <v>0.45833333333333298</v>
      </c>
      <c r="Q238" s="16">
        <v>0.625</v>
      </c>
      <c r="R238" s="15">
        <f>IFERROR(MATCH(1,INDEX((MATCHER!$B$5:$B$504=A238)*(MATCHER!$D$5:$D$504=C238)*(MATCHER!$K$5:$K$504="Ja")*(MATCHER!$C$5:$C$504&lt;E238)*(MATCHER!$M$5:$M$504&gt;D238),0),0),"")</f>
        <v>84</v>
      </c>
      <c r="S238" s="15" t="str">
        <f>IF(R238="","",IFERROR(MATCH(1,INDEX((MATCHER!$B$5:$B$504=A238)*(MATCHER!$D$5:$D$504=C238)*(MATCHER!$K$5:$K$504="Ja")*(MATCHER!$C$5:$C$504&lt;E238)*(MATCHER!$M$5:$M$504&gt;D238)*(ROW(MATCHER!$A$5:$A$504)-ROW(MATCHER!$A$5)+1&gt;R238),0),0),""))</f>
        <v/>
      </c>
      <c r="T238" s="15" t="str">
        <f>IF(S238="","",IFERROR(MATCH(1,INDEX((MATCHER!$B$5:$B$504=A238)*(MATCHER!$D$5:$D$504=C238)*(MATCHER!$K$5:$K$504="Ja")*(MATCHER!$C$5:$C$504&lt;E238)*(MATCHER!$M$5:$M$504&gt;D238)*(ROW(MATCHER!$A$5:$A$504)-ROW(MATCHER!$A$5)+1&gt;S238),0),0),""))</f>
        <v/>
      </c>
      <c r="U238" s="15">
        <f t="shared" si="48"/>
        <v>0</v>
      </c>
      <c r="V238" s="15">
        <f>IF(OR(I238&lt;&gt;"Ja",J238=""),"",COUNTIFS($O$5:O238,O238,$U$5:U238,1))</f>
        <v>1</v>
      </c>
      <c r="W238" s="15" t="str">
        <f t="shared" si="49"/>
        <v>2026-11-28 | Råsta Park|1</v>
      </c>
      <c r="X238" s="16" t="str">
        <f t="shared" si="50"/>
        <v/>
      </c>
      <c r="Y238" s="15">
        <f>IF(OR(I238&lt;&gt;"Ja",J238=""),0,IF(COUNTIFS($O$5:O238,O238,$I$5:I238,"Ja",$J$5:J238,"&lt;&gt;")=1,1,0))</f>
        <v>0</v>
      </c>
      <c r="Z238" s="15">
        <f>IF(OR(I238&lt;&gt;"Ja",J238=""),0,IF(COUNTIFS(O238:$O$546,O238,I238:$I$546,"Ja",J238:$J$546,"&lt;&gt;")=1,1,0))</f>
        <v>0</v>
      </c>
      <c r="AA238" s="15">
        <f t="shared" si="57"/>
        <v>2</v>
      </c>
      <c r="AB238" s="15" t="str">
        <f>IF(U238&lt;&gt;1,"",COUNTIF($U$5:U238,1))</f>
        <v/>
      </c>
      <c r="AC238" s="15" t="str">
        <f t="shared" si="51"/>
        <v/>
      </c>
      <c r="AD238" s="15" t="str">
        <f t="shared" si="52"/>
        <v>Minicafé</v>
      </c>
      <c r="AE238" s="15" t="str">
        <f t="shared" si="53"/>
        <v/>
      </c>
      <c r="AF238" t="str">
        <f>IF(T238="","",IFERROR(MATCH(1,INDEX((MATCHER!$B$5:$B$504=A238)*(MATCHER!$D$5:$D$504=C238)*(MATCHER!$K$5:$K$504="Ja")*(MATCHER!$C$5:$C$504&lt;E238)*(MATCHER!$M$5:$M$504&gt;D238)*(ROW(MATCHER!$A$5:$A$504)-ROW(MATCHER!$A$5)+1&gt;T238),0),0),""))</f>
        <v/>
      </c>
    </row>
    <row r="239" spans="1:32" ht="13">
      <c r="A239" s="42">
        <v>46354</v>
      </c>
      <c r="B239" s="43" t="s">
        <v>85</v>
      </c>
      <c r="C239" s="43" t="s">
        <v>94</v>
      </c>
      <c r="D239" s="44">
        <v>0.52083333333333304</v>
      </c>
      <c r="E239" s="44">
        <v>0.54166666666666696</v>
      </c>
      <c r="F239" s="45" t="str">
        <f>IF(R239="","",HOUR(INDEX(MATCHER!$C$5:$C$504,R239))&amp;":"&amp;IF(MINUTE(INDEX(MATCHER!$C$5:$C$504,R239))&lt;10,"0","")&amp;MINUTE(INDEX(MATCHER!$C$5:$C$504,R239))&amp;" "&amp;INDEX(MATCHER!$H$5:$H$504,R239)&amp;" – "&amp;INDEX(MATCHER!$I$5:$I$504,R239))&amp;IF(S239="",""," | "&amp;HOUR(INDEX(MATCHER!$C$5:$C$504,S239))&amp;":"&amp;IF(MINUTE(INDEX(MATCHER!$C$5:$C$504,S239))&lt;10,"0","")&amp;MINUTE(INDEX(MATCHER!$C$5:$C$504,S239))&amp;" "&amp;INDEX(MATCHER!$H$5:$H$504,S239)&amp;" – "&amp;INDEX(MATCHER!$I$5:$I$504,S239))&amp;IF(T239="",""," | "&amp;HOUR(INDEX(MATCHER!$C$5:$C$504,T239))&amp;":"&amp;IF(MINUTE(INDEX(MATCHER!$C$5:$C$504,T239))&lt;10,"0","")&amp;MINUTE(INDEX(MATCHER!$C$5:$C$504,T239))&amp;" "&amp;INDEX(MATCHER!$H$5:$H$504,T239)&amp;" – "&amp;INDEX(MATCHER!$I$5:$I$504,T239))&amp;IF(AF239="",""," | "&amp;HOUR(INDEX(MATCHER!$C$5:$C$504,AF239))&amp;":"&amp;IF(MINUTE(INDEX(MATCHER!$C$5:$C$504,AF239))&lt;10,"0","")&amp;MINUTE(INDEX(MATCHER!$C$5:$C$504,AF239))&amp;" "&amp;INDEX(MATCHER!$H$5:$H$504,AF239)&amp;" – "&amp;INDEX(MATCHER!$I$5:$I$504,AF239))</f>
        <v>11:45 AIK 2 – Årsta AIK HF 3</v>
      </c>
      <c r="G239" s="45" t="str">
        <f>MID(IF(R239="","",IF(OR(INDEX(MATCHER!$J$5:$J$504,R239)=""),""," / "&amp;INDEX(MATCHER!$J$5:$J$504,R239)))&amp;IF(S239="","",IF(OR(INDEX(MATCHER!$J$5:$J$504,S239)="",INDEX(MATCHER!$J$5:$J$504,S239)=IFERROR(INDEX(MATCHER!$J$5:$J$504,R239),"")),""," / "&amp;INDEX(MATCHER!$J$5:$J$504,S239)))&amp;IF(T239="","",IF(OR(INDEX(MATCHER!$J$5:$J$504,T239)="",INDEX(MATCHER!$J$5:$J$504,T239)=IFERROR(INDEX(MATCHER!$J$5:$J$504,R239),""),INDEX(MATCHER!$J$5:$J$504,T239)=IFERROR(INDEX(MATCHER!$J$5:$J$504,S239),"")),""," / "&amp;INDEX(MATCHER!$J$5:$J$504,T239)))&amp;IF(AF239="","",IF(OR(INDEX(MATCHER!$J$5:$J$504,AF239)="",INDEX(MATCHER!$J$5:$J$504,AF239)=IFERROR(INDEX(MATCHER!$J$5:$J$504,R239),""),INDEX(MATCHER!$J$5:$J$504,AF239)=IFERROR(INDEX(MATCHER!$J$5:$J$504,S239),""),INDEX(MATCHER!$J$5:$J$504,AF239)=IFERROR(INDEX(MATCHER!$J$5:$J$504,T239),"")),""," / "&amp;INDEX(MATCHER!$J$5:$J$504,AF239))),4,1000)</f>
        <v>F16 2</v>
      </c>
      <c r="H239" s="45" t="str">
        <f t="shared" si="56"/>
        <v>F16, Herr</v>
      </c>
      <c r="I239" s="46" t="s">
        <v>90</v>
      </c>
      <c r="J239" s="47" t="s">
        <v>128</v>
      </c>
      <c r="K239" s="48"/>
      <c r="L239" s="49"/>
      <c r="M239" s="50" t="str">
        <f>IF(O239&lt;&gt;O238,MAX(1,MIN(AA239,ROUNDUP(SUMPRODUCT(($O$5:$O$546=O239)*($I$5:$I$546="Ja")*($E$5:$E$546-$D$5:$D$546))*24/REGLER!$B$8,0))),"")</f>
        <v/>
      </c>
      <c r="N239" s="50" t="str">
        <f t="shared" si="47"/>
        <v>Klar</v>
      </c>
      <c r="O239" s="15" t="s">
        <v>129</v>
      </c>
      <c r="P239" s="16">
        <v>0.45833333333333298</v>
      </c>
      <c r="Q239" s="16">
        <v>0.625</v>
      </c>
      <c r="R239" s="15">
        <f>IFERROR(MATCH(1,INDEX((MATCHER!$B$5:$B$504=A239)*(MATCHER!$D$5:$D$504=C239)*(MATCHER!$K$5:$K$504="Ja")*(MATCHER!$C$5:$C$504&lt;E239)*(MATCHER!$M$5:$M$504&gt;D239),0),0),"")</f>
        <v>84</v>
      </c>
      <c r="S239" s="15" t="str">
        <f>IF(R239="","",IFERROR(MATCH(1,INDEX((MATCHER!$B$5:$B$504=A239)*(MATCHER!$D$5:$D$504=C239)*(MATCHER!$K$5:$K$504="Ja")*(MATCHER!$C$5:$C$504&lt;E239)*(MATCHER!$M$5:$M$504&gt;D239)*(ROW(MATCHER!$A$5:$A$504)-ROW(MATCHER!$A$5)+1&gt;R239),0),0),""))</f>
        <v/>
      </c>
      <c r="T239" s="15" t="str">
        <f>IF(S239="","",IFERROR(MATCH(1,INDEX((MATCHER!$B$5:$B$504=A239)*(MATCHER!$D$5:$D$504=C239)*(MATCHER!$K$5:$K$504="Ja")*(MATCHER!$C$5:$C$504&lt;E239)*(MATCHER!$M$5:$M$504&gt;D239)*(ROW(MATCHER!$A$5:$A$504)-ROW(MATCHER!$A$5)+1&gt;S239),0),0),""))</f>
        <v/>
      </c>
      <c r="U239" s="15">
        <f t="shared" si="48"/>
        <v>0</v>
      </c>
      <c r="V239" s="15">
        <f>IF(OR(I239&lt;&gt;"Ja",J239=""),"",COUNTIFS($O$5:O239,O239,$U$5:U239,1))</f>
        <v>1</v>
      </c>
      <c r="W239" s="15" t="str">
        <f t="shared" si="49"/>
        <v>2026-11-28 | Råsta Park|1</v>
      </c>
      <c r="X239" s="16">
        <f t="shared" si="50"/>
        <v>0.54166666666666696</v>
      </c>
      <c r="Y239" s="15">
        <f>IF(OR(I239&lt;&gt;"Ja",J239=""),0,IF(COUNTIFS($O$5:O239,O239,$I$5:I239,"Ja",$J$5:J239,"&lt;&gt;")=1,1,0))</f>
        <v>0</v>
      </c>
      <c r="Z239" s="15">
        <f>IF(OR(I239&lt;&gt;"Ja",J239=""),0,IF(COUNTIFS(O239:$O$546,O239,I239:$I$546,"Ja",J239:$J$546,"&lt;&gt;")=1,1,0))</f>
        <v>1</v>
      </c>
      <c r="AA239" s="15">
        <f t="shared" si="57"/>
        <v>2</v>
      </c>
      <c r="AB239" s="15" t="str">
        <f>IF(U239&lt;&gt;1,"",COUNTIF($U$5:U239,1))</f>
        <v/>
      </c>
      <c r="AC239" s="15" t="str">
        <f t="shared" si="51"/>
        <v>2026-11-28 | Råsta Park|1</v>
      </c>
      <c r="AD239" s="15" t="str">
        <f t="shared" si="52"/>
        <v>Minicafé</v>
      </c>
      <c r="AE239" s="15" t="str">
        <f t="shared" si="53"/>
        <v/>
      </c>
      <c r="AF239" t="str">
        <f>IF(T239="","",IFERROR(MATCH(1,INDEX((MATCHER!$B$5:$B$504=A239)*(MATCHER!$D$5:$D$504=C239)*(MATCHER!$K$5:$K$504="Ja")*(MATCHER!$C$5:$C$504&lt;E239)*(MATCHER!$M$5:$M$504&gt;D239)*(ROW(MATCHER!$A$5:$A$504)-ROW(MATCHER!$A$5)+1&gt;T239),0),0),""))</f>
        <v/>
      </c>
    </row>
    <row r="240" spans="1:32" ht="13">
      <c r="A240" s="42">
        <v>46354</v>
      </c>
      <c r="B240" s="43" t="s">
        <v>85</v>
      </c>
      <c r="C240" s="43" t="s">
        <v>94</v>
      </c>
      <c r="D240" s="44">
        <v>0.54166666666666696</v>
      </c>
      <c r="E240" s="44">
        <v>0.5625</v>
      </c>
      <c r="F240" s="45" t="str">
        <f>IF(R240="","",HOUR(INDEX(MATCHER!$C$5:$C$504,R240))&amp;":"&amp;IF(MINUTE(INDEX(MATCHER!$C$5:$C$504,R240))&lt;10,"0","")&amp;MINUTE(INDEX(MATCHER!$C$5:$C$504,R240))&amp;" "&amp;INDEX(MATCHER!$H$5:$H$504,R240)&amp;" – "&amp;INDEX(MATCHER!$I$5:$I$504,R240))&amp;IF(S240="",""," | "&amp;HOUR(INDEX(MATCHER!$C$5:$C$504,S240))&amp;":"&amp;IF(MINUTE(INDEX(MATCHER!$C$5:$C$504,S240))&lt;10,"0","")&amp;MINUTE(INDEX(MATCHER!$C$5:$C$504,S240))&amp;" "&amp;INDEX(MATCHER!$H$5:$H$504,S240)&amp;" – "&amp;INDEX(MATCHER!$I$5:$I$504,S240))&amp;IF(T240="",""," | "&amp;HOUR(INDEX(MATCHER!$C$5:$C$504,T240))&amp;":"&amp;IF(MINUTE(INDEX(MATCHER!$C$5:$C$504,T240))&lt;10,"0","")&amp;MINUTE(INDEX(MATCHER!$C$5:$C$504,T240))&amp;" "&amp;INDEX(MATCHER!$H$5:$H$504,T240)&amp;" – "&amp;INDEX(MATCHER!$I$5:$I$504,T240))&amp;IF(AF240="",""," | "&amp;HOUR(INDEX(MATCHER!$C$5:$C$504,AF240))&amp;":"&amp;IF(MINUTE(INDEX(MATCHER!$C$5:$C$504,AF240))&lt;10,"0","")&amp;MINUTE(INDEX(MATCHER!$C$5:$C$504,AF240))&amp;" "&amp;INDEX(MATCHER!$H$5:$H$504,AF240)&amp;" – "&amp;INDEX(MATCHER!$I$5:$I$504,AF240))</f>
        <v/>
      </c>
      <c r="G240" s="45" t="str">
        <f>MID(IF(R240="","",IF(OR(INDEX(MATCHER!$J$5:$J$504,R240)=""),""," / "&amp;INDEX(MATCHER!$J$5:$J$504,R240)))&amp;IF(S240="","",IF(OR(INDEX(MATCHER!$J$5:$J$504,S240)="",INDEX(MATCHER!$J$5:$J$504,S240)=IFERROR(INDEX(MATCHER!$J$5:$J$504,R240),"")),""," / "&amp;INDEX(MATCHER!$J$5:$J$504,S240)))&amp;IF(T240="","",IF(OR(INDEX(MATCHER!$J$5:$J$504,T240)="",INDEX(MATCHER!$J$5:$J$504,T240)=IFERROR(INDEX(MATCHER!$J$5:$J$504,R240),""),INDEX(MATCHER!$J$5:$J$504,T240)=IFERROR(INDEX(MATCHER!$J$5:$J$504,S240),"")),""," / "&amp;INDEX(MATCHER!$J$5:$J$504,T240)))&amp;IF(AF240="","",IF(OR(INDEX(MATCHER!$J$5:$J$504,AF240)="",INDEX(MATCHER!$J$5:$J$504,AF240)=IFERROR(INDEX(MATCHER!$J$5:$J$504,R240),""),INDEX(MATCHER!$J$5:$J$504,AF240)=IFERROR(INDEX(MATCHER!$J$5:$J$504,S240),""),INDEX(MATCHER!$J$5:$J$504,AF240)=IFERROR(INDEX(MATCHER!$J$5:$J$504,T240),"")),""," / "&amp;INDEX(MATCHER!$J$5:$J$504,AF240))),4,1000)</f>
        <v/>
      </c>
      <c r="H240" s="45" t="str">
        <f t="shared" si="56"/>
        <v>F16, Herr</v>
      </c>
      <c r="I240" s="46" t="s">
        <v>87</v>
      </c>
      <c r="J240" s="47"/>
      <c r="K240" s="48"/>
      <c r="L240" s="49"/>
      <c r="M240" s="50" t="str">
        <f>IF(O240&lt;&gt;O239,MAX(1,MIN(AA240,ROUNDUP(SUMPRODUCT(($O$5:$O$546=O240)*($I$5:$I$546="Ja")*($E$5:$E$546-$D$5:$D$546))*24/REGLER!$B$8,0))),"")</f>
        <v/>
      </c>
      <c r="N240" s="50" t="str">
        <f t="shared" si="47"/>
        <v>Ej öppet</v>
      </c>
      <c r="O240" s="15" t="s">
        <v>129</v>
      </c>
      <c r="P240" s="16">
        <v>0.45833333333333298</v>
      </c>
      <c r="Q240" s="16">
        <v>0.625</v>
      </c>
      <c r="R240" s="15" t="str">
        <f>IFERROR(MATCH(1,INDEX((MATCHER!$B$5:$B$504=A240)*(MATCHER!$D$5:$D$504=C240)*(MATCHER!$K$5:$K$504="Ja")*(MATCHER!$C$5:$C$504&lt;E240)*(MATCHER!$M$5:$M$504&gt;D240),0),0),"")</f>
        <v/>
      </c>
      <c r="S240" s="15" t="str">
        <f>IF(R240="","",IFERROR(MATCH(1,INDEX((MATCHER!$B$5:$B$504=A240)*(MATCHER!$D$5:$D$504=C240)*(MATCHER!$K$5:$K$504="Ja")*(MATCHER!$C$5:$C$504&lt;E240)*(MATCHER!$M$5:$M$504&gt;D240)*(ROW(MATCHER!$A$5:$A$504)-ROW(MATCHER!$A$5)+1&gt;R240),0),0),""))</f>
        <v/>
      </c>
      <c r="T240" s="15" t="str">
        <f>IF(S240="","",IFERROR(MATCH(1,INDEX((MATCHER!$B$5:$B$504=A240)*(MATCHER!$D$5:$D$504=C240)*(MATCHER!$K$5:$K$504="Ja")*(MATCHER!$C$5:$C$504&lt;E240)*(MATCHER!$M$5:$M$504&gt;D240)*(ROW(MATCHER!$A$5:$A$504)-ROW(MATCHER!$A$5)+1&gt;S240),0),0),""))</f>
        <v/>
      </c>
      <c r="U240" s="15" t="str">
        <f t="shared" si="48"/>
        <v/>
      </c>
      <c r="V240" s="15" t="str">
        <f>IF(OR(I240&lt;&gt;"Ja",J240=""),"",COUNTIFS($O$5:O240,O240,$U$5:U240,1))</f>
        <v/>
      </c>
      <c r="W240" s="15" t="str">
        <f t="shared" si="49"/>
        <v/>
      </c>
      <c r="X240" s="16" t="str">
        <f t="shared" si="50"/>
        <v/>
      </c>
      <c r="Y240" s="15">
        <f>IF(OR(I240&lt;&gt;"Ja",J240=""),0,IF(COUNTIFS($O$5:O240,O240,$I$5:I240,"Ja",$J$5:J240,"&lt;&gt;")=1,1,0))</f>
        <v>0</v>
      </c>
      <c r="Z240" s="15">
        <f>IF(OR(I240&lt;&gt;"Ja",J240=""),0,IF(COUNTIFS(O240:$O$546,O240,I240:$I$546,"Ja",J240:$J$546,"&lt;&gt;")=1,1,0))</f>
        <v>0</v>
      </c>
      <c r="AA240" s="15">
        <f t="shared" si="57"/>
        <v>2</v>
      </c>
      <c r="AB240" s="15" t="str">
        <f>IF(U240&lt;&gt;1,"",COUNTIF($U$5:U240,1))</f>
        <v/>
      </c>
      <c r="AC240" s="15" t="str">
        <f t="shared" si="51"/>
        <v/>
      </c>
      <c r="AD240" s="15" t="str">
        <f t="shared" si="52"/>
        <v>Minicafé</v>
      </c>
      <c r="AE240" s="15" t="str">
        <f t="shared" si="53"/>
        <v/>
      </c>
      <c r="AF240" t="str">
        <f>IF(T240="","",IFERROR(MATCH(1,INDEX((MATCHER!$B$5:$B$504=A240)*(MATCHER!$D$5:$D$504=C240)*(MATCHER!$K$5:$K$504="Ja")*(MATCHER!$C$5:$C$504&lt;E240)*(MATCHER!$M$5:$M$504&gt;D240)*(ROW(MATCHER!$A$5:$A$504)-ROW(MATCHER!$A$5)+1&gt;T240),0),0),""))</f>
        <v/>
      </c>
    </row>
    <row r="241" spans="1:32" ht="13">
      <c r="A241" s="42">
        <v>46354</v>
      </c>
      <c r="B241" s="43" t="s">
        <v>85</v>
      </c>
      <c r="C241" s="43" t="s">
        <v>94</v>
      </c>
      <c r="D241" s="44">
        <v>0.5625</v>
      </c>
      <c r="E241" s="44">
        <v>0.58333333333333304</v>
      </c>
      <c r="F241" s="45" t="str">
        <f>IF(R241="","",HOUR(INDEX(MATCHER!$C$5:$C$504,R241))&amp;":"&amp;IF(MINUTE(INDEX(MATCHER!$C$5:$C$504,R241))&lt;10,"0","")&amp;MINUTE(INDEX(MATCHER!$C$5:$C$504,R241))&amp;" "&amp;INDEX(MATCHER!$H$5:$H$504,R241)&amp;" – "&amp;INDEX(MATCHER!$I$5:$I$504,R241))&amp;IF(S241="",""," | "&amp;HOUR(INDEX(MATCHER!$C$5:$C$504,S241))&amp;":"&amp;IF(MINUTE(INDEX(MATCHER!$C$5:$C$504,S241))&lt;10,"0","")&amp;MINUTE(INDEX(MATCHER!$C$5:$C$504,S241))&amp;" "&amp;INDEX(MATCHER!$H$5:$H$504,S241)&amp;" – "&amp;INDEX(MATCHER!$I$5:$I$504,S241))&amp;IF(T241="",""," | "&amp;HOUR(INDEX(MATCHER!$C$5:$C$504,T241))&amp;":"&amp;IF(MINUTE(INDEX(MATCHER!$C$5:$C$504,T241))&lt;10,"0","")&amp;MINUTE(INDEX(MATCHER!$C$5:$C$504,T241))&amp;" "&amp;INDEX(MATCHER!$H$5:$H$504,T241)&amp;" – "&amp;INDEX(MATCHER!$I$5:$I$504,T241))&amp;IF(AF241="",""," | "&amp;HOUR(INDEX(MATCHER!$C$5:$C$504,AF241))&amp;":"&amp;IF(MINUTE(INDEX(MATCHER!$C$5:$C$504,AF241))&lt;10,"0","")&amp;MINUTE(INDEX(MATCHER!$C$5:$C$504,AF241))&amp;" "&amp;INDEX(MATCHER!$H$5:$H$504,AF241)&amp;" – "&amp;INDEX(MATCHER!$I$5:$I$504,AF241))</f>
        <v>13:30 AIK – Lidingö SK</v>
      </c>
      <c r="G241" s="45" t="str">
        <f>MID(IF(R241="","",IF(OR(INDEX(MATCHER!$J$5:$J$504,R241)=""),""," / "&amp;INDEX(MATCHER!$J$5:$J$504,R241)))&amp;IF(S241="","",IF(OR(INDEX(MATCHER!$J$5:$J$504,S241)="",INDEX(MATCHER!$J$5:$J$504,S241)=IFERROR(INDEX(MATCHER!$J$5:$J$504,R241),"")),""," / "&amp;INDEX(MATCHER!$J$5:$J$504,S241)))&amp;IF(T241="","",IF(OR(INDEX(MATCHER!$J$5:$J$504,T241)="",INDEX(MATCHER!$J$5:$J$504,T241)=IFERROR(INDEX(MATCHER!$J$5:$J$504,R241),""),INDEX(MATCHER!$J$5:$J$504,T241)=IFERROR(INDEX(MATCHER!$J$5:$J$504,S241),"")),""," / "&amp;INDEX(MATCHER!$J$5:$J$504,T241)))&amp;IF(AF241="","",IF(OR(INDEX(MATCHER!$J$5:$J$504,AF241)="",INDEX(MATCHER!$J$5:$J$504,AF241)=IFERROR(INDEX(MATCHER!$J$5:$J$504,R241),""),INDEX(MATCHER!$J$5:$J$504,AF241)=IFERROR(INDEX(MATCHER!$J$5:$J$504,S241),""),INDEX(MATCHER!$J$5:$J$504,AF241)=IFERROR(INDEX(MATCHER!$J$5:$J$504,T241),"")),""," / "&amp;INDEX(MATCHER!$J$5:$J$504,AF241))),4,1000)</f>
        <v>Herr</v>
      </c>
      <c r="H241" s="45" t="str">
        <f t="shared" si="56"/>
        <v>F16, Herr</v>
      </c>
      <c r="I241" s="46" t="s">
        <v>87</v>
      </c>
      <c r="J241" s="47"/>
      <c r="K241" s="48"/>
      <c r="L241" s="49"/>
      <c r="M241" s="50" t="str">
        <f>IF(O241&lt;&gt;O240,MAX(1,MIN(AA241,ROUNDUP(SUMPRODUCT(($O$5:$O$546=O241)*($I$5:$I$546="Ja")*($E$5:$E$546-$D$5:$D$546))*24/REGLER!$B$8,0))),"")</f>
        <v/>
      </c>
      <c r="N241" s="50" t="str">
        <f t="shared" si="47"/>
        <v>Ej öppet</v>
      </c>
      <c r="O241" s="15" t="s">
        <v>129</v>
      </c>
      <c r="P241" s="16">
        <v>0.45833333333333298</v>
      </c>
      <c r="Q241" s="16">
        <v>0.625</v>
      </c>
      <c r="R241" s="15">
        <f>IFERROR(MATCH(1,INDEX((MATCHER!$B$5:$B$504=A241)*(MATCHER!$D$5:$D$504=C241)*(MATCHER!$K$5:$K$504="Ja")*(MATCHER!$C$5:$C$504&lt;E241)*(MATCHER!$M$5:$M$504&gt;D241),0),0),"")</f>
        <v>85</v>
      </c>
      <c r="S241" s="15" t="str">
        <f>IF(R241="","",IFERROR(MATCH(1,INDEX((MATCHER!$B$5:$B$504=A241)*(MATCHER!$D$5:$D$504=C241)*(MATCHER!$K$5:$K$504="Ja")*(MATCHER!$C$5:$C$504&lt;E241)*(MATCHER!$M$5:$M$504&gt;D241)*(ROW(MATCHER!$A$5:$A$504)-ROW(MATCHER!$A$5)+1&gt;R241),0),0),""))</f>
        <v/>
      </c>
      <c r="T241" s="15" t="str">
        <f>IF(S241="","",IFERROR(MATCH(1,INDEX((MATCHER!$B$5:$B$504=A241)*(MATCHER!$D$5:$D$504=C241)*(MATCHER!$K$5:$K$504="Ja")*(MATCHER!$C$5:$C$504&lt;E241)*(MATCHER!$M$5:$M$504&gt;D241)*(ROW(MATCHER!$A$5:$A$504)-ROW(MATCHER!$A$5)+1&gt;S241),0),0),""))</f>
        <v/>
      </c>
      <c r="U241" s="15" t="str">
        <f t="shared" si="48"/>
        <v/>
      </c>
      <c r="V241" s="15" t="str">
        <f>IF(OR(I241&lt;&gt;"Ja",J241=""),"",COUNTIFS($O$5:O241,O241,$U$5:U241,1))</f>
        <v/>
      </c>
      <c r="W241" s="15" t="str">
        <f t="shared" si="49"/>
        <v/>
      </c>
      <c r="X241" s="16" t="str">
        <f t="shared" si="50"/>
        <v/>
      </c>
      <c r="Y241" s="15">
        <f>IF(OR(I241&lt;&gt;"Ja",J241=""),0,IF(COUNTIFS($O$5:O241,O241,$I$5:I241,"Ja",$J$5:J241,"&lt;&gt;")=1,1,0))</f>
        <v>0</v>
      </c>
      <c r="Z241" s="15">
        <f>IF(OR(I241&lt;&gt;"Ja",J241=""),0,IF(COUNTIFS(O241:$O$546,O241,I241:$I$546,"Ja",J241:$J$546,"&lt;&gt;")=1,1,0))</f>
        <v>0</v>
      </c>
      <c r="AA241" s="15">
        <f t="shared" si="57"/>
        <v>2</v>
      </c>
      <c r="AB241" s="15" t="str">
        <f>IF(U241&lt;&gt;1,"",COUNTIF($U$5:U241,1))</f>
        <v/>
      </c>
      <c r="AC241" s="15" t="str">
        <f t="shared" si="51"/>
        <v/>
      </c>
      <c r="AD241" s="15" t="str">
        <f t="shared" si="52"/>
        <v>Minicafé</v>
      </c>
      <c r="AE241" s="15" t="str">
        <f t="shared" si="53"/>
        <v/>
      </c>
      <c r="AF241" t="str">
        <f>IF(T241="","",IFERROR(MATCH(1,INDEX((MATCHER!$B$5:$B$504=A241)*(MATCHER!$D$5:$D$504=C241)*(MATCHER!$K$5:$K$504="Ja")*(MATCHER!$C$5:$C$504&lt;E241)*(MATCHER!$M$5:$M$504&gt;D241)*(ROW(MATCHER!$A$5:$A$504)-ROW(MATCHER!$A$5)+1&gt;T241),0),0),""))</f>
        <v/>
      </c>
    </row>
    <row r="242" spans="1:32" ht="13">
      <c r="A242" s="42">
        <v>46354</v>
      </c>
      <c r="B242" s="43" t="s">
        <v>85</v>
      </c>
      <c r="C242" s="43" t="s">
        <v>94</v>
      </c>
      <c r="D242" s="44">
        <v>0.58333333333333304</v>
      </c>
      <c r="E242" s="44">
        <v>0.60416666666666696</v>
      </c>
      <c r="F242" s="45" t="str">
        <f>IF(R242="","",HOUR(INDEX(MATCHER!$C$5:$C$504,R242))&amp;":"&amp;IF(MINUTE(INDEX(MATCHER!$C$5:$C$504,R242))&lt;10,"0","")&amp;MINUTE(INDEX(MATCHER!$C$5:$C$504,R242))&amp;" "&amp;INDEX(MATCHER!$H$5:$H$504,R242)&amp;" – "&amp;INDEX(MATCHER!$I$5:$I$504,R242))&amp;IF(S242="",""," | "&amp;HOUR(INDEX(MATCHER!$C$5:$C$504,S242))&amp;":"&amp;IF(MINUTE(INDEX(MATCHER!$C$5:$C$504,S242))&lt;10,"0","")&amp;MINUTE(INDEX(MATCHER!$C$5:$C$504,S242))&amp;" "&amp;INDEX(MATCHER!$H$5:$H$504,S242)&amp;" – "&amp;INDEX(MATCHER!$I$5:$I$504,S242))&amp;IF(T242="",""," | "&amp;HOUR(INDEX(MATCHER!$C$5:$C$504,T242))&amp;":"&amp;IF(MINUTE(INDEX(MATCHER!$C$5:$C$504,T242))&lt;10,"0","")&amp;MINUTE(INDEX(MATCHER!$C$5:$C$504,T242))&amp;" "&amp;INDEX(MATCHER!$H$5:$H$504,T242)&amp;" – "&amp;INDEX(MATCHER!$I$5:$I$504,T242))&amp;IF(AF242="",""," | "&amp;HOUR(INDEX(MATCHER!$C$5:$C$504,AF242))&amp;":"&amp;IF(MINUTE(INDEX(MATCHER!$C$5:$C$504,AF242))&lt;10,"0","")&amp;MINUTE(INDEX(MATCHER!$C$5:$C$504,AF242))&amp;" "&amp;INDEX(MATCHER!$H$5:$H$504,AF242)&amp;" – "&amp;INDEX(MATCHER!$I$5:$I$504,AF242))</f>
        <v>13:30 AIK – Lidingö SK</v>
      </c>
      <c r="G242" s="45" t="str">
        <f>MID(IF(R242="","",IF(OR(INDEX(MATCHER!$J$5:$J$504,R242)=""),""," / "&amp;INDEX(MATCHER!$J$5:$J$504,R242)))&amp;IF(S242="","",IF(OR(INDEX(MATCHER!$J$5:$J$504,S242)="",INDEX(MATCHER!$J$5:$J$504,S242)=IFERROR(INDEX(MATCHER!$J$5:$J$504,R242),"")),""," / "&amp;INDEX(MATCHER!$J$5:$J$504,S242)))&amp;IF(T242="","",IF(OR(INDEX(MATCHER!$J$5:$J$504,T242)="",INDEX(MATCHER!$J$5:$J$504,T242)=IFERROR(INDEX(MATCHER!$J$5:$J$504,R242),""),INDEX(MATCHER!$J$5:$J$504,T242)=IFERROR(INDEX(MATCHER!$J$5:$J$504,S242),"")),""," / "&amp;INDEX(MATCHER!$J$5:$J$504,T242)))&amp;IF(AF242="","",IF(OR(INDEX(MATCHER!$J$5:$J$504,AF242)="",INDEX(MATCHER!$J$5:$J$504,AF242)=IFERROR(INDEX(MATCHER!$J$5:$J$504,R242),""),INDEX(MATCHER!$J$5:$J$504,AF242)=IFERROR(INDEX(MATCHER!$J$5:$J$504,S242),""),INDEX(MATCHER!$J$5:$J$504,AF242)=IFERROR(INDEX(MATCHER!$J$5:$J$504,T242),"")),""," / "&amp;INDEX(MATCHER!$J$5:$J$504,AF242))),4,1000)</f>
        <v>Herr</v>
      </c>
      <c r="H242" s="45" t="str">
        <f t="shared" si="56"/>
        <v>F16, Herr</v>
      </c>
      <c r="I242" s="46" t="s">
        <v>87</v>
      </c>
      <c r="J242" s="47"/>
      <c r="K242" s="48"/>
      <c r="L242" s="49"/>
      <c r="M242" s="50" t="str">
        <f>IF(O242&lt;&gt;O241,MAX(1,MIN(AA242,ROUNDUP(SUMPRODUCT(($O$5:$O$546=O242)*($I$5:$I$546="Ja")*($E$5:$E$546-$D$5:$D$546))*24/REGLER!$B$8,0))),"")</f>
        <v/>
      </c>
      <c r="N242" s="50" t="str">
        <f t="shared" si="47"/>
        <v>Ej öppet</v>
      </c>
      <c r="O242" s="15" t="s">
        <v>129</v>
      </c>
      <c r="P242" s="16">
        <v>0.45833333333333298</v>
      </c>
      <c r="Q242" s="16">
        <v>0.625</v>
      </c>
      <c r="R242" s="15">
        <f>IFERROR(MATCH(1,INDEX((MATCHER!$B$5:$B$504=A242)*(MATCHER!$D$5:$D$504=C242)*(MATCHER!$K$5:$K$504="Ja")*(MATCHER!$C$5:$C$504&lt;E242)*(MATCHER!$M$5:$M$504&gt;D242),0),0),"")</f>
        <v>85</v>
      </c>
      <c r="S242" s="15" t="str">
        <f>IF(R242="","",IFERROR(MATCH(1,INDEX((MATCHER!$B$5:$B$504=A242)*(MATCHER!$D$5:$D$504=C242)*(MATCHER!$K$5:$K$504="Ja")*(MATCHER!$C$5:$C$504&lt;E242)*(MATCHER!$M$5:$M$504&gt;D242)*(ROW(MATCHER!$A$5:$A$504)-ROW(MATCHER!$A$5)+1&gt;R242),0),0),""))</f>
        <v/>
      </c>
      <c r="T242" s="15" t="str">
        <f>IF(S242="","",IFERROR(MATCH(1,INDEX((MATCHER!$B$5:$B$504=A242)*(MATCHER!$D$5:$D$504=C242)*(MATCHER!$K$5:$K$504="Ja")*(MATCHER!$C$5:$C$504&lt;E242)*(MATCHER!$M$5:$M$504&gt;D242)*(ROW(MATCHER!$A$5:$A$504)-ROW(MATCHER!$A$5)+1&gt;S242),0),0),""))</f>
        <v/>
      </c>
      <c r="U242" s="15" t="str">
        <f t="shared" si="48"/>
        <v/>
      </c>
      <c r="V242" s="15" t="str">
        <f>IF(OR(I242&lt;&gt;"Ja",J242=""),"",COUNTIFS($O$5:O242,O242,$U$5:U242,1))</f>
        <v/>
      </c>
      <c r="W242" s="15" t="str">
        <f t="shared" si="49"/>
        <v/>
      </c>
      <c r="X242" s="16" t="str">
        <f t="shared" si="50"/>
        <v/>
      </c>
      <c r="Y242" s="15">
        <f>IF(OR(I242&lt;&gt;"Ja",J242=""),0,IF(COUNTIFS($O$5:O242,O242,$I$5:I242,"Ja",$J$5:J242,"&lt;&gt;")=1,1,0))</f>
        <v>0</v>
      </c>
      <c r="Z242" s="15">
        <f>IF(OR(I242&lt;&gt;"Ja",J242=""),0,IF(COUNTIFS(O242:$O$546,O242,I242:$I$546,"Ja",J242:$J$546,"&lt;&gt;")=1,1,0))</f>
        <v>0</v>
      </c>
      <c r="AA242" s="15">
        <f t="shared" si="57"/>
        <v>2</v>
      </c>
      <c r="AB242" s="15" t="str">
        <f>IF(U242&lt;&gt;1,"",COUNTIF($U$5:U242,1))</f>
        <v/>
      </c>
      <c r="AC242" s="15" t="str">
        <f t="shared" si="51"/>
        <v/>
      </c>
      <c r="AD242" s="15" t="str">
        <f t="shared" si="52"/>
        <v>Minicafé</v>
      </c>
      <c r="AE242" s="15" t="str">
        <f t="shared" si="53"/>
        <v/>
      </c>
      <c r="AF242" t="str">
        <f>IF(T242="","",IFERROR(MATCH(1,INDEX((MATCHER!$B$5:$B$504=A242)*(MATCHER!$D$5:$D$504=C242)*(MATCHER!$K$5:$K$504="Ja")*(MATCHER!$C$5:$C$504&lt;E242)*(MATCHER!$M$5:$M$504&gt;D242)*(ROW(MATCHER!$A$5:$A$504)-ROW(MATCHER!$A$5)+1&gt;T242),0),0),""))</f>
        <v/>
      </c>
    </row>
    <row r="243" spans="1:32" ht="13">
      <c r="A243" s="42">
        <v>46354</v>
      </c>
      <c r="B243" s="43" t="s">
        <v>85</v>
      </c>
      <c r="C243" s="43" t="s">
        <v>94</v>
      </c>
      <c r="D243" s="44">
        <v>0.60416666666666696</v>
      </c>
      <c r="E243" s="44">
        <v>0.61111111111111105</v>
      </c>
      <c r="F243" s="45" t="str">
        <f>IF(R243="","",HOUR(INDEX(MATCHER!$C$5:$C$504,R243))&amp;":"&amp;IF(MINUTE(INDEX(MATCHER!$C$5:$C$504,R243))&lt;10,"0","")&amp;MINUTE(INDEX(MATCHER!$C$5:$C$504,R243))&amp;" "&amp;INDEX(MATCHER!$H$5:$H$504,R243)&amp;" – "&amp;INDEX(MATCHER!$I$5:$I$504,R243))&amp;IF(S243="",""," | "&amp;HOUR(INDEX(MATCHER!$C$5:$C$504,S243))&amp;":"&amp;IF(MINUTE(INDEX(MATCHER!$C$5:$C$504,S243))&lt;10,"0","")&amp;MINUTE(INDEX(MATCHER!$C$5:$C$504,S243))&amp;" "&amp;INDEX(MATCHER!$H$5:$H$504,S243)&amp;" – "&amp;INDEX(MATCHER!$I$5:$I$504,S243))&amp;IF(T243="",""," | "&amp;HOUR(INDEX(MATCHER!$C$5:$C$504,T243))&amp;":"&amp;IF(MINUTE(INDEX(MATCHER!$C$5:$C$504,T243))&lt;10,"0","")&amp;MINUTE(INDEX(MATCHER!$C$5:$C$504,T243))&amp;" "&amp;INDEX(MATCHER!$H$5:$H$504,T243)&amp;" – "&amp;INDEX(MATCHER!$I$5:$I$504,T243))&amp;IF(AF243="",""," | "&amp;HOUR(INDEX(MATCHER!$C$5:$C$504,AF243))&amp;":"&amp;IF(MINUTE(INDEX(MATCHER!$C$5:$C$504,AF243))&lt;10,"0","")&amp;MINUTE(INDEX(MATCHER!$C$5:$C$504,AF243))&amp;" "&amp;INDEX(MATCHER!$H$5:$H$504,AF243)&amp;" – "&amp;INDEX(MATCHER!$I$5:$I$504,AF243))</f>
        <v>13:30 AIK – Lidingö SK</v>
      </c>
      <c r="G243" s="45" t="str">
        <f>MID(IF(R243="","",IF(OR(INDEX(MATCHER!$J$5:$J$504,R243)=""),""," / "&amp;INDEX(MATCHER!$J$5:$J$504,R243)))&amp;IF(S243="","",IF(OR(INDEX(MATCHER!$J$5:$J$504,S243)="",INDEX(MATCHER!$J$5:$J$504,S243)=IFERROR(INDEX(MATCHER!$J$5:$J$504,R243),"")),""," / "&amp;INDEX(MATCHER!$J$5:$J$504,S243)))&amp;IF(T243="","",IF(OR(INDEX(MATCHER!$J$5:$J$504,T243)="",INDEX(MATCHER!$J$5:$J$504,T243)=IFERROR(INDEX(MATCHER!$J$5:$J$504,R243),""),INDEX(MATCHER!$J$5:$J$504,T243)=IFERROR(INDEX(MATCHER!$J$5:$J$504,S243),"")),""," / "&amp;INDEX(MATCHER!$J$5:$J$504,T243)))&amp;IF(AF243="","",IF(OR(INDEX(MATCHER!$J$5:$J$504,AF243)="",INDEX(MATCHER!$J$5:$J$504,AF243)=IFERROR(INDEX(MATCHER!$J$5:$J$504,R243),""),INDEX(MATCHER!$J$5:$J$504,AF243)=IFERROR(INDEX(MATCHER!$J$5:$J$504,S243),""),INDEX(MATCHER!$J$5:$J$504,AF243)=IFERROR(INDEX(MATCHER!$J$5:$J$504,T243),"")),""," / "&amp;INDEX(MATCHER!$J$5:$J$504,AF243))),4,1000)</f>
        <v>Herr</v>
      </c>
      <c r="H243" s="45" t="str">
        <f t="shared" si="56"/>
        <v>F16, Herr</v>
      </c>
      <c r="I243" s="46" t="s">
        <v>87</v>
      </c>
      <c r="J243" s="47"/>
      <c r="K243" s="48"/>
      <c r="L243" s="49"/>
      <c r="M243" s="50" t="str">
        <f>IF(O243&lt;&gt;O242,MAX(1,MIN(AA243,ROUNDUP(SUMPRODUCT(($O$5:$O$546=O243)*($I$5:$I$546="Ja")*($E$5:$E$546-$D$5:$D$546))*24/REGLER!$B$8,0))),"")</f>
        <v/>
      </c>
      <c r="N243" s="50" t="str">
        <f t="shared" si="47"/>
        <v>Ej öppet</v>
      </c>
      <c r="O243" s="15" t="s">
        <v>129</v>
      </c>
      <c r="P243" s="16">
        <v>0.45833333333333298</v>
      </c>
      <c r="Q243" s="16">
        <v>0.625</v>
      </c>
      <c r="R243" s="15">
        <f>IFERROR(MATCH(1,INDEX((MATCHER!$B$5:$B$504=A243)*(MATCHER!$D$5:$D$504=C243)*(MATCHER!$K$5:$K$504="Ja")*(MATCHER!$C$5:$C$504&lt;E243)*(MATCHER!$M$5:$M$504&gt;D243),0),0),"")</f>
        <v>85</v>
      </c>
      <c r="S243" s="15" t="str">
        <f>IF(R243="","",IFERROR(MATCH(1,INDEX((MATCHER!$B$5:$B$504=A243)*(MATCHER!$D$5:$D$504=C243)*(MATCHER!$K$5:$K$504="Ja")*(MATCHER!$C$5:$C$504&lt;E243)*(MATCHER!$M$5:$M$504&gt;D243)*(ROW(MATCHER!$A$5:$A$504)-ROW(MATCHER!$A$5)+1&gt;R243),0),0),""))</f>
        <v/>
      </c>
      <c r="T243" s="15" t="str">
        <f>IF(S243="","",IFERROR(MATCH(1,INDEX((MATCHER!$B$5:$B$504=A243)*(MATCHER!$D$5:$D$504=C243)*(MATCHER!$K$5:$K$504="Ja")*(MATCHER!$C$5:$C$504&lt;E243)*(MATCHER!$M$5:$M$504&gt;D243)*(ROW(MATCHER!$A$5:$A$504)-ROW(MATCHER!$A$5)+1&gt;S243),0),0),""))</f>
        <v/>
      </c>
      <c r="U243" s="15" t="str">
        <f t="shared" si="48"/>
        <v/>
      </c>
      <c r="V243" s="15" t="str">
        <f>IF(OR(I243&lt;&gt;"Ja",J243=""),"",COUNTIFS($O$5:O243,O243,$U$5:U243,1))</f>
        <v/>
      </c>
      <c r="W243" s="15" t="str">
        <f t="shared" si="49"/>
        <v/>
      </c>
      <c r="X243" s="16" t="str">
        <f t="shared" si="50"/>
        <v/>
      </c>
      <c r="Y243" s="15">
        <f>IF(OR(I243&lt;&gt;"Ja",J243=""),0,IF(COUNTIFS($O$5:O243,O243,$I$5:I243,"Ja",$J$5:J243,"&lt;&gt;")=1,1,0))</f>
        <v>0</v>
      </c>
      <c r="Z243" s="15">
        <f>IF(OR(I243&lt;&gt;"Ja",J243=""),0,IF(COUNTIFS(O243:$O$546,O243,I243:$I$546,"Ja",J243:$J$546,"&lt;&gt;")=1,1,0))</f>
        <v>0</v>
      </c>
      <c r="AA243" s="15">
        <f t="shared" si="57"/>
        <v>2</v>
      </c>
      <c r="AB243" s="15" t="str">
        <f>IF(U243&lt;&gt;1,"",COUNTIF($U$5:U243,1))</f>
        <v/>
      </c>
      <c r="AC243" s="15" t="str">
        <f t="shared" si="51"/>
        <v/>
      </c>
      <c r="AD243" s="15" t="str">
        <f t="shared" si="52"/>
        <v>Minicafé</v>
      </c>
      <c r="AE243" s="15" t="str">
        <f t="shared" si="53"/>
        <v/>
      </c>
      <c r="AF243" t="str">
        <f>IF(T243="","",IFERROR(MATCH(1,INDEX((MATCHER!$B$5:$B$504=A243)*(MATCHER!$D$5:$D$504=C243)*(MATCHER!$K$5:$K$504="Ja")*(MATCHER!$C$5:$C$504&lt;E243)*(MATCHER!$M$5:$M$504&gt;D243)*(ROW(MATCHER!$A$5:$A$504)-ROW(MATCHER!$A$5)+1&gt;T243),0),0),""))</f>
        <v/>
      </c>
    </row>
    <row r="244" spans="1:32" ht="13.5" thickBot="1">
      <c r="A244" s="52">
        <v>46354</v>
      </c>
      <c r="B244" s="53" t="s">
        <v>85</v>
      </c>
      <c r="C244" s="53" t="s">
        <v>94</v>
      </c>
      <c r="D244" s="54">
        <v>0.61111111111111105</v>
      </c>
      <c r="E244" s="54">
        <v>0.625</v>
      </c>
      <c r="F244" s="55" t="str">
        <f>IF(R244="","",HOUR(INDEX(MATCHER!$C$5:$C$504,R244))&amp;":"&amp;IF(MINUTE(INDEX(MATCHER!$C$5:$C$504,R244))&lt;10,"0","")&amp;MINUTE(INDEX(MATCHER!$C$5:$C$504,R244))&amp;" "&amp;INDEX(MATCHER!$H$5:$H$504,R244)&amp;" – "&amp;INDEX(MATCHER!$I$5:$I$504,R244))&amp;IF(S244="",""," | "&amp;HOUR(INDEX(MATCHER!$C$5:$C$504,S244))&amp;":"&amp;IF(MINUTE(INDEX(MATCHER!$C$5:$C$504,S244))&lt;10,"0","")&amp;MINUTE(INDEX(MATCHER!$C$5:$C$504,S244))&amp;" "&amp;INDEX(MATCHER!$H$5:$H$504,S244)&amp;" – "&amp;INDEX(MATCHER!$I$5:$I$504,S244))&amp;IF(T244="",""," | "&amp;HOUR(INDEX(MATCHER!$C$5:$C$504,T244))&amp;":"&amp;IF(MINUTE(INDEX(MATCHER!$C$5:$C$504,T244))&lt;10,"0","")&amp;MINUTE(INDEX(MATCHER!$C$5:$C$504,T244))&amp;" "&amp;INDEX(MATCHER!$H$5:$H$504,T244)&amp;" – "&amp;INDEX(MATCHER!$I$5:$I$504,T244))&amp;IF(AF244="",""," | "&amp;HOUR(INDEX(MATCHER!$C$5:$C$504,AF244))&amp;":"&amp;IF(MINUTE(INDEX(MATCHER!$C$5:$C$504,AF244))&lt;10,"0","")&amp;MINUTE(INDEX(MATCHER!$C$5:$C$504,AF244))&amp;" "&amp;INDEX(MATCHER!$H$5:$H$504,AF244)&amp;" – "&amp;INDEX(MATCHER!$I$5:$I$504,AF244))</f>
        <v/>
      </c>
      <c r="G244" s="55" t="str">
        <f>MID(IF(R244="","",IF(OR(INDEX(MATCHER!$J$5:$J$504,R244)=""),""," / "&amp;INDEX(MATCHER!$J$5:$J$504,R244)))&amp;IF(S244="","",IF(OR(INDEX(MATCHER!$J$5:$J$504,S244)="",INDEX(MATCHER!$J$5:$J$504,S244)=IFERROR(INDEX(MATCHER!$J$5:$J$504,R244),"")),""," / "&amp;INDEX(MATCHER!$J$5:$J$504,S244)))&amp;IF(T244="","",IF(OR(INDEX(MATCHER!$J$5:$J$504,T244)="",INDEX(MATCHER!$J$5:$J$504,T244)=IFERROR(INDEX(MATCHER!$J$5:$J$504,R244),""),INDEX(MATCHER!$J$5:$J$504,T244)=IFERROR(INDEX(MATCHER!$J$5:$J$504,S244),"")),""," / "&amp;INDEX(MATCHER!$J$5:$J$504,T244)))&amp;IF(AF244="","",IF(OR(INDEX(MATCHER!$J$5:$J$504,AF244)="",INDEX(MATCHER!$J$5:$J$504,AF244)=IFERROR(INDEX(MATCHER!$J$5:$J$504,R244),""),INDEX(MATCHER!$J$5:$J$504,AF244)=IFERROR(INDEX(MATCHER!$J$5:$J$504,S244),""),INDEX(MATCHER!$J$5:$J$504,AF244)=IFERROR(INDEX(MATCHER!$J$5:$J$504,T244),"")),""," / "&amp;INDEX(MATCHER!$J$5:$J$504,AF244))),4,1000)</f>
        <v/>
      </c>
      <c r="H244" s="55" t="str">
        <f t="shared" si="56"/>
        <v>F16, Herr</v>
      </c>
      <c r="I244" s="56" t="s">
        <v>87</v>
      </c>
      <c r="J244" s="57"/>
      <c r="K244" s="58"/>
      <c r="L244" s="59"/>
      <c r="M244" s="60" t="str">
        <f>IF(O244&lt;&gt;O243,MAX(1,MIN(AA244,ROUNDUP(SUMPRODUCT(($O$5:$O$546=O244)*($I$5:$I$546="Ja")*($E$5:$E$546-$D$5:$D$546))*24/REGLER!$B$8,0))),"")</f>
        <v/>
      </c>
      <c r="N244" s="60" t="str">
        <f t="shared" si="47"/>
        <v>Ej öppet</v>
      </c>
      <c r="O244" s="15" t="s">
        <v>129</v>
      </c>
      <c r="P244" s="16">
        <v>0.45833333333333298</v>
      </c>
      <c r="Q244" s="16">
        <v>0.625</v>
      </c>
      <c r="R244" s="15" t="str">
        <f>IFERROR(MATCH(1,INDEX((MATCHER!$B$5:$B$504=A244)*(MATCHER!$D$5:$D$504=C244)*(MATCHER!$K$5:$K$504="Ja")*(MATCHER!$C$5:$C$504&lt;E244)*(MATCHER!$M$5:$M$504&gt;D244),0),0),"")</f>
        <v/>
      </c>
      <c r="S244" s="15" t="str">
        <f>IF(R244="","",IFERROR(MATCH(1,INDEX((MATCHER!$B$5:$B$504=A244)*(MATCHER!$D$5:$D$504=C244)*(MATCHER!$K$5:$K$504="Ja")*(MATCHER!$C$5:$C$504&lt;E244)*(MATCHER!$M$5:$M$504&gt;D244)*(ROW(MATCHER!$A$5:$A$504)-ROW(MATCHER!$A$5)+1&gt;R244),0),0),""))</f>
        <v/>
      </c>
      <c r="T244" s="15" t="str">
        <f>IF(S244="","",IFERROR(MATCH(1,INDEX((MATCHER!$B$5:$B$504=A244)*(MATCHER!$D$5:$D$504=C244)*(MATCHER!$K$5:$K$504="Ja")*(MATCHER!$C$5:$C$504&lt;E244)*(MATCHER!$M$5:$M$504&gt;D244)*(ROW(MATCHER!$A$5:$A$504)-ROW(MATCHER!$A$5)+1&gt;S244),0),0),""))</f>
        <v/>
      </c>
      <c r="U244" s="15" t="str">
        <f t="shared" si="48"/>
        <v/>
      </c>
      <c r="V244" s="15" t="str">
        <f>IF(OR(I244&lt;&gt;"Ja",J244=""),"",COUNTIFS($O$5:O244,O244,$U$5:U244,1))</f>
        <v/>
      </c>
      <c r="W244" s="15" t="str">
        <f t="shared" si="49"/>
        <v/>
      </c>
      <c r="X244" s="16" t="str">
        <f t="shared" si="50"/>
        <v/>
      </c>
      <c r="Y244" s="15">
        <f>IF(OR(I244&lt;&gt;"Ja",J244=""),0,IF(COUNTIFS($O$5:O244,O244,$I$5:I244,"Ja",$J$5:J244,"&lt;&gt;")=1,1,0))</f>
        <v>0</v>
      </c>
      <c r="Z244" s="15">
        <f>IF(OR(I244&lt;&gt;"Ja",J244=""),0,IF(COUNTIFS(O244:$O$546,O244,I244:$I$546,"Ja",J244:$J$546,"&lt;&gt;")=1,1,0))</f>
        <v>0</v>
      </c>
      <c r="AA244" s="15">
        <f t="shared" si="57"/>
        <v>2</v>
      </c>
      <c r="AB244" s="15" t="str">
        <f>IF(U244&lt;&gt;1,"",COUNTIF($U$5:U244,1))</f>
        <v/>
      </c>
      <c r="AC244" s="15" t="str">
        <f t="shared" si="51"/>
        <v/>
      </c>
      <c r="AD244" s="15" t="str">
        <f t="shared" si="52"/>
        <v>Minicafé</v>
      </c>
      <c r="AE244" s="15" t="str">
        <f t="shared" si="53"/>
        <v/>
      </c>
      <c r="AF244" t="str">
        <f>IF(T244="","",IFERROR(MATCH(1,INDEX((MATCHER!$B$5:$B$504=A244)*(MATCHER!$D$5:$D$504=C244)*(MATCHER!$K$5:$K$504="Ja")*(MATCHER!$C$5:$C$504&lt;E244)*(MATCHER!$M$5:$M$504&gt;D244)*(ROW(MATCHER!$A$5:$A$504)-ROW(MATCHER!$A$5)+1&gt;T244),0),0),""))</f>
        <v/>
      </c>
    </row>
    <row r="245" spans="1:32" ht="26">
      <c r="A245" s="42">
        <v>46354</v>
      </c>
      <c r="B245" s="43" t="s">
        <v>85</v>
      </c>
      <c r="C245" s="43" t="s">
        <v>110</v>
      </c>
      <c r="D245" s="44">
        <v>0.33333333333333298</v>
      </c>
      <c r="E245" s="44">
        <v>0.35416666666666702</v>
      </c>
      <c r="F245" s="45" t="str">
        <f>IF(R245="","",HOUR(INDEX(MATCHER!$C$5:$C$504,R245))&amp;":"&amp;IF(MINUTE(INDEX(MATCHER!$C$5:$C$504,R245))&lt;10,"0","")&amp;MINUTE(INDEX(MATCHER!$C$5:$C$504,R245))&amp;" "&amp;INDEX(MATCHER!$H$5:$H$504,R245)&amp;" – "&amp;INDEX(MATCHER!$I$5:$I$504,R245))&amp;IF(S245="",""," | "&amp;HOUR(INDEX(MATCHER!$C$5:$C$504,S245))&amp;":"&amp;IF(MINUTE(INDEX(MATCHER!$C$5:$C$504,S245))&lt;10,"0","")&amp;MINUTE(INDEX(MATCHER!$C$5:$C$504,S245))&amp;" "&amp;INDEX(MATCHER!$H$5:$H$504,S245)&amp;" – "&amp;INDEX(MATCHER!$I$5:$I$504,S245))&amp;IF(T245="",""," | "&amp;HOUR(INDEX(MATCHER!$C$5:$C$504,T245))&amp;":"&amp;IF(MINUTE(INDEX(MATCHER!$C$5:$C$504,T245))&lt;10,"0","")&amp;MINUTE(INDEX(MATCHER!$C$5:$C$504,T245))&amp;" "&amp;INDEX(MATCHER!$H$5:$H$504,T245)&amp;" – "&amp;INDEX(MATCHER!$I$5:$I$504,T245))&amp;IF(AF245="",""," | "&amp;HOUR(INDEX(MATCHER!$C$5:$C$504,AF245))&amp;":"&amp;IF(MINUTE(INDEX(MATCHER!$C$5:$C$504,AF245))&lt;10,"0","")&amp;MINUTE(INDEX(MATCHER!$C$5:$C$504,AF245))&amp;" "&amp;INDEX(MATCHER!$H$5:$H$504,AF245)&amp;" – "&amp;INDEX(MATCHER!$I$5:$I$504,AF245))</f>
        <v/>
      </c>
      <c r="G245" s="45" t="str">
        <f>MID(IF(R245="","",IF(OR(INDEX(MATCHER!$J$5:$J$504,R245)=""),""," / "&amp;INDEX(MATCHER!$J$5:$J$504,R245)))&amp;IF(S245="","",IF(OR(INDEX(MATCHER!$J$5:$J$504,S245)="",INDEX(MATCHER!$J$5:$J$504,S245)=IFERROR(INDEX(MATCHER!$J$5:$J$504,R245),"")),""," / "&amp;INDEX(MATCHER!$J$5:$J$504,S245)))&amp;IF(T245="","",IF(OR(INDEX(MATCHER!$J$5:$J$504,T245)="",INDEX(MATCHER!$J$5:$J$504,T245)=IFERROR(INDEX(MATCHER!$J$5:$J$504,R245),""),INDEX(MATCHER!$J$5:$J$504,T245)=IFERROR(INDEX(MATCHER!$J$5:$J$504,S245),"")),""," / "&amp;INDEX(MATCHER!$J$5:$J$504,T245)))&amp;IF(AF245="","",IF(OR(INDEX(MATCHER!$J$5:$J$504,AF245)="",INDEX(MATCHER!$J$5:$J$504,AF245)=IFERROR(INDEX(MATCHER!$J$5:$J$504,R245),""),INDEX(MATCHER!$J$5:$J$504,AF245)=IFERROR(INDEX(MATCHER!$J$5:$J$504,S245),""),INDEX(MATCHER!$J$5:$J$504,AF245)=IFERROR(INDEX(MATCHER!$J$5:$J$504,T245),"")),""," / "&amp;INDEX(MATCHER!$J$5:$J$504,AF245))),4,1000)</f>
        <v/>
      </c>
      <c r="H245" s="45" t="str">
        <f>MID(IF(COUNTIFS(MATCHER!$B$5:$B$504,A245,MATCHER!$D$5:$D$504,C245,MATCHER!$J$5:$J$504,REGLER!$I$6,MATCHER!$K$5:$K$504,"Ja")+COUNTIFS(MATCHER!$B$5:$B$504,A245,MATCHER!$D$5:$D$504,C245,MATCHER!$J$5:$J$504,REGLER!$I$6&amp;" 2",MATCHER!$K$5:$K$504,"Ja")&gt;0,", "&amp;REGLER!$I$6,"")&amp;IF(COUNTIFS(MATCHER!$B$5:$B$504,A245,MATCHER!$D$5:$D$504,C245,MATCHER!$J$5:$J$504,REGLER!$I$7,MATCHER!$K$5:$K$504,"Ja")+COUNTIFS(MATCHER!$B$5:$B$504,A245,MATCHER!$D$5:$D$504,C245,MATCHER!$J$5:$J$504,REGLER!$I$7&amp;" 2",MATCHER!$K$5:$K$504,"Ja")&gt;0,", "&amp;REGLER!$I$7,"")&amp;IF(COUNTIFS(MATCHER!$B$5:$B$504,A245,MATCHER!$D$5:$D$504,C245,MATCHER!$J$5:$J$504,REGLER!$I$8,MATCHER!$K$5:$K$504,"Ja")+COUNTIFS(MATCHER!$B$5:$B$504,A245,MATCHER!$D$5:$D$504,C245,MATCHER!$J$5:$J$504,REGLER!$I$8&amp;" 2",MATCHER!$K$5:$K$504,"Ja")&gt;0,", "&amp;REGLER!$I$8,"")&amp;IF(COUNTIFS(MATCHER!$B$5:$B$504,A245,MATCHER!$D$5:$D$504,C245,MATCHER!$J$5:$J$504,REGLER!$I$9,MATCHER!$K$5:$K$504,"Ja")+COUNTIFS(MATCHER!$B$5:$B$504,A245,MATCHER!$D$5:$D$504,C245,MATCHER!$J$5:$J$504,REGLER!$I$9&amp;" 2",MATCHER!$K$5:$K$504,"Ja")&gt;0,", "&amp;REGLER!$I$9,"")&amp;IF(COUNTIFS(MATCHER!$B$5:$B$504,A245,MATCHER!$D$5:$D$504,C245,MATCHER!$J$5:$J$504,REGLER!$I$10,MATCHER!$K$5:$K$504,"Ja")+COUNTIFS(MATCHER!$B$5:$B$504,A245,MATCHER!$D$5:$D$504,C245,MATCHER!$J$5:$J$504,REGLER!$I$10&amp;" 2",MATCHER!$K$5:$K$504,"Ja")&gt;0,", "&amp;REGLER!$I$10,"")&amp;IF(COUNTIFS(MATCHER!$B$5:$B$504,A245,MATCHER!$D$5:$D$504,C245,MATCHER!$J$5:$J$504,REGLER!$I$11,MATCHER!$K$5:$K$504,"Ja")+COUNTIFS(MATCHER!$B$5:$B$504,A245,MATCHER!$D$5:$D$504,C245,MATCHER!$J$5:$J$504,REGLER!$I$11&amp;" 2",MATCHER!$K$5:$K$504,"Ja")&gt;0,", "&amp;REGLER!$I$11,"")&amp;IF(COUNTIFS(MATCHER!$B$5:$B$504,A245,MATCHER!$D$5:$D$504,C245,MATCHER!$J$5:$J$504,REGLER!$I$12,MATCHER!$K$5:$K$504,"Ja")+COUNTIFS(MATCHER!$B$5:$B$504,A245,MATCHER!$D$5:$D$504,C245,MATCHER!$J$5:$J$504,REGLER!$I$12&amp;" 2",MATCHER!$K$5:$K$504,"Ja")&gt;0,", "&amp;REGLER!$I$12,"")&amp;IF(COUNTIFS(MATCHER!$B$5:$B$504,A245,MATCHER!$D$5:$D$504,C245,MATCHER!$J$5:$J$504,REGLER!$I$13,MATCHER!$K$5:$K$504,"Ja")+COUNTIFS(MATCHER!$B$5:$B$504,A245,MATCHER!$D$5:$D$504,C245,MATCHER!$J$5:$J$504,REGLER!$I$13&amp;" 2",MATCHER!$K$5:$K$504,"Ja")&gt;0,", "&amp;REGLER!$I$13,"")&amp;IF(COUNTIFS(MATCHER!$B$5:$B$504,A245,MATCHER!$D$5:$D$504,C245,MATCHER!$J$5:$J$504,REGLER!$I$14,MATCHER!$K$5:$K$504,"Ja")+COUNTIFS(MATCHER!$B$5:$B$504,A245,MATCHER!$D$5:$D$504,C245,MATCHER!$J$5:$J$504,REGLER!$I$14&amp;" 2",MATCHER!$K$5:$K$504,"Ja")&gt;0,", "&amp;REGLER!$I$14,"")&amp;IF(COUNTIFS(MATCHER!$B$5:$B$504,A245,MATCHER!$D$5:$D$504,C245,MATCHER!$J$5:$J$504,REGLER!$I$15,MATCHER!$K$5:$K$504,"Ja")+COUNTIFS(MATCHER!$B$5:$B$504,A245,MATCHER!$D$5:$D$504,C245,MATCHER!$J$5:$J$504,REGLER!$I$15&amp;" 2",MATCHER!$K$5:$K$504,"Ja")&gt;0,", "&amp;REGLER!$I$15,"")&amp;IF(COUNTIFS(MATCHER!$B$5:$B$504,A245,MATCHER!$D$5:$D$504,C245,MATCHER!$J$5:$J$504,REGLER!$I$16,MATCHER!$K$5:$K$504,"Ja")+COUNTIFS(MATCHER!$B$5:$B$504,A245,MATCHER!$D$5:$D$504,C245,MATCHER!$J$5:$J$504,REGLER!$I$16&amp;" 2",MATCHER!$K$5:$K$504,"Ja")&gt;0,", "&amp;REGLER!$I$16,"")&amp;IF(COUNTIFS(MATCHER!$B$5:$B$504,A245,MATCHER!$D$5:$D$504,C245,MATCHER!$J$5:$J$504,REGLER!$I$17,MATCHER!$K$5:$K$504,"Ja")+COUNTIFS(MATCHER!$B$5:$B$504,A245,MATCHER!$D$5:$D$504,C245,MATCHER!$J$5:$J$504,REGLER!$I$17&amp;" 2",MATCHER!$K$5:$K$504,"Ja")&gt;0,", "&amp;REGLER!$I$17,"")&amp;IF(COUNTIFS(MATCHER!$B$5:$B$504,A245,MATCHER!$D$5:$D$504,C245,MATCHER!$J$5:$J$504,REGLER!$I$18,MATCHER!$K$5:$K$504,"Ja")+COUNTIFS(MATCHER!$B$5:$B$504,A245,MATCHER!$D$5:$D$504,C245,MATCHER!$J$5:$J$504,REGLER!$I$18&amp;" 2",MATCHER!$K$5:$K$504,"Ja")&gt;0,", "&amp;REGLER!$I$18,"")&amp;IF(COUNTIFS(MATCHER!$B$5:$B$504,A245,MATCHER!$D$5:$D$504,C245,MATCHER!$J$5:$J$504,REGLER!$I$19,MATCHER!$K$5:$K$504,"Ja")+COUNTIFS(MATCHER!$B$5:$B$504,A245,MATCHER!$D$5:$D$504,C245,MATCHER!$J$5:$J$504,REGLER!$I$19&amp;" 2",MATCHER!$K$5:$K$504,"Ja")&gt;0,", "&amp;REGLER!$I$19,"")&amp;IF(COUNTIFS(MATCHER!$B$5:$B$504,A245,MATCHER!$D$5:$D$504,C245,MATCHER!$J$5:$J$504,REGLER!$I$20,MATCHER!$K$5:$K$504,"Ja")+COUNTIFS(MATCHER!$B$5:$B$504,A245,MATCHER!$D$5:$D$504,C245,MATCHER!$J$5:$J$504,REGLER!$I$20&amp;" 2",MATCHER!$K$5:$K$504,"Ja")&gt;0,", "&amp;REGLER!$I$20,"")&amp;IF(COUNTIFS(MATCHER!$B$5:$B$504,A245,MATCHER!$D$5:$D$504,C245,MATCHER!$J$5:$J$504,REGLER!$I$21,MATCHER!$K$5:$K$504,"Ja")+COUNTIFS(MATCHER!$B$5:$B$504,A245,MATCHER!$D$5:$D$504,C245,MATCHER!$J$5:$J$504,REGLER!$I$21&amp;" 2",MATCHER!$K$5:$K$504,"Ja")&gt;0,", "&amp;REGLER!$I$21,"")&amp;IF(COUNTIFS(MATCHER!$B$5:$B$504,A245,MATCHER!$D$5:$D$504,C245,MATCHER!$J$5:$J$504,REGLER!$I$22,MATCHER!$K$5:$K$504,"Ja")+COUNTIFS(MATCHER!$B$5:$B$504,A245,MATCHER!$D$5:$D$504,C245,MATCHER!$J$5:$J$504,REGLER!$I$22&amp;" 2",MATCHER!$K$5:$K$504,"Ja")&gt;0,", "&amp;REGLER!$I$22,"")&amp;IF(COUNTIFS(MATCHER!$B$5:$B$504,A245,MATCHER!$D$5:$D$504,C245,MATCHER!$J$5:$J$504,REGLER!$I$23,MATCHER!$K$5:$K$504,"Ja")+COUNTIFS(MATCHER!$B$5:$B$504,A245,MATCHER!$D$5:$D$504,C245,MATCHER!$J$5:$J$504,REGLER!$I$23&amp;" 2",MATCHER!$K$5:$K$504,"Ja")&gt;0,", "&amp;REGLER!$I$23,"")&amp;IF(COUNTIFS(MATCHER!$B$5:$B$504,A245,MATCHER!$D$5:$D$504,C245,MATCHER!$J$5:$J$504,REGLER!$I$24,MATCHER!$K$5:$K$504,"Ja")+COUNTIFS(MATCHER!$B$5:$B$504,A245,MATCHER!$D$5:$D$504,C245,MATCHER!$J$5:$J$504,REGLER!$I$24&amp;" 2",MATCHER!$K$5:$K$504,"Ja")&gt;0,", "&amp;REGLER!$I$24,"")&amp;IF(COUNTIFS(MATCHER!$B$5:$B$504,A245,MATCHER!$D$5:$D$504,C245,MATCHER!$J$5:$J$504,REGLER!$I$25,MATCHER!$K$5:$K$504,"Ja")+COUNTIFS(MATCHER!$B$5:$B$504,A245,MATCHER!$D$5:$D$504,C245,MATCHER!$J$5:$J$504,REGLER!$I$25&amp;" 2",MATCHER!$K$5:$K$504,"Ja")&gt;0,", "&amp;REGLER!$I$25,"")&amp;IF(COUNTIFS(MATCHER!$B$5:$B$504,A245,MATCHER!$D$5:$D$504,C245,MATCHER!$J$5:$J$504,REGLER!$I$26,MATCHER!$K$5:$K$504,"Ja")+COUNTIFS(MATCHER!$B$5:$B$504,A245,MATCHER!$D$5:$D$504,C245,MATCHER!$J$5:$J$504,REGLER!$I$26&amp;" 2",MATCHER!$K$5:$K$504,"Ja")&gt;0,", "&amp;REGLER!$I$26,""),3,1000)</f>
        <v>P12</v>
      </c>
      <c r="I245" s="46" t="s">
        <v>90</v>
      </c>
      <c r="J245" s="47" t="s">
        <v>117</v>
      </c>
      <c r="K245" s="48" t="s">
        <v>88</v>
      </c>
      <c r="L245" s="49"/>
      <c r="M245" s="50">
        <f>IF(O245&lt;&gt;O244,MAX(1,MIN(AA245,ROUNDUP(SUMPRODUCT(($O$5:$O$546=O245)*($I$5:$I$546="Ja")*($E$5:$E$546-$D$5:$D$546))*24/REGLER!$B$8,0))),"")</f>
        <v>1</v>
      </c>
      <c r="N245" s="50" t="str">
        <f t="shared" si="47"/>
        <v>Klar</v>
      </c>
      <c r="O245" s="15" t="s">
        <v>130</v>
      </c>
      <c r="P245" s="16">
        <v>0.33333333333333298</v>
      </c>
      <c r="Q245" s="16">
        <v>0.625</v>
      </c>
      <c r="R245" s="15" t="str">
        <f>IFERROR(MATCH(1,INDEX((MATCHER!$B$5:$B$504=A245)*(MATCHER!$D$5:$D$504=C245)*(MATCHER!$K$5:$K$504="Ja")*(MATCHER!$C$5:$C$504&lt;E245)*(MATCHER!$M$5:$M$504&gt;D245),0),0),"")</f>
        <v/>
      </c>
      <c r="S245" s="15" t="str">
        <f>IF(R245="","",IFERROR(MATCH(1,INDEX((MATCHER!$B$5:$B$504=A245)*(MATCHER!$D$5:$D$504=C245)*(MATCHER!$K$5:$K$504="Ja")*(MATCHER!$C$5:$C$504&lt;E245)*(MATCHER!$M$5:$M$504&gt;D245)*(ROW(MATCHER!$A$5:$A$504)-ROW(MATCHER!$A$5)+1&gt;R245),0),0),""))</f>
        <v/>
      </c>
      <c r="T245" s="15" t="str">
        <f>IF(S245="","",IFERROR(MATCH(1,INDEX((MATCHER!$B$5:$B$504=A245)*(MATCHER!$D$5:$D$504=C245)*(MATCHER!$K$5:$K$504="Ja")*(MATCHER!$C$5:$C$504&lt;E245)*(MATCHER!$M$5:$M$504&gt;D245)*(ROW(MATCHER!$A$5:$A$504)-ROW(MATCHER!$A$5)+1&gt;S245),0),0),""))</f>
        <v/>
      </c>
      <c r="U245" s="15">
        <f t="shared" si="48"/>
        <v>1</v>
      </c>
      <c r="V245" s="15">
        <f>IF(OR(I245&lt;&gt;"Ja",J245=""),"",COUNTIFS($O$5:O245,O245,$U$5:U245,1))</f>
        <v>1</v>
      </c>
      <c r="W245" s="15" t="str">
        <f t="shared" si="49"/>
        <v>2026-11-28 | Tallbackaskolan|1</v>
      </c>
      <c r="X245" s="16" t="str">
        <f t="shared" si="50"/>
        <v/>
      </c>
      <c r="Y245" s="15">
        <f>IF(OR(I245&lt;&gt;"Ja",J245=""),0,IF(COUNTIFS($O$5:O245,O245,$I$5:I245,"Ja",$J$5:J245,"&lt;&gt;")=1,1,0))</f>
        <v>1</v>
      </c>
      <c r="Z245" s="15">
        <f>IF(OR(I245&lt;&gt;"Ja",J245=""),0,IF(COUNTIFS(O245:$O$546,O245,I245:$I$546,"Ja",J245:$J$546,"&lt;&gt;")=1,1,0))</f>
        <v>0</v>
      </c>
      <c r="AA245" s="15">
        <f>IF(COUNTIFS(MATCHER!$B$5:$B$504,A245,MATCHER!$D$5:$D$504,C245,MATCHER!$J$5:$J$504,REGLER!$I$6,MATCHER!$K$5:$K$504,"Ja")+COUNTIFS(MATCHER!$B$5:$B$504,A245,MATCHER!$D$5:$D$504,C245,MATCHER!$J$5:$J$504,REGLER!$I$6&amp;" 2",MATCHER!$K$5:$K$504,"Ja")&gt;0,1,0)+IF(COUNTIFS(MATCHER!$B$5:$B$504,A245,MATCHER!$D$5:$D$504,C245,MATCHER!$J$5:$J$504,REGLER!$I$7,MATCHER!$K$5:$K$504,"Ja")+COUNTIFS(MATCHER!$B$5:$B$504,A245,MATCHER!$D$5:$D$504,C245,MATCHER!$J$5:$J$504,REGLER!$I$7&amp;" 2",MATCHER!$K$5:$K$504,"Ja")&gt;0,1,0)+IF(COUNTIFS(MATCHER!$B$5:$B$504,A245,MATCHER!$D$5:$D$504,C245,MATCHER!$J$5:$J$504,REGLER!$I$8,MATCHER!$K$5:$K$504,"Ja")+COUNTIFS(MATCHER!$B$5:$B$504,A245,MATCHER!$D$5:$D$504,C245,MATCHER!$J$5:$J$504,REGLER!$I$8&amp;" 2",MATCHER!$K$5:$K$504,"Ja")&gt;0,1,0)+IF(COUNTIFS(MATCHER!$B$5:$B$504,A245,MATCHER!$D$5:$D$504,C245,MATCHER!$J$5:$J$504,REGLER!$I$9,MATCHER!$K$5:$K$504,"Ja")+COUNTIFS(MATCHER!$B$5:$B$504,A245,MATCHER!$D$5:$D$504,C245,MATCHER!$J$5:$J$504,REGLER!$I$9&amp;" 2",MATCHER!$K$5:$K$504,"Ja")&gt;0,1,0)+IF(COUNTIFS(MATCHER!$B$5:$B$504,A245,MATCHER!$D$5:$D$504,C245,MATCHER!$J$5:$J$504,REGLER!$I$10,MATCHER!$K$5:$K$504,"Ja")+COUNTIFS(MATCHER!$B$5:$B$504,A245,MATCHER!$D$5:$D$504,C245,MATCHER!$J$5:$J$504,REGLER!$I$10&amp;" 2",MATCHER!$K$5:$K$504,"Ja")&gt;0,1,0)+IF(COUNTIFS(MATCHER!$B$5:$B$504,A245,MATCHER!$D$5:$D$504,C245,MATCHER!$J$5:$J$504,REGLER!$I$11,MATCHER!$K$5:$K$504,"Ja")+COUNTIFS(MATCHER!$B$5:$B$504,A245,MATCHER!$D$5:$D$504,C245,MATCHER!$J$5:$J$504,REGLER!$I$11&amp;" 2",MATCHER!$K$5:$K$504,"Ja")&gt;0,1,0)+IF(COUNTIFS(MATCHER!$B$5:$B$504,A245,MATCHER!$D$5:$D$504,C245,MATCHER!$J$5:$J$504,REGLER!$I$12,MATCHER!$K$5:$K$504,"Ja")+COUNTIFS(MATCHER!$B$5:$B$504,A245,MATCHER!$D$5:$D$504,C245,MATCHER!$J$5:$J$504,REGLER!$I$12&amp;" 2",MATCHER!$K$5:$K$504,"Ja")&gt;0,1,0)+IF(COUNTIFS(MATCHER!$B$5:$B$504,A245,MATCHER!$D$5:$D$504,C245,MATCHER!$J$5:$J$504,REGLER!$I$13,MATCHER!$K$5:$K$504,"Ja")+COUNTIFS(MATCHER!$B$5:$B$504,A245,MATCHER!$D$5:$D$504,C245,MATCHER!$J$5:$J$504,REGLER!$I$13&amp;" 2",MATCHER!$K$5:$K$504,"Ja")&gt;0,1,0)+IF(COUNTIFS(MATCHER!$B$5:$B$504,A245,MATCHER!$D$5:$D$504,C245,MATCHER!$J$5:$J$504,REGLER!$I$14,MATCHER!$K$5:$K$504,"Ja")+COUNTIFS(MATCHER!$B$5:$B$504,A245,MATCHER!$D$5:$D$504,C245,MATCHER!$J$5:$J$504,REGLER!$I$14&amp;" 2",MATCHER!$K$5:$K$504,"Ja")&gt;0,1,0)+IF(COUNTIFS(MATCHER!$B$5:$B$504,A245,MATCHER!$D$5:$D$504,C245,MATCHER!$J$5:$J$504,REGLER!$I$15,MATCHER!$K$5:$K$504,"Ja")+COUNTIFS(MATCHER!$B$5:$B$504,A245,MATCHER!$D$5:$D$504,C245,MATCHER!$J$5:$J$504,REGLER!$I$15&amp;" 2",MATCHER!$K$5:$K$504,"Ja")&gt;0,1,0)+IF(COUNTIFS(MATCHER!$B$5:$B$504,A245,MATCHER!$D$5:$D$504,C245,MATCHER!$J$5:$J$504,REGLER!$I$16,MATCHER!$K$5:$K$504,"Ja")+COUNTIFS(MATCHER!$B$5:$B$504,A245,MATCHER!$D$5:$D$504,C245,MATCHER!$J$5:$J$504,REGLER!$I$16&amp;" 2",MATCHER!$K$5:$K$504,"Ja")&gt;0,1,0)+IF(COUNTIFS(MATCHER!$B$5:$B$504,A245,MATCHER!$D$5:$D$504,C245,MATCHER!$J$5:$J$504,REGLER!$I$17,MATCHER!$K$5:$K$504,"Ja")+COUNTIFS(MATCHER!$B$5:$B$504,A245,MATCHER!$D$5:$D$504,C245,MATCHER!$J$5:$J$504,REGLER!$I$17&amp;" 2",MATCHER!$K$5:$K$504,"Ja")&gt;0,1,0)+IF(COUNTIFS(MATCHER!$B$5:$B$504,A245,MATCHER!$D$5:$D$504,C245,MATCHER!$J$5:$J$504,REGLER!$I$18,MATCHER!$K$5:$K$504,"Ja")+COUNTIFS(MATCHER!$B$5:$B$504,A245,MATCHER!$D$5:$D$504,C245,MATCHER!$J$5:$J$504,REGLER!$I$18&amp;" 2",MATCHER!$K$5:$K$504,"Ja")&gt;0,1,0)+IF(COUNTIFS(MATCHER!$B$5:$B$504,A245,MATCHER!$D$5:$D$504,C245,MATCHER!$J$5:$J$504,REGLER!$I$19,MATCHER!$K$5:$K$504,"Ja")+COUNTIFS(MATCHER!$B$5:$B$504,A245,MATCHER!$D$5:$D$504,C245,MATCHER!$J$5:$J$504,REGLER!$I$19&amp;" 2",MATCHER!$K$5:$K$504,"Ja")&gt;0,1,0)+IF(COUNTIFS(MATCHER!$B$5:$B$504,A245,MATCHER!$D$5:$D$504,C245,MATCHER!$J$5:$J$504,REGLER!$I$20,MATCHER!$K$5:$K$504,"Ja")+COUNTIFS(MATCHER!$B$5:$B$504,A245,MATCHER!$D$5:$D$504,C245,MATCHER!$J$5:$J$504,REGLER!$I$20&amp;" 2",MATCHER!$K$5:$K$504,"Ja")&gt;0,1,0)+IF(COUNTIFS(MATCHER!$B$5:$B$504,A245,MATCHER!$D$5:$D$504,C245,MATCHER!$J$5:$J$504,REGLER!$I$21,MATCHER!$K$5:$K$504,"Ja")+COUNTIFS(MATCHER!$B$5:$B$504,A245,MATCHER!$D$5:$D$504,C245,MATCHER!$J$5:$J$504,REGLER!$I$21&amp;" 2",MATCHER!$K$5:$K$504,"Ja")&gt;0,1,0)+IF(COUNTIFS(MATCHER!$B$5:$B$504,A245,MATCHER!$D$5:$D$504,C245,MATCHER!$J$5:$J$504,REGLER!$I$22,MATCHER!$K$5:$K$504,"Ja")+COUNTIFS(MATCHER!$B$5:$B$504,A245,MATCHER!$D$5:$D$504,C245,MATCHER!$J$5:$J$504,REGLER!$I$22&amp;" 2",MATCHER!$K$5:$K$504,"Ja")&gt;0,1,0)+IF(COUNTIFS(MATCHER!$B$5:$B$504,A245,MATCHER!$D$5:$D$504,C245,MATCHER!$J$5:$J$504,REGLER!$I$23,MATCHER!$K$5:$K$504,"Ja")+COUNTIFS(MATCHER!$B$5:$B$504,A245,MATCHER!$D$5:$D$504,C245,MATCHER!$J$5:$J$504,REGLER!$I$23&amp;" 2",MATCHER!$K$5:$K$504,"Ja")&gt;0,1,0)+IF(COUNTIFS(MATCHER!$B$5:$B$504,A245,MATCHER!$D$5:$D$504,C245,MATCHER!$J$5:$J$504,REGLER!$I$24,MATCHER!$K$5:$K$504,"Ja")+COUNTIFS(MATCHER!$B$5:$B$504,A245,MATCHER!$D$5:$D$504,C245,MATCHER!$J$5:$J$504,REGLER!$I$24&amp;" 2",MATCHER!$K$5:$K$504,"Ja")&gt;0,1,0)+IF(COUNTIFS(MATCHER!$B$5:$B$504,A245,MATCHER!$D$5:$D$504,C245,MATCHER!$J$5:$J$504,REGLER!$I$25,MATCHER!$K$5:$K$504,"Ja")+COUNTIFS(MATCHER!$B$5:$B$504,A245,MATCHER!$D$5:$D$504,C245,MATCHER!$J$5:$J$504,REGLER!$I$25&amp;" 2",MATCHER!$K$5:$K$504,"Ja")&gt;0,1,0)+IF(COUNTIFS(MATCHER!$B$5:$B$504,A245,MATCHER!$D$5:$D$504,C245,MATCHER!$J$5:$J$504,REGLER!$I$26,MATCHER!$K$5:$K$504,"Ja")+COUNTIFS(MATCHER!$B$5:$B$504,A245,MATCHER!$D$5:$D$504,C245,MATCHER!$J$5:$J$504,REGLER!$I$26&amp;" 2",MATCHER!$K$5:$K$504,"Ja")&gt;0,1,0)</f>
        <v>1</v>
      </c>
      <c r="AB245" s="15">
        <f>IF(U245&lt;&gt;1,"",COUNTIF($U$5:U245,1))</f>
        <v>28</v>
      </c>
      <c r="AC245" s="15" t="str">
        <f t="shared" si="51"/>
        <v/>
      </c>
      <c r="AD245" s="15" t="str">
        <f t="shared" si="52"/>
        <v>Vanligt café</v>
      </c>
      <c r="AE245" s="15">
        <f t="shared" si="53"/>
        <v>7.0000000000000089</v>
      </c>
      <c r="AF245" t="str">
        <f>IF(T245="","",IFERROR(MATCH(1,INDEX((MATCHER!$B$5:$B$504=A245)*(MATCHER!$D$5:$D$504=C245)*(MATCHER!$K$5:$K$504="Ja")*(MATCHER!$C$5:$C$504&lt;E245)*(MATCHER!$M$5:$M$504&gt;D245)*(ROW(MATCHER!$A$5:$A$504)-ROW(MATCHER!$A$5)+1&gt;T245),0),0),""))</f>
        <v/>
      </c>
    </row>
    <row r="246" spans="1:32" ht="26">
      <c r="A246" s="42">
        <v>46354</v>
      </c>
      <c r="B246" s="43" t="s">
        <v>85</v>
      </c>
      <c r="C246" s="43" t="s">
        <v>110</v>
      </c>
      <c r="D246" s="44">
        <v>0.35416666666666702</v>
      </c>
      <c r="E246" s="44">
        <v>0.375</v>
      </c>
      <c r="F246" s="45" t="str">
        <f>IF(R246="","",HOUR(INDEX(MATCHER!$C$5:$C$504,R246))&amp;":"&amp;IF(MINUTE(INDEX(MATCHER!$C$5:$C$504,R246))&lt;10,"0","")&amp;MINUTE(INDEX(MATCHER!$C$5:$C$504,R246))&amp;" "&amp;INDEX(MATCHER!$H$5:$H$504,R246)&amp;" – "&amp;INDEX(MATCHER!$I$5:$I$504,R246))&amp;IF(S246="",""," | "&amp;HOUR(INDEX(MATCHER!$C$5:$C$504,S246))&amp;":"&amp;IF(MINUTE(INDEX(MATCHER!$C$5:$C$504,S246))&lt;10,"0","")&amp;MINUTE(INDEX(MATCHER!$C$5:$C$504,S246))&amp;" "&amp;INDEX(MATCHER!$H$5:$H$504,S246)&amp;" – "&amp;INDEX(MATCHER!$I$5:$I$504,S246))&amp;IF(T246="",""," | "&amp;HOUR(INDEX(MATCHER!$C$5:$C$504,T246))&amp;":"&amp;IF(MINUTE(INDEX(MATCHER!$C$5:$C$504,T246))&lt;10,"0","")&amp;MINUTE(INDEX(MATCHER!$C$5:$C$504,T246))&amp;" "&amp;INDEX(MATCHER!$H$5:$H$504,T246)&amp;" – "&amp;INDEX(MATCHER!$I$5:$I$504,T246))&amp;IF(AF246="",""," | "&amp;HOUR(INDEX(MATCHER!$C$5:$C$504,AF246))&amp;":"&amp;IF(MINUTE(INDEX(MATCHER!$C$5:$C$504,AF246))&lt;10,"0","")&amp;MINUTE(INDEX(MATCHER!$C$5:$C$504,AF246))&amp;" "&amp;INDEX(MATCHER!$H$5:$H$504,AF246)&amp;" – "&amp;INDEX(MATCHER!$I$5:$I$504,AF246))</f>
        <v/>
      </c>
      <c r="G246" s="45" t="str">
        <f>MID(IF(R246="","",IF(OR(INDEX(MATCHER!$J$5:$J$504,R246)=""),""," / "&amp;INDEX(MATCHER!$J$5:$J$504,R246)))&amp;IF(S246="","",IF(OR(INDEX(MATCHER!$J$5:$J$504,S246)="",INDEX(MATCHER!$J$5:$J$504,S246)=IFERROR(INDEX(MATCHER!$J$5:$J$504,R246),"")),""," / "&amp;INDEX(MATCHER!$J$5:$J$504,S246)))&amp;IF(T246="","",IF(OR(INDEX(MATCHER!$J$5:$J$504,T246)="",INDEX(MATCHER!$J$5:$J$504,T246)=IFERROR(INDEX(MATCHER!$J$5:$J$504,R246),""),INDEX(MATCHER!$J$5:$J$504,T246)=IFERROR(INDEX(MATCHER!$J$5:$J$504,S246),"")),""," / "&amp;INDEX(MATCHER!$J$5:$J$504,T246)))&amp;IF(AF246="","",IF(OR(INDEX(MATCHER!$J$5:$J$504,AF246)="",INDEX(MATCHER!$J$5:$J$504,AF246)=IFERROR(INDEX(MATCHER!$J$5:$J$504,R246),""),INDEX(MATCHER!$J$5:$J$504,AF246)=IFERROR(INDEX(MATCHER!$J$5:$J$504,S246),""),INDEX(MATCHER!$J$5:$J$504,AF246)=IFERROR(INDEX(MATCHER!$J$5:$J$504,T246),"")),""," / "&amp;INDEX(MATCHER!$J$5:$J$504,AF246))),4,1000)</f>
        <v/>
      </c>
      <c r="H246" s="45" t="str">
        <f t="shared" ref="H246:H258" si="58">H245</f>
        <v>P12</v>
      </c>
      <c r="I246" s="46" t="s">
        <v>90</v>
      </c>
      <c r="J246" s="47" t="s">
        <v>117</v>
      </c>
      <c r="K246" s="48"/>
      <c r="L246" s="49"/>
      <c r="M246" s="50" t="str">
        <f>IF(O246&lt;&gt;O245,MAX(1,MIN(AA246,ROUNDUP(SUMPRODUCT(($O$5:$O$546=O246)*($I$5:$I$546="Ja")*($E$5:$E$546-$D$5:$D$546))*24/REGLER!$B$8,0))),"")</f>
        <v/>
      </c>
      <c r="N246" s="50" t="str">
        <f t="shared" si="47"/>
        <v>Klar</v>
      </c>
      <c r="O246" s="15" t="s">
        <v>130</v>
      </c>
      <c r="P246" s="16">
        <v>0.33333333333333298</v>
      </c>
      <c r="Q246" s="16">
        <v>0.625</v>
      </c>
      <c r="R246" s="15" t="str">
        <f>IFERROR(MATCH(1,INDEX((MATCHER!$B$5:$B$504=A246)*(MATCHER!$D$5:$D$504=C246)*(MATCHER!$K$5:$K$504="Ja")*(MATCHER!$C$5:$C$504&lt;E246)*(MATCHER!$M$5:$M$504&gt;D246),0),0),"")</f>
        <v/>
      </c>
      <c r="S246" s="15" t="str">
        <f>IF(R246="","",IFERROR(MATCH(1,INDEX((MATCHER!$B$5:$B$504=A246)*(MATCHER!$D$5:$D$504=C246)*(MATCHER!$K$5:$K$504="Ja")*(MATCHER!$C$5:$C$504&lt;E246)*(MATCHER!$M$5:$M$504&gt;D246)*(ROW(MATCHER!$A$5:$A$504)-ROW(MATCHER!$A$5)+1&gt;R246),0),0),""))</f>
        <v/>
      </c>
      <c r="T246" s="15" t="str">
        <f>IF(S246="","",IFERROR(MATCH(1,INDEX((MATCHER!$B$5:$B$504=A246)*(MATCHER!$D$5:$D$504=C246)*(MATCHER!$K$5:$K$504="Ja")*(MATCHER!$C$5:$C$504&lt;E246)*(MATCHER!$M$5:$M$504&gt;D246)*(ROW(MATCHER!$A$5:$A$504)-ROW(MATCHER!$A$5)+1&gt;S246),0),0),""))</f>
        <v/>
      </c>
      <c r="U246" s="15">
        <f t="shared" si="48"/>
        <v>0</v>
      </c>
      <c r="V246" s="15">
        <f>IF(OR(I246&lt;&gt;"Ja",J246=""),"",COUNTIFS($O$5:O246,O246,$U$5:U246,1))</f>
        <v>1</v>
      </c>
      <c r="W246" s="15" t="str">
        <f t="shared" si="49"/>
        <v>2026-11-28 | Tallbackaskolan|1</v>
      </c>
      <c r="X246" s="16" t="str">
        <f t="shared" si="50"/>
        <v/>
      </c>
      <c r="Y246" s="15">
        <f>IF(OR(I246&lt;&gt;"Ja",J246=""),0,IF(COUNTIFS($O$5:O246,O246,$I$5:I246,"Ja",$J$5:J246,"&lt;&gt;")=1,1,0))</f>
        <v>0</v>
      </c>
      <c r="Z246" s="15">
        <f>IF(OR(I246&lt;&gt;"Ja",J246=""),0,IF(COUNTIFS(O246:$O$546,O246,I246:$I$546,"Ja",J246:$J$546,"&lt;&gt;")=1,1,0))</f>
        <v>0</v>
      </c>
      <c r="AA246" s="15">
        <f t="shared" ref="AA246:AA258" si="59">AA245</f>
        <v>1</v>
      </c>
      <c r="AB246" s="15" t="str">
        <f>IF(U246&lt;&gt;1,"",COUNTIF($U$5:U246,1))</f>
        <v/>
      </c>
      <c r="AC246" s="15" t="str">
        <f t="shared" si="51"/>
        <v/>
      </c>
      <c r="AD246" s="15" t="str">
        <f t="shared" si="52"/>
        <v>Vanligt café</v>
      </c>
      <c r="AE246" s="15" t="str">
        <f t="shared" si="53"/>
        <v/>
      </c>
      <c r="AF246" t="str">
        <f>IF(T246="","",IFERROR(MATCH(1,INDEX((MATCHER!$B$5:$B$504=A246)*(MATCHER!$D$5:$D$504=C246)*(MATCHER!$K$5:$K$504="Ja")*(MATCHER!$C$5:$C$504&lt;E246)*(MATCHER!$M$5:$M$504&gt;D246)*(ROW(MATCHER!$A$5:$A$504)-ROW(MATCHER!$A$5)+1&gt;T246),0),0),""))</f>
        <v/>
      </c>
    </row>
    <row r="247" spans="1:32" ht="26">
      <c r="A247" s="42">
        <v>46354</v>
      </c>
      <c r="B247" s="43" t="s">
        <v>85</v>
      </c>
      <c r="C247" s="43" t="s">
        <v>110</v>
      </c>
      <c r="D247" s="44">
        <v>0.375</v>
      </c>
      <c r="E247" s="44">
        <v>0.39583333333333298</v>
      </c>
      <c r="F247" s="45" t="str">
        <f>IF(R247="","",HOUR(INDEX(MATCHER!$C$5:$C$504,R247))&amp;":"&amp;IF(MINUTE(INDEX(MATCHER!$C$5:$C$504,R247))&lt;10,"0","")&amp;MINUTE(INDEX(MATCHER!$C$5:$C$504,R247))&amp;" "&amp;INDEX(MATCHER!$H$5:$H$504,R247)&amp;" – "&amp;INDEX(MATCHER!$I$5:$I$504,R247))&amp;IF(S247="",""," | "&amp;HOUR(INDEX(MATCHER!$C$5:$C$504,S247))&amp;":"&amp;IF(MINUTE(INDEX(MATCHER!$C$5:$C$504,S247))&lt;10,"0","")&amp;MINUTE(INDEX(MATCHER!$C$5:$C$504,S247))&amp;" "&amp;INDEX(MATCHER!$H$5:$H$504,S247)&amp;" – "&amp;INDEX(MATCHER!$I$5:$I$504,S247))&amp;IF(T247="",""," | "&amp;HOUR(INDEX(MATCHER!$C$5:$C$504,T247))&amp;":"&amp;IF(MINUTE(INDEX(MATCHER!$C$5:$C$504,T247))&lt;10,"0","")&amp;MINUTE(INDEX(MATCHER!$C$5:$C$504,T247))&amp;" "&amp;INDEX(MATCHER!$H$5:$H$504,T247)&amp;" – "&amp;INDEX(MATCHER!$I$5:$I$504,T247))&amp;IF(AF247="",""," | "&amp;HOUR(INDEX(MATCHER!$C$5:$C$504,AF247))&amp;":"&amp;IF(MINUTE(INDEX(MATCHER!$C$5:$C$504,AF247))&lt;10,"0","")&amp;MINUTE(INDEX(MATCHER!$C$5:$C$504,AF247))&amp;" "&amp;INDEX(MATCHER!$H$5:$H$504,AF247)&amp;" – "&amp;INDEX(MATCHER!$I$5:$I$504,AF247))</f>
        <v>9:00 AIK – Bålsta IF</v>
      </c>
      <c r="G247" s="45" t="str">
        <f>MID(IF(R247="","",IF(OR(INDEX(MATCHER!$J$5:$J$504,R247)=""),""," / "&amp;INDEX(MATCHER!$J$5:$J$504,R247)))&amp;IF(S247="","",IF(OR(INDEX(MATCHER!$J$5:$J$504,S247)="",INDEX(MATCHER!$J$5:$J$504,S247)=IFERROR(INDEX(MATCHER!$J$5:$J$504,R247),"")),""," / "&amp;INDEX(MATCHER!$J$5:$J$504,S247)))&amp;IF(T247="","",IF(OR(INDEX(MATCHER!$J$5:$J$504,T247)="",INDEX(MATCHER!$J$5:$J$504,T247)=IFERROR(INDEX(MATCHER!$J$5:$J$504,R247),""),INDEX(MATCHER!$J$5:$J$504,T247)=IFERROR(INDEX(MATCHER!$J$5:$J$504,S247),"")),""," / "&amp;INDEX(MATCHER!$J$5:$J$504,T247)))&amp;IF(AF247="","",IF(OR(INDEX(MATCHER!$J$5:$J$504,AF247)="",INDEX(MATCHER!$J$5:$J$504,AF247)=IFERROR(INDEX(MATCHER!$J$5:$J$504,R247),""),INDEX(MATCHER!$J$5:$J$504,AF247)=IFERROR(INDEX(MATCHER!$J$5:$J$504,S247),""),INDEX(MATCHER!$J$5:$J$504,AF247)=IFERROR(INDEX(MATCHER!$J$5:$J$504,T247),"")),""," / "&amp;INDEX(MATCHER!$J$5:$J$504,AF247))),4,1000)</f>
        <v>P12</v>
      </c>
      <c r="H247" s="45" t="str">
        <f t="shared" si="58"/>
        <v>P12</v>
      </c>
      <c r="I247" s="46" t="s">
        <v>90</v>
      </c>
      <c r="J247" s="47" t="s">
        <v>117</v>
      </c>
      <c r="K247" s="48"/>
      <c r="L247" s="49"/>
      <c r="M247" s="50" t="str">
        <f>IF(O247&lt;&gt;O246,MAX(1,MIN(AA247,ROUNDUP(SUMPRODUCT(($O$5:$O$546=O247)*($I$5:$I$546="Ja")*($E$5:$E$546-$D$5:$D$546))*24/REGLER!$B$8,0))),"")</f>
        <v/>
      </c>
      <c r="N247" s="50" t="str">
        <f t="shared" si="47"/>
        <v>Klar</v>
      </c>
      <c r="O247" s="15" t="s">
        <v>130</v>
      </c>
      <c r="P247" s="16">
        <v>0.33333333333333298</v>
      </c>
      <c r="Q247" s="16">
        <v>0.625</v>
      </c>
      <c r="R247" s="15">
        <f>IFERROR(MATCH(1,INDEX((MATCHER!$B$5:$B$504=A247)*(MATCHER!$D$5:$D$504=C247)*(MATCHER!$K$5:$K$504="Ja")*(MATCHER!$C$5:$C$504&lt;E247)*(MATCHER!$M$5:$M$504&gt;D247),0),0),"")</f>
        <v>86</v>
      </c>
      <c r="S247" s="15" t="str">
        <f>IF(R247="","",IFERROR(MATCH(1,INDEX((MATCHER!$B$5:$B$504=A247)*(MATCHER!$D$5:$D$504=C247)*(MATCHER!$K$5:$K$504="Ja")*(MATCHER!$C$5:$C$504&lt;E247)*(MATCHER!$M$5:$M$504&gt;D247)*(ROW(MATCHER!$A$5:$A$504)-ROW(MATCHER!$A$5)+1&gt;R247),0),0),""))</f>
        <v/>
      </c>
      <c r="T247" s="15" t="str">
        <f>IF(S247="","",IFERROR(MATCH(1,INDEX((MATCHER!$B$5:$B$504=A247)*(MATCHER!$D$5:$D$504=C247)*(MATCHER!$K$5:$K$504="Ja")*(MATCHER!$C$5:$C$504&lt;E247)*(MATCHER!$M$5:$M$504&gt;D247)*(ROW(MATCHER!$A$5:$A$504)-ROW(MATCHER!$A$5)+1&gt;S247),0),0),""))</f>
        <v/>
      </c>
      <c r="U247" s="15">
        <f t="shared" si="48"/>
        <v>0</v>
      </c>
      <c r="V247" s="15">
        <f>IF(OR(I247&lt;&gt;"Ja",J247=""),"",COUNTIFS($O$5:O247,O247,$U$5:U247,1))</f>
        <v>1</v>
      </c>
      <c r="W247" s="15" t="str">
        <f t="shared" si="49"/>
        <v>2026-11-28 | Tallbackaskolan|1</v>
      </c>
      <c r="X247" s="16" t="str">
        <f t="shared" si="50"/>
        <v/>
      </c>
      <c r="Y247" s="15">
        <f>IF(OR(I247&lt;&gt;"Ja",J247=""),0,IF(COUNTIFS($O$5:O247,O247,$I$5:I247,"Ja",$J$5:J247,"&lt;&gt;")=1,1,0))</f>
        <v>0</v>
      </c>
      <c r="Z247" s="15">
        <f>IF(OR(I247&lt;&gt;"Ja",J247=""),0,IF(COUNTIFS(O247:$O$546,O247,I247:$I$546,"Ja",J247:$J$546,"&lt;&gt;")=1,1,0))</f>
        <v>0</v>
      </c>
      <c r="AA247" s="15">
        <f t="shared" si="59"/>
        <v>1</v>
      </c>
      <c r="AB247" s="15" t="str">
        <f>IF(U247&lt;&gt;1,"",COUNTIF($U$5:U247,1))</f>
        <v/>
      </c>
      <c r="AC247" s="15" t="str">
        <f t="shared" si="51"/>
        <v/>
      </c>
      <c r="AD247" s="15" t="str">
        <f t="shared" si="52"/>
        <v>Vanligt café</v>
      </c>
      <c r="AE247" s="15" t="str">
        <f t="shared" si="53"/>
        <v/>
      </c>
      <c r="AF247" t="str">
        <f>IF(T247="","",IFERROR(MATCH(1,INDEX((MATCHER!$B$5:$B$504=A247)*(MATCHER!$D$5:$D$504=C247)*(MATCHER!$K$5:$K$504="Ja")*(MATCHER!$C$5:$C$504&lt;E247)*(MATCHER!$M$5:$M$504&gt;D247)*(ROW(MATCHER!$A$5:$A$504)-ROW(MATCHER!$A$5)+1&gt;T247),0),0),""))</f>
        <v/>
      </c>
    </row>
    <row r="248" spans="1:32" ht="26">
      <c r="A248" s="42">
        <v>46354</v>
      </c>
      <c r="B248" s="43" t="s">
        <v>85</v>
      </c>
      <c r="C248" s="43" t="s">
        <v>110</v>
      </c>
      <c r="D248" s="44">
        <v>0.39583333333333298</v>
      </c>
      <c r="E248" s="44">
        <v>0.41666666666666702</v>
      </c>
      <c r="F248" s="45" t="str">
        <f>IF(R248="","",HOUR(INDEX(MATCHER!$C$5:$C$504,R248))&amp;":"&amp;IF(MINUTE(INDEX(MATCHER!$C$5:$C$504,R248))&lt;10,"0","")&amp;MINUTE(INDEX(MATCHER!$C$5:$C$504,R248))&amp;" "&amp;INDEX(MATCHER!$H$5:$H$504,R248)&amp;" – "&amp;INDEX(MATCHER!$I$5:$I$504,R248))&amp;IF(S248="",""," | "&amp;HOUR(INDEX(MATCHER!$C$5:$C$504,S248))&amp;":"&amp;IF(MINUTE(INDEX(MATCHER!$C$5:$C$504,S248))&lt;10,"0","")&amp;MINUTE(INDEX(MATCHER!$C$5:$C$504,S248))&amp;" "&amp;INDEX(MATCHER!$H$5:$H$504,S248)&amp;" – "&amp;INDEX(MATCHER!$I$5:$I$504,S248))&amp;IF(T248="",""," | "&amp;HOUR(INDEX(MATCHER!$C$5:$C$504,T248))&amp;":"&amp;IF(MINUTE(INDEX(MATCHER!$C$5:$C$504,T248))&lt;10,"0","")&amp;MINUTE(INDEX(MATCHER!$C$5:$C$504,T248))&amp;" "&amp;INDEX(MATCHER!$H$5:$H$504,T248)&amp;" – "&amp;INDEX(MATCHER!$I$5:$I$504,T248))&amp;IF(AF248="",""," | "&amp;HOUR(INDEX(MATCHER!$C$5:$C$504,AF248))&amp;":"&amp;IF(MINUTE(INDEX(MATCHER!$C$5:$C$504,AF248))&lt;10,"0","")&amp;MINUTE(INDEX(MATCHER!$C$5:$C$504,AF248))&amp;" "&amp;INDEX(MATCHER!$H$5:$H$504,AF248)&amp;" – "&amp;INDEX(MATCHER!$I$5:$I$504,AF248))</f>
        <v>9:00 AIK – Bålsta IF</v>
      </c>
      <c r="G248" s="45" t="str">
        <f>MID(IF(R248="","",IF(OR(INDEX(MATCHER!$J$5:$J$504,R248)=""),""," / "&amp;INDEX(MATCHER!$J$5:$J$504,R248)))&amp;IF(S248="","",IF(OR(INDEX(MATCHER!$J$5:$J$504,S248)="",INDEX(MATCHER!$J$5:$J$504,S248)=IFERROR(INDEX(MATCHER!$J$5:$J$504,R248),"")),""," / "&amp;INDEX(MATCHER!$J$5:$J$504,S248)))&amp;IF(T248="","",IF(OR(INDEX(MATCHER!$J$5:$J$504,T248)="",INDEX(MATCHER!$J$5:$J$504,T248)=IFERROR(INDEX(MATCHER!$J$5:$J$504,R248),""),INDEX(MATCHER!$J$5:$J$504,T248)=IFERROR(INDEX(MATCHER!$J$5:$J$504,S248),"")),""," / "&amp;INDEX(MATCHER!$J$5:$J$504,T248)))&amp;IF(AF248="","",IF(OR(INDEX(MATCHER!$J$5:$J$504,AF248)="",INDEX(MATCHER!$J$5:$J$504,AF248)=IFERROR(INDEX(MATCHER!$J$5:$J$504,R248),""),INDEX(MATCHER!$J$5:$J$504,AF248)=IFERROR(INDEX(MATCHER!$J$5:$J$504,S248),""),INDEX(MATCHER!$J$5:$J$504,AF248)=IFERROR(INDEX(MATCHER!$J$5:$J$504,T248),"")),""," / "&amp;INDEX(MATCHER!$J$5:$J$504,AF248))),4,1000)</f>
        <v>P12</v>
      </c>
      <c r="H248" s="45" t="str">
        <f t="shared" si="58"/>
        <v>P12</v>
      </c>
      <c r="I248" s="46" t="s">
        <v>90</v>
      </c>
      <c r="J248" s="47" t="s">
        <v>117</v>
      </c>
      <c r="K248" s="48"/>
      <c r="L248" s="49"/>
      <c r="M248" s="50" t="str">
        <f>IF(O248&lt;&gt;O247,MAX(1,MIN(AA248,ROUNDUP(SUMPRODUCT(($O$5:$O$546=O248)*($I$5:$I$546="Ja")*($E$5:$E$546-$D$5:$D$546))*24/REGLER!$B$8,0))),"")</f>
        <v/>
      </c>
      <c r="N248" s="50" t="str">
        <f t="shared" si="47"/>
        <v>Klar</v>
      </c>
      <c r="O248" s="15" t="s">
        <v>130</v>
      </c>
      <c r="P248" s="16">
        <v>0.33333333333333298</v>
      </c>
      <c r="Q248" s="16">
        <v>0.625</v>
      </c>
      <c r="R248" s="15">
        <f>IFERROR(MATCH(1,INDEX((MATCHER!$B$5:$B$504=A248)*(MATCHER!$D$5:$D$504=C248)*(MATCHER!$K$5:$K$504="Ja")*(MATCHER!$C$5:$C$504&lt;E248)*(MATCHER!$M$5:$M$504&gt;D248),0),0),"")</f>
        <v>86</v>
      </c>
      <c r="S248" s="15" t="str">
        <f>IF(R248="","",IFERROR(MATCH(1,INDEX((MATCHER!$B$5:$B$504=A248)*(MATCHER!$D$5:$D$504=C248)*(MATCHER!$K$5:$K$504="Ja")*(MATCHER!$C$5:$C$504&lt;E248)*(MATCHER!$M$5:$M$504&gt;D248)*(ROW(MATCHER!$A$5:$A$504)-ROW(MATCHER!$A$5)+1&gt;R248),0),0),""))</f>
        <v/>
      </c>
      <c r="T248" s="15" t="str">
        <f>IF(S248="","",IFERROR(MATCH(1,INDEX((MATCHER!$B$5:$B$504=A248)*(MATCHER!$D$5:$D$504=C248)*(MATCHER!$K$5:$K$504="Ja")*(MATCHER!$C$5:$C$504&lt;E248)*(MATCHER!$M$5:$M$504&gt;D248)*(ROW(MATCHER!$A$5:$A$504)-ROW(MATCHER!$A$5)+1&gt;S248),0),0),""))</f>
        <v/>
      </c>
      <c r="U248" s="15">
        <f t="shared" si="48"/>
        <v>0</v>
      </c>
      <c r="V248" s="15">
        <f>IF(OR(I248&lt;&gt;"Ja",J248=""),"",COUNTIFS($O$5:O248,O248,$U$5:U248,1))</f>
        <v>1</v>
      </c>
      <c r="W248" s="15" t="str">
        <f t="shared" si="49"/>
        <v>2026-11-28 | Tallbackaskolan|1</v>
      </c>
      <c r="X248" s="16" t="str">
        <f t="shared" si="50"/>
        <v/>
      </c>
      <c r="Y248" s="15">
        <f>IF(OR(I248&lt;&gt;"Ja",J248=""),0,IF(COUNTIFS($O$5:O248,O248,$I$5:I248,"Ja",$J$5:J248,"&lt;&gt;")=1,1,0))</f>
        <v>0</v>
      </c>
      <c r="Z248" s="15">
        <f>IF(OR(I248&lt;&gt;"Ja",J248=""),0,IF(COUNTIFS(O248:$O$546,O248,I248:$I$546,"Ja",J248:$J$546,"&lt;&gt;")=1,1,0))</f>
        <v>0</v>
      </c>
      <c r="AA248" s="15">
        <f t="shared" si="59"/>
        <v>1</v>
      </c>
      <c r="AB248" s="15" t="str">
        <f>IF(U248&lt;&gt;1,"",COUNTIF($U$5:U248,1))</f>
        <v/>
      </c>
      <c r="AC248" s="15" t="str">
        <f t="shared" si="51"/>
        <v/>
      </c>
      <c r="AD248" s="15" t="str">
        <f t="shared" si="52"/>
        <v>Vanligt café</v>
      </c>
      <c r="AE248" s="15" t="str">
        <f t="shared" si="53"/>
        <v/>
      </c>
      <c r="AF248" t="str">
        <f>IF(T248="","",IFERROR(MATCH(1,INDEX((MATCHER!$B$5:$B$504=A248)*(MATCHER!$D$5:$D$504=C248)*(MATCHER!$K$5:$K$504="Ja")*(MATCHER!$C$5:$C$504&lt;E248)*(MATCHER!$M$5:$M$504&gt;D248)*(ROW(MATCHER!$A$5:$A$504)-ROW(MATCHER!$A$5)+1&gt;T248),0),0),""))</f>
        <v/>
      </c>
    </row>
    <row r="249" spans="1:32" ht="26">
      <c r="A249" s="42">
        <v>46354</v>
      </c>
      <c r="B249" s="43" t="s">
        <v>85</v>
      </c>
      <c r="C249" s="43" t="s">
        <v>110</v>
      </c>
      <c r="D249" s="44">
        <v>0.41666666666666702</v>
      </c>
      <c r="E249" s="44">
        <v>0.4375</v>
      </c>
      <c r="F249" s="45" t="str">
        <f>IF(R249="","",HOUR(INDEX(MATCHER!$C$5:$C$504,R249))&amp;":"&amp;IF(MINUTE(INDEX(MATCHER!$C$5:$C$504,R249))&lt;10,"0","")&amp;MINUTE(INDEX(MATCHER!$C$5:$C$504,R249))&amp;" "&amp;INDEX(MATCHER!$H$5:$H$504,R249)&amp;" – "&amp;INDEX(MATCHER!$I$5:$I$504,R249))&amp;IF(S249="",""," | "&amp;HOUR(INDEX(MATCHER!$C$5:$C$504,S249))&amp;":"&amp;IF(MINUTE(INDEX(MATCHER!$C$5:$C$504,S249))&lt;10,"0","")&amp;MINUTE(INDEX(MATCHER!$C$5:$C$504,S249))&amp;" "&amp;INDEX(MATCHER!$H$5:$H$504,S249)&amp;" – "&amp;INDEX(MATCHER!$I$5:$I$504,S249))&amp;IF(T249="",""," | "&amp;HOUR(INDEX(MATCHER!$C$5:$C$504,T249))&amp;":"&amp;IF(MINUTE(INDEX(MATCHER!$C$5:$C$504,T249))&lt;10,"0","")&amp;MINUTE(INDEX(MATCHER!$C$5:$C$504,T249))&amp;" "&amp;INDEX(MATCHER!$H$5:$H$504,T249)&amp;" – "&amp;INDEX(MATCHER!$I$5:$I$504,T249))&amp;IF(AF249="",""," | "&amp;HOUR(INDEX(MATCHER!$C$5:$C$504,AF249))&amp;":"&amp;IF(MINUTE(INDEX(MATCHER!$C$5:$C$504,AF249))&lt;10,"0","")&amp;MINUTE(INDEX(MATCHER!$C$5:$C$504,AF249))&amp;" "&amp;INDEX(MATCHER!$H$5:$H$504,AF249)&amp;" – "&amp;INDEX(MATCHER!$I$5:$I$504,AF249))</f>
        <v>10:00 Bålsta IF – Uppsala HK 2</v>
      </c>
      <c r="G249" s="45" t="str">
        <f>MID(IF(R249="","",IF(OR(INDEX(MATCHER!$J$5:$J$504,R249)=""),""," / "&amp;INDEX(MATCHER!$J$5:$J$504,R249)))&amp;IF(S249="","",IF(OR(INDEX(MATCHER!$J$5:$J$504,S249)="",INDEX(MATCHER!$J$5:$J$504,S249)=IFERROR(INDEX(MATCHER!$J$5:$J$504,R249),"")),""," / "&amp;INDEX(MATCHER!$J$5:$J$504,S249)))&amp;IF(T249="","",IF(OR(INDEX(MATCHER!$J$5:$J$504,T249)="",INDEX(MATCHER!$J$5:$J$504,T249)=IFERROR(INDEX(MATCHER!$J$5:$J$504,R249),""),INDEX(MATCHER!$J$5:$J$504,T249)=IFERROR(INDEX(MATCHER!$J$5:$J$504,S249),"")),""," / "&amp;INDEX(MATCHER!$J$5:$J$504,T249)))&amp;IF(AF249="","",IF(OR(INDEX(MATCHER!$J$5:$J$504,AF249)="",INDEX(MATCHER!$J$5:$J$504,AF249)=IFERROR(INDEX(MATCHER!$J$5:$J$504,R249),""),INDEX(MATCHER!$J$5:$J$504,AF249)=IFERROR(INDEX(MATCHER!$J$5:$J$504,S249),""),INDEX(MATCHER!$J$5:$J$504,AF249)=IFERROR(INDEX(MATCHER!$J$5:$J$504,T249),"")),""," / "&amp;INDEX(MATCHER!$J$5:$J$504,AF249))),4,1000)</f>
        <v/>
      </c>
      <c r="H249" s="45" t="str">
        <f t="shared" si="58"/>
        <v>P12</v>
      </c>
      <c r="I249" s="46" t="s">
        <v>90</v>
      </c>
      <c r="J249" s="47" t="s">
        <v>117</v>
      </c>
      <c r="K249" s="48"/>
      <c r="L249" s="49"/>
      <c r="M249" s="50" t="str">
        <f>IF(O249&lt;&gt;O248,MAX(1,MIN(AA249,ROUNDUP(SUMPRODUCT(($O$5:$O$546=O249)*($I$5:$I$546="Ja")*($E$5:$E$546-$D$5:$D$546))*24/REGLER!$B$8,0))),"")</f>
        <v/>
      </c>
      <c r="N249" s="50" t="str">
        <f t="shared" si="47"/>
        <v>Klar</v>
      </c>
      <c r="O249" s="15" t="s">
        <v>130</v>
      </c>
      <c r="P249" s="16">
        <v>0.33333333333333298</v>
      </c>
      <c r="Q249" s="16">
        <v>0.625</v>
      </c>
      <c r="R249" s="15">
        <f>IFERROR(MATCH(1,INDEX((MATCHER!$B$5:$B$504=A249)*(MATCHER!$D$5:$D$504=C249)*(MATCHER!$K$5:$K$504="Ja")*(MATCHER!$C$5:$C$504&lt;E249)*(MATCHER!$M$5:$M$504&gt;D249),0),0),"")</f>
        <v>87</v>
      </c>
      <c r="S249" s="15" t="str">
        <f>IF(R249="","",IFERROR(MATCH(1,INDEX((MATCHER!$B$5:$B$504=A249)*(MATCHER!$D$5:$D$504=C249)*(MATCHER!$K$5:$K$504="Ja")*(MATCHER!$C$5:$C$504&lt;E249)*(MATCHER!$M$5:$M$504&gt;D249)*(ROW(MATCHER!$A$5:$A$504)-ROW(MATCHER!$A$5)+1&gt;R249),0),0),""))</f>
        <v/>
      </c>
      <c r="T249" s="15" t="str">
        <f>IF(S249="","",IFERROR(MATCH(1,INDEX((MATCHER!$B$5:$B$504=A249)*(MATCHER!$D$5:$D$504=C249)*(MATCHER!$K$5:$K$504="Ja")*(MATCHER!$C$5:$C$504&lt;E249)*(MATCHER!$M$5:$M$504&gt;D249)*(ROW(MATCHER!$A$5:$A$504)-ROW(MATCHER!$A$5)+1&gt;S249),0),0),""))</f>
        <v/>
      </c>
      <c r="U249" s="15">
        <f t="shared" si="48"/>
        <v>0</v>
      </c>
      <c r="V249" s="15">
        <f>IF(OR(I249&lt;&gt;"Ja",J249=""),"",COUNTIFS($O$5:O249,O249,$U$5:U249,1))</f>
        <v>1</v>
      </c>
      <c r="W249" s="15" t="str">
        <f t="shared" si="49"/>
        <v>2026-11-28 | Tallbackaskolan|1</v>
      </c>
      <c r="X249" s="16" t="str">
        <f t="shared" si="50"/>
        <v/>
      </c>
      <c r="Y249" s="15">
        <f>IF(OR(I249&lt;&gt;"Ja",J249=""),0,IF(COUNTIFS($O$5:O249,O249,$I$5:I249,"Ja",$J$5:J249,"&lt;&gt;")=1,1,0))</f>
        <v>0</v>
      </c>
      <c r="Z249" s="15">
        <f>IF(OR(I249&lt;&gt;"Ja",J249=""),0,IF(COUNTIFS(O249:$O$546,O249,I249:$I$546,"Ja",J249:$J$546,"&lt;&gt;")=1,1,0))</f>
        <v>0</v>
      </c>
      <c r="AA249" s="15">
        <f t="shared" si="59"/>
        <v>1</v>
      </c>
      <c r="AB249" s="15" t="str">
        <f>IF(U249&lt;&gt;1,"",COUNTIF($U$5:U249,1))</f>
        <v/>
      </c>
      <c r="AC249" s="15" t="str">
        <f t="shared" si="51"/>
        <v/>
      </c>
      <c r="AD249" s="15" t="str">
        <f t="shared" si="52"/>
        <v>Vanligt café</v>
      </c>
      <c r="AE249" s="15" t="str">
        <f t="shared" si="53"/>
        <v/>
      </c>
      <c r="AF249" t="str">
        <f>IF(T249="","",IFERROR(MATCH(1,INDEX((MATCHER!$B$5:$B$504=A249)*(MATCHER!$D$5:$D$504=C249)*(MATCHER!$K$5:$K$504="Ja")*(MATCHER!$C$5:$C$504&lt;E249)*(MATCHER!$M$5:$M$504&gt;D249)*(ROW(MATCHER!$A$5:$A$504)-ROW(MATCHER!$A$5)+1&gt;T249),0),0),""))</f>
        <v/>
      </c>
    </row>
    <row r="250" spans="1:32" ht="26">
      <c r="A250" s="42">
        <v>46354</v>
      </c>
      <c r="B250" s="43" t="s">
        <v>85</v>
      </c>
      <c r="C250" s="43" t="s">
        <v>110</v>
      </c>
      <c r="D250" s="44">
        <v>0.4375</v>
      </c>
      <c r="E250" s="44">
        <v>0.45833333333333298</v>
      </c>
      <c r="F250" s="45" t="str">
        <f>IF(R250="","",HOUR(INDEX(MATCHER!$C$5:$C$504,R250))&amp;":"&amp;IF(MINUTE(INDEX(MATCHER!$C$5:$C$504,R250))&lt;10,"0","")&amp;MINUTE(INDEX(MATCHER!$C$5:$C$504,R250))&amp;" "&amp;INDEX(MATCHER!$H$5:$H$504,R250)&amp;" – "&amp;INDEX(MATCHER!$I$5:$I$504,R250))&amp;IF(S250="",""," | "&amp;HOUR(INDEX(MATCHER!$C$5:$C$504,S250))&amp;":"&amp;IF(MINUTE(INDEX(MATCHER!$C$5:$C$504,S250))&lt;10,"0","")&amp;MINUTE(INDEX(MATCHER!$C$5:$C$504,S250))&amp;" "&amp;INDEX(MATCHER!$H$5:$H$504,S250)&amp;" – "&amp;INDEX(MATCHER!$I$5:$I$504,S250))&amp;IF(T250="",""," | "&amp;HOUR(INDEX(MATCHER!$C$5:$C$504,T250))&amp;":"&amp;IF(MINUTE(INDEX(MATCHER!$C$5:$C$504,T250))&lt;10,"0","")&amp;MINUTE(INDEX(MATCHER!$C$5:$C$504,T250))&amp;" "&amp;INDEX(MATCHER!$H$5:$H$504,T250)&amp;" – "&amp;INDEX(MATCHER!$I$5:$I$504,T250))&amp;IF(AF250="",""," | "&amp;HOUR(INDEX(MATCHER!$C$5:$C$504,AF250))&amp;":"&amp;IF(MINUTE(INDEX(MATCHER!$C$5:$C$504,AF250))&lt;10,"0","")&amp;MINUTE(INDEX(MATCHER!$C$5:$C$504,AF250))&amp;" "&amp;INDEX(MATCHER!$H$5:$H$504,AF250)&amp;" – "&amp;INDEX(MATCHER!$I$5:$I$504,AF250))</f>
        <v>10:00 Bålsta IF – Uppsala HK 2</v>
      </c>
      <c r="G250" s="45" t="str">
        <f>MID(IF(R250="","",IF(OR(INDEX(MATCHER!$J$5:$J$504,R250)=""),""," / "&amp;INDEX(MATCHER!$J$5:$J$504,R250)))&amp;IF(S250="","",IF(OR(INDEX(MATCHER!$J$5:$J$504,S250)="",INDEX(MATCHER!$J$5:$J$504,S250)=IFERROR(INDEX(MATCHER!$J$5:$J$504,R250),"")),""," / "&amp;INDEX(MATCHER!$J$5:$J$504,S250)))&amp;IF(T250="","",IF(OR(INDEX(MATCHER!$J$5:$J$504,T250)="",INDEX(MATCHER!$J$5:$J$504,T250)=IFERROR(INDEX(MATCHER!$J$5:$J$504,R250),""),INDEX(MATCHER!$J$5:$J$504,T250)=IFERROR(INDEX(MATCHER!$J$5:$J$504,S250),"")),""," / "&amp;INDEX(MATCHER!$J$5:$J$504,T250)))&amp;IF(AF250="","",IF(OR(INDEX(MATCHER!$J$5:$J$504,AF250)="",INDEX(MATCHER!$J$5:$J$504,AF250)=IFERROR(INDEX(MATCHER!$J$5:$J$504,R250),""),INDEX(MATCHER!$J$5:$J$504,AF250)=IFERROR(INDEX(MATCHER!$J$5:$J$504,S250),""),INDEX(MATCHER!$J$5:$J$504,AF250)=IFERROR(INDEX(MATCHER!$J$5:$J$504,T250),"")),""," / "&amp;INDEX(MATCHER!$J$5:$J$504,AF250))),4,1000)</f>
        <v/>
      </c>
      <c r="H250" s="45" t="str">
        <f t="shared" si="58"/>
        <v>P12</v>
      </c>
      <c r="I250" s="46" t="s">
        <v>90</v>
      </c>
      <c r="J250" s="47" t="s">
        <v>117</v>
      </c>
      <c r="K250" s="48"/>
      <c r="L250" s="49"/>
      <c r="M250" s="50" t="str">
        <f>IF(O250&lt;&gt;O249,MAX(1,MIN(AA250,ROUNDUP(SUMPRODUCT(($O$5:$O$546=O250)*($I$5:$I$546="Ja")*($E$5:$E$546-$D$5:$D$546))*24/REGLER!$B$8,0))),"")</f>
        <v/>
      </c>
      <c r="N250" s="50" t="str">
        <f t="shared" si="47"/>
        <v>Klar</v>
      </c>
      <c r="O250" s="15" t="s">
        <v>130</v>
      </c>
      <c r="P250" s="16">
        <v>0.33333333333333298</v>
      </c>
      <c r="Q250" s="16">
        <v>0.625</v>
      </c>
      <c r="R250" s="15">
        <f>IFERROR(MATCH(1,INDEX((MATCHER!$B$5:$B$504=A250)*(MATCHER!$D$5:$D$504=C250)*(MATCHER!$K$5:$K$504="Ja")*(MATCHER!$C$5:$C$504&lt;E250)*(MATCHER!$M$5:$M$504&gt;D250),0),0),"")</f>
        <v>87</v>
      </c>
      <c r="S250" s="15" t="str">
        <f>IF(R250="","",IFERROR(MATCH(1,INDEX((MATCHER!$B$5:$B$504=A250)*(MATCHER!$D$5:$D$504=C250)*(MATCHER!$K$5:$K$504="Ja")*(MATCHER!$C$5:$C$504&lt;E250)*(MATCHER!$M$5:$M$504&gt;D250)*(ROW(MATCHER!$A$5:$A$504)-ROW(MATCHER!$A$5)+1&gt;R250),0),0),""))</f>
        <v/>
      </c>
      <c r="T250" s="15" t="str">
        <f>IF(S250="","",IFERROR(MATCH(1,INDEX((MATCHER!$B$5:$B$504=A250)*(MATCHER!$D$5:$D$504=C250)*(MATCHER!$K$5:$K$504="Ja")*(MATCHER!$C$5:$C$504&lt;E250)*(MATCHER!$M$5:$M$504&gt;D250)*(ROW(MATCHER!$A$5:$A$504)-ROW(MATCHER!$A$5)+1&gt;S250),0),0),""))</f>
        <v/>
      </c>
      <c r="U250" s="15">
        <f t="shared" si="48"/>
        <v>0</v>
      </c>
      <c r="V250" s="15">
        <f>IF(OR(I250&lt;&gt;"Ja",J250=""),"",COUNTIFS($O$5:O250,O250,$U$5:U250,1))</f>
        <v>1</v>
      </c>
      <c r="W250" s="15" t="str">
        <f t="shared" si="49"/>
        <v>2026-11-28 | Tallbackaskolan|1</v>
      </c>
      <c r="X250" s="16" t="str">
        <f t="shared" si="50"/>
        <v/>
      </c>
      <c r="Y250" s="15">
        <f>IF(OR(I250&lt;&gt;"Ja",J250=""),0,IF(COUNTIFS($O$5:O250,O250,$I$5:I250,"Ja",$J$5:J250,"&lt;&gt;")=1,1,0))</f>
        <v>0</v>
      </c>
      <c r="Z250" s="15">
        <f>IF(OR(I250&lt;&gt;"Ja",J250=""),0,IF(COUNTIFS(O250:$O$546,O250,I250:$I$546,"Ja",J250:$J$546,"&lt;&gt;")=1,1,0))</f>
        <v>0</v>
      </c>
      <c r="AA250" s="15">
        <f t="shared" si="59"/>
        <v>1</v>
      </c>
      <c r="AB250" s="15" t="str">
        <f>IF(U250&lt;&gt;1,"",COUNTIF($U$5:U250,1))</f>
        <v/>
      </c>
      <c r="AC250" s="15" t="str">
        <f t="shared" si="51"/>
        <v/>
      </c>
      <c r="AD250" s="15" t="str">
        <f t="shared" si="52"/>
        <v>Vanligt café</v>
      </c>
      <c r="AE250" s="15" t="str">
        <f t="shared" si="53"/>
        <v/>
      </c>
      <c r="AF250" t="str">
        <f>IF(T250="","",IFERROR(MATCH(1,INDEX((MATCHER!$B$5:$B$504=A250)*(MATCHER!$D$5:$D$504=C250)*(MATCHER!$K$5:$K$504="Ja")*(MATCHER!$C$5:$C$504&lt;E250)*(MATCHER!$M$5:$M$504&gt;D250)*(ROW(MATCHER!$A$5:$A$504)-ROW(MATCHER!$A$5)+1&gt;T250),0),0),""))</f>
        <v/>
      </c>
    </row>
    <row r="251" spans="1:32" ht="26">
      <c r="A251" s="42">
        <v>46354</v>
      </c>
      <c r="B251" s="43" t="s">
        <v>85</v>
      </c>
      <c r="C251" s="43" t="s">
        <v>110</v>
      </c>
      <c r="D251" s="44">
        <v>0.45833333333333298</v>
      </c>
      <c r="E251" s="44">
        <v>0.47916666666666702</v>
      </c>
      <c r="F251" s="45" t="str">
        <f>IF(R251="","",HOUR(INDEX(MATCHER!$C$5:$C$504,R251))&amp;":"&amp;IF(MINUTE(INDEX(MATCHER!$C$5:$C$504,R251))&lt;10,"0","")&amp;MINUTE(INDEX(MATCHER!$C$5:$C$504,R251))&amp;" "&amp;INDEX(MATCHER!$H$5:$H$504,R251)&amp;" – "&amp;INDEX(MATCHER!$I$5:$I$504,R251))&amp;IF(S251="",""," | "&amp;HOUR(INDEX(MATCHER!$C$5:$C$504,S251))&amp;":"&amp;IF(MINUTE(INDEX(MATCHER!$C$5:$C$504,S251))&lt;10,"0","")&amp;MINUTE(INDEX(MATCHER!$C$5:$C$504,S251))&amp;" "&amp;INDEX(MATCHER!$H$5:$H$504,S251)&amp;" – "&amp;INDEX(MATCHER!$I$5:$I$504,S251))&amp;IF(T251="",""," | "&amp;HOUR(INDEX(MATCHER!$C$5:$C$504,T251))&amp;":"&amp;IF(MINUTE(INDEX(MATCHER!$C$5:$C$504,T251))&lt;10,"0","")&amp;MINUTE(INDEX(MATCHER!$C$5:$C$504,T251))&amp;" "&amp;INDEX(MATCHER!$H$5:$H$504,T251)&amp;" – "&amp;INDEX(MATCHER!$I$5:$I$504,T251))&amp;IF(AF251="",""," | "&amp;HOUR(INDEX(MATCHER!$C$5:$C$504,AF251))&amp;":"&amp;IF(MINUTE(INDEX(MATCHER!$C$5:$C$504,AF251))&lt;10,"0","")&amp;MINUTE(INDEX(MATCHER!$C$5:$C$504,AF251))&amp;" "&amp;INDEX(MATCHER!$H$5:$H$504,AF251)&amp;" – "&amp;INDEX(MATCHER!$I$5:$I$504,AF251))</f>
        <v>11:00 AIK – Uppsala HK 2</v>
      </c>
      <c r="G251" s="45" t="str">
        <f>MID(IF(R251="","",IF(OR(INDEX(MATCHER!$J$5:$J$504,R251)=""),""," / "&amp;INDEX(MATCHER!$J$5:$J$504,R251)))&amp;IF(S251="","",IF(OR(INDEX(MATCHER!$J$5:$J$504,S251)="",INDEX(MATCHER!$J$5:$J$504,S251)=IFERROR(INDEX(MATCHER!$J$5:$J$504,R251),"")),""," / "&amp;INDEX(MATCHER!$J$5:$J$504,S251)))&amp;IF(T251="","",IF(OR(INDEX(MATCHER!$J$5:$J$504,T251)="",INDEX(MATCHER!$J$5:$J$504,T251)=IFERROR(INDEX(MATCHER!$J$5:$J$504,R251),""),INDEX(MATCHER!$J$5:$J$504,T251)=IFERROR(INDEX(MATCHER!$J$5:$J$504,S251),"")),""," / "&amp;INDEX(MATCHER!$J$5:$J$504,T251)))&amp;IF(AF251="","",IF(OR(INDEX(MATCHER!$J$5:$J$504,AF251)="",INDEX(MATCHER!$J$5:$J$504,AF251)=IFERROR(INDEX(MATCHER!$J$5:$J$504,R251),""),INDEX(MATCHER!$J$5:$J$504,AF251)=IFERROR(INDEX(MATCHER!$J$5:$J$504,S251),""),INDEX(MATCHER!$J$5:$J$504,AF251)=IFERROR(INDEX(MATCHER!$J$5:$J$504,T251),"")),""," / "&amp;INDEX(MATCHER!$J$5:$J$504,AF251))),4,1000)</f>
        <v>P12</v>
      </c>
      <c r="H251" s="45" t="str">
        <f t="shared" si="58"/>
        <v>P12</v>
      </c>
      <c r="I251" s="46" t="s">
        <v>90</v>
      </c>
      <c r="J251" s="47" t="s">
        <v>117</v>
      </c>
      <c r="K251" s="48"/>
      <c r="L251" s="49"/>
      <c r="M251" s="50" t="str">
        <f>IF(O251&lt;&gt;O250,MAX(1,MIN(AA251,ROUNDUP(SUMPRODUCT(($O$5:$O$546=O251)*($I$5:$I$546="Ja")*($E$5:$E$546-$D$5:$D$546))*24/REGLER!$B$8,0))),"")</f>
        <v/>
      </c>
      <c r="N251" s="50" t="str">
        <f t="shared" si="47"/>
        <v>Klar</v>
      </c>
      <c r="O251" s="15" t="s">
        <v>130</v>
      </c>
      <c r="P251" s="16">
        <v>0.33333333333333298</v>
      </c>
      <c r="Q251" s="16">
        <v>0.625</v>
      </c>
      <c r="R251" s="15">
        <f>IFERROR(MATCH(1,INDEX((MATCHER!$B$5:$B$504=A251)*(MATCHER!$D$5:$D$504=C251)*(MATCHER!$K$5:$K$504="Ja")*(MATCHER!$C$5:$C$504&lt;E251)*(MATCHER!$M$5:$M$504&gt;D251),0),0),"")</f>
        <v>88</v>
      </c>
      <c r="S251" s="15" t="str">
        <f>IF(R251="","",IFERROR(MATCH(1,INDEX((MATCHER!$B$5:$B$504=A251)*(MATCHER!$D$5:$D$504=C251)*(MATCHER!$K$5:$K$504="Ja")*(MATCHER!$C$5:$C$504&lt;E251)*(MATCHER!$M$5:$M$504&gt;D251)*(ROW(MATCHER!$A$5:$A$504)-ROW(MATCHER!$A$5)+1&gt;R251),0),0),""))</f>
        <v/>
      </c>
      <c r="T251" s="15" t="str">
        <f>IF(S251="","",IFERROR(MATCH(1,INDEX((MATCHER!$B$5:$B$504=A251)*(MATCHER!$D$5:$D$504=C251)*(MATCHER!$K$5:$K$504="Ja")*(MATCHER!$C$5:$C$504&lt;E251)*(MATCHER!$M$5:$M$504&gt;D251)*(ROW(MATCHER!$A$5:$A$504)-ROW(MATCHER!$A$5)+1&gt;S251),0),0),""))</f>
        <v/>
      </c>
      <c r="U251" s="15">
        <f t="shared" si="48"/>
        <v>0</v>
      </c>
      <c r="V251" s="15">
        <f>IF(OR(I251&lt;&gt;"Ja",J251=""),"",COUNTIFS($O$5:O251,O251,$U$5:U251,1))</f>
        <v>1</v>
      </c>
      <c r="W251" s="15" t="str">
        <f t="shared" si="49"/>
        <v>2026-11-28 | Tallbackaskolan|1</v>
      </c>
      <c r="X251" s="16" t="str">
        <f t="shared" si="50"/>
        <v/>
      </c>
      <c r="Y251" s="15">
        <f>IF(OR(I251&lt;&gt;"Ja",J251=""),0,IF(COUNTIFS($O$5:O251,O251,$I$5:I251,"Ja",$J$5:J251,"&lt;&gt;")=1,1,0))</f>
        <v>0</v>
      </c>
      <c r="Z251" s="15">
        <f>IF(OR(I251&lt;&gt;"Ja",J251=""),0,IF(COUNTIFS(O251:$O$546,O251,I251:$I$546,"Ja",J251:$J$546,"&lt;&gt;")=1,1,0))</f>
        <v>0</v>
      </c>
      <c r="AA251" s="15">
        <f t="shared" si="59"/>
        <v>1</v>
      </c>
      <c r="AB251" s="15" t="str">
        <f>IF(U251&lt;&gt;1,"",COUNTIF($U$5:U251,1))</f>
        <v/>
      </c>
      <c r="AC251" s="15" t="str">
        <f t="shared" si="51"/>
        <v/>
      </c>
      <c r="AD251" s="15" t="str">
        <f t="shared" si="52"/>
        <v>Vanligt café</v>
      </c>
      <c r="AE251" s="15" t="str">
        <f t="shared" si="53"/>
        <v/>
      </c>
      <c r="AF251" t="str">
        <f>IF(T251="","",IFERROR(MATCH(1,INDEX((MATCHER!$B$5:$B$504=A251)*(MATCHER!$D$5:$D$504=C251)*(MATCHER!$K$5:$K$504="Ja")*(MATCHER!$C$5:$C$504&lt;E251)*(MATCHER!$M$5:$M$504&gt;D251)*(ROW(MATCHER!$A$5:$A$504)-ROW(MATCHER!$A$5)+1&gt;T251),0),0),""))</f>
        <v/>
      </c>
    </row>
    <row r="252" spans="1:32" ht="26">
      <c r="A252" s="42">
        <v>46354</v>
      </c>
      <c r="B252" s="43" t="s">
        <v>85</v>
      </c>
      <c r="C252" s="43" t="s">
        <v>110</v>
      </c>
      <c r="D252" s="44">
        <v>0.47916666666666702</v>
      </c>
      <c r="E252" s="44">
        <v>0.5</v>
      </c>
      <c r="F252" s="45" t="str">
        <f>IF(R252="","",HOUR(INDEX(MATCHER!$C$5:$C$504,R252))&amp;":"&amp;IF(MINUTE(INDEX(MATCHER!$C$5:$C$504,R252))&lt;10,"0","")&amp;MINUTE(INDEX(MATCHER!$C$5:$C$504,R252))&amp;" "&amp;INDEX(MATCHER!$H$5:$H$504,R252)&amp;" – "&amp;INDEX(MATCHER!$I$5:$I$504,R252))&amp;IF(S252="",""," | "&amp;HOUR(INDEX(MATCHER!$C$5:$C$504,S252))&amp;":"&amp;IF(MINUTE(INDEX(MATCHER!$C$5:$C$504,S252))&lt;10,"0","")&amp;MINUTE(INDEX(MATCHER!$C$5:$C$504,S252))&amp;" "&amp;INDEX(MATCHER!$H$5:$H$504,S252)&amp;" – "&amp;INDEX(MATCHER!$I$5:$I$504,S252))&amp;IF(T252="",""," | "&amp;HOUR(INDEX(MATCHER!$C$5:$C$504,T252))&amp;":"&amp;IF(MINUTE(INDEX(MATCHER!$C$5:$C$504,T252))&lt;10,"0","")&amp;MINUTE(INDEX(MATCHER!$C$5:$C$504,T252))&amp;" "&amp;INDEX(MATCHER!$H$5:$H$504,T252)&amp;" – "&amp;INDEX(MATCHER!$I$5:$I$504,T252))&amp;IF(AF252="",""," | "&amp;HOUR(INDEX(MATCHER!$C$5:$C$504,AF252))&amp;":"&amp;IF(MINUTE(INDEX(MATCHER!$C$5:$C$504,AF252))&lt;10,"0","")&amp;MINUTE(INDEX(MATCHER!$C$5:$C$504,AF252))&amp;" "&amp;INDEX(MATCHER!$H$5:$H$504,AF252)&amp;" – "&amp;INDEX(MATCHER!$I$5:$I$504,AF252))</f>
        <v>11:00 AIK – Uppsala HK 2</v>
      </c>
      <c r="G252" s="45" t="str">
        <f>MID(IF(R252="","",IF(OR(INDEX(MATCHER!$J$5:$J$504,R252)=""),""," / "&amp;INDEX(MATCHER!$J$5:$J$504,R252)))&amp;IF(S252="","",IF(OR(INDEX(MATCHER!$J$5:$J$504,S252)="",INDEX(MATCHER!$J$5:$J$504,S252)=IFERROR(INDEX(MATCHER!$J$5:$J$504,R252),"")),""," / "&amp;INDEX(MATCHER!$J$5:$J$504,S252)))&amp;IF(T252="","",IF(OR(INDEX(MATCHER!$J$5:$J$504,T252)="",INDEX(MATCHER!$J$5:$J$504,T252)=IFERROR(INDEX(MATCHER!$J$5:$J$504,R252),""),INDEX(MATCHER!$J$5:$J$504,T252)=IFERROR(INDEX(MATCHER!$J$5:$J$504,S252),"")),""," / "&amp;INDEX(MATCHER!$J$5:$J$504,T252)))&amp;IF(AF252="","",IF(OR(INDEX(MATCHER!$J$5:$J$504,AF252)="",INDEX(MATCHER!$J$5:$J$504,AF252)=IFERROR(INDEX(MATCHER!$J$5:$J$504,R252),""),INDEX(MATCHER!$J$5:$J$504,AF252)=IFERROR(INDEX(MATCHER!$J$5:$J$504,S252),""),INDEX(MATCHER!$J$5:$J$504,AF252)=IFERROR(INDEX(MATCHER!$J$5:$J$504,T252),"")),""," / "&amp;INDEX(MATCHER!$J$5:$J$504,AF252))),4,1000)</f>
        <v>P12</v>
      </c>
      <c r="H252" s="45" t="str">
        <f t="shared" si="58"/>
        <v>P12</v>
      </c>
      <c r="I252" s="46" t="s">
        <v>90</v>
      </c>
      <c r="J252" s="47" t="s">
        <v>117</v>
      </c>
      <c r="K252" s="48"/>
      <c r="L252" s="49"/>
      <c r="M252" s="50" t="str">
        <f>IF(O252&lt;&gt;O251,MAX(1,MIN(AA252,ROUNDUP(SUMPRODUCT(($O$5:$O$546=O252)*($I$5:$I$546="Ja")*($E$5:$E$546-$D$5:$D$546))*24/REGLER!$B$8,0))),"")</f>
        <v/>
      </c>
      <c r="N252" s="50" t="str">
        <f t="shared" si="47"/>
        <v>Klar</v>
      </c>
      <c r="O252" s="15" t="s">
        <v>130</v>
      </c>
      <c r="P252" s="16">
        <v>0.33333333333333298</v>
      </c>
      <c r="Q252" s="16">
        <v>0.625</v>
      </c>
      <c r="R252" s="15">
        <f>IFERROR(MATCH(1,INDEX((MATCHER!$B$5:$B$504=A252)*(MATCHER!$D$5:$D$504=C252)*(MATCHER!$K$5:$K$504="Ja")*(MATCHER!$C$5:$C$504&lt;E252)*(MATCHER!$M$5:$M$504&gt;D252),0),0),"")</f>
        <v>88</v>
      </c>
      <c r="S252" s="15" t="str">
        <f>IF(R252="","",IFERROR(MATCH(1,INDEX((MATCHER!$B$5:$B$504=A252)*(MATCHER!$D$5:$D$504=C252)*(MATCHER!$K$5:$K$504="Ja")*(MATCHER!$C$5:$C$504&lt;E252)*(MATCHER!$M$5:$M$504&gt;D252)*(ROW(MATCHER!$A$5:$A$504)-ROW(MATCHER!$A$5)+1&gt;R252),0),0),""))</f>
        <v/>
      </c>
      <c r="T252" s="15" t="str">
        <f>IF(S252="","",IFERROR(MATCH(1,INDEX((MATCHER!$B$5:$B$504=A252)*(MATCHER!$D$5:$D$504=C252)*(MATCHER!$K$5:$K$504="Ja")*(MATCHER!$C$5:$C$504&lt;E252)*(MATCHER!$M$5:$M$504&gt;D252)*(ROW(MATCHER!$A$5:$A$504)-ROW(MATCHER!$A$5)+1&gt;S252),0),0),""))</f>
        <v/>
      </c>
      <c r="U252" s="15">
        <f t="shared" si="48"/>
        <v>0</v>
      </c>
      <c r="V252" s="15">
        <f>IF(OR(I252&lt;&gt;"Ja",J252=""),"",COUNTIFS($O$5:O252,O252,$U$5:U252,1))</f>
        <v>1</v>
      </c>
      <c r="W252" s="15" t="str">
        <f t="shared" si="49"/>
        <v>2026-11-28 | Tallbackaskolan|1</v>
      </c>
      <c r="X252" s="16" t="str">
        <f t="shared" si="50"/>
        <v/>
      </c>
      <c r="Y252" s="15">
        <f>IF(OR(I252&lt;&gt;"Ja",J252=""),0,IF(COUNTIFS($O$5:O252,O252,$I$5:I252,"Ja",$J$5:J252,"&lt;&gt;")=1,1,0))</f>
        <v>0</v>
      </c>
      <c r="Z252" s="15">
        <f>IF(OR(I252&lt;&gt;"Ja",J252=""),0,IF(COUNTIFS(O252:$O$546,O252,I252:$I$546,"Ja",J252:$J$546,"&lt;&gt;")=1,1,0))</f>
        <v>0</v>
      </c>
      <c r="AA252" s="15">
        <f t="shared" si="59"/>
        <v>1</v>
      </c>
      <c r="AB252" s="15" t="str">
        <f>IF(U252&lt;&gt;1,"",COUNTIF($U$5:U252,1))</f>
        <v/>
      </c>
      <c r="AC252" s="15" t="str">
        <f t="shared" si="51"/>
        <v/>
      </c>
      <c r="AD252" s="15" t="str">
        <f t="shared" si="52"/>
        <v>Vanligt café</v>
      </c>
      <c r="AE252" s="15" t="str">
        <f t="shared" si="53"/>
        <v/>
      </c>
      <c r="AF252" t="str">
        <f>IF(T252="","",IFERROR(MATCH(1,INDEX((MATCHER!$B$5:$B$504=A252)*(MATCHER!$D$5:$D$504=C252)*(MATCHER!$K$5:$K$504="Ja")*(MATCHER!$C$5:$C$504&lt;E252)*(MATCHER!$M$5:$M$504&gt;D252)*(ROW(MATCHER!$A$5:$A$504)-ROW(MATCHER!$A$5)+1&gt;T252),0),0),""))</f>
        <v/>
      </c>
    </row>
    <row r="253" spans="1:32" ht="26">
      <c r="A253" s="42">
        <v>46354</v>
      </c>
      <c r="B253" s="43" t="s">
        <v>85</v>
      </c>
      <c r="C253" s="43" t="s">
        <v>110</v>
      </c>
      <c r="D253" s="44">
        <v>0.5</v>
      </c>
      <c r="E253" s="44">
        <v>0.52083333333333304</v>
      </c>
      <c r="F253" s="45" t="str">
        <f>IF(R253="","",HOUR(INDEX(MATCHER!$C$5:$C$504,R253))&amp;":"&amp;IF(MINUTE(INDEX(MATCHER!$C$5:$C$504,R253))&lt;10,"0","")&amp;MINUTE(INDEX(MATCHER!$C$5:$C$504,R253))&amp;" "&amp;INDEX(MATCHER!$H$5:$H$504,R253)&amp;" – "&amp;INDEX(MATCHER!$I$5:$I$504,R253))&amp;IF(S253="",""," | "&amp;HOUR(INDEX(MATCHER!$C$5:$C$504,S253))&amp;":"&amp;IF(MINUTE(INDEX(MATCHER!$C$5:$C$504,S253))&lt;10,"0","")&amp;MINUTE(INDEX(MATCHER!$C$5:$C$504,S253))&amp;" "&amp;INDEX(MATCHER!$H$5:$H$504,S253)&amp;" – "&amp;INDEX(MATCHER!$I$5:$I$504,S253))&amp;IF(T253="",""," | "&amp;HOUR(INDEX(MATCHER!$C$5:$C$504,T253))&amp;":"&amp;IF(MINUTE(INDEX(MATCHER!$C$5:$C$504,T253))&lt;10,"0","")&amp;MINUTE(INDEX(MATCHER!$C$5:$C$504,T253))&amp;" "&amp;INDEX(MATCHER!$H$5:$H$504,T253)&amp;" – "&amp;INDEX(MATCHER!$I$5:$I$504,T253))&amp;IF(AF253="",""," | "&amp;HOUR(INDEX(MATCHER!$C$5:$C$504,AF253))&amp;":"&amp;IF(MINUTE(INDEX(MATCHER!$C$5:$C$504,AF253))&lt;10,"0","")&amp;MINUTE(INDEX(MATCHER!$C$5:$C$504,AF253))&amp;" "&amp;INDEX(MATCHER!$H$5:$H$504,AF253)&amp;" – "&amp;INDEX(MATCHER!$I$5:$I$504,AF253))</f>
        <v>12:00 AIK 2 – Årsta AIK HF 1</v>
      </c>
      <c r="G253" s="45" t="str">
        <f>MID(IF(R253="","",IF(OR(INDEX(MATCHER!$J$5:$J$504,R253)=""),""," / "&amp;INDEX(MATCHER!$J$5:$J$504,R253)))&amp;IF(S253="","",IF(OR(INDEX(MATCHER!$J$5:$J$504,S253)="",INDEX(MATCHER!$J$5:$J$504,S253)=IFERROR(INDEX(MATCHER!$J$5:$J$504,R253),"")),""," / "&amp;INDEX(MATCHER!$J$5:$J$504,S253)))&amp;IF(T253="","",IF(OR(INDEX(MATCHER!$J$5:$J$504,T253)="",INDEX(MATCHER!$J$5:$J$504,T253)=IFERROR(INDEX(MATCHER!$J$5:$J$504,R253),""),INDEX(MATCHER!$J$5:$J$504,T253)=IFERROR(INDEX(MATCHER!$J$5:$J$504,S253),"")),""," / "&amp;INDEX(MATCHER!$J$5:$J$504,T253)))&amp;IF(AF253="","",IF(OR(INDEX(MATCHER!$J$5:$J$504,AF253)="",INDEX(MATCHER!$J$5:$J$504,AF253)=IFERROR(INDEX(MATCHER!$J$5:$J$504,R253),""),INDEX(MATCHER!$J$5:$J$504,AF253)=IFERROR(INDEX(MATCHER!$J$5:$J$504,S253),""),INDEX(MATCHER!$J$5:$J$504,AF253)=IFERROR(INDEX(MATCHER!$J$5:$J$504,T253),"")),""," / "&amp;INDEX(MATCHER!$J$5:$J$504,AF253))),4,1000)</f>
        <v>P12 2</v>
      </c>
      <c r="H253" s="45" t="str">
        <f t="shared" si="58"/>
        <v>P12</v>
      </c>
      <c r="I253" s="46" t="s">
        <v>90</v>
      </c>
      <c r="J253" s="47" t="s">
        <v>117</v>
      </c>
      <c r="K253" s="48"/>
      <c r="L253" s="71"/>
      <c r="M253" s="50" t="str">
        <f>IF(O253&lt;&gt;O252,MAX(1,MIN(AA253,ROUNDUP(SUMPRODUCT(($O$5:$O$546=O253)*($I$5:$I$546="Ja")*($E$5:$E$546-$D$5:$D$546))*24/REGLER!$B$8,0))),"")</f>
        <v/>
      </c>
      <c r="N253" s="50" t="str">
        <f t="shared" si="47"/>
        <v>Klar</v>
      </c>
      <c r="O253" s="15" t="s">
        <v>130</v>
      </c>
      <c r="P253" s="16">
        <v>0.33333333333333298</v>
      </c>
      <c r="Q253" s="16">
        <v>0.625</v>
      </c>
      <c r="R253" s="15">
        <f>IFERROR(MATCH(1,INDEX((MATCHER!$B$5:$B$504=A253)*(MATCHER!$D$5:$D$504=C253)*(MATCHER!$K$5:$K$504="Ja")*(MATCHER!$C$5:$C$504&lt;E253)*(MATCHER!$M$5:$M$504&gt;D253),0),0),"")</f>
        <v>89</v>
      </c>
      <c r="S253" s="15" t="str">
        <f>IF(R253="","",IFERROR(MATCH(1,INDEX((MATCHER!$B$5:$B$504=A253)*(MATCHER!$D$5:$D$504=C253)*(MATCHER!$K$5:$K$504="Ja")*(MATCHER!$C$5:$C$504&lt;E253)*(MATCHER!$M$5:$M$504&gt;D253)*(ROW(MATCHER!$A$5:$A$504)-ROW(MATCHER!$A$5)+1&gt;R253),0),0),""))</f>
        <v/>
      </c>
      <c r="T253" s="15" t="str">
        <f>IF(S253="","",IFERROR(MATCH(1,INDEX((MATCHER!$B$5:$B$504=A253)*(MATCHER!$D$5:$D$504=C253)*(MATCHER!$K$5:$K$504="Ja")*(MATCHER!$C$5:$C$504&lt;E253)*(MATCHER!$M$5:$M$504&gt;D253)*(ROW(MATCHER!$A$5:$A$504)-ROW(MATCHER!$A$5)+1&gt;S253),0),0),""))</f>
        <v/>
      </c>
      <c r="U253" s="15">
        <f t="shared" si="48"/>
        <v>0</v>
      </c>
      <c r="V253" s="15">
        <f>IF(OR(I253&lt;&gt;"Ja",J253=""),"",COUNTIFS($O$5:O253,O253,$U$5:U253,1))</f>
        <v>1</v>
      </c>
      <c r="W253" s="15" t="str">
        <f t="shared" si="49"/>
        <v>2026-11-28 | Tallbackaskolan|1</v>
      </c>
      <c r="X253" s="16" t="str">
        <f t="shared" si="50"/>
        <v/>
      </c>
      <c r="Y253" s="15">
        <f>IF(OR(I253&lt;&gt;"Ja",J253=""),0,IF(COUNTIFS($O$5:O253,O253,$I$5:I253,"Ja",$J$5:J253,"&lt;&gt;")=1,1,0))</f>
        <v>0</v>
      </c>
      <c r="Z253" s="15">
        <f>IF(OR(I253&lt;&gt;"Ja",J253=""),0,IF(COUNTIFS(O253:$O$546,O253,I253:$I$546,"Ja",J253:$J$546,"&lt;&gt;")=1,1,0))</f>
        <v>0</v>
      </c>
      <c r="AA253" s="15">
        <f t="shared" si="59"/>
        <v>1</v>
      </c>
      <c r="AB253" s="15" t="str">
        <f>IF(U253&lt;&gt;1,"",COUNTIF($U$5:U253,1))</f>
        <v/>
      </c>
      <c r="AC253" s="15" t="str">
        <f t="shared" si="51"/>
        <v/>
      </c>
      <c r="AD253" s="15" t="str">
        <f t="shared" si="52"/>
        <v>Vanligt café</v>
      </c>
      <c r="AE253" s="15" t="str">
        <f t="shared" si="53"/>
        <v/>
      </c>
      <c r="AF253" t="str">
        <f>IF(T253="","",IFERROR(MATCH(1,INDEX((MATCHER!$B$5:$B$504=A253)*(MATCHER!$D$5:$D$504=C253)*(MATCHER!$K$5:$K$504="Ja")*(MATCHER!$C$5:$C$504&lt;E253)*(MATCHER!$M$5:$M$504&gt;D253)*(ROW(MATCHER!$A$5:$A$504)-ROW(MATCHER!$A$5)+1&gt;T253),0),0),""))</f>
        <v/>
      </c>
    </row>
    <row r="254" spans="1:32" ht="26">
      <c r="A254" s="42">
        <v>46354</v>
      </c>
      <c r="B254" s="43" t="s">
        <v>85</v>
      </c>
      <c r="C254" s="43" t="s">
        <v>110</v>
      </c>
      <c r="D254" s="44">
        <v>0.52083333333333304</v>
      </c>
      <c r="E254" s="44">
        <v>0.54166666666666696</v>
      </c>
      <c r="F254" s="45" t="str">
        <f>IF(R254="","",HOUR(INDEX(MATCHER!$C$5:$C$504,R254))&amp;":"&amp;IF(MINUTE(INDEX(MATCHER!$C$5:$C$504,R254))&lt;10,"0","")&amp;MINUTE(INDEX(MATCHER!$C$5:$C$504,R254))&amp;" "&amp;INDEX(MATCHER!$H$5:$H$504,R254)&amp;" – "&amp;INDEX(MATCHER!$I$5:$I$504,R254))&amp;IF(S254="",""," | "&amp;HOUR(INDEX(MATCHER!$C$5:$C$504,S254))&amp;":"&amp;IF(MINUTE(INDEX(MATCHER!$C$5:$C$504,S254))&lt;10,"0","")&amp;MINUTE(INDEX(MATCHER!$C$5:$C$504,S254))&amp;" "&amp;INDEX(MATCHER!$H$5:$H$504,S254)&amp;" – "&amp;INDEX(MATCHER!$I$5:$I$504,S254))&amp;IF(T254="",""," | "&amp;HOUR(INDEX(MATCHER!$C$5:$C$504,T254))&amp;":"&amp;IF(MINUTE(INDEX(MATCHER!$C$5:$C$504,T254))&lt;10,"0","")&amp;MINUTE(INDEX(MATCHER!$C$5:$C$504,T254))&amp;" "&amp;INDEX(MATCHER!$H$5:$H$504,T254)&amp;" – "&amp;INDEX(MATCHER!$I$5:$I$504,T254))&amp;IF(AF254="",""," | "&amp;HOUR(INDEX(MATCHER!$C$5:$C$504,AF254))&amp;":"&amp;IF(MINUTE(INDEX(MATCHER!$C$5:$C$504,AF254))&lt;10,"0","")&amp;MINUTE(INDEX(MATCHER!$C$5:$C$504,AF254))&amp;" "&amp;INDEX(MATCHER!$H$5:$H$504,AF254)&amp;" – "&amp;INDEX(MATCHER!$I$5:$I$504,AF254))</f>
        <v>12:00 AIK 2 – Årsta AIK HF 1</v>
      </c>
      <c r="G254" s="45" t="str">
        <f>MID(IF(R254="","",IF(OR(INDEX(MATCHER!$J$5:$J$504,R254)=""),""," / "&amp;INDEX(MATCHER!$J$5:$J$504,R254)))&amp;IF(S254="","",IF(OR(INDEX(MATCHER!$J$5:$J$504,S254)="",INDEX(MATCHER!$J$5:$J$504,S254)=IFERROR(INDEX(MATCHER!$J$5:$J$504,R254),"")),""," / "&amp;INDEX(MATCHER!$J$5:$J$504,S254)))&amp;IF(T254="","",IF(OR(INDEX(MATCHER!$J$5:$J$504,T254)="",INDEX(MATCHER!$J$5:$J$504,T254)=IFERROR(INDEX(MATCHER!$J$5:$J$504,R254),""),INDEX(MATCHER!$J$5:$J$504,T254)=IFERROR(INDEX(MATCHER!$J$5:$J$504,S254),"")),""," / "&amp;INDEX(MATCHER!$J$5:$J$504,T254)))&amp;IF(AF254="","",IF(OR(INDEX(MATCHER!$J$5:$J$504,AF254)="",INDEX(MATCHER!$J$5:$J$504,AF254)=IFERROR(INDEX(MATCHER!$J$5:$J$504,R254),""),INDEX(MATCHER!$J$5:$J$504,AF254)=IFERROR(INDEX(MATCHER!$J$5:$J$504,S254),""),INDEX(MATCHER!$J$5:$J$504,AF254)=IFERROR(INDEX(MATCHER!$J$5:$J$504,T254),"")),""," / "&amp;INDEX(MATCHER!$J$5:$J$504,AF254))),4,1000)</f>
        <v>P12 2</v>
      </c>
      <c r="H254" s="45" t="str">
        <f t="shared" si="58"/>
        <v>P12</v>
      </c>
      <c r="I254" s="46" t="s">
        <v>90</v>
      </c>
      <c r="J254" s="47" t="s">
        <v>117</v>
      </c>
      <c r="K254" s="48"/>
      <c r="L254" s="71"/>
      <c r="M254" s="50" t="str">
        <f>IF(O254&lt;&gt;O253,MAX(1,MIN(AA254,ROUNDUP(SUMPRODUCT(($O$5:$O$546=O254)*($I$5:$I$546="Ja")*($E$5:$E$546-$D$5:$D$546))*24/REGLER!$B$8,0))),"")</f>
        <v/>
      </c>
      <c r="N254" s="50" t="str">
        <f t="shared" si="47"/>
        <v>Klar</v>
      </c>
      <c r="O254" s="15" t="s">
        <v>130</v>
      </c>
      <c r="P254" s="16">
        <v>0.33333333333333298</v>
      </c>
      <c r="Q254" s="16">
        <v>0.625</v>
      </c>
      <c r="R254" s="15">
        <f>IFERROR(MATCH(1,INDEX((MATCHER!$B$5:$B$504=A254)*(MATCHER!$D$5:$D$504=C254)*(MATCHER!$K$5:$K$504="Ja")*(MATCHER!$C$5:$C$504&lt;E254)*(MATCHER!$M$5:$M$504&gt;D254),0),0),"")</f>
        <v>89</v>
      </c>
      <c r="S254" s="15" t="str">
        <f>IF(R254="","",IFERROR(MATCH(1,INDEX((MATCHER!$B$5:$B$504=A254)*(MATCHER!$D$5:$D$504=C254)*(MATCHER!$K$5:$K$504="Ja")*(MATCHER!$C$5:$C$504&lt;E254)*(MATCHER!$M$5:$M$504&gt;D254)*(ROW(MATCHER!$A$5:$A$504)-ROW(MATCHER!$A$5)+1&gt;R254),0),0),""))</f>
        <v/>
      </c>
      <c r="T254" s="15" t="str">
        <f>IF(S254="","",IFERROR(MATCH(1,INDEX((MATCHER!$B$5:$B$504=A254)*(MATCHER!$D$5:$D$504=C254)*(MATCHER!$K$5:$K$504="Ja")*(MATCHER!$C$5:$C$504&lt;E254)*(MATCHER!$M$5:$M$504&gt;D254)*(ROW(MATCHER!$A$5:$A$504)-ROW(MATCHER!$A$5)+1&gt;S254),0),0),""))</f>
        <v/>
      </c>
      <c r="U254" s="15">
        <f t="shared" si="48"/>
        <v>0</v>
      </c>
      <c r="V254" s="15">
        <f>IF(OR(I254&lt;&gt;"Ja",J254=""),"",COUNTIFS($O$5:O254,O254,$U$5:U254,1))</f>
        <v>1</v>
      </c>
      <c r="W254" s="15" t="str">
        <f t="shared" si="49"/>
        <v>2026-11-28 | Tallbackaskolan|1</v>
      </c>
      <c r="X254" s="16" t="str">
        <f t="shared" si="50"/>
        <v/>
      </c>
      <c r="Y254" s="15">
        <f>IF(OR(I254&lt;&gt;"Ja",J254=""),0,IF(COUNTIFS($O$5:O254,O254,$I$5:I254,"Ja",$J$5:J254,"&lt;&gt;")=1,1,0))</f>
        <v>0</v>
      </c>
      <c r="Z254" s="15">
        <f>IF(OR(I254&lt;&gt;"Ja",J254=""),0,IF(COUNTIFS(O254:$O$546,O254,I254:$I$546,"Ja",J254:$J$546,"&lt;&gt;")=1,1,0))</f>
        <v>0</v>
      </c>
      <c r="AA254" s="15">
        <f t="shared" si="59"/>
        <v>1</v>
      </c>
      <c r="AB254" s="15" t="str">
        <f>IF(U254&lt;&gt;1,"",COUNTIF($U$5:U254,1))</f>
        <v/>
      </c>
      <c r="AC254" s="15" t="str">
        <f t="shared" si="51"/>
        <v/>
      </c>
      <c r="AD254" s="15" t="str">
        <f t="shared" si="52"/>
        <v>Vanligt café</v>
      </c>
      <c r="AE254" s="15" t="str">
        <f t="shared" si="53"/>
        <v/>
      </c>
      <c r="AF254" t="str">
        <f>IF(T254="","",IFERROR(MATCH(1,INDEX((MATCHER!$B$5:$B$504=A254)*(MATCHER!$D$5:$D$504=C254)*(MATCHER!$K$5:$K$504="Ja")*(MATCHER!$C$5:$C$504&lt;E254)*(MATCHER!$M$5:$M$504&gt;D254)*(ROW(MATCHER!$A$5:$A$504)-ROW(MATCHER!$A$5)+1&gt;T254),0),0),""))</f>
        <v/>
      </c>
    </row>
    <row r="255" spans="1:32" ht="26">
      <c r="A255" s="42">
        <v>46354</v>
      </c>
      <c r="B255" s="43" t="s">
        <v>85</v>
      </c>
      <c r="C255" s="43" t="s">
        <v>110</v>
      </c>
      <c r="D255" s="44">
        <v>0.54166666666666696</v>
      </c>
      <c r="E255" s="44">
        <v>0.5625</v>
      </c>
      <c r="F255" s="45" t="str">
        <f>IF(R255="","",HOUR(INDEX(MATCHER!$C$5:$C$504,R255))&amp;":"&amp;IF(MINUTE(INDEX(MATCHER!$C$5:$C$504,R255))&lt;10,"0","")&amp;MINUTE(INDEX(MATCHER!$C$5:$C$504,R255))&amp;" "&amp;INDEX(MATCHER!$H$5:$H$504,R255)&amp;" – "&amp;INDEX(MATCHER!$I$5:$I$504,R255))&amp;IF(S255="",""," | "&amp;HOUR(INDEX(MATCHER!$C$5:$C$504,S255))&amp;":"&amp;IF(MINUTE(INDEX(MATCHER!$C$5:$C$504,S255))&lt;10,"0","")&amp;MINUTE(INDEX(MATCHER!$C$5:$C$504,S255))&amp;" "&amp;INDEX(MATCHER!$H$5:$H$504,S255)&amp;" – "&amp;INDEX(MATCHER!$I$5:$I$504,S255))&amp;IF(T255="",""," | "&amp;HOUR(INDEX(MATCHER!$C$5:$C$504,T255))&amp;":"&amp;IF(MINUTE(INDEX(MATCHER!$C$5:$C$504,T255))&lt;10,"0","")&amp;MINUTE(INDEX(MATCHER!$C$5:$C$504,T255))&amp;" "&amp;INDEX(MATCHER!$H$5:$H$504,T255)&amp;" – "&amp;INDEX(MATCHER!$I$5:$I$504,T255))&amp;IF(AF255="",""," | "&amp;HOUR(INDEX(MATCHER!$C$5:$C$504,AF255))&amp;":"&amp;IF(MINUTE(INDEX(MATCHER!$C$5:$C$504,AF255))&lt;10,"0","")&amp;MINUTE(INDEX(MATCHER!$C$5:$C$504,AF255))&amp;" "&amp;INDEX(MATCHER!$H$5:$H$504,AF255)&amp;" – "&amp;INDEX(MATCHER!$I$5:$I$504,AF255))</f>
        <v>13:00 Skogås HK – Årsta AIK HF 1</v>
      </c>
      <c r="G255" s="45" t="str">
        <f>MID(IF(R255="","",IF(OR(INDEX(MATCHER!$J$5:$J$504,R255)=""),""," / "&amp;INDEX(MATCHER!$J$5:$J$504,R255)))&amp;IF(S255="","",IF(OR(INDEX(MATCHER!$J$5:$J$504,S255)="",INDEX(MATCHER!$J$5:$J$504,S255)=IFERROR(INDEX(MATCHER!$J$5:$J$504,R255),"")),""," / "&amp;INDEX(MATCHER!$J$5:$J$504,S255)))&amp;IF(T255="","",IF(OR(INDEX(MATCHER!$J$5:$J$504,T255)="",INDEX(MATCHER!$J$5:$J$504,T255)=IFERROR(INDEX(MATCHER!$J$5:$J$504,R255),""),INDEX(MATCHER!$J$5:$J$504,T255)=IFERROR(INDEX(MATCHER!$J$5:$J$504,S255),"")),""," / "&amp;INDEX(MATCHER!$J$5:$J$504,T255)))&amp;IF(AF255="","",IF(OR(INDEX(MATCHER!$J$5:$J$504,AF255)="",INDEX(MATCHER!$J$5:$J$504,AF255)=IFERROR(INDEX(MATCHER!$J$5:$J$504,R255),""),INDEX(MATCHER!$J$5:$J$504,AF255)=IFERROR(INDEX(MATCHER!$J$5:$J$504,S255),""),INDEX(MATCHER!$J$5:$J$504,AF255)=IFERROR(INDEX(MATCHER!$J$5:$J$504,T255),"")),""," / "&amp;INDEX(MATCHER!$J$5:$J$504,AF255))),4,1000)</f>
        <v/>
      </c>
      <c r="H255" s="45" t="str">
        <f t="shared" si="58"/>
        <v>P12</v>
      </c>
      <c r="I255" s="46" t="s">
        <v>90</v>
      </c>
      <c r="J255" s="47" t="s">
        <v>117</v>
      </c>
      <c r="K255" s="48"/>
      <c r="L255" s="71"/>
      <c r="M255" s="50" t="str">
        <f>IF(O255&lt;&gt;O254,MAX(1,MIN(AA255,ROUNDUP(SUMPRODUCT(($O$5:$O$546=O255)*($I$5:$I$546="Ja")*($E$5:$E$546-$D$5:$D$546))*24/REGLER!$B$8,0))),"")</f>
        <v/>
      </c>
      <c r="N255" s="50" t="str">
        <f t="shared" si="47"/>
        <v>Klar</v>
      </c>
      <c r="O255" s="15" t="s">
        <v>130</v>
      </c>
      <c r="P255" s="16">
        <v>0.33333333333333298</v>
      </c>
      <c r="Q255" s="16">
        <v>0.625</v>
      </c>
      <c r="R255" s="15">
        <f>IFERROR(MATCH(1,INDEX((MATCHER!$B$5:$B$504=A255)*(MATCHER!$D$5:$D$504=C255)*(MATCHER!$K$5:$K$504="Ja")*(MATCHER!$C$5:$C$504&lt;E255)*(MATCHER!$M$5:$M$504&gt;D255),0),0),"")</f>
        <v>90</v>
      </c>
      <c r="S255" s="15" t="str">
        <f>IF(R255="","",IFERROR(MATCH(1,INDEX((MATCHER!$B$5:$B$504=A255)*(MATCHER!$D$5:$D$504=C255)*(MATCHER!$K$5:$K$504="Ja")*(MATCHER!$C$5:$C$504&lt;E255)*(MATCHER!$M$5:$M$504&gt;D255)*(ROW(MATCHER!$A$5:$A$504)-ROW(MATCHER!$A$5)+1&gt;R255),0),0),""))</f>
        <v/>
      </c>
      <c r="T255" s="15" t="str">
        <f>IF(S255="","",IFERROR(MATCH(1,INDEX((MATCHER!$B$5:$B$504=A255)*(MATCHER!$D$5:$D$504=C255)*(MATCHER!$K$5:$K$504="Ja")*(MATCHER!$C$5:$C$504&lt;E255)*(MATCHER!$M$5:$M$504&gt;D255)*(ROW(MATCHER!$A$5:$A$504)-ROW(MATCHER!$A$5)+1&gt;S255),0),0),""))</f>
        <v/>
      </c>
      <c r="U255" s="15">
        <f t="shared" si="48"/>
        <v>0</v>
      </c>
      <c r="V255" s="15">
        <f>IF(OR(I255&lt;&gt;"Ja",J255=""),"",COUNTIFS($O$5:O255,O255,$U$5:U255,1))</f>
        <v>1</v>
      </c>
      <c r="W255" s="15" t="str">
        <f t="shared" si="49"/>
        <v>2026-11-28 | Tallbackaskolan|1</v>
      </c>
      <c r="X255" s="16" t="str">
        <f t="shared" si="50"/>
        <v/>
      </c>
      <c r="Y255" s="15">
        <f>IF(OR(I255&lt;&gt;"Ja",J255=""),0,IF(COUNTIFS($O$5:O255,O255,$I$5:I255,"Ja",$J$5:J255,"&lt;&gt;")=1,1,0))</f>
        <v>0</v>
      </c>
      <c r="Z255" s="15">
        <f>IF(OR(I255&lt;&gt;"Ja",J255=""),0,IF(COUNTIFS(O255:$O$546,O255,I255:$I$546,"Ja",J255:$J$546,"&lt;&gt;")=1,1,0))</f>
        <v>0</v>
      </c>
      <c r="AA255" s="15">
        <f t="shared" si="59"/>
        <v>1</v>
      </c>
      <c r="AB255" s="15" t="str">
        <f>IF(U255&lt;&gt;1,"",COUNTIF($U$5:U255,1))</f>
        <v/>
      </c>
      <c r="AC255" s="15" t="str">
        <f t="shared" si="51"/>
        <v/>
      </c>
      <c r="AD255" s="15" t="str">
        <f t="shared" si="52"/>
        <v>Vanligt café</v>
      </c>
      <c r="AE255" s="15" t="str">
        <f t="shared" si="53"/>
        <v/>
      </c>
      <c r="AF255" t="str">
        <f>IF(T255="","",IFERROR(MATCH(1,INDEX((MATCHER!$B$5:$B$504=A255)*(MATCHER!$D$5:$D$504=C255)*(MATCHER!$K$5:$K$504="Ja")*(MATCHER!$C$5:$C$504&lt;E255)*(MATCHER!$M$5:$M$504&gt;D255)*(ROW(MATCHER!$A$5:$A$504)-ROW(MATCHER!$A$5)+1&gt;T255),0),0),""))</f>
        <v/>
      </c>
    </row>
    <row r="256" spans="1:32" ht="26">
      <c r="A256" s="42">
        <v>46354</v>
      </c>
      <c r="B256" s="43" t="s">
        <v>85</v>
      </c>
      <c r="C256" s="43" t="s">
        <v>110</v>
      </c>
      <c r="D256" s="44">
        <v>0.5625</v>
      </c>
      <c r="E256" s="44">
        <v>0.58333333333333304</v>
      </c>
      <c r="F256" s="45" t="str">
        <f>IF(R256="","",HOUR(INDEX(MATCHER!$C$5:$C$504,R256))&amp;":"&amp;IF(MINUTE(INDEX(MATCHER!$C$5:$C$504,R256))&lt;10,"0","")&amp;MINUTE(INDEX(MATCHER!$C$5:$C$504,R256))&amp;" "&amp;INDEX(MATCHER!$H$5:$H$504,R256)&amp;" – "&amp;INDEX(MATCHER!$I$5:$I$504,R256))&amp;IF(S256="",""," | "&amp;HOUR(INDEX(MATCHER!$C$5:$C$504,S256))&amp;":"&amp;IF(MINUTE(INDEX(MATCHER!$C$5:$C$504,S256))&lt;10,"0","")&amp;MINUTE(INDEX(MATCHER!$C$5:$C$504,S256))&amp;" "&amp;INDEX(MATCHER!$H$5:$H$504,S256)&amp;" – "&amp;INDEX(MATCHER!$I$5:$I$504,S256))&amp;IF(T256="",""," | "&amp;HOUR(INDEX(MATCHER!$C$5:$C$504,T256))&amp;":"&amp;IF(MINUTE(INDEX(MATCHER!$C$5:$C$504,T256))&lt;10,"0","")&amp;MINUTE(INDEX(MATCHER!$C$5:$C$504,T256))&amp;" "&amp;INDEX(MATCHER!$H$5:$H$504,T256)&amp;" – "&amp;INDEX(MATCHER!$I$5:$I$504,T256))&amp;IF(AF256="",""," | "&amp;HOUR(INDEX(MATCHER!$C$5:$C$504,AF256))&amp;":"&amp;IF(MINUTE(INDEX(MATCHER!$C$5:$C$504,AF256))&lt;10,"0","")&amp;MINUTE(INDEX(MATCHER!$C$5:$C$504,AF256))&amp;" "&amp;INDEX(MATCHER!$H$5:$H$504,AF256)&amp;" – "&amp;INDEX(MATCHER!$I$5:$I$504,AF256))</f>
        <v>13:00 Skogås HK – Årsta AIK HF 1</v>
      </c>
      <c r="G256" s="45" t="str">
        <f>MID(IF(R256="","",IF(OR(INDEX(MATCHER!$J$5:$J$504,R256)=""),""," / "&amp;INDEX(MATCHER!$J$5:$J$504,R256)))&amp;IF(S256="","",IF(OR(INDEX(MATCHER!$J$5:$J$504,S256)="",INDEX(MATCHER!$J$5:$J$504,S256)=IFERROR(INDEX(MATCHER!$J$5:$J$504,R256),"")),""," / "&amp;INDEX(MATCHER!$J$5:$J$504,S256)))&amp;IF(T256="","",IF(OR(INDEX(MATCHER!$J$5:$J$504,T256)="",INDEX(MATCHER!$J$5:$J$504,T256)=IFERROR(INDEX(MATCHER!$J$5:$J$504,R256),""),INDEX(MATCHER!$J$5:$J$504,T256)=IFERROR(INDEX(MATCHER!$J$5:$J$504,S256),"")),""," / "&amp;INDEX(MATCHER!$J$5:$J$504,T256)))&amp;IF(AF256="","",IF(OR(INDEX(MATCHER!$J$5:$J$504,AF256)="",INDEX(MATCHER!$J$5:$J$504,AF256)=IFERROR(INDEX(MATCHER!$J$5:$J$504,R256),""),INDEX(MATCHER!$J$5:$J$504,AF256)=IFERROR(INDEX(MATCHER!$J$5:$J$504,S256),""),INDEX(MATCHER!$J$5:$J$504,AF256)=IFERROR(INDEX(MATCHER!$J$5:$J$504,T256),"")),""," / "&amp;INDEX(MATCHER!$J$5:$J$504,AF256))),4,1000)</f>
        <v/>
      </c>
      <c r="H256" s="45" t="str">
        <f t="shared" si="58"/>
        <v>P12</v>
      </c>
      <c r="I256" s="46" t="s">
        <v>90</v>
      </c>
      <c r="J256" s="47" t="s">
        <v>117</v>
      </c>
      <c r="K256" s="48"/>
      <c r="L256" s="71"/>
      <c r="M256" s="50" t="str">
        <f>IF(O256&lt;&gt;O255,MAX(1,MIN(AA256,ROUNDUP(SUMPRODUCT(($O$5:$O$546=O256)*($I$5:$I$546="Ja")*($E$5:$E$546-$D$5:$D$546))*24/REGLER!$B$8,0))),"")</f>
        <v/>
      </c>
      <c r="N256" s="50" t="str">
        <f t="shared" si="47"/>
        <v>Klar</v>
      </c>
      <c r="O256" s="15" t="s">
        <v>130</v>
      </c>
      <c r="P256" s="16">
        <v>0.33333333333333298</v>
      </c>
      <c r="Q256" s="16">
        <v>0.625</v>
      </c>
      <c r="R256" s="15">
        <f>IFERROR(MATCH(1,INDEX((MATCHER!$B$5:$B$504=A256)*(MATCHER!$D$5:$D$504=C256)*(MATCHER!$K$5:$K$504="Ja")*(MATCHER!$C$5:$C$504&lt;E256)*(MATCHER!$M$5:$M$504&gt;D256),0),0),"")</f>
        <v>90</v>
      </c>
      <c r="S256" s="15" t="str">
        <f>IF(R256="","",IFERROR(MATCH(1,INDEX((MATCHER!$B$5:$B$504=A256)*(MATCHER!$D$5:$D$504=C256)*(MATCHER!$K$5:$K$504="Ja")*(MATCHER!$C$5:$C$504&lt;E256)*(MATCHER!$M$5:$M$504&gt;D256)*(ROW(MATCHER!$A$5:$A$504)-ROW(MATCHER!$A$5)+1&gt;R256),0),0),""))</f>
        <v/>
      </c>
      <c r="T256" s="15" t="str">
        <f>IF(S256="","",IFERROR(MATCH(1,INDEX((MATCHER!$B$5:$B$504=A256)*(MATCHER!$D$5:$D$504=C256)*(MATCHER!$K$5:$K$504="Ja")*(MATCHER!$C$5:$C$504&lt;E256)*(MATCHER!$M$5:$M$504&gt;D256)*(ROW(MATCHER!$A$5:$A$504)-ROW(MATCHER!$A$5)+1&gt;S256),0),0),""))</f>
        <v/>
      </c>
      <c r="U256" s="15">
        <f t="shared" si="48"/>
        <v>0</v>
      </c>
      <c r="V256" s="15">
        <f>IF(OR(I256&lt;&gt;"Ja",J256=""),"",COUNTIFS($O$5:O256,O256,$U$5:U256,1))</f>
        <v>1</v>
      </c>
      <c r="W256" s="15" t="str">
        <f t="shared" si="49"/>
        <v>2026-11-28 | Tallbackaskolan|1</v>
      </c>
      <c r="X256" s="16" t="str">
        <f t="shared" si="50"/>
        <v/>
      </c>
      <c r="Y256" s="15">
        <f>IF(OR(I256&lt;&gt;"Ja",J256=""),0,IF(COUNTIFS($O$5:O256,O256,$I$5:I256,"Ja",$J$5:J256,"&lt;&gt;")=1,1,0))</f>
        <v>0</v>
      </c>
      <c r="Z256" s="15">
        <f>IF(OR(I256&lt;&gt;"Ja",J256=""),0,IF(COUNTIFS(O256:$O$546,O256,I256:$I$546,"Ja",J256:$J$546,"&lt;&gt;")=1,1,0))</f>
        <v>0</v>
      </c>
      <c r="AA256" s="15">
        <f t="shared" si="59"/>
        <v>1</v>
      </c>
      <c r="AB256" s="15" t="str">
        <f>IF(U256&lt;&gt;1,"",COUNTIF($U$5:U256,1))</f>
        <v/>
      </c>
      <c r="AC256" s="15" t="str">
        <f t="shared" si="51"/>
        <v/>
      </c>
      <c r="AD256" s="15" t="str">
        <f t="shared" si="52"/>
        <v>Vanligt café</v>
      </c>
      <c r="AE256" s="15" t="str">
        <f t="shared" si="53"/>
        <v/>
      </c>
      <c r="AF256" t="str">
        <f>IF(T256="","",IFERROR(MATCH(1,INDEX((MATCHER!$B$5:$B$504=A256)*(MATCHER!$D$5:$D$504=C256)*(MATCHER!$K$5:$K$504="Ja")*(MATCHER!$C$5:$C$504&lt;E256)*(MATCHER!$M$5:$M$504&gt;D256)*(ROW(MATCHER!$A$5:$A$504)-ROW(MATCHER!$A$5)+1&gt;T256),0),0),""))</f>
        <v/>
      </c>
    </row>
    <row r="257" spans="1:32" ht="26">
      <c r="A257" s="42">
        <v>46354</v>
      </c>
      <c r="B257" s="43" t="s">
        <v>85</v>
      </c>
      <c r="C257" s="43" t="s">
        <v>110</v>
      </c>
      <c r="D257" s="44">
        <v>0.58333333333333304</v>
      </c>
      <c r="E257" s="44">
        <v>0.60416666666666696</v>
      </c>
      <c r="F257" s="45" t="str">
        <f>IF(R257="","",HOUR(INDEX(MATCHER!$C$5:$C$504,R257))&amp;":"&amp;IF(MINUTE(INDEX(MATCHER!$C$5:$C$504,R257))&lt;10,"0","")&amp;MINUTE(INDEX(MATCHER!$C$5:$C$504,R257))&amp;" "&amp;INDEX(MATCHER!$H$5:$H$504,R257)&amp;" – "&amp;INDEX(MATCHER!$I$5:$I$504,R257))&amp;IF(S257="",""," | "&amp;HOUR(INDEX(MATCHER!$C$5:$C$504,S257))&amp;":"&amp;IF(MINUTE(INDEX(MATCHER!$C$5:$C$504,S257))&lt;10,"0","")&amp;MINUTE(INDEX(MATCHER!$C$5:$C$504,S257))&amp;" "&amp;INDEX(MATCHER!$H$5:$H$504,S257)&amp;" – "&amp;INDEX(MATCHER!$I$5:$I$504,S257))&amp;IF(T257="",""," | "&amp;HOUR(INDEX(MATCHER!$C$5:$C$504,T257))&amp;":"&amp;IF(MINUTE(INDEX(MATCHER!$C$5:$C$504,T257))&lt;10,"0","")&amp;MINUTE(INDEX(MATCHER!$C$5:$C$504,T257))&amp;" "&amp;INDEX(MATCHER!$H$5:$H$504,T257)&amp;" – "&amp;INDEX(MATCHER!$I$5:$I$504,T257))&amp;IF(AF257="",""," | "&amp;HOUR(INDEX(MATCHER!$C$5:$C$504,AF257))&amp;":"&amp;IF(MINUTE(INDEX(MATCHER!$C$5:$C$504,AF257))&lt;10,"0","")&amp;MINUTE(INDEX(MATCHER!$C$5:$C$504,AF257))&amp;" "&amp;INDEX(MATCHER!$H$5:$H$504,AF257)&amp;" – "&amp;INDEX(MATCHER!$I$5:$I$504,AF257))</f>
        <v>14:00 AIK 2 – Skogås HK</v>
      </c>
      <c r="G257" s="45" t="str">
        <f>MID(IF(R257="","",IF(OR(INDEX(MATCHER!$J$5:$J$504,R257)=""),""," / "&amp;INDEX(MATCHER!$J$5:$J$504,R257)))&amp;IF(S257="","",IF(OR(INDEX(MATCHER!$J$5:$J$504,S257)="",INDEX(MATCHER!$J$5:$J$504,S257)=IFERROR(INDEX(MATCHER!$J$5:$J$504,R257),"")),""," / "&amp;INDEX(MATCHER!$J$5:$J$504,S257)))&amp;IF(T257="","",IF(OR(INDEX(MATCHER!$J$5:$J$504,T257)="",INDEX(MATCHER!$J$5:$J$504,T257)=IFERROR(INDEX(MATCHER!$J$5:$J$504,R257),""),INDEX(MATCHER!$J$5:$J$504,T257)=IFERROR(INDEX(MATCHER!$J$5:$J$504,S257),"")),""," / "&amp;INDEX(MATCHER!$J$5:$J$504,T257)))&amp;IF(AF257="","",IF(OR(INDEX(MATCHER!$J$5:$J$504,AF257)="",INDEX(MATCHER!$J$5:$J$504,AF257)=IFERROR(INDEX(MATCHER!$J$5:$J$504,R257),""),INDEX(MATCHER!$J$5:$J$504,AF257)=IFERROR(INDEX(MATCHER!$J$5:$J$504,S257),""),INDEX(MATCHER!$J$5:$J$504,AF257)=IFERROR(INDEX(MATCHER!$J$5:$J$504,T257),"")),""," / "&amp;INDEX(MATCHER!$J$5:$J$504,AF257))),4,1000)</f>
        <v>P12 2</v>
      </c>
      <c r="H257" s="45" t="str">
        <f t="shared" si="58"/>
        <v>P12</v>
      </c>
      <c r="I257" s="46" t="s">
        <v>90</v>
      </c>
      <c r="J257" s="47" t="s">
        <v>117</v>
      </c>
      <c r="K257" s="48"/>
      <c r="L257" s="49"/>
      <c r="M257" s="50" t="str">
        <f>IF(O257&lt;&gt;O256,MAX(1,MIN(AA257,ROUNDUP(SUMPRODUCT(($O$5:$O$546=O257)*($I$5:$I$546="Ja")*($E$5:$E$546-$D$5:$D$546))*24/REGLER!$B$8,0))),"")</f>
        <v/>
      </c>
      <c r="N257" s="50" t="str">
        <f t="shared" si="47"/>
        <v>Klar</v>
      </c>
      <c r="O257" s="15" t="s">
        <v>130</v>
      </c>
      <c r="P257" s="16">
        <v>0.33333333333333298</v>
      </c>
      <c r="Q257" s="16">
        <v>0.625</v>
      </c>
      <c r="R257" s="15">
        <f>IFERROR(MATCH(1,INDEX((MATCHER!$B$5:$B$504=A257)*(MATCHER!$D$5:$D$504=C257)*(MATCHER!$K$5:$K$504="Ja")*(MATCHER!$C$5:$C$504&lt;E257)*(MATCHER!$M$5:$M$504&gt;D257),0),0),"")</f>
        <v>91</v>
      </c>
      <c r="S257" s="15" t="str">
        <f>IF(R257="","",IFERROR(MATCH(1,INDEX((MATCHER!$B$5:$B$504=A257)*(MATCHER!$D$5:$D$504=C257)*(MATCHER!$K$5:$K$504="Ja")*(MATCHER!$C$5:$C$504&lt;E257)*(MATCHER!$M$5:$M$504&gt;D257)*(ROW(MATCHER!$A$5:$A$504)-ROW(MATCHER!$A$5)+1&gt;R257),0),0),""))</f>
        <v/>
      </c>
      <c r="T257" s="15" t="str">
        <f>IF(S257="","",IFERROR(MATCH(1,INDEX((MATCHER!$B$5:$B$504=A257)*(MATCHER!$D$5:$D$504=C257)*(MATCHER!$K$5:$K$504="Ja")*(MATCHER!$C$5:$C$504&lt;E257)*(MATCHER!$M$5:$M$504&gt;D257)*(ROW(MATCHER!$A$5:$A$504)-ROW(MATCHER!$A$5)+1&gt;S257),0),0),""))</f>
        <v/>
      </c>
      <c r="U257" s="15">
        <f t="shared" si="48"/>
        <v>0</v>
      </c>
      <c r="V257" s="15">
        <f>IF(OR(I257&lt;&gt;"Ja",J257=""),"",COUNTIFS($O$5:O257,O257,$U$5:U257,1))</f>
        <v>1</v>
      </c>
      <c r="W257" s="15" t="str">
        <f t="shared" si="49"/>
        <v>2026-11-28 | Tallbackaskolan|1</v>
      </c>
      <c r="X257" s="16" t="str">
        <f t="shared" si="50"/>
        <v/>
      </c>
      <c r="Y257" s="15">
        <f>IF(OR(I257&lt;&gt;"Ja",J257=""),0,IF(COUNTIFS($O$5:O257,O257,$I$5:I257,"Ja",$J$5:J257,"&lt;&gt;")=1,1,0))</f>
        <v>0</v>
      </c>
      <c r="Z257" s="15">
        <f>IF(OR(I257&lt;&gt;"Ja",J257=""),0,IF(COUNTIFS(O257:$O$546,O257,I257:$I$546,"Ja",J257:$J$546,"&lt;&gt;")=1,1,0))</f>
        <v>0</v>
      </c>
      <c r="AA257" s="15">
        <f t="shared" si="59"/>
        <v>1</v>
      </c>
      <c r="AB257" s="15" t="str">
        <f>IF(U257&lt;&gt;1,"",COUNTIF($U$5:U257,1))</f>
        <v/>
      </c>
      <c r="AC257" s="15" t="str">
        <f t="shared" si="51"/>
        <v/>
      </c>
      <c r="AD257" s="15" t="str">
        <f t="shared" si="52"/>
        <v>Vanligt café</v>
      </c>
      <c r="AE257" s="15" t="str">
        <f t="shared" si="53"/>
        <v/>
      </c>
      <c r="AF257" t="str">
        <f>IF(T257="","",IFERROR(MATCH(1,INDEX((MATCHER!$B$5:$B$504=A257)*(MATCHER!$D$5:$D$504=C257)*(MATCHER!$K$5:$K$504="Ja")*(MATCHER!$C$5:$C$504&lt;E257)*(MATCHER!$M$5:$M$504&gt;D257)*(ROW(MATCHER!$A$5:$A$504)-ROW(MATCHER!$A$5)+1&gt;T257),0),0),""))</f>
        <v/>
      </c>
    </row>
    <row r="258" spans="1:32" ht="26.5" thickBot="1">
      <c r="A258" s="52">
        <v>46354</v>
      </c>
      <c r="B258" s="53" t="s">
        <v>85</v>
      </c>
      <c r="C258" s="53" t="s">
        <v>110</v>
      </c>
      <c r="D258" s="54">
        <v>0.60416666666666696</v>
      </c>
      <c r="E258" s="54">
        <v>0.625</v>
      </c>
      <c r="F258" s="55" t="str">
        <f>IF(R258="","",HOUR(INDEX(MATCHER!$C$5:$C$504,R258))&amp;":"&amp;IF(MINUTE(INDEX(MATCHER!$C$5:$C$504,R258))&lt;10,"0","")&amp;MINUTE(INDEX(MATCHER!$C$5:$C$504,R258))&amp;" "&amp;INDEX(MATCHER!$H$5:$H$504,R258)&amp;" – "&amp;INDEX(MATCHER!$I$5:$I$504,R258))&amp;IF(S258="",""," | "&amp;HOUR(INDEX(MATCHER!$C$5:$C$504,S258))&amp;":"&amp;IF(MINUTE(INDEX(MATCHER!$C$5:$C$504,S258))&lt;10,"0","")&amp;MINUTE(INDEX(MATCHER!$C$5:$C$504,S258))&amp;" "&amp;INDEX(MATCHER!$H$5:$H$504,S258)&amp;" – "&amp;INDEX(MATCHER!$I$5:$I$504,S258))&amp;IF(T258="",""," | "&amp;HOUR(INDEX(MATCHER!$C$5:$C$504,T258))&amp;":"&amp;IF(MINUTE(INDEX(MATCHER!$C$5:$C$504,T258))&lt;10,"0","")&amp;MINUTE(INDEX(MATCHER!$C$5:$C$504,T258))&amp;" "&amp;INDEX(MATCHER!$H$5:$H$504,T258)&amp;" – "&amp;INDEX(MATCHER!$I$5:$I$504,T258))&amp;IF(AF258="",""," | "&amp;HOUR(INDEX(MATCHER!$C$5:$C$504,AF258))&amp;":"&amp;IF(MINUTE(INDEX(MATCHER!$C$5:$C$504,AF258))&lt;10,"0","")&amp;MINUTE(INDEX(MATCHER!$C$5:$C$504,AF258))&amp;" "&amp;INDEX(MATCHER!$H$5:$H$504,AF258)&amp;" – "&amp;INDEX(MATCHER!$I$5:$I$504,AF258))</f>
        <v>14:00 AIK 2 – Skogås HK</v>
      </c>
      <c r="G258" s="55" t="str">
        <f>MID(IF(R258="","",IF(OR(INDEX(MATCHER!$J$5:$J$504,R258)=""),""," / "&amp;INDEX(MATCHER!$J$5:$J$504,R258)))&amp;IF(S258="","",IF(OR(INDEX(MATCHER!$J$5:$J$504,S258)="",INDEX(MATCHER!$J$5:$J$504,S258)=IFERROR(INDEX(MATCHER!$J$5:$J$504,R258),"")),""," / "&amp;INDEX(MATCHER!$J$5:$J$504,S258)))&amp;IF(T258="","",IF(OR(INDEX(MATCHER!$J$5:$J$504,T258)="",INDEX(MATCHER!$J$5:$J$504,T258)=IFERROR(INDEX(MATCHER!$J$5:$J$504,R258),""),INDEX(MATCHER!$J$5:$J$504,T258)=IFERROR(INDEX(MATCHER!$J$5:$J$504,S258),"")),""," / "&amp;INDEX(MATCHER!$J$5:$J$504,T258)))&amp;IF(AF258="","",IF(OR(INDEX(MATCHER!$J$5:$J$504,AF258)="",INDEX(MATCHER!$J$5:$J$504,AF258)=IFERROR(INDEX(MATCHER!$J$5:$J$504,R258),""),INDEX(MATCHER!$J$5:$J$504,AF258)=IFERROR(INDEX(MATCHER!$J$5:$J$504,S258),""),INDEX(MATCHER!$J$5:$J$504,AF258)=IFERROR(INDEX(MATCHER!$J$5:$J$504,T258),"")),""," / "&amp;INDEX(MATCHER!$J$5:$J$504,AF258))),4,1000)</f>
        <v>P12 2</v>
      </c>
      <c r="H258" s="55" t="str">
        <f t="shared" si="58"/>
        <v>P12</v>
      </c>
      <c r="I258" s="56" t="s">
        <v>90</v>
      </c>
      <c r="J258" s="57" t="s">
        <v>117</v>
      </c>
      <c r="K258" s="58"/>
      <c r="L258" s="59"/>
      <c r="M258" s="60" t="str">
        <f>IF(O258&lt;&gt;O257,MAX(1,MIN(AA258,ROUNDUP(SUMPRODUCT(($O$5:$O$546=O258)*($I$5:$I$546="Ja")*($E$5:$E$546-$D$5:$D$546))*24/REGLER!$B$8,0))),"")</f>
        <v/>
      </c>
      <c r="N258" s="60" t="str">
        <f t="shared" si="47"/>
        <v>Klar</v>
      </c>
      <c r="O258" s="15" t="s">
        <v>130</v>
      </c>
      <c r="P258" s="16">
        <v>0.33333333333333298</v>
      </c>
      <c r="Q258" s="16">
        <v>0.625</v>
      </c>
      <c r="R258" s="15">
        <f>IFERROR(MATCH(1,INDEX((MATCHER!$B$5:$B$504=A258)*(MATCHER!$D$5:$D$504=C258)*(MATCHER!$K$5:$K$504="Ja")*(MATCHER!$C$5:$C$504&lt;E258)*(MATCHER!$M$5:$M$504&gt;D258),0),0),"")</f>
        <v>91</v>
      </c>
      <c r="S258" s="15" t="str">
        <f>IF(R258="","",IFERROR(MATCH(1,INDEX((MATCHER!$B$5:$B$504=A258)*(MATCHER!$D$5:$D$504=C258)*(MATCHER!$K$5:$K$504="Ja")*(MATCHER!$C$5:$C$504&lt;E258)*(MATCHER!$M$5:$M$504&gt;D258)*(ROW(MATCHER!$A$5:$A$504)-ROW(MATCHER!$A$5)+1&gt;R258),0),0),""))</f>
        <v/>
      </c>
      <c r="T258" s="15" t="str">
        <f>IF(S258="","",IFERROR(MATCH(1,INDEX((MATCHER!$B$5:$B$504=A258)*(MATCHER!$D$5:$D$504=C258)*(MATCHER!$K$5:$K$504="Ja")*(MATCHER!$C$5:$C$504&lt;E258)*(MATCHER!$M$5:$M$504&gt;D258)*(ROW(MATCHER!$A$5:$A$504)-ROW(MATCHER!$A$5)+1&gt;S258),0),0),""))</f>
        <v/>
      </c>
      <c r="U258" s="15">
        <f t="shared" si="48"/>
        <v>0</v>
      </c>
      <c r="V258" s="15">
        <f>IF(OR(I258&lt;&gt;"Ja",J258=""),"",COUNTIFS($O$5:O258,O258,$U$5:U258,1))</f>
        <v>1</v>
      </c>
      <c r="W258" s="15" t="str">
        <f t="shared" si="49"/>
        <v>2026-11-28 | Tallbackaskolan|1</v>
      </c>
      <c r="X258" s="16">
        <f t="shared" si="50"/>
        <v>0.625</v>
      </c>
      <c r="Y258" s="15">
        <f>IF(OR(I258&lt;&gt;"Ja",J258=""),0,IF(COUNTIFS($O$5:O258,O258,$I$5:I258,"Ja",$J$5:J258,"&lt;&gt;")=1,1,0))</f>
        <v>0</v>
      </c>
      <c r="Z258" s="15">
        <f>IF(OR(I258&lt;&gt;"Ja",J258=""),0,IF(COUNTIFS(O258:$O$546,O258,I258:$I$546,"Ja",J258:$J$546,"&lt;&gt;")=1,1,0))</f>
        <v>1</v>
      </c>
      <c r="AA258" s="15">
        <f t="shared" si="59"/>
        <v>1</v>
      </c>
      <c r="AB258" s="15" t="str">
        <f>IF(U258&lt;&gt;1,"",COUNTIF($U$5:U258,1))</f>
        <v/>
      </c>
      <c r="AC258" s="15" t="str">
        <f t="shared" si="51"/>
        <v>2026-11-28 | Tallbackaskolan|1</v>
      </c>
      <c r="AD258" s="15" t="str">
        <f t="shared" si="52"/>
        <v>Vanligt café</v>
      </c>
      <c r="AE258" s="15" t="str">
        <f t="shared" si="53"/>
        <v/>
      </c>
      <c r="AF258" t="str">
        <f>IF(T258="","",IFERROR(MATCH(1,INDEX((MATCHER!$B$5:$B$504=A258)*(MATCHER!$D$5:$D$504=C258)*(MATCHER!$K$5:$K$504="Ja")*(MATCHER!$C$5:$C$504&lt;E258)*(MATCHER!$M$5:$M$504&gt;D258)*(ROW(MATCHER!$A$5:$A$504)-ROW(MATCHER!$A$5)+1&gt;T258),0),0),""))</f>
        <v/>
      </c>
    </row>
    <row r="259" spans="1:32" ht="26">
      <c r="A259" s="42">
        <v>46354</v>
      </c>
      <c r="B259" s="43" t="s">
        <v>85</v>
      </c>
      <c r="C259" s="43" t="s">
        <v>86</v>
      </c>
      <c r="D259" s="44">
        <v>0.46875</v>
      </c>
      <c r="E259" s="44">
        <v>0.47916666666666702</v>
      </c>
      <c r="F259" s="45" t="str">
        <f>IF(R259="","",HOUR(INDEX(MATCHER!$C$5:$C$504,R259))&amp;":"&amp;IF(MINUTE(INDEX(MATCHER!$C$5:$C$504,R259))&lt;10,"0","")&amp;MINUTE(INDEX(MATCHER!$C$5:$C$504,R259))&amp;" "&amp;INDEX(MATCHER!$H$5:$H$504,R259)&amp;" – "&amp;INDEX(MATCHER!$I$5:$I$504,R259))&amp;IF(S259="",""," | "&amp;HOUR(INDEX(MATCHER!$C$5:$C$504,S259))&amp;":"&amp;IF(MINUTE(INDEX(MATCHER!$C$5:$C$504,S259))&lt;10,"0","")&amp;MINUTE(INDEX(MATCHER!$C$5:$C$504,S259))&amp;" "&amp;INDEX(MATCHER!$H$5:$H$504,S259)&amp;" – "&amp;INDEX(MATCHER!$I$5:$I$504,S259))&amp;IF(T259="",""," | "&amp;HOUR(INDEX(MATCHER!$C$5:$C$504,T259))&amp;":"&amp;IF(MINUTE(INDEX(MATCHER!$C$5:$C$504,T259))&lt;10,"0","")&amp;MINUTE(INDEX(MATCHER!$C$5:$C$504,T259))&amp;" "&amp;INDEX(MATCHER!$H$5:$H$504,T259)&amp;" – "&amp;INDEX(MATCHER!$I$5:$I$504,T259))&amp;IF(AF259="",""," | "&amp;HOUR(INDEX(MATCHER!$C$5:$C$504,AF259))&amp;":"&amp;IF(MINUTE(INDEX(MATCHER!$C$5:$C$504,AF259))&lt;10,"0","")&amp;MINUTE(INDEX(MATCHER!$C$5:$C$504,AF259))&amp;" "&amp;INDEX(MATCHER!$H$5:$H$504,AF259)&amp;" – "&amp;INDEX(MATCHER!$I$5:$I$504,AF259))</f>
        <v/>
      </c>
      <c r="G259" s="45" t="str">
        <f>MID(IF(R259="","",IF(OR(INDEX(MATCHER!$J$5:$J$504,R259)=""),""," / "&amp;INDEX(MATCHER!$J$5:$J$504,R259)))&amp;IF(S259="","",IF(OR(INDEX(MATCHER!$J$5:$J$504,S259)="",INDEX(MATCHER!$J$5:$J$504,S259)=IFERROR(INDEX(MATCHER!$J$5:$J$504,R259),"")),""," / "&amp;INDEX(MATCHER!$J$5:$J$504,S259)))&amp;IF(T259="","",IF(OR(INDEX(MATCHER!$J$5:$J$504,T259)="",INDEX(MATCHER!$J$5:$J$504,T259)=IFERROR(INDEX(MATCHER!$J$5:$J$504,R259),""),INDEX(MATCHER!$J$5:$J$504,T259)=IFERROR(INDEX(MATCHER!$J$5:$J$504,S259),"")),""," / "&amp;INDEX(MATCHER!$J$5:$J$504,T259)))&amp;IF(AF259="","",IF(OR(INDEX(MATCHER!$J$5:$J$504,AF259)="",INDEX(MATCHER!$J$5:$J$504,AF259)=IFERROR(INDEX(MATCHER!$J$5:$J$504,R259),""),INDEX(MATCHER!$J$5:$J$504,AF259)=IFERROR(INDEX(MATCHER!$J$5:$J$504,S259),""),INDEX(MATCHER!$J$5:$J$504,AF259)=IFERROR(INDEX(MATCHER!$J$5:$J$504,T259),"")),""," / "&amp;INDEX(MATCHER!$J$5:$J$504,AF259))),4,1000)</f>
        <v/>
      </c>
      <c r="H259" s="45" t="str">
        <f>MID(IF(COUNTIFS(MATCHER!$B$5:$B$504,A259,MATCHER!$D$5:$D$504,C259,MATCHER!$J$5:$J$504,REGLER!$I$6,MATCHER!$K$5:$K$504,"Ja")+COUNTIFS(MATCHER!$B$5:$B$504,A259,MATCHER!$D$5:$D$504,C259,MATCHER!$J$5:$J$504,REGLER!$I$6&amp;" 2",MATCHER!$K$5:$K$504,"Ja")&gt;0,", "&amp;REGLER!$I$6,"")&amp;IF(COUNTIFS(MATCHER!$B$5:$B$504,A259,MATCHER!$D$5:$D$504,C259,MATCHER!$J$5:$J$504,REGLER!$I$7,MATCHER!$K$5:$K$504,"Ja")+COUNTIFS(MATCHER!$B$5:$B$504,A259,MATCHER!$D$5:$D$504,C259,MATCHER!$J$5:$J$504,REGLER!$I$7&amp;" 2",MATCHER!$K$5:$K$504,"Ja")&gt;0,", "&amp;REGLER!$I$7,"")&amp;IF(COUNTIFS(MATCHER!$B$5:$B$504,A259,MATCHER!$D$5:$D$504,C259,MATCHER!$J$5:$J$504,REGLER!$I$8,MATCHER!$K$5:$K$504,"Ja")+COUNTIFS(MATCHER!$B$5:$B$504,A259,MATCHER!$D$5:$D$504,C259,MATCHER!$J$5:$J$504,REGLER!$I$8&amp;" 2",MATCHER!$K$5:$K$504,"Ja")&gt;0,", "&amp;REGLER!$I$8,"")&amp;IF(COUNTIFS(MATCHER!$B$5:$B$504,A259,MATCHER!$D$5:$D$504,C259,MATCHER!$J$5:$J$504,REGLER!$I$9,MATCHER!$K$5:$K$504,"Ja")+COUNTIFS(MATCHER!$B$5:$B$504,A259,MATCHER!$D$5:$D$504,C259,MATCHER!$J$5:$J$504,REGLER!$I$9&amp;" 2",MATCHER!$K$5:$K$504,"Ja")&gt;0,", "&amp;REGLER!$I$9,"")&amp;IF(COUNTIFS(MATCHER!$B$5:$B$504,A259,MATCHER!$D$5:$D$504,C259,MATCHER!$J$5:$J$504,REGLER!$I$10,MATCHER!$K$5:$K$504,"Ja")+COUNTIFS(MATCHER!$B$5:$B$504,A259,MATCHER!$D$5:$D$504,C259,MATCHER!$J$5:$J$504,REGLER!$I$10&amp;" 2",MATCHER!$K$5:$K$504,"Ja")&gt;0,", "&amp;REGLER!$I$10,"")&amp;IF(COUNTIFS(MATCHER!$B$5:$B$504,A259,MATCHER!$D$5:$D$504,C259,MATCHER!$J$5:$J$504,REGLER!$I$11,MATCHER!$K$5:$K$504,"Ja")+COUNTIFS(MATCHER!$B$5:$B$504,A259,MATCHER!$D$5:$D$504,C259,MATCHER!$J$5:$J$504,REGLER!$I$11&amp;" 2",MATCHER!$K$5:$K$504,"Ja")&gt;0,", "&amp;REGLER!$I$11,"")&amp;IF(COUNTIFS(MATCHER!$B$5:$B$504,A259,MATCHER!$D$5:$D$504,C259,MATCHER!$J$5:$J$504,REGLER!$I$12,MATCHER!$K$5:$K$504,"Ja")+COUNTIFS(MATCHER!$B$5:$B$504,A259,MATCHER!$D$5:$D$504,C259,MATCHER!$J$5:$J$504,REGLER!$I$12&amp;" 2",MATCHER!$K$5:$K$504,"Ja")&gt;0,", "&amp;REGLER!$I$12,"")&amp;IF(COUNTIFS(MATCHER!$B$5:$B$504,A259,MATCHER!$D$5:$D$504,C259,MATCHER!$J$5:$J$504,REGLER!$I$13,MATCHER!$K$5:$K$504,"Ja")+COUNTIFS(MATCHER!$B$5:$B$504,A259,MATCHER!$D$5:$D$504,C259,MATCHER!$J$5:$J$504,REGLER!$I$13&amp;" 2",MATCHER!$K$5:$K$504,"Ja")&gt;0,", "&amp;REGLER!$I$13,"")&amp;IF(COUNTIFS(MATCHER!$B$5:$B$504,A259,MATCHER!$D$5:$D$504,C259,MATCHER!$J$5:$J$504,REGLER!$I$14,MATCHER!$K$5:$K$504,"Ja")+COUNTIFS(MATCHER!$B$5:$B$504,A259,MATCHER!$D$5:$D$504,C259,MATCHER!$J$5:$J$504,REGLER!$I$14&amp;" 2",MATCHER!$K$5:$K$504,"Ja")&gt;0,", "&amp;REGLER!$I$14,"")&amp;IF(COUNTIFS(MATCHER!$B$5:$B$504,A259,MATCHER!$D$5:$D$504,C259,MATCHER!$J$5:$J$504,REGLER!$I$15,MATCHER!$K$5:$K$504,"Ja")+COUNTIFS(MATCHER!$B$5:$B$504,A259,MATCHER!$D$5:$D$504,C259,MATCHER!$J$5:$J$504,REGLER!$I$15&amp;" 2",MATCHER!$K$5:$K$504,"Ja")&gt;0,", "&amp;REGLER!$I$15,"")&amp;IF(COUNTIFS(MATCHER!$B$5:$B$504,A259,MATCHER!$D$5:$D$504,C259,MATCHER!$J$5:$J$504,REGLER!$I$16,MATCHER!$K$5:$K$504,"Ja")+COUNTIFS(MATCHER!$B$5:$B$504,A259,MATCHER!$D$5:$D$504,C259,MATCHER!$J$5:$J$504,REGLER!$I$16&amp;" 2",MATCHER!$K$5:$K$504,"Ja")&gt;0,", "&amp;REGLER!$I$16,"")&amp;IF(COUNTIFS(MATCHER!$B$5:$B$504,A259,MATCHER!$D$5:$D$504,C259,MATCHER!$J$5:$J$504,REGLER!$I$17,MATCHER!$K$5:$K$504,"Ja")+COUNTIFS(MATCHER!$B$5:$B$504,A259,MATCHER!$D$5:$D$504,C259,MATCHER!$J$5:$J$504,REGLER!$I$17&amp;" 2",MATCHER!$K$5:$K$504,"Ja")&gt;0,", "&amp;REGLER!$I$17,"")&amp;IF(COUNTIFS(MATCHER!$B$5:$B$504,A259,MATCHER!$D$5:$D$504,C259,MATCHER!$J$5:$J$504,REGLER!$I$18,MATCHER!$K$5:$K$504,"Ja")+COUNTIFS(MATCHER!$B$5:$B$504,A259,MATCHER!$D$5:$D$504,C259,MATCHER!$J$5:$J$504,REGLER!$I$18&amp;" 2",MATCHER!$K$5:$K$504,"Ja")&gt;0,", "&amp;REGLER!$I$18,"")&amp;IF(COUNTIFS(MATCHER!$B$5:$B$504,A259,MATCHER!$D$5:$D$504,C259,MATCHER!$J$5:$J$504,REGLER!$I$19,MATCHER!$K$5:$K$504,"Ja")+COUNTIFS(MATCHER!$B$5:$B$504,A259,MATCHER!$D$5:$D$504,C259,MATCHER!$J$5:$J$504,REGLER!$I$19&amp;" 2",MATCHER!$K$5:$K$504,"Ja")&gt;0,", "&amp;REGLER!$I$19,"")&amp;IF(COUNTIFS(MATCHER!$B$5:$B$504,A259,MATCHER!$D$5:$D$504,C259,MATCHER!$J$5:$J$504,REGLER!$I$20,MATCHER!$K$5:$K$504,"Ja")+COUNTIFS(MATCHER!$B$5:$B$504,A259,MATCHER!$D$5:$D$504,C259,MATCHER!$J$5:$J$504,REGLER!$I$20&amp;" 2",MATCHER!$K$5:$K$504,"Ja")&gt;0,", "&amp;REGLER!$I$20,"")&amp;IF(COUNTIFS(MATCHER!$B$5:$B$504,A259,MATCHER!$D$5:$D$504,C259,MATCHER!$J$5:$J$504,REGLER!$I$21,MATCHER!$K$5:$K$504,"Ja")+COUNTIFS(MATCHER!$B$5:$B$504,A259,MATCHER!$D$5:$D$504,C259,MATCHER!$J$5:$J$504,REGLER!$I$21&amp;" 2",MATCHER!$K$5:$K$504,"Ja")&gt;0,", "&amp;REGLER!$I$21,"")&amp;IF(COUNTIFS(MATCHER!$B$5:$B$504,A259,MATCHER!$D$5:$D$504,C259,MATCHER!$J$5:$J$504,REGLER!$I$22,MATCHER!$K$5:$K$504,"Ja")+COUNTIFS(MATCHER!$B$5:$B$504,A259,MATCHER!$D$5:$D$504,C259,MATCHER!$J$5:$J$504,REGLER!$I$22&amp;" 2",MATCHER!$K$5:$K$504,"Ja")&gt;0,", "&amp;REGLER!$I$22,"")&amp;IF(COUNTIFS(MATCHER!$B$5:$B$504,A259,MATCHER!$D$5:$D$504,C259,MATCHER!$J$5:$J$504,REGLER!$I$23,MATCHER!$K$5:$K$504,"Ja")+COUNTIFS(MATCHER!$B$5:$B$504,A259,MATCHER!$D$5:$D$504,C259,MATCHER!$J$5:$J$504,REGLER!$I$23&amp;" 2",MATCHER!$K$5:$K$504,"Ja")&gt;0,", "&amp;REGLER!$I$23,"")&amp;IF(COUNTIFS(MATCHER!$B$5:$B$504,A259,MATCHER!$D$5:$D$504,C259,MATCHER!$J$5:$J$504,REGLER!$I$24,MATCHER!$K$5:$K$504,"Ja")+COUNTIFS(MATCHER!$B$5:$B$504,A259,MATCHER!$D$5:$D$504,C259,MATCHER!$J$5:$J$504,REGLER!$I$24&amp;" 2",MATCHER!$K$5:$K$504,"Ja")&gt;0,", "&amp;REGLER!$I$24,"")&amp;IF(COUNTIFS(MATCHER!$B$5:$B$504,A259,MATCHER!$D$5:$D$504,C259,MATCHER!$J$5:$J$504,REGLER!$I$25,MATCHER!$K$5:$K$504,"Ja")+COUNTIFS(MATCHER!$B$5:$B$504,A259,MATCHER!$D$5:$D$504,C259,MATCHER!$J$5:$J$504,REGLER!$I$25&amp;" 2",MATCHER!$K$5:$K$504,"Ja")&gt;0,", "&amp;REGLER!$I$25,"")&amp;IF(COUNTIFS(MATCHER!$B$5:$B$504,A259,MATCHER!$D$5:$D$504,C259,MATCHER!$J$5:$J$504,REGLER!$I$26,MATCHER!$K$5:$K$504,"Ja")+COUNTIFS(MATCHER!$B$5:$B$504,A259,MATCHER!$D$5:$D$504,C259,MATCHER!$J$5:$J$504,REGLER!$I$26&amp;" 2",MATCHER!$K$5:$K$504,"Ja")&gt;0,", "&amp;REGLER!$I$26,""),3,1000)</f>
        <v>F12, F13, F14</v>
      </c>
      <c r="I259" s="46" t="s">
        <v>90</v>
      </c>
      <c r="J259" s="47" t="s">
        <v>101</v>
      </c>
      <c r="K259" s="48" t="s">
        <v>88</v>
      </c>
      <c r="L259" s="49"/>
      <c r="M259" s="50">
        <f>IF(O259&lt;&gt;O258,MAX(1,MIN(AA259,ROUNDUP(SUMPRODUCT(($O$5:$O$546=O259)*($I$5:$I$546="Ja")*($E$5:$E$546-$D$5:$D$546))*24/REGLER!$B$8,0))),"")</f>
        <v>3</v>
      </c>
      <c r="N259" s="50" t="str">
        <f t="shared" si="47"/>
        <v>Klar</v>
      </c>
      <c r="O259" s="15" t="s">
        <v>131</v>
      </c>
      <c r="P259" s="16">
        <v>0.46875</v>
      </c>
      <c r="Q259" s="16">
        <v>0.77083333333333304</v>
      </c>
      <c r="R259" s="15" t="str">
        <f>IFERROR(MATCH(1,INDEX((MATCHER!$B$5:$B$504=A259)*(MATCHER!$D$5:$D$504=C259)*(MATCHER!$K$5:$K$504="Ja")*(MATCHER!$C$5:$C$504&lt;E259)*(MATCHER!$M$5:$M$504&gt;D259),0),0),"")</f>
        <v/>
      </c>
      <c r="S259" s="15" t="str">
        <f>IF(R259="","",IFERROR(MATCH(1,INDEX((MATCHER!$B$5:$B$504=A259)*(MATCHER!$D$5:$D$504=C259)*(MATCHER!$K$5:$K$504="Ja")*(MATCHER!$C$5:$C$504&lt;E259)*(MATCHER!$M$5:$M$504&gt;D259)*(ROW(MATCHER!$A$5:$A$504)-ROW(MATCHER!$A$5)+1&gt;R259),0),0),""))</f>
        <v/>
      </c>
      <c r="T259" s="15" t="str">
        <f>IF(S259="","",IFERROR(MATCH(1,INDEX((MATCHER!$B$5:$B$504=A259)*(MATCHER!$D$5:$D$504=C259)*(MATCHER!$K$5:$K$504="Ja")*(MATCHER!$C$5:$C$504&lt;E259)*(MATCHER!$M$5:$M$504&gt;D259)*(ROW(MATCHER!$A$5:$A$504)-ROW(MATCHER!$A$5)+1&gt;S259),0),0),""))</f>
        <v/>
      </c>
      <c r="U259" s="15">
        <f t="shared" si="48"/>
        <v>1</v>
      </c>
      <c r="V259" s="15">
        <f>IF(OR(I259&lt;&gt;"Ja",J259=""),"",COUNTIFS($O$5:O259,O259,$U$5:U259,1))</f>
        <v>1</v>
      </c>
      <c r="W259" s="15" t="str">
        <f t="shared" si="49"/>
        <v>2026-11-28 | Ulriksdalshallen|1</v>
      </c>
      <c r="X259" s="16" t="str">
        <f t="shared" si="50"/>
        <v/>
      </c>
      <c r="Y259" s="15">
        <f>IF(OR(I259&lt;&gt;"Ja",J259=""),0,IF(COUNTIFS($O$5:O259,O259,$I$5:I259,"Ja",$J$5:J259,"&lt;&gt;")=1,1,0))</f>
        <v>1</v>
      </c>
      <c r="Z259" s="15">
        <f>IF(OR(I259&lt;&gt;"Ja",J259=""),0,IF(COUNTIFS(O259:$O$546,O259,I259:$I$546,"Ja",J259:$J$546,"&lt;&gt;")=1,1,0))</f>
        <v>0</v>
      </c>
      <c r="AA259" s="15">
        <f>IF(COUNTIFS(MATCHER!$B$5:$B$504,A259,MATCHER!$D$5:$D$504,C259,MATCHER!$J$5:$J$504,REGLER!$I$6,MATCHER!$K$5:$K$504,"Ja")+COUNTIFS(MATCHER!$B$5:$B$504,A259,MATCHER!$D$5:$D$504,C259,MATCHER!$J$5:$J$504,REGLER!$I$6&amp;" 2",MATCHER!$K$5:$K$504,"Ja")&gt;0,1,0)+IF(COUNTIFS(MATCHER!$B$5:$B$504,A259,MATCHER!$D$5:$D$504,C259,MATCHER!$J$5:$J$504,REGLER!$I$7,MATCHER!$K$5:$K$504,"Ja")+COUNTIFS(MATCHER!$B$5:$B$504,A259,MATCHER!$D$5:$D$504,C259,MATCHER!$J$5:$J$504,REGLER!$I$7&amp;" 2",MATCHER!$K$5:$K$504,"Ja")&gt;0,1,0)+IF(COUNTIFS(MATCHER!$B$5:$B$504,A259,MATCHER!$D$5:$D$504,C259,MATCHER!$J$5:$J$504,REGLER!$I$8,MATCHER!$K$5:$K$504,"Ja")+COUNTIFS(MATCHER!$B$5:$B$504,A259,MATCHER!$D$5:$D$504,C259,MATCHER!$J$5:$J$504,REGLER!$I$8&amp;" 2",MATCHER!$K$5:$K$504,"Ja")&gt;0,1,0)+IF(COUNTIFS(MATCHER!$B$5:$B$504,A259,MATCHER!$D$5:$D$504,C259,MATCHER!$J$5:$J$504,REGLER!$I$9,MATCHER!$K$5:$K$504,"Ja")+COUNTIFS(MATCHER!$B$5:$B$504,A259,MATCHER!$D$5:$D$504,C259,MATCHER!$J$5:$J$504,REGLER!$I$9&amp;" 2",MATCHER!$K$5:$K$504,"Ja")&gt;0,1,0)+IF(COUNTIFS(MATCHER!$B$5:$B$504,A259,MATCHER!$D$5:$D$504,C259,MATCHER!$J$5:$J$504,REGLER!$I$10,MATCHER!$K$5:$K$504,"Ja")+COUNTIFS(MATCHER!$B$5:$B$504,A259,MATCHER!$D$5:$D$504,C259,MATCHER!$J$5:$J$504,REGLER!$I$10&amp;" 2",MATCHER!$K$5:$K$504,"Ja")&gt;0,1,0)+IF(COUNTIFS(MATCHER!$B$5:$B$504,A259,MATCHER!$D$5:$D$504,C259,MATCHER!$J$5:$J$504,REGLER!$I$11,MATCHER!$K$5:$K$504,"Ja")+COUNTIFS(MATCHER!$B$5:$B$504,A259,MATCHER!$D$5:$D$504,C259,MATCHER!$J$5:$J$504,REGLER!$I$11&amp;" 2",MATCHER!$K$5:$K$504,"Ja")&gt;0,1,0)+IF(COUNTIFS(MATCHER!$B$5:$B$504,A259,MATCHER!$D$5:$D$504,C259,MATCHER!$J$5:$J$504,REGLER!$I$12,MATCHER!$K$5:$K$504,"Ja")+COUNTIFS(MATCHER!$B$5:$B$504,A259,MATCHER!$D$5:$D$504,C259,MATCHER!$J$5:$J$504,REGLER!$I$12&amp;" 2",MATCHER!$K$5:$K$504,"Ja")&gt;0,1,0)+IF(COUNTIFS(MATCHER!$B$5:$B$504,A259,MATCHER!$D$5:$D$504,C259,MATCHER!$J$5:$J$504,REGLER!$I$13,MATCHER!$K$5:$K$504,"Ja")+COUNTIFS(MATCHER!$B$5:$B$504,A259,MATCHER!$D$5:$D$504,C259,MATCHER!$J$5:$J$504,REGLER!$I$13&amp;" 2",MATCHER!$K$5:$K$504,"Ja")&gt;0,1,0)+IF(COUNTIFS(MATCHER!$B$5:$B$504,A259,MATCHER!$D$5:$D$504,C259,MATCHER!$J$5:$J$504,REGLER!$I$14,MATCHER!$K$5:$K$504,"Ja")+COUNTIFS(MATCHER!$B$5:$B$504,A259,MATCHER!$D$5:$D$504,C259,MATCHER!$J$5:$J$504,REGLER!$I$14&amp;" 2",MATCHER!$K$5:$K$504,"Ja")&gt;0,1,0)+IF(COUNTIFS(MATCHER!$B$5:$B$504,A259,MATCHER!$D$5:$D$504,C259,MATCHER!$J$5:$J$504,REGLER!$I$15,MATCHER!$K$5:$K$504,"Ja")+COUNTIFS(MATCHER!$B$5:$B$504,A259,MATCHER!$D$5:$D$504,C259,MATCHER!$J$5:$J$504,REGLER!$I$15&amp;" 2",MATCHER!$K$5:$K$504,"Ja")&gt;0,1,0)+IF(COUNTIFS(MATCHER!$B$5:$B$504,A259,MATCHER!$D$5:$D$504,C259,MATCHER!$J$5:$J$504,REGLER!$I$16,MATCHER!$K$5:$K$504,"Ja")+COUNTIFS(MATCHER!$B$5:$B$504,A259,MATCHER!$D$5:$D$504,C259,MATCHER!$J$5:$J$504,REGLER!$I$16&amp;" 2",MATCHER!$K$5:$K$504,"Ja")&gt;0,1,0)+IF(COUNTIFS(MATCHER!$B$5:$B$504,A259,MATCHER!$D$5:$D$504,C259,MATCHER!$J$5:$J$504,REGLER!$I$17,MATCHER!$K$5:$K$504,"Ja")+COUNTIFS(MATCHER!$B$5:$B$504,A259,MATCHER!$D$5:$D$504,C259,MATCHER!$J$5:$J$504,REGLER!$I$17&amp;" 2",MATCHER!$K$5:$K$504,"Ja")&gt;0,1,0)+IF(COUNTIFS(MATCHER!$B$5:$B$504,A259,MATCHER!$D$5:$D$504,C259,MATCHER!$J$5:$J$504,REGLER!$I$18,MATCHER!$K$5:$K$504,"Ja")+COUNTIFS(MATCHER!$B$5:$B$504,A259,MATCHER!$D$5:$D$504,C259,MATCHER!$J$5:$J$504,REGLER!$I$18&amp;" 2",MATCHER!$K$5:$K$504,"Ja")&gt;0,1,0)+IF(COUNTIFS(MATCHER!$B$5:$B$504,A259,MATCHER!$D$5:$D$504,C259,MATCHER!$J$5:$J$504,REGLER!$I$19,MATCHER!$K$5:$K$504,"Ja")+COUNTIFS(MATCHER!$B$5:$B$504,A259,MATCHER!$D$5:$D$504,C259,MATCHER!$J$5:$J$504,REGLER!$I$19&amp;" 2",MATCHER!$K$5:$K$504,"Ja")&gt;0,1,0)+IF(COUNTIFS(MATCHER!$B$5:$B$504,A259,MATCHER!$D$5:$D$504,C259,MATCHER!$J$5:$J$504,REGLER!$I$20,MATCHER!$K$5:$K$504,"Ja")+COUNTIFS(MATCHER!$B$5:$B$504,A259,MATCHER!$D$5:$D$504,C259,MATCHER!$J$5:$J$504,REGLER!$I$20&amp;" 2",MATCHER!$K$5:$K$504,"Ja")&gt;0,1,0)+IF(COUNTIFS(MATCHER!$B$5:$B$504,A259,MATCHER!$D$5:$D$504,C259,MATCHER!$J$5:$J$504,REGLER!$I$21,MATCHER!$K$5:$K$504,"Ja")+COUNTIFS(MATCHER!$B$5:$B$504,A259,MATCHER!$D$5:$D$504,C259,MATCHER!$J$5:$J$504,REGLER!$I$21&amp;" 2",MATCHER!$K$5:$K$504,"Ja")&gt;0,1,0)+IF(COUNTIFS(MATCHER!$B$5:$B$504,A259,MATCHER!$D$5:$D$504,C259,MATCHER!$J$5:$J$504,REGLER!$I$22,MATCHER!$K$5:$K$504,"Ja")+COUNTIFS(MATCHER!$B$5:$B$504,A259,MATCHER!$D$5:$D$504,C259,MATCHER!$J$5:$J$504,REGLER!$I$22&amp;" 2",MATCHER!$K$5:$K$504,"Ja")&gt;0,1,0)+IF(COUNTIFS(MATCHER!$B$5:$B$504,A259,MATCHER!$D$5:$D$504,C259,MATCHER!$J$5:$J$504,REGLER!$I$23,MATCHER!$K$5:$K$504,"Ja")+COUNTIFS(MATCHER!$B$5:$B$504,A259,MATCHER!$D$5:$D$504,C259,MATCHER!$J$5:$J$504,REGLER!$I$23&amp;" 2",MATCHER!$K$5:$K$504,"Ja")&gt;0,1,0)+IF(COUNTIFS(MATCHER!$B$5:$B$504,A259,MATCHER!$D$5:$D$504,C259,MATCHER!$J$5:$J$504,REGLER!$I$24,MATCHER!$K$5:$K$504,"Ja")+COUNTIFS(MATCHER!$B$5:$B$504,A259,MATCHER!$D$5:$D$504,C259,MATCHER!$J$5:$J$504,REGLER!$I$24&amp;" 2",MATCHER!$K$5:$K$504,"Ja")&gt;0,1,0)+IF(COUNTIFS(MATCHER!$B$5:$B$504,A259,MATCHER!$D$5:$D$504,C259,MATCHER!$J$5:$J$504,REGLER!$I$25,MATCHER!$K$5:$K$504,"Ja")+COUNTIFS(MATCHER!$B$5:$B$504,A259,MATCHER!$D$5:$D$504,C259,MATCHER!$J$5:$J$504,REGLER!$I$25&amp;" 2",MATCHER!$K$5:$K$504,"Ja")&gt;0,1,0)+IF(COUNTIFS(MATCHER!$B$5:$B$504,A259,MATCHER!$D$5:$D$504,C259,MATCHER!$J$5:$J$504,REGLER!$I$26,MATCHER!$K$5:$K$504,"Ja")+COUNTIFS(MATCHER!$B$5:$B$504,A259,MATCHER!$D$5:$D$504,C259,MATCHER!$J$5:$J$504,REGLER!$I$26&amp;" 2",MATCHER!$K$5:$K$504,"Ja")&gt;0,1,0)</f>
        <v>3</v>
      </c>
      <c r="AB259" s="15">
        <f>IF(U259&lt;&gt;1,"",COUNTIF($U$5:U259,1))</f>
        <v>29</v>
      </c>
      <c r="AC259" s="15" t="str">
        <f t="shared" si="51"/>
        <v/>
      </c>
      <c r="AD259" s="15" t="str">
        <f t="shared" si="52"/>
        <v>Vanligt café</v>
      </c>
      <c r="AE259" s="15">
        <f t="shared" si="53"/>
        <v>3.75</v>
      </c>
      <c r="AF259" t="str">
        <f>IF(T259="","",IFERROR(MATCH(1,INDEX((MATCHER!$B$5:$B$504=A259)*(MATCHER!$D$5:$D$504=C259)*(MATCHER!$K$5:$K$504="Ja")*(MATCHER!$C$5:$C$504&lt;E259)*(MATCHER!$M$5:$M$504&gt;D259)*(ROW(MATCHER!$A$5:$A$504)-ROW(MATCHER!$A$5)+1&gt;T259),0),0),""))</f>
        <v/>
      </c>
    </row>
    <row r="260" spans="1:32" ht="26">
      <c r="A260" s="42">
        <v>46354</v>
      </c>
      <c r="B260" s="43" t="s">
        <v>85</v>
      </c>
      <c r="C260" s="43" t="s">
        <v>86</v>
      </c>
      <c r="D260" s="44">
        <v>0.47916666666666702</v>
      </c>
      <c r="E260" s="44">
        <v>0.5</v>
      </c>
      <c r="F260" s="45" t="str">
        <f>IF(R260="","",HOUR(INDEX(MATCHER!$C$5:$C$504,R260))&amp;":"&amp;IF(MINUTE(INDEX(MATCHER!$C$5:$C$504,R260))&lt;10,"0","")&amp;MINUTE(INDEX(MATCHER!$C$5:$C$504,R260))&amp;" "&amp;INDEX(MATCHER!$H$5:$H$504,R260)&amp;" – "&amp;INDEX(MATCHER!$I$5:$I$504,R260))&amp;IF(S260="",""," | "&amp;HOUR(INDEX(MATCHER!$C$5:$C$504,S260))&amp;":"&amp;IF(MINUTE(INDEX(MATCHER!$C$5:$C$504,S260))&lt;10,"0","")&amp;MINUTE(INDEX(MATCHER!$C$5:$C$504,S260))&amp;" "&amp;INDEX(MATCHER!$H$5:$H$504,S260)&amp;" – "&amp;INDEX(MATCHER!$I$5:$I$504,S260))&amp;IF(T260="",""," | "&amp;HOUR(INDEX(MATCHER!$C$5:$C$504,T260))&amp;":"&amp;IF(MINUTE(INDEX(MATCHER!$C$5:$C$504,T260))&lt;10,"0","")&amp;MINUTE(INDEX(MATCHER!$C$5:$C$504,T260))&amp;" "&amp;INDEX(MATCHER!$H$5:$H$504,T260)&amp;" – "&amp;INDEX(MATCHER!$I$5:$I$504,T260))&amp;IF(AF260="",""," | "&amp;HOUR(INDEX(MATCHER!$C$5:$C$504,AF260))&amp;":"&amp;IF(MINUTE(INDEX(MATCHER!$C$5:$C$504,AF260))&lt;10,"0","")&amp;MINUTE(INDEX(MATCHER!$C$5:$C$504,AF260))&amp;" "&amp;INDEX(MATCHER!$H$5:$H$504,AF260)&amp;" – "&amp;INDEX(MATCHER!$I$5:$I$504,AF260))</f>
        <v/>
      </c>
      <c r="G260" s="45" t="str">
        <f>MID(IF(R260="","",IF(OR(INDEX(MATCHER!$J$5:$J$504,R260)=""),""," / "&amp;INDEX(MATCHER!$J$5:$J$504,R260)))&amp;IF(S260="","",IF(OR(INDEX(MATCHER!$J$5:$J$504,S260)="",INDEX(MATCHER!$J$5:$J$504,S260)=IFERROR(INDEX(MATCHER!$J$5:$J$504,R260),"")),""," / "&amp;INDEX(MATCHER!$J$5:$J$504,S260)))&amp;IF(T260="","",IF(OR(INDEX(MATCHER!$J$5:$J$504,T260)="",INDEX(MATCHER!$J$5:$J$504,T260)=IFERROR(INDEX(MATCHER!$J$5:$J$504,R260),""),INDEX(MATCHER!$J$5:$J$504,T260)=IFERROR(INDEX(MATCHER!$J$5:$J$504,S260),"")),""," / "&amp;INDEX(MATCHER!$J$5:$J$504,T260)))&amp;IF(AF260="","",IF(OR(INDEX(MATCHER!$J$5:$J$504,AF260)="",INDEX(MATCHER!$J$5:$J$504,AF260)=IFERROR(INDEX(MATCHER!$J$5:$J$504,R260),""),INDEX(MATCHER!$J$5:$J$504,AF260)=IFERROR(INDEX(MATCHER!$J$5:$J$504,S260),""),INDEX(MATCHER!$J$5:$J$504,AF260)=IFERROR(INDEX(MATCHER!$J$5:$J$504,T260),"")),""," / "&amp;INDEX(MATCHER!$J$5:$J$504,AF260))),4,1000)</f>
        <v/>
      </c>
      <c r="H260" s="45" t="str">
        <f t="shared" ref="H260:H273" si="60">H259</f>
        <v>F12, F13, F14</v>
      </c>
      <c r="I260" s="46" t="s">
        <v>90</v>
      </c>
      <c r="J260" s="47" t="s">
        <v>101</v>
      </c>
      <c r="K260" s="48"/>
      <c r="L260" s="49"/>
      <c r="M260" s="50" t="str">
        <f>IF(O260&lt;&gt;O259,MAX(1,MIN(AA260,ROUNDUP(SUMPRODUCT(($O$5:$O$546=O260)*($I$5:$I$546="Ja")*($E$5:$E$546-$D$5:$D$546))*24/REGLER!$B$8,0))),"")</f>
        <v/>
      </c>
      <c r="N260" s="50" t="str">
        <f t="shared" si="47"/>
        <v>Klar</v>
      </c>
      <c r="O260" s="15" t="s">
        <v>131</v>
      </c>
      <c r="P260" s="16">
        <v>0.46875</v>
      </c>
      <c r="Q260" s="16">
        <v>0.77083333333333304</v>
      </c>
      <c r="R260" s="15" t="str">
        <f>IFERROR(MATCH(1,INDEX((MATCHER!$B$5:$B$504=A260)*(MATCHER!$D$5:$D$504=C260)*(MATCHER!$K$5:$K$504="Ja")*(MATCHER!$C$5:$C$504&lt;E260)*(MATCHER!$M$5:$M$504&gt;D260),0),0),"")</f>
        <v/>
      </c>
      <c r="S260" s="15" t="str">
        <f>IF(R260="","",IFERROR(MATCH(1,INDEX((MATCHER!$B$5:$B$504=A260)*(MATCHER!$D$5:$D$504=C260)*(MATCHER!$K$5:$K$504="Ja")*(MATCHER!$C$5:$C$504&lt;E260)*(MATCHER!$M$5:$M$504&gt;D260)*(ROW(MATCHER!$A$5:$A$504)-ROW(MATCHER!$A$5)+1&gt;R260),0),0),""))</f>
        <v/>
      </c>
      <c r="T260" s="15" t="str">
        <f>IF(S260="","",IFERROR(MATCH(1,INDEX((MATCHER!$B$5:$B$504=A260)*(MATCHER!$D$5:$D$504=C260)*(MATCHER!$K$5:$K$504="Ja")*(MATCHER!$C$5:$C$504&lt;E260)*(MATCHER!$M$5:$M$504&gt;D260)*(ROW(MATCHER!$A$5:$A$504)-ROW(MATCHER!$A$5)+1&gt;S260),0),0),""))</f>
        <v/>
      </c>
      <c r="U260" s="15">
        <f t="shared" si="48"/>
        <v>0</v>
      </c>
      <c r="V260" s="15">
        <f>IF(OR(I260&lt;&gt;"Ja",J260=""),"",COUNTIFS($O$5:O260,O260,$U$5:U260,1))</f>
        <v>1</v>
      </c>
      <c r="W260" s="15" t="str">
        <f t="shared" si="49"/>
        <v>2026-11-28 | Ulriksdalshallen|1</v>
      </c>
      <c r="X260" s="16" t="str">
        <f t="shared" si="50"/>
        <v/>
      </c>
      <c r="Y260" s="15">
        <f>IF(OR(I260&lt;&gt;"Ja",J260=""),0,IF(COUNTIFS($O$5:O260,O260,$I$5:I260,"Ja",$J$5:J260,"&lt;&gt;")=1,1,0))</f>
        <v>0</v>
      </c>
      <c r="Z260" s="15">
        <f>IF(OR(I260&lt;&gt;"Ja",J260=""),0,IF(COUNTIFS(O260:$O$546,O260,I260:$I$546,"Ja",J260:$J$546,"&lt;&gt;")=1,1,0))</f>
        <v>0</v>
      </c>
      <c r="AA260" s="15">
        <f t="shared" ref="AA260:AA273" si="61">AA259</f>
        <v>3</v>
      </c>
      <c r="AB260" s="15" t="str">
        <f>IF(U260&lt;&gt;1,"",COUNTIF($U$5:U260,1))</f>
        <v/>
      </c>
      <c r="AC260" s="15" t="str">
        <f t="shared" si="51"/>
        <v/>
      </c>
      <c r="AD260" s="15" t="str">
        <f t="shared" si="52"/>
        <v>Vanligt café</v>
      </c>
      <c r="AE260" s="15" t="str">
        <f t="shared" si="53"/>
        <v/>
      </c>
      <c r="AF260" t="str">
        <f>IF(T260="","",IFERROR(MATCH(1,INDEX((MATCHER!$B$5:$B$504=A260)*(MATCHER!$D$5:$D$504=C260)*(MATCHER!$K$5:$K$504="Ja")*(MATCHER!$C$5:$C$504&lt;E260)*(MATCHER!$M$5:$M$504&gt;D260)*(ROW(MATCHER!$A$5:$A$504)-ROW(MATCHER!$A$5)+1&gt;T260),0),0),""))</f>
        <v/>
      </c>
    </row>
    <row r="261" spans="1:32" ht="26">
      <c r="A261" s="42">
        <v>46354</v>
      </c>
      <c r="B261" s="43" t="s">
        <v>85</v>
      </c>
      <c r="C261" s="43" t="s">
        <v>86</v>
      </c>
      <c r="D261" s="44">
        <v>0.5</v>
      </c>
      <c r="E261" s="44">
        <v>0.52083333333333304</v>
      </c>
      <c r="F261" s="45" t="str">
        <f>IF(R261="","",HOUR(INDEX(MATCHER!$C$5:$C$504,R261))&amp;":"&amp;IF(MINUTE(INDEX(MATCHER!$C$5:$C$504,R261))&lt;10,"0","")&amp;MINUTE(INDEX(MATCHER!$C$5:$C$504,R261))&amp;" "&amp;INDEX(MATCHER!$H$5:$H$504,R261)&amp;" – "&amp;INDEX(MATCHER!$I$5:$I$504,R261))&amp;IF(S261="",""," | "&amp;HOUR(INDEX(MATCHER!$C$5:$C$504,S261))&amp;":"&amp;IF(MINUTE(INDEX(MATCHER!$C$5:$C$504,S261))&lt;10,"0","")&amp;MINUTE(INDEX(MATCHER!$C$5:$C$504,S261))&amp;" "&amp;INDEX(MATCHER!$H$5:$H$504,S261)&amp;" – "&amp;INDEX(MATCHER!$I$5:$I$504,S261))&amp;IF(T261="",""," | "&amp;HOUR(INDEX(MATCHER!$C$5:$C$504,T261))&amp;":"&amp;IF(MINUTE(INDEX(MATCHER!$C$5:$C$504,T261))&lt;10,"0","")&amp;MINUTE(INDEX(MATCHER!$C$5:$C$504,T261))&amp;" "&amp;INDEX(MATCHER!$H$5:$H$504,T261)&amp;" – "&amp;INDEX(MATCHER!$I$5:$I$504,T261))&amp;IF(AF261="",""," | "&amp;HOUR(INDEX(MATCHER!$C$5:$C$504,AF261))&amp;":"&amp;IF(MINUTE(INDEX(MATCHER!$C$5:$C$504,AF261))&lt;10,"0","")&amp;MINUTE(INDEX(MATCHER!$C$5:$C$504,AF261))&amp;" "&amp;INDEX(MATCHER!$H$5:$H$504,AF261)&amp;" – "&amp;INDEX(MATCHER!$I$5:$I$504,AF261))</f>
        <v>12:10 AIK – Spånga HK 1</v>
      </c>
      <c r="G261" s="45" t="str">
        <f>MID(IF(R261="","",IF(OR(INDEX(MATCHER!$J$5:$J$504,R261)=""),""," / "&amp;INDEX(MATCHER!$J$5:$J$504,R261)))&amp;IF(S261="","",IF(OR(INDEX(MATCHER!$J$5:$J$504,S261)="",INDEX(MATCHER!$J$5:$J$504,S261)=IFERROR(INDEX(MATCHER!$J$5:$J$504,R261),"")),""," / "&amp;INDEX(MATCHER!$J$5:$J$504,S261)))&amp;IF(T261="","",IF(OR(INDEX(MATCHER!$J$5:$J$504,T261)="",INDEX(MATCHER!$J$5:$J$504,T261)=IFERROR(INDEX(MATCHER!$J$5:$J$504,R261),""),INDEX(MATCHER!$J$5:$J$504,T261)=IFERROR(INDEX(MATCHER!$J$5:$J$504,S261),"")),""," / "&amp;INDEX(MATCHER!$J$5:$J$504,T261)))&amp;IF(AF261="","",IF(OR(INDEX(MATCHER!$J$5:$J$504,AF261)="",INDEX(MATCHER!$J$5:$J$504,AF261)=IFERROR(INDEX(MATCHER!$J$5:$J$504,R261),""),INDEX(MATCHER!$J$5:$J$504,AF261)=IFERROR(INDEX(MATCHER!$J$5:$J$504,S261),""),INDEX(MATCHER!$J$5:$J$504,AF261)=IFERROR(INDEX(MATCHER!$J$5:$J$504,T261),"")),""," / "&amp;INDEX(MATCHER!$J$5:$J$504,AF261))),4,1000)</f>
        <v>F12</v>
      </c>
      <c r="H261" s="45" t="str">
        <f t="shared" si="60"/>
        <v>F12, F13, F14</v>
      </c>
      <c r="I261" s="46" t="s">
        <v>90</v>
      </c>
      <c r="J261" s="47" t="s">
        <v>101</v>
      </c>
      <c r="K261" s="48"/>
      <c r="L261" s="49"/>
      <c r="M261" s="50" t="str">
        <f>IF(O261&lt;&gt;O260,MAX(1,MIN(AA261,ROUNDUP(SUMPRODUCT(($O$5:$O$546=O261)*($I$5:$I$546="Ja")*($E$5:$E$546-$D$5:$D$546))*24/REGLER!$B$8,0))),"")</f>
        <v/>
      </c>
      <c r="N261" s="50" t="str">
        <f t="shared" ref="N261:N324" si="62">IF(I261="Nej",IF(J261="","Ej öppet","Ta bort lag"),IF(J261="","Ej tilldelad",IF(ISNUMBER(SEARCH(", "&amp;J261&amp;", ",", "&amp;H261&amp;", ")),"Klar","Kontrollera lag")))</f>
        <v>Klar</v>
      </c>
      <c r="O261" s="15" t="s">
        <v>131</v>
      </c>
      <c r="P261" s="16">
        <v>0.46875</v>
      </c>
      <c r="Q261" s="16">
        <v>0.77083333333333304</v>
      </c>
      <c r="R261" s="15">
        <f>IFERROR(MATCH(1,INDEX((MATCHER!$B$5:$B$504=A261)*(MATCHER!$D$5:$D$504=C261)*(MATCHER!$K$5:$K$504="Ja")*(MATCHER!$C$5:$C$504&lt;E261)*(MATCHER!$M$5:$M$504&gt;D261),0),0),"")</f>
        <v>92</v>
      </c>
      <c r="S261" s="15" t="str">
        <f>IF(R261="","",IFERROR(MATCH(1,INDEX((MATCHER!$B$5:$B$504=A261)*(MATCHER!$D$5:$D$504=C261)*(MATCHER!$K$5:$K$504="Ja")*(MATCHER!$C$5:$C$504&lt;E261)*(MATCHER!$M$5:$M$504&gt;D261)*(ROW(MATCHER!$A$5:$A$504)-ROW(MATCHER!$A$5)+1&gt;R261),0),0),""))</f>
        <v/>
      </c>
      <c r="T261" s="15" t="str">
        <f>IF(S261="","",IFERROR(MATCH(1,INDEX((MATCHER!$B$5:$B$504=A261)*(MATCHER!$D$5:$D$504=C261)*(MATCHER!$K$5:$K$504="Ja")*(MATCHER!$C$5:$C$504&lt;E261)*(MATCHER!$M$5:$M$504&gt;D261)*(ROW(MATCHER!$A$5:$A$504)-ROW(MATCHER!$A$5)+1&gt;S261),0),0),""))</f>
        <v/>
      </c>
      <c r="U261" s="15">
        <f t="shared" ref="U261:U324" si="63">IF(OR(I261&lt;&gt;"Ja",J261=""),"",IF(OR(O261&lt;&gt;O260,I260&lt;&gt;"Ja",J261&lt;&gt;J260,D261&lt;&gt;E260),1,0))</f>
        <v>0</v>
      </c>
      <c r="V261" s="15">
        <f>IF(OR(I261&lt;&gt;"Ja",J261=""),"",COUNTIFS($O$5:O261,O261,$U$5:U261,1))</f>
        <v>1</v>
      </c>
      <c r="W261" s="15" t="str">
        <f t="shared" ref="W261:W324" si="64">IF(V261="","",O261&amp;"|"&amp;V261)</f>
        <v>2026-11-28 | Ulriksdalshallen|1</v>
      </c>
      <c r="X261" s="16" t="str">
        <f t="shared" ref="X261:X324" si="65">IF(OR(I261&lt;&gt;"Ja",J261=""),"",IF(OR(O261&lt;&gt;O262,I262&lt;&gt;"Ja",J261&lt;&gt;J262,E261&lt;&gt;D262),E261,""))</f>
        <v/>
      </c>
      <c r="Y261" s="15">
        <f>IF(OR(I261&lt;&gt;"Ja",J261=""),0,IF(COUNTIFS($O$5:O261,O261,$I$5:I261,"Ja",$J$5:J261,"&lt;&gt;")=1,1,0))</f>
        <v>0</v>
      </c>
      <c r="Z261" s="15">
        <f>IF(OR(I261&lt;&gt;"Ja",J261=""),0,IF(COUNTIFS(O261:$O$546,O261,I261:$I$546,"Ja",J261:$J$546,"&lt;&gt;")=1,1,0))</f>
        <v>0</v>
      </c>
      <c r="AA261" s="15">
        <f t="shared" si="61"/>
        <v>3</v>
      </c>
      <c r="AB261" s="15" t="str">
        <f>IF(U261&lt;&gt;1,"",COUNTIF($U$5:U261,1))</f>
        <v/>
      </c>
      <c r="AC261" s="15" t="str">
        <f t="shared" ref="AC261:AC324" si="66">IF(X261="","",W261)</f>
        <v/>
      </c>
      <c r="AD261" s="15" t="str">
        <f t="shared" ref="AD261:AD324" si="67">IF(O261="","",INDEX($K$5:$K$546,MATCH(O261,$O$5:$O$546,0)))</f>
        <v>Vanligt café</v>
      </c>
      <c r="AE261" s="15" t="str">
        <f t="shared" ref="AE261:AE324" si="68">IF(U261&lt;&gt;1,"",(SUMIF($W$5:$W$546,W261,$X$5:$X$546)-D261)*24)</f>
        <v/>
      </c>
      <c r="AF261" t="str">
        <f>IF(T261="","",IFERROR(MATCH(1,INDEX((MATCHER!$B$5:$B$504=A261)*(MATCHER!$D$5:$D$504=C261)*(MATCHER!$K$5:$K$504="Ja")*(MATCHER!$C$5:$C$504&lt;E261)*(MATCHER!$M$5:$M$504&gt;D261)*(ROW(MATCHER!$A$5:$A$504)-ROW(MATCHER!$A$5)+1&gt;T261),0),0),""))</f>
        <v/>
      </c>
    </row>
    <row r="262" spans="1:32" ht="26">
      <c r="A262" s="42">
        <v>46354</v>
      </c>
      <c r="B262" s="43" t="s">
        <v>85</v>
      </c>
      <c r="C262" s="43" t="s">
        <v>86</v>
      </c>
      <c r="D262" s="44">
        <v>0.52083333333333304</v>
      </c>
      <c r="E262" s="44">
        <v>0.54166666666666696</v>
      </c>
      <c r="F262" s="45" t="str">
        <f>IF(R262="","",HOUR(INDEX(MATCHER!$C$5:$C$504,R262))&amp;":"&amp;IF(MINUTE(INDEX(MATCHER!$C$5:$C$504,R262))&lt;10,"0","")&amp;MINUTE(INDEX(MATCHER!$C$5:$C$504,R262))&amp;" "&amp;INDEX(MATCHER!$H$5:$H$504,R262)&amp;" – "&amp;INDEX(MATCHER!$I$5:$I$504,R262))&amp;IF(S262="",""," | "&amp;HOUR(INDEX(MATCHER!$C$5:$C$504,S262))&amp;":"&amp;IF(MINUTE(INDEX(MATCHER!$C$5:$C$504,S262))&lt;10,"0","")&amp;MINUTE(INDEX(MATCHER!$C$5:$C$504,S262))&amp;" "&amp;INDEX(MATCHER!$H$5:$H$504,S262)&amp;" – "&amp;INDEX(MATCHER!$I$5:$I$504,S262))&amp;IF(T262="",""," | "&amp;HOUR(INDEX(MATCHER!$C$5:$C$504,T262))&amp;":"&amp;IF(MINUTE(INDEX(MATCHER!$C$5:$C$504,T262))&lt;10,"0","")&amp;MINUTE(INDEX(MATCHER!$C$5:$C$504,T262))&amp;" "&amp;INDEX(MATCHER!$H$5:$H$504,T262)&amp;" – "&amp;INDEX(MATCHER!$I$5:$I$504,T262))&amp;IF(AF262="",""," | "&amp;HOUR(INDEX(MATCHER!$C$5:$C$504,AF262))&amp;":"&amp;IF(MINUTE(INDEX(MATCHER!$C$5:$C$504,AF262))&lt;10,"0","")&amp;MINUTE(INDEX(MATCHER!$C$5:$C$504,AF262))&amp;" "&amp;INDEX(MATCHER!$H$5:$H$504,AF262)&amp;" – "&amp;INDEX(MATCHER!$I$5:$I$504,AF262))</f>
        <v>12:10 AIK – Spånga HK 1</v>
      </c>
      <c r="G262" s="45" t="str">
        <f>MID(IF(R262="","",IF(OR(INDEX(MATCHER!$J$5:$J$504,R262)=""),""," / "&amp;INDEX(MATCHER!$J$5:$J$504,R262)))&amp;IF(S262="","",IF(OR(INDEX(MATCHER!$J$5:$J$504,S262)="",INDEX(MATCHER!$J$5:$J$504,S262)=IFERROR(INDEX(MATCHER!$J$5:$J$504,R262),"")),""," / "&amp;INDEX(MATCHER!$J$5:$J$504,S262)))&amp;IF(T262="","",IF(OR(INDEX(MATCHER!$J$5:$J$504,T262)="",INDEX(MATCHER!$J$5:$J$504,T262)=IFERROR(INDEX(MATCHER!$J$5:$J$504,R262),""),INDEX(MATCHER!$J$5:$J$504,T262)=IFERROR(INDEX(MATCHER!$J$5:$J$504,S262),"")),""," / "&amp;INDEX(MATCHER!$J$5:$J$504,T262)))&amp;IF(AF262="","",IF(OR(INDEX(MATCHER!$J$5:$J$504,AF262)="",INDEX(MATCHER!$J$5:$J$504,AF262)=IFERROR(INDEX(MATCHER!$J$5:$J$504,R262),""),INDEX(MATCHER!$J$5:$J$504,AF262)=IFERROR(INDEX(MATCHER!$J$5:$J$504,S262),""),INDEX(MATCHER!$J$5:$J$504,AF262)=IFERROR(INDEX(MATCHER!$J$5:$J$504,T262),"")),""," / "&amp;INDEX(MATCHER!$J$5:$J$504,AF262))),4,1000)</f>
        <v>F12</v>
      </c>
      <c r="H262" s="45" t="str">
        <f t="shared" si="60"/>
        <v>F12, F13, F14</v>
      </c>
      <c r="I262" s="46" t="s">
        <v>90</v>
      </c>
      <c r="J262" s="47" t="s">
        <v>101</v>
      </c>
      <c r="K262" s="48"/>
      <c r="L262" s="49"/>
      <c r="M262" s="50" t="str">
        <f>IF(O262&lt;&gt;O261,MAX(1,MIN(AA262,ROUNDUP(SUMPRODUCT(($O$5:$O$546=O262)*($I$5:$I$546="Ja")*($E$5:$E$546-$D$5:$D$546))*24/REGLER!$B$8,0))),"")</f>
        <v/>
      </c>
      <c r="N262" s="50" t="str">
        <f t="shared" si="62"/>
        <v>Klar</v>
      </c>
      <c r="O262" s="15" t="s">
        <v>131</v>
      </c>
      <c r="P262" s="16">
        <v>0.46875</v>
      </c>
      <c r="Q262" s="16">
        <v>0.77083333333333304</v>
      </c>
      <c r="R262" s="15">
        <f>IFERROR(MATCH(1,INDEX((MATCHER!$B$5:$B$504=A262)*(MATCHER!$D$5:$D$504=C262)*(MATCHER!$K$5:$K$504="Ja")*(MATCHER!$C$5:$C$504&lt;E262)*(MATCHER!$M$5:$M$504&gt;D262),0),0),"")</f>
        <v>92</v>
      </c>
      <c r="S262" s="15" t="str">
        <f>IF(R262="","",IFERROR(MATCH(1,INDEX((MATCHER!$B$5:$B$504=A262)*(MATCHER!$D$5:$D$504=C262)*(MATCHER!$K$5:$K$504="Ja")*(MATCHER!$C$5:$C$504&lt;E262)*(MATCHER!$M$5:$M$504&gt;D262)*(ROW(MATCHER!$A$5:$A$504)-ROW(MATCHER!$A$5)+1&gt;R262),0),0),""))</f>
        <v/>
      </c>
      <c r="T262" s="15" t="str">
        <f>IF(S262="","",IFERROR(MATCH(1,INDEX((MATCHER!$B$5:$B$504=A262)*(MATCHER!$D$5:$D$504=C262)*(MATCHER!$K$5:$K$504="Ja")*(MATCHER!$C$5:$C$504&lt;E262)*(MATCHER!$M$5:$M$504&gt;D262)*(ROW(MATCHER!$A$5:$A$504)-ROW(MATCHER!$A$5)+1&gt;S262),0),0),""))</f>
        <v/>
      </c>
      <c r="U262" s="15">
        <f t="shared" si="63"/>
        <v>0</v>
      </c>
      <c r="V262" s="15">
        <f>IF(OR(I262&lt;&gt;"Ja",J262=""),"",COUNTIFS($O$5:O262,O262,$U$5:U262,1))</f>
        <v>1</v>
      </c>
      <c r="W262" s="15" t="str">
        <f t="shared" si="64"/>
        <v>2026-11-28 | Ulriksdalshallen|1</v>
      </c>
      <c r="X262" s="16" t="str">
        <f t="shared" si="65"/>
        <v/>
      </c>
      <c r="Y262" s="15">
        <f>IF(OR(I262&lt;&gt;"Ja",J262=""),0,IF(COUNTIFS($O$5:O262,O262,$I$5:I262,"Ja",$J$5:J262,"&lt;&gt;")=1,1,0))</f>
        <v>0</v>
      </c>
      <c r="Z262" s="15">
        <f>IF(OR(I262&lt;&gt;"Ja",J262=""),0,IF(COUNTIFS(O262:$O$546,O262,I262:$I$546,"Ja",J262:$J$546,"&lt;&gt;")=1,1,0))</f>
        <v>0</v>
      </c>
      <c r="AA262" s="15">
        <f t="shared" si="61"/>
        <v>3</v>
      </c>
      <c r="AB262" s="15" t="str">
        <f>IF(U262&lt;&gt;1,"",COUNTIF($U$5:U262,1))</f>
        <v/>
      </c>
      <c r="AC262" s="15" t="str">
        <f t="shared" si="66"/>
        <v/>
      </c>
      <c r="AD262" s="15" t="str">
        <f t="shared" si="67"/>
        <v>Vanligt café</v>
      </c>
      <c r="AE262" s="15" t="str">
        <f t="shared" si="68"/>
        <v/>
      </c>
      <c r="AF262" t="str">
        <f>IF(T262="","",IFERROR(MATCH(1,INDEX((MATCHER!$B$5:$B$504=A262)*(MATCHER!$D$5:$D$504=C262)*(MATCHER!$K$5:$K$504="Ja")*(MATCHER!$C$5:$C$504&lt;E262)*(MATCHER!$M$5:$M$504&gt;D262)*(ROW(MATCHER!$A$5:$A$504)-ROW(MATCHER!$A$5)+1&gt;T262),0),0),""))</f>
        <v/>
      </c>
    </row>
    <row r="263" spans="1:32" ht="26">
      <c r="A263" s="42">
        <v>46354</v>
      </c>
      <c r="B263" s="43" t="s">
        <v>85</v>
      </c>
      <c r="C263" s="43" t="s">
        <v>86</v>
      </c>
      <c r="D263" s="44">
        <v>0.54166666666666696</v>
      </c>
      <c r="E263" s="44">
        <v>0.5625</v>
      </c>
      <c r="F263" s="45" t="str">
        <f>IF(R263="","",HOUR(INDEX(MATCHER!$C$5:$C$504,R263))&amp;":"&amp;IF(MINUTE(INDEX(MATCHER!$C$5:$C$504,R263))&lt;10,"0","")&amp;MINUTE(INDEX(MATCHER!$C$5:$C$504,R263))&amp;" "&amp;INDEX(MATCHER!$H$5:$H$504,R263)&amp;" – "&amp;INDEX(MATCHER!$I$5:$I$504,R263))&amp;IF(S263="",""," | "&amp;HOUR(INDEX(MATCHER!$C$5:$C$504,S263))&amp;":"&amp;IF(MINUTE(INDEX(MATCHER!$C$5:$C$504,S263))&lt;10,"0","")&amp;MINUTE(INDEX(MATCHER!$C$5:$C$504,S263))&amp;" "&amp;INDEX(MATCHER!$H$5:$H$504,S263)&amp;" – "&amp;INDEX(MATCHER!$I$5:$I$504,S263))&amp;IF(T263="",""," | "&amp;HOUR(INDEX(MATCHER!$C$5:$C$504,T263))&amp;":"&amp;IF(MINUTE(INDEX(MATCHER!$C$5:$C$504,T263))&lt;10,"0","")&amp;MINUTE(INDEX(MATCHER!$C$5:$C$504,T263))&amp;" "&amp;INDEX(MATCHER!$H$5:$H$504,T263)&amp;" – "&amp;INDEX(MATCHER!$I$5:$I$504,T263))&amp;IF(AF263="",""," | "&amp;HOUR(INDEX(MATCHER!$C$5:$C$504,AF263))&amp;":"&amp;IF(MINUTE(INDEX(MATCHER!$C$5:$C$504,AF263))&lt;10,"0","")&amp;MINUTE(INDEX(MATCHER!$C$5:$C$504,AF263))&amp;" "&amp;INDEX(MATCHER!$H$5:$H$504,AF263)&amp;" – "&amp;INDEX(MATCHER!$I$5:$I$504,AF263))</f>
        <v>13:10 Spånga HK 1 – Skå IK</v>
      </c>
      <c r="G263" s="45" t="str">
        <f>MID(IF(R263="","",IF(OR(INDEX(MATCHER!$J$5:$J$504,R263)=""),""," / "&amp;INDEX(MATCHER!$J$5:$J$504,R263)))&amp;IF(S263="","",IF(OR(INDEX(MATCHER!$J$5:$J$504,S263)="",INDEX(MATCHER!$J$5:$J$504,S263)=IFERROR(INDEX(MATCHER!$J$5:$J$504,R263),"")),""," / "&amp;INDEX(MATCHER!$J$5:$J$504,S263)))&amp;IF(T263="","",IF(OR(INDEX(MATCHER!$J$5:$J$504,T263)="",INDEX(MATCHER!$J$5:$J$504,T263)=IFERROR(INDEX(MATCHER!$J$5:$J$504,R263),""),INDEX(MATCHER!$J$5:$J$504,T263)=IFERROR(INDEX(MATCHER!$J$5:$J$504,S263),"")),""," / "&amp;INDEX(MATCHER!$J$5:$J$504,T263)))&amp;IF(AF263="","",IF(OR(INDEX(MATCHER!$J$5:$J$504,AF263)="",INDEX(MATCHER!$J$5:$J$504,AF263)=IFERROR(INDEX(MATCHER!$J$5:$J$504,R263),""),INDEX(MATCHER!$J$5:$J$504,AF263)=IFERROR(INDEX(MATCHER!$J$5:$J$504,S263),""),INDEX(MATCHER!$J$5:$J$504,AF263)=IFERROR(INDEX(MATCHER!$J$5:$J$504,T263),"")),""," / "&amp;INDEX(MATCHER!$J$5:$J$504,AF263))),4,1000)</f>
        <v/>
      </c>
      <c r="H263" s="45" t="str">
        <f t="shared" si="60"/>
        <v>F12, F13, F14</v>
      </c>
      <c r="I263" s="46" t="s">
        <v>90</v>
      </c>
      <c r="J263" s="47" t="s">
        <v>101</v>
      </c>
      <c r="K263" s="48"/>
      <c r="L263" s="49"/>
      <c r="M263" s="50" t="str">
        <f>IF(O263&lt;&gt;O262,MAX(1,MIN(AA263,ROUNDUP(SUMPRODUCT(($O$5:$O$546=O263)*($I$5:$I$546="Ja")*($E$5:$E$546-$D$5:$D$546))*24/REGLER!$B$8,0))),"")</f>
        <v/>
      </c>
      <c r="N263" s="50" t="str">
        <f t="shared" si="62"/>
        <v>Klar</v>
      </c>
      <c r="O263" s="15" t="s">
        <v>131</v>
      </c>
      <c r="P263" s="16">
        <v>0.46875</v>
      </c>
      <c r="Q263" s="16">
        <v>0.77083333333333304</v>
      </c>
      <c r="R263" s="15">
        <f>IFERROR(MATCH(1,INDEX((MATCHER!$B$5:$B$504=A263)*(MATCHER!$D$5:$D$504=C263)*(MATCHER!$K$5:$K$504="Ja")*(MATCHER!$C$5:$C$504&lt;E263)*(MATCHER!$M$5:$M$504&gt;D263),0),0),"")</f>
        <v>93</v>
      </c>
      <c r="S263" s="15" t="str">
        <f>IF(R263="","",IFERROR(MATCH(1,INDEX((MATCHER!$B$5:$B$504=A263)*(MATCHER!$D$5:$D$504=C263)*(MATCHER!$K$5:$K$504="Ja")*(MATCHER!$C$5:$C$504&lt;E263)*(MATCHER!$M$5:$M$504&gt;D263)*(ROW(MATCHER!$A$5:$A$504)-ROW(MATCHER!$A$5)+1&gt;R263),0),0),""))</f>
        <v/>
      </c>
      <c r="T263" s="15" t="str">
        <f>IF(S263="","",IFERROR(MATCH(1,INDEX((MATCHER!$B$5:$B$504=A263)*(MATCHER!$D$5:$D$504=C263)*(MATCHER!$K$5:$K$504="Ja")*(MATCHER!$C$5:$C$504&lt;E263)*(MATCHER!$M$5:$M$504&gt;D263)*(ROW(MATCHER!$A$5:$A$504)-ROW(MATCHER!$A$5)+1&gt;S263),0),0),""))</f>
        <v/>
      </c>
      <c r="U263" s="15">
        <f t="shared" si="63"/>
        <v>0</v>
      </c>
      <c r="V263" s="15">
        <f>IF(OR(I263&lt;&gt;"Ja",J263=""),"",COUNTIFS($O$5:O263,O263,$U$5:U263,1))</f>
        <v>1</v>
      </c>
      <c r="W263" s="15" t="str">
        <f t="shared" si="64"/>
        <v>2026-11-28 | Ulriksdalshallen|1</v>
      </c>
      <c r="X263" s="16" t="str">
        <f t="shared" si="65"/>
        <v/>
      </c>
      <c r="Y263" s="15">
        <f>IF(OR(I263&lt;&gt;"Ja",J263=""),0,IF(COUNTIFS($O$5:O263,O263,$I$5:I263,"Ja",$J$5:J263,"&lt;&gt;")=1,1,0))</f>
        <v>0</v>
      </c>
      <c r="Z263" s="15">
        <f>IF(OR(I263&lt;&gt;"Ja",J263=""),0,IF(COUNTIFS(O263:$O$546,O263,I263:$I$546,"Ja",J263:$J$546,"&lt;&gt;")=1,1,0))</f>
        <v>0</v>
      </c>
      <c r="AA263" s="15">
        <f t="shared" si="61"/>
        <v>3</v>
      </c>
      <c r="AB263" s="15" t="str">
        <f>IF(U263&lt;&gt;1,"",COUNTIF($U$5:U263,1))</f>
        <v/>
      </c>
      <c r="AC263" s="15" t="str">
        <f t="shared" si="66"/>
        <v/>
      </c>
      <c r="AD263" s="15" t="str">
        <f t="shared" si="67"/>
        <v>Vanligt café</v>
      </c>
      <c r="AE263" s="15" t="str">
        <f t="shared" si="68"/>
        <v/>
      </c>
      <c r="AF263" t="str">
        <f>IF(T263="","",IFERROR(MATCH(1,INDEX((MATCHER!$B$5:$B$504=A263)*(MATCHER!$D$5:$D$504=C263)*(MATCHER!$K$5:$K$504="Ja")*(MATCHER!$C$5:$C$504&lt;E263)*(MATCHER!$M$5:$M$504&gt;D263)*(ROW(MATCHER!$A$5:$A$504)-ROW(MATCHER!$A$5)+1&gt;T263),0),0),""))</f>
        <v/>
      </c>
    </row>
    <row r="264" spans="1:32" ht="26">
      <c r="A264" s="42">
        <v>46354</v>
      </c>
      <c r="B264" s="43" t="s">
        <v>85</v>
      </c>
      <c r="C264" s="43" t="s">
        <v>86</v>
      </c>
      <c r="D264" s="44">
        <v>0.5625</v>
      </c>
      <c r="E264" s="44">
        <v>0.58333333333333304</v>
      </c>
      <c r="F264" s="45" t="str">
        <f>IF(R264="","",HOUR(INDEX(MATCHER!$C$5:$C$504,R264))&amp;":"&amp;IF(MINUTE(INDEX(MATCHER!$C$5:$C$504,R264))&lt;10,"0","")&amp;MINUTE(INDEX(MATCHER!$C$5:$C$504,R264))&amp;" "&amp;INDEX(MATCHER!$H$5:$H$504,R264)&amp;" – "&amp;INDEX(MATCHER!$I$5:$I$504,R264))&amp;IF(S264="",""," | "&amp;HOUR(INDEX(MATCHER!$C$5:$C$504,S264))&amp;":"&amp;IF(MINUTE(INDEX(MATCHER!$C$5:$C$504,S264))&lt;10,"0","")&amp;MINUTE(INDEX(MATCHER!$C$5:$C$504,S264))&amp;" "&amp;INDEX(MATCHER!$H$5:$H$504,S264)&amp;" – "&amp;INDEX(MATCHER!$I$5:$I$504,S264))&amp;IF(T264="",""," | "&amp;HOUR(INDEX(MATCHER!$C$5:$C$504,T264))&amp;":"&amp;IF(MINUTE(INDEX(MATCHER!$C$5:$C$504,T264))&lt;10,"0","")&amp;MINUTE(INDEX(MATCHER!$C$5:$C$504,T264))&amp;" "&amp;INDEX(MATCHER!$H$5:$H$504,T264)&amp;" – "&amp;INDEX(MATCHER!$I$5:$I$504,T264))&amp;IF(AF264="",""," | "&amp;HOUR(INDEX(MATCHER!$C$5:$C$504,AF264))&amp;":"&amp;IF(MINUTE(INDEX(MATCHER!$C$5:$C$504,AF264))&lt;10,"0","")&amp;MINUTE(INDEX(MATCHER!$C$5:$C$504,AF264))&amp;" "&amp;INDEX(MATCHER!$H$5:$H$504,AF264)&amp;" – "&amp;INDEX(MATCHER!$I$5:$I$504,AF264))</f>
        <v>13:10 Spånga HK 1 – Skå IK</v>
      </c>
      <c r="G264" s="45" t="str">
        <f>MID(IF(R264="","",IF(OR(INDEX(MATCHER!$J$5:$J$504,R264)=""),""," / "&amp;INDEX(MATCHER!$J$5:$J$504,R264)))&amp;IF(S264="","",IF(OR(INDEX(MATCHER!$J$5:$J$504,S264)="",INDEX(MATCHER!$J$5:$J$504,S264)=IFERROR(INDEX(MATCHER!$J$5:$J$504,R264),"")),""," / "&amp;INDEX(MATCHER!$J$5:$J$504,S264)))&amp;IF(T264="","",IF(OR(INDEX(MATCHER!$J$5:$J$504,T264)="",INDEX(MATCHER!$J$5:$J$504,T264)=IFERROR(INDEX(MATCHER!$J$5:$J$504,R264),""),INDEX(MATCHER!$J$5:$J$504,T264)=IFERROR(INDEX(MATCHER!$J$5:$J$504,S264),"")),""," / "&amp;INDEX(MATCHER!$J$5:$J$504,T264)))&amp;IF(AF264="","",IF(OR(INDEX(MATCHER!$J$5:$J$504,AF264)="",INDEX(MATCHER!$J$5:$J$504,AF264)=IFERROR(INDEX(MATCHER!$J$5:$J$504,R264),""),INDEX(MATCHER!$J$5:$J$504,AF264)=IFERROR(INDEX(MATCHER!$J$5:$J$504,S264),""),INDEX(MATCHER!$J$5:$J$504,AF264)=IFERROR(INDEX(MATCHER!$J$5:$J$504,T264),"")),""," / "&amp;INDEX(MATCHER!$J$5:$J$504,AF264))),4,1000)</f>
        <v/>
      </c>
      <c r="H264" s="45" t="str">
        <f t="shared" si="60"/>
        <v>F12, F13, F14</v>
      </c>
      <c r="I264" s="46" t="s">
        <v>90</v>
      </c>
      <c r="J264" s="47" t="s">
        <v>101</v>
      </c>
      <c r="K264" s="48"/>
      <c r="L264" s="49"/>
      <c r="M264" s="50" t="str">
        <f>IF(O264&lt;&gt;O263,MAX(1,MIN(AA264,ROUNDUP(SUMPRODUCT(($O$5:$O$546=O264)*($I$5:$I$546="Ja")*($E$5:$E$546-$D$5:$D$546))*24/REGLER!$B$8,0))),"")</f>
        <v/>
      </c>
      <c r="N264" s="50" t="str">
        <f t="shared" si="62"/>
        <v>Klar</v>
      </c>
      <c r="O264" s="15" t="s">
        <v>131</v>
      </c>
      <c r="P264" s="16">
        <v>0.46875</v>
      </c>
      <c r="Q264" s="16">
        <v>0.77083333333333304</v>
      </c>
      <c r="R264" s="15">
        <f>IFERROR(MATCH(1,INDEX((MATCHER!$B$5:$B$504=A264)*(MATCHER!$D$5:$D$504=C264)*(MATCHER!$K$5:$K$504="Ja")*(MATCHER!$C$5:$C$504&lt;E264)*(MATCHER!$M$5:$M$504&gt;D264),0),0),"")</f>
        <v>93</v>
      </c>
      <c r="S264" s="15" t="str">
        <f>IF(R264="","",IFERROR(MATCH(1,INDEX((MATCHER!$B$5:$B$504=A264)*(MATCHER!$D$5:$D$504=C264)*(MATCHER!$K$5:$K$504="Ja")*(MATCHER!$C$5:$C$504&lt;E264)*(MATCHER!$M$5:$M$504&gt;D264)*(ROW(MATCHER!$A$5:$A$504)-ROW(MATCHER!$A$5)+1&gt;R264),0),0),""))</f>
        <v/>
      </c>
      <c r="T264" s="15" t="str">
        <f>IF(S264="","",IFERROR(MATCH(1,INDEX((MATCHER!$B$5:$B$504=A264)*(MATCHER!$D$5:$D$504=C264)*(MATCHER!$K$5:$K$504="Ja")*(MATCHER!$C$5:$C$504&lt;E264)*(MATCHER!$M$5:$M$504&gt;D264)*(ROW(MATCHER!$A$5:$A$504)-ROW(MATCHER!$A$5)+1&gt;S264),0),0),""))</f>
        <v/>
      </c>
      <c r="U264" s="15">
        <f t="shared" si="63"/>
        <v>0</v>
      </c>
      <c r="V264" s="15">
        <f>IF(OR(I264&lt;&gt;"Ja",J264=""),"",COUNTIFS($O$5:O264,O264,$U$5:U264,1))</f>
        <v>1</v>
      </c>
      <c r="W264" s="15" t="str">
        <f t="shared" si="64"/>
        <v>2026-11-28 | Ulriksdalshallen|1</v>
      </c>
      <c r="X264" s="16" t="str">
        <f t="shared" si="65"/>
        <v/>
      </c>
      <c r="Y264" s="15">
        <f>IF(OR(I264&lt;&gt;"Ja",J264=""),0,IF(COUNTIFS($O$5:O264,O264,$I$5:I264,"Ja",$J$5:J264,"&lt;&gt;")=1,1,0))</f>
        <v>0</v>
      </c>
      <c r="Z264" s="15">
        <f>IF(OR(I264&lt;&gt;"Ja",J264=""),0,IF(COUNTIFS(O264:$O$546,O264,I264:$I$546,"Ja",J264:$J$546,"&lt;&gt;")=1,1,0))</f>
        <v>0</v>
      </c>
      <c r="AA264" s="15">
        <f t="shared" si="61"/>
        <v>3</v>
      </c>
      <c r="AB264" s="15" t="str">
        <f>IF(U264&lt;&gt;1,"",COUNTIF($U$5:U264,1))</f>
        <v/>
      </c>
      <c r="AC264" s="15" t="str">
        <f t="shared" si="66"/>
        <v/>
      </c>
      <c r="AD264" s="15" t="str">
        <f t="shared" si="67"/>
        <v>Vanligt café</v>
      </c>
      <c r="AE264" s="15" t="str">
        <f t="shared" si="68"/>
        <v/>
      </c>
      <c r="AF264" t="str">
        <f>IF(T264="","",IFERROR(MATCH(1,INDEX((MATCHER!$B$5:$B$504=A264)*(MATCHER!$D$5:$D$504=C264)*(MATCHER!$K$5:$K$504="Ja")*(MATCHER!$C$5:$C$504&lt;E264)*(MATCHER!$M$5:$M$504&gt;D264)*(ROW(MATCHER!$A$5:$A$504)-ROW(MATCHER!$A$5)+1&gt;T264),0),0),""))</f>
        <v/>
      </c>
    </row>
    <row r="265" spans="1:32" ht="26">
      <c r="A265" s="42">
        <v>46354</v>
      </c>
      <c r="B265" s="43" t="s">
        <v>85</v>
      </c>
      <c r="C265" s="43" t="s">
        <v>86</v>
      </c>
      <c r="D265" s="44">
        <v>0.58333333333333304</v>
      </c>
      <c r="E265" s="44">
        <v>0.60416666666666696</v>
      </c>
      <c r="F265" s="45" t="str">
        <f>IF(R265="","",HOUR(INDEX(MATCHER!$C$5:$C$504,R265))&amp;":"&amp;IF(MINUTE(INDEX(MATCHER!$C$5:$C$504,R265))&lt;10,"0","")&amp;MINUTE(INDEX(MATCHER!$C$5:$C$504,R265))&amp;" "&amp;INDEX(MATCHER!$H$5:$H$504,R265)&amp;" – "&amp;INDEX(MATCHER!$I$5:$I$504,R265))&amp;IF(S265="",""," | "&amp;HOUR(INDEX(MATCHER!$C$5:$C$504,S265))&amp;":"&amp;IF(MINUTE(INDEX(MATCHER!$C$5:$C$504,S265))&lt;10,"0","")&amp;MINUTE(INDEX(MATCHER!$C$5:$C$504,S265))&amp;" "&amp;INDEX(MATCHER!$H$5:$H$504,S265)&amp;" – "&amp;INDEX(MATCHER!$I$5:$I$504,S265))&amp;IF(T265="",""," | "&amp;HOUR(INDEX(MATCHER!$C$5:$C$504,T265))&amp;":"&amp;IF(MINUTE(INDEX(MATCHER!$C$5:$C$504,T265))&lt;10,"0","")&amp;MINUTE(INDEX(MATCHER!$C$5:$C$504,T265))&amp;" "&amp;INDEX(MATCHER!$H$5:$H$504,T265)&amp;" – "&amp;INDEX(MATCHER!$I$5:$I$504,T265))&amp;IF(AF265="",""," | "&amp;HOUR(INDEX(MATCHER!$C$5:$C$504,AF265))&amp;":"&amp;IF(MINUTE(INDEX(MATCHER!$C$5:$C$504,AF265))&lt;10,"0","")&amp;MINUTE(INDEX(MATCHER!$C$5:$C$504,AF265))&amp;" "&amp;INDEX(MATCHER!$H$5:$H$504,AF265)&amp;" – "&amp;INDEX(MATCHER!$I$5:$I$504,AF265))</f>
        <v>14:10 AIK – Skå IK</v>
      </c>
      <c r="G265" s="45" t="str">
        <f>MID(IF(R265="","",IF(OR(INDEX(MATCHER!$J$5:$J$504,R265)=""),""," / "&amp;INDEX(MATCHER!$J$5:$J$504,R265)))&amp;IF(S265="","",IF(OR(INDEX(MATCHER!$J$5:$J$504,S265)="",INDEX(MATCHER!$J$5:$J$504,S265)=IFERROR(INDEX(MATCHER!$J$5:$J$504,R265),"")),""," / "&amp;INDEX(MATCHER!$J$5:$J$504,S265)))&amp;IF(T265="","",IF(OR(INDEX(MATCHER!$J$5:$J$504,T265)="",INDEX(MATCHER!$J$5:$J$504,T265)=IFERROR(INDEX(MATCHER!$J$5:$J$504,R265),""),INDEX(MATCHER!$J$5:$J$504,T265)=IFERROR(INDEX(MATCHER!$J$5:$J$504,S265),"")),""," / "&amp;INDEX(MATCHER!$J$5:$J$504,T265)))&amp;IF(AF265="","",IF(OR(INDEX(MATCHER!$J$5:$J$504,AF265)="",INDEX(MATCHER!$J$5:$J$504,AF265)=IFERROR(INDEX(MATCHER!$J$5:$J$504,R265),""),INDEX(MATCHER!$J$5:$J$504,AF265)=IFERROR(INDEX(MATCHER!$J$5:$J$504,S265),""),INDEX(MATCHER!$J$5:$J$504,AF265)=IFERROR(INDEX(MATCHER!$J$5:$J$504,T265),"")),""," / "&amp;INDEX(MATCHER!$J$5:$J$504,AF265))),4,1000)</f>
        <v>F12</v>
      </c>
      <c r="H265" s="45" t="str">
        <f t="shared" si="60"/>
        <v>F12, F13, F14</v>
      </c>
      <c r="I265" s="46" t="s">
        <v>90</v>
      </c>
      <c r="J265" s="47" t="s">
        <v>101</v>
      </c>
      <c r="K265" s="48"/>
      <c r="L265" s="49"/>
      <c r="M265" s="50" t="str">
        <f>IF(O265&lt;&gt;O264,MAX(1,MIN(AA265,ROUNDUP(SUMPRODUCT(($O$5:$O$546=O265)*($I$5:$I$546="Ja")*($E$5:$E$546-$D$5:$D$546))*24/REGLER!$B$8,0))),"")</f>
        <v/>
      </c>
      <c r="N265" s="50" t="str">
        <f t="shared" si="62"/>
        <v>Klar</v>
      </c>
      <c r="O265" s="15" t="s">
        <v>131</v>
      </c>
      <c r="P265" s="16">
        <v>0.46875</v>
      </c>
      <c r="Q265" s="16">
        <v>0.77083333333333304</v>
      </c>
      <c r="R265" s="15">
        <f>IFERROR(MATCH(1,INDEX((MATCHER!$B$5:$B$504=A265)*(MATCHER!$D$5:$D$504=C265)*(MATCHER!$K$5:$K$504="Ja")*(MATCHER!$C$5:$C$504&lt;E265)*(MATCHER!$M$5:$M$504&gt;D265),0),0),"")</f>
        <v>94</v>
      </c>
      <c r="S265" s="15" t="str">
        <f>IF(R265="","",IFERROR(MATCH(1,INDEX((MATCHER!$B$5:$B$504=A265)*(MATCHER!$D$5:$D$504=C265)*(MATCHER!$K$5:$K$504="Ja")*(MATCHER!$C$5:$C$504&lt;E265)*(MATCHER!$M$5:$M$504&gt;D265)*(ROW(MATCHER!$A$5:$A$504)-ROW(MATCHER!$A$5)+1&gt;R265),0),0),""))</f>
        <v/>
      </c>
      <c r="T265" s="15" t="str">
        <f>IF(S265="","",IFERROR(MATCH(1,INDEX((MATCHER!$B$5:$B$504=A265)*(MATCHER!$D$5:$D$504=C265)*(MATCHER!$K$5:$K$504="Ja")*(MATCHER!$C$5:$C$504&lt;E265)*(MATCHER!$M$5:$M$504&gt;D265)*(ROW(MATCHER!$A$5:$A$504)-ROW(MATCHER!$A$5)+1&gt;S265),0),0),""))</f>
        <v/>
      </c>
      <c r="U265" s="15">
        <f t="shared" si="63"/>
        <v>0</v>
      </c>
      <c r="V265" s="15">
        <f>IF(OR(I265&lt;&gt;"Ja",J265=""),"",COUNTIFS($O$5:O265,O265,$U$5:U265,1))</f>
        <v>1</v>
      </c>
      <c r="W265" s="15" t="str">
        <f t="shared" si="64"/>
        <v>2026-11-28 | Ulriksdalshallen|1</v>
      </c>
      <c r="X265" s="16" t="str">
        <f t="shared" si="65"/>
        <v/>
      </c>
      <c r="Y265" s="15">
        <f>IF(OR(I265&lt;&gt;"Ja",J265=""),0,IF(COUNTIFS($O$5:O265,O265,$I$5:I265,"Ja",$J$5:J265,"&lt;&gt;")=1,1,0))</f>
        <v>0</v>
      </c>
      <c r="Z265" s="15">
        <f>IF(OR(I265&lt;&gt;"Ja",J265=""),0,IF(COUNTIFS(O265:$O$546,O265,I265:$I$546,"Ja",J265:$J$546,"&lt;&gt;")=1,1,0))</f>
        <v>0</v>
      </c>
      <c r="AA265" s="15">
        <f t="shared" si="61"/>
        <v>3</v>
      </c>
      <c r="AB265" s="15" t="str">
        <f>IF(U265&lt;&gt;1,"",COUNTIF($U$5:U265,1))</f>
        <v/>
      </c>
      <c r="AC265" s="15" t="str">
        <f t="shared" si="66"/>
        <v/>
      </c>
      <c r="AD265" s="15" t="str">
        <f t="shared" si="67"/>
        <v>Vanligt café</v>
      </c>
      <c r="AE265" s="15" t="str">
        <f t="shared" si="68"/>
        <v/>
      </c>
      <c r="AF265" t="str">
        <f>IF(T265="","",IFERROR(MATCH(1,INDEX((MATCHER!$B$5:$B$504=A265)*(MATCHER!$D$5:$D$504=C265)*(MATCHER!$K$5:$K$504="Ja")*(MATCHER!$C$5:$C$504&lt;E265)*(MATCHER!$M$5:$M$504&gt;D265)*(ROW(MATCHER!$A$5:$A$504)-ROW(MATCHER!$A$5)+1&gt;T265),0),0),""))</f>
        <v/>
      </c>
    </row>
    <row r="266" spans="1:32" ht="26">
      <c r="A266" s="42">
        <v>46354</v>
      </c>
      <c r="B266" s="43" t="s">
        <v>85</v>
      </c>
      <c r="C266" s="43" t="s">
        <v>86</v>
      </c>
      <c r="D266" s="44">
        <v>0.60416666666666696</v>
      </c>
      <c r="E266" s="44">
        <v>0.625</v>
      </c>
      <c r="F266" s="45" t="str">
        <f>IF(R266="","",HOUR(INDEX(MATCHER!$C$5:$C$504,R266))&amp;":"&amp;IF(MINUTE(INDEX(MATCHER!$C$5:$C$504,R266))&lt;10,"0","")&amp;MINUTE(INDEX(MATCHER!$C$5:$C$504,R266))&amp;" "&amp;INDEX(MATCHER!$H$5:$H$504,R266)&amp;" – "&amp;INDEX(MATCHER!$I$5:$I$504,R266))&amp;IF(S266="",""," | "&amp;HOUR(INDEX(MATCHER!$C$5:$C$504,S266))&amp;":"&amp;IF(MINUTE(INDEX(MATCHER!$C$5:$C$504,S266))&lt;10,"0","")&amp;MINUTE(INDEX(MATCHER!$C$5:$C$504,S266))&amp;" "&amp;INDEX(MATCHER!$H$5:$H$504,S266)&amp;" – "&amp;INDEX(MATCHER!$I$5:$I$504,S266))&amp;IF(T266="",""," | "&amp;HOUR(INDEX(MATCHER!$C$5:$C$504,T266))&amp;":"&amp;IF(MINUTE(INDEX(MATCHER!$C$5:$C$504,T266))&lt;10,"0","")&amp;MINUTE(INDEX(MATCHER!$C$5:$C$504,T266))&amp;" "&amp;INDEX(MATCHER!$H$5:$H$504,T266)&amp;" – "&amp;INDEX(MATCHER!$I$5:$I$504,T266))&amp;IF(AF266="",""," | "&amp;HOUR(INDEX(MATCHER!$C$5:$C$504,AF266))&amp;":"&amp;IF(MINUTE(INDEX(MATCHER!$C$5:$C$504,AF266))&lt;10,"0","")&amp;MINUTE(INDEX(MATCHER!$C$5:$C$504,AF266))&amp;" "&amp;INDEX(MATCHER!$H$5:$H$504,AF266)&amp;" – "&amp;INDEX(MATCHER!$I$5:$I$504,AF266))</f>
        <v>14:10 AIK – Skå IK</v>
      </c>
      <c r="G266" s="45" t="str">
        <f>MID(IF(R266="","",IF(OR(INDEX(MATCHER!$J$5:$J$504,R266)=""),""," / "&amp;INDEX(MATCHER!$J$5:$J$504,R266)))&amp;IF(S266="","",IF(OR(INDEX(MATCHER!$J$5:$J$504,S266)="",INDEX(MATCHER!$J$5:$J$504,S266)=IFERROR(INDEX(MATCHER!$J$5:$J$504,R266),"")),""," / "&amp;INDEX(MATCHER!$J$5:$J$504,S266)))&amp;IF(T266="","",IF(OR(INDEX(MATCHER!$J$5:$J$504,T266)="",INDEX(MATCHER!$J$5:$J$504,T266)=IFERROR(INDEX(MATCHER!$J$5:$J$504,R266),""),INDEX(MATCHER!$J$5:$J$504,T266)=IFERROR(INDEX(MATCHER!$J$5:$J$504,S266),"")),""," / "&amp;INDEX(MATCHER!$J$5:$J$504,T266)))&amp;IF(AF266="","",IF(OR(INDEX(MATCHER!$J$5:$J$504,AF266)="",INDEX(MATCHER!$J$5:$J$504,AF266)=IFERROR(INDEX(MATCHER!$J$5:$J$504,R266),""),INDEX(MATCHER!$J$5:$J$504,AF266)=IFERROR(INDEX(MATCHER!$J$5:$J$504,S266),""),INDEX(MATCHER!$J$5:$J$504,AF266)=IFERROR(INDEX(MATCHER!$J$5:$J$504,T266),"")),""," / "&amp;INDEX(MATCHER!$J$5:$J$504,AF266))),4,1000)</f>
        <v>F12</v>
      </c>
      <c r="H266" s="45" t="str">
        <f t="shared" si="60"/>
        <v>F12, F13, F14</v>
      </c>
      <c r="I266" s="46" t="s">
        <v>90</v>
      </c>
      <c r="J266" s="47" t="s">
        <v>101</v>
      </c>
      <c r="K266" s="48"/>
      <c r="L266" s="49"/>
      <c r="M266" s="50" t="str">
        <f>IF(O266&lt;&gt;O265,MAX(1,MIN(AA266,ROUNDUP(SUMPRODUCT(($O$5:$O$546=O266)*($I$5:$I$546="Ja")*($E$5:$E$546-$D$5:$D$546))*24/REGLER!$B$8,0))),"")</f>
        <v/>
      </c>
      <c r="N266" s="50" t="str">
        <f t="shared" si="62"/>
        <v>Klar</v>
      </c>
      <c r="O266" s="15" t="s">
        <v>131</v>
      </c>
      <c r="P266" s="16">
        <v>0.46875</v>
      </c>
      <c r="Q266" s="16">
        <v>0.77083333333333304</v>
      </c>
      <c r="R266" s="15">
        <f>IFERROR(MATCH(1,INDEX((MATCHER!$B$5:$B$504=A266)*(MATCHER!$D$5:$D$504=C266)*(MATCHER!$K$5:$K$504="Ja")*(MATCHER!$C$5:$C$504&lt;E266)*(MATCHER!$M$5:$M$504&gt;D266),0),0),"")</f>
        <v>94</v>
      </c>
      <c r="S266" s="15" t="str">
        <f>IF(R266="","",IFERROR(MATCH(1,INDEX((MATCHER!$B$5:$B$504=A266)*(MATCHER!$D$5:$D$504=C266)*(MATCHER!$K$5:$K$504="Ja")*(MATCHER!$C$5:$C$504&lt;E266)*(MATCHER!$M$5:$M$504&gt;D266)*(ROW(MATCHER!$A$5:$A$504)-ROW(MATCHER!$A$5)+1&gt;R266),0),0),""))</f>
        <v/>
      </c>
      <c r="T266" s="15" t="str">
        <f>IF(S266="","",IFERROR(MATCH(1,INDEX((MATCHER!$B$5:$B$504=A266)*(MATCHER!$D$5:$D$504=C266)*(MATCHER!$K$5:$K$504="Ja")*(MATCHER!$C$5:$C$504&lt;E266)*(MATCHER!$M$5:$M$504&gt;D266)*(ROW(MATCHER!$A$5:$A$504)-ROW(MATCHER!$A$5)+1&gt;S266),0),0),""))</f>
        <v/>
      </c>
      <c r="U266" s="15">
        <f t="shared" si="63"/>
        <v>0</v>
      </c>
      <c r="V266" s="15">
        <f>IF(OR(I266&lt;&gt;"Ja",J266=""),"",COUNTIFS($O$5:O266,O266,$U$5:U266,1))</f>
        <v>1</v>
      </c>
      <c r="W266" s="15" t="str">
        <f t="shared" si="64"/>
        <v>2026-11-28 | Ulriksdalshallen|1</v>
      </c>
      <c r="X266" s="16">
        <f t="shared" si="65"/>
        <v>0.625</v>
      </c>
      <c r="Y266" s="15">
        <f>IF(OR(I266&lt;&gt;"Ja",J266=""),0,IF(COUNTIFS($O$5:O266,O266,$I$5:I266,"Ja",$J$5:J266,"&lt;&gt;")=1,1,0))</f>
        <v>0</v>
      </c>
      <c r="Z266" s="15">
        <f>IF(OR(I266&lt;&gt;"Ja",J266=""),0,IF(COUNTIFS(O266:$O$546,O266,I266:$I$546,"Ja",J266:$J$546,"&lt;&gt;")=1,1,0))</f>
        <v>0</v>
      </c>
      <c r="AA266" s="15">
        <f t="shared" si="61"/>
        <v>3</v>
      </c>
      <c r="AB266" s="15" t="str">
        <f>IF(U266&lt;&gt;1,"",COUNTIF($U$5:U266,1))</f>
        <v/>
      </c>
      <c r="AC266" s="15" t="str">
        <f t="shared" si="66"/>
        <v>2026-11-28 | Ulriksdalshallen|1</v>
      </c>
      <c r="AD266" s="15" t="str">
        <f t="shared" si="67"/>
        <v>Vanligt café</v>
      </c>
      <c r="AE266" s="15" t="str">
        <f t="shared" si="68"/>
        <v/>
      </c>
      <c r="AF266" t="str">
        <f>IF(T266="","",IFERROR(MATCH(1,INDEX((MATCHER!$B$5:$B$504=A266)*(MATCHER!$D$5:$D$504=C266)*(MATCHER!$K$5:$K$504="Ja")*(MATCHER!$C$5:$C$504&lt;E266)*(MATCHER!$M$5:$M$504&gt;D266)*(ROW(MATCHER!$A$5:$A$504)-ROW(MATCHER!$A$5)+1&gt;T266),0),0),""))</f>
        <v/>
      </c>
    </row>
    <row r="267" spans="1:32" ht="26">
      <c r="A267" s="42">
        <v>46354</v>
      </c>
      <c r="B267" s="43" t="s">
        <v>85</v>
      </c>
      <c r="C267" s="43" t="s">
        <v>86</v>
      </c>
      <c r="D267" s="44">
        <v>0.625</v>
      </c>
      <c r="E267" s="44">
        <v>0.64583333333333304</v>
      </c>
      <c r="F267" s="45" t="str">
        <f>IF(R267="","",HOUR(INDEX(MATCHER!$C$5:$C$504,R267))&amp;":"&amp;IF(MINUTE(INDEX(MATCHER!$C$5:$C$504,R267))&lt;10,"0","")&amp;MINUTE(INDEX(MATCHER!$C$5:$C$504,R267))&amp;" "&amp;INDEX(MATCHER!$H$5:$H$504,R267)&amp;" – "&amp;INDEX(MATCHER!$I$5:$I$504,R267))&amp;IF(S267="",""," | "&amp;HOUR(INDEX(MATCHER!$C$5:$C$504,S267))&amp;":"&amp;IF(MINUTE(INDEX(MATCHER!$C$5:$C$504,S267))&lt;10,"0","")&amp;MINUTE(INDEX(MATCHER!$C$5:$C$504,S267))&amp;" "&amp;INDEX(MATCHER!$H$5:$H$504,S267)&amp;" – "&amp;INDEX(MATCHER!$I$5:$I$504,S267))&amp;IF(T267="",""," | "&amp;HOUR(INDEX(MATCHER!$C$5:$C$504,T267))&amp;":"&amp;IF(MINUTE(INDEX(MATCHER!$C$5:$C$504,T267))&lt;10,"0","")&amp;MINUTE(INDEX(MATCHER!$C$5:$C$504,T267))&amp;" "&amp;INDEX(MATCHER!$H$5:$H$504,T267)&amp;" – "&amp;INDEX(MATCHER!$I$5:$I$504,T267))&amp;IF(AF267="",""," | "&amp;HOUR(INDEX(MATCHER!$C$5:$C$504,AF267))&amp;":"&amp;IF(MINUTE(INDEX(MATCHER!$C$5:$C$504,AF267))&lt;10,"0","")&amp;MINUTE(INDEX(MATCHER!$C$5:$C$504,AF267))&amp;" "&amp;INDEX(MATCHER!$H$5:$H$504,AF267)&amp;" – "&amp;INDEX(MATCHER!$I$5:$I$504,AF267))</f>
        <v>15:10 AIK – Skuru IK 1</v>
      </c>
      <c r="G267" s="45" t="str">
        <f>MID(IF(R267="","",IF(OR(INDEX(MATCHER!$J$5:$J$504,R267)=""),""," / "&amp;INDEX(MATCHER!$J$5:$J$504,R267)))&amp;IF(S267="","",IF(OR(INDEX(MATCHER!$J$5:$J$504,S267)="",INDEX(MATCHER!$J$5:$J$504,S267)=IFERROR(INDEX(MATCHER!$J$5:$J$504,R267),"")),""," / "&amp;INDEX(MATCHER!$J$5:$J$504,S267)))&amp;IF(T267="","",IF(OR(INDEX(MATCHER!$J$5:$J$504,T267)="",INDEX(MATCHER!$J$5:$J$504,T267)=IFERROR(INDEX(MATCHER!$J$5:$J$504,R267),""),INDEX(MATCHER!$J$5:$J$504,T267)=IFERROR(INDEX(MATCHER!$J$5:$J$504,S267),"")),""," / "&amp;INDEX(MATCHER!$J$5:$J$504,T267)))&amp;IF(AF267="","",IF(OR(INDEX(MATCHER!$J$5:$J$504,AF267)="",INDEX(MATCHER!$J$5:$J$504,AF267)=IFERROR(INDEX(MATCHER!$J$5:$J$504,R267),""),INDEX(MATCHER!$J$5:$J$504,AF267)=IFERROR(INDEX(MATCHER!$J$5:$J$504,S267),""),INDEX(MATCHER!$J$5:$J$504,AF267)=IFERROR(INDEX(MATCHER!$J$5:$J$504,T267),"")),""," / "&amp;INDEX(MATCHER!$J$5:$J$504,AF267))),4,1000)</f>
        <v>F13</v>
      </c>
      <c r="H267" s="45" t="str">
        <f t="shared" si="60"/>
        <v>F12, F13, F14</v>
      </c>
      <c r="I267" s="46" t="s">
        <v>90</v>
      </c>
      <c r="J267" s="47" t="s">
        <v>97</v>
      </c>
      <c r="K267" s="48"/>
      <c r="L267" s="49"/>
      <c r="M267" s="50" t="str">
        <f>IF(O267&lt;&gt;O266,MAX(1,MIN(AA267,ROUNDUP(SUMPRODUCT(($O$5:$O$546=O267)*($I$5:$I$546="Ja")*($E$5:$E$546-$D$5:$D$546))*24/REGLER!$B$8,0))),"")</f>
        <v/>
      </c>
      <c r="N267" s="50" t="str">
        <f t="shared" si="62"/>
        <v>Klar</v>
      </c>
      <c r="O267" s="15" t="s">
        <v>131</v>
      </c>
      <c r="P267" s="16">
        <v>0.46875</v>
      </c>
      <c r="Q267" s="16">
        <v>0.77083333333333304</v>
      </c>
      <c r="R267" s="15">
        <f>IFERROR(MATCH(1,INDEX((MATCHER!$B$5:$B$504=A267)*(MATCHER!$D$5:$D$504=C267)*(MATCHER!$K$5:$K$504="Ja")*(MATCHER!$C$5:$C$504&lt;E267)*(MATCHER!$M$5:$M$504&gt;D267),0),0),"")</f>
        <v>95</v>
      </c>
      <c r="S267" s="15" t="str">
        <f>IF(R267="","",IFERROR(MATCH(1,INDEX((MATCHER!$B$5:$B$504=A267)*(MATCHER!$D$5:$D$504=C267)*(MATCHER!$K$5:$K$504="Ja")*(MATCHER!$C$5:$C$504&lt;E267)*(MATCHER!$M$5:$M$504&gt;D267)*(ROW(MATCHER!$A$5:$A$504)-ROW(MATCHER!$A$5)+1&gt;R267),0),0),""))</f>
        <v/>
      </c>
      <c r="T267" s="15" t="str">
        <f>IF(S267="","",IFERROR(MATCH(1,INDEX((MATCHER!$B$5:$B$504=A267)*(MATCHER!$D$5:$D$504=C267)*(MATCHER!$K$5:$K$504="Ja")*(MATCHER!$C$5:$C$504&lt;E267)*(MATCHER!$M$5:$M$504&gt;D267)*(ROW(MATCHER!$A$5:$A$504)-ROW(MATCHER!$A$5)+1&gt;S267),0),0),""))</f>
        <v/>
      </c>
      <c r="U267" s="15">
        <f t="shared" si="63"/>
        <v>1</v>
      </c>
      <c r="V267" s="15">
        <f>IF(OR(I267&lt;&gt;"Ja",J267=""),"",COUNTIFS($O$5:O267,O267,$U$5:U267,1))</f>
        <v>2</v>
      </c>
      <c r="W267" s="15" t="str">
        <f t="shared" si="64"/>
        <v>2026-11-28 | Ulriksdalshallen|2</v>
      </c>
      <c r="X267" s="16" t="str">
        <f t="shared" si="65"/>
        <v/>
      </c>
      <c r="Y267" s="15">
        <f>IF(OR(I267&lt;&gt;"Ja",J267=""),0,IF(COUNTIFS($O$5:O267,O267,$I$5:I267,"Ja",$J$5:J267,"&lt;&gt;")=1,1,0))</f>
        <v>0</v>
      </c>
      <c r="Z267" s="15">
        <f>IF(OR(I267&lt;&gt;"Ja",J267=""),0,IF(COUNTIFS(O267:$O$546,O267,I267:$I$546,"Ja",J267:$J$546,"&lt;&gt;")=1,1,0))</f>
        <v>0</v>
      </c>
      <c r="AA267" s="15">
        <f t="shared" si="61"/>
        <v>3</v>
      </c>
      <c r="AB267" s="15">
        <f>IF(U267&lt;&gt;1,"",COUNTIF($U$5:U267,1))</f>
        <v>30</v>
      </c>
      <c r="AC267" s="15" t="str">
        <f t="shared" si="66"/>
        <v/>
      </c>
      <c r="AD267" s="15" t="str">
        <f t="shared" si="67"/>
        <v>Vanligt café</v>
      </c>
      <c r="AE267" s="15">
        <f t="shared" si="68"/>
        <v>3.4999999999999929</v>
      </c>
      <c r="AF267" t="str">
        <f>IF(T267="","",IFERROR(MATCH(1,INDEX((MATCHER!$B$5:$B$504=A267)*(MATCHER!$D$5:$D$504=C267)*(MATCHER!$K$5:$K$504="Ja")*(MATCHER!$C$5:$C$504&lt;E267)*(MATCHER!$M$5:$M$504&gt;D267)*(ROW(MATCHER!$A$5:$A$504)-ROW(MATCHER!$A$5)+1&gt;T267),0),0),""))</f>
        <v/>
      </c>
    </row>
    <row r="268" spans="1:32" ht="26">
      <c r="A268" s="42">
        <v>46354</v>
      </c>
      <c r="B268" s="43" t="s">
        <v>85</v>
      </c>
      <c r="C268" s="43" t="s">
        <v>86</v>
      </c>
      <c r="D268" s="44">
        <v>0.64583333333333304</v>
      </c>
      <c r="E268" s="44">
        <v>0.66666666666666696</v>
      </c>
      <c r="F268" s="45" t="str">
        <f>IF(R268="","",HOUR(INDEX(MATCHER!$C$5:$C$504,R268))&amp;":"&amp;IF(MINUTE(INDEX(MATCHER!$C$5:$C$504,R268))&lt;10,"0","")&amp;MINUTE(INDEX(MATCHER!$C$5:$C$504,R268))&amp;" "&amp;INDEX(MATCHER!$H$5:$H$504,R268)&amp;" – "&amp;INDEX(MATCHER!$I$5:$I$504,R268))&amp;IF(S268="",""," | "&amp;HOUR(INDEX(MATCHER!$C$5:$C$504,S268))&amp;":"&amp;IF(MINUTE(INDEX(MATCHER!$C$5:$C$504,S268))&lt;10,"0","")&amp;MINUTE(INDEX(MATCHER!$C$5:$C$504,S268))&amp;" "&amp;INDEX(MATCHER!$H$5:$H$504,S268)&amp;" – "&amp;INDEX(MATCHER!$I$5:$I$504,S268))&amp;IF(T268="",""," | "&amp;HOUR(INDEX(MATCHER!$C$5:$C$504,T268))&amp;":"&amp;IF(MINUTE(INDEX(MATCHER!$C$5:$C$504,T268))&lt;10,"0","")&amp;MINUTE(INDEX(MATCHER!$C$5:$C$504,T268))&amp;" "&amp;INDEX(MATCHER!$H$5:$H$504,T268)&amp;" – "&amp;INDEX(MATCHER!$I$5:$I$504,T268))&amp;IF(AF268="",""," | "&amp;HOUR(INDEX(MATCHER!$C$5:$C$504,AF268))&amp;":"&amp;IF(MINUTE(INDEX(MATCHER!$C$5:$C$504,AF268))&lt;10,"0","")&amp;MINUTE(INDEX(MATCHER!$C$5:$C$504,AF268))&amp;" "&amp;INDEX(MATCHER!$H$5:$H$504,AF268)&amp;" – "&amp;INDEX(MATCHER!$I$5:$I$504,AF268))</f>
        <v>15:10 AIK – Skuru IK 1</v>
      </c>
      <c r="G268" s="45" t="str">
        <f>MID(IF(R268="","",IF(OR(INDEX(MATCHER!$J$5:$J$504,R268)=""),""," / "&amp;INDEX(MATCHER!$J$5:$J$504,R268)))&amp;IF(S268="","",IF(OR(INDEX(MATCHER!$J$5:$J$504,S268)="",INDEX(MATCHER!$J$5:$J$504,S268)=IFERROR(INDEX(MATCHER!$J$5:$J$504,R268),"")),""," / "&amp;INDEX(MATCHER!$J$5:$J$504,S268)))&amp;IF(T268="","",IF(OR(INDEX(MATCHER!$J$5:$J$504,T268)="",INDEX(MATCHER!$J$5:$J$504,T268)=IFERROR(INDEX(MATCHER!$J$5:$J$504,R268),""),INDEX(MATCHER!$J$5:$J$504,T268)=IFERROR(INDEX(MATCHER!$J$5:$J$504,S268),"")),""," / "&amp;INDEX(MATCHER!$J$5:$J$504,T268)))&amp;IF(AF268="","",IF(OR(INDEX(MATCHER!$J$5:$J$504,AF268)="",INDEX(MATCHER!$J$5:$J$504,AF268)=IFERROR(INDEX(MATCHER!$J$5:$J$504,R268),""),INDEX(MATCHER!$J$5:$J$504,AF268)=IFERROR(INDEX(MATCHER!$J$5:$J$504,S268),""),INDEX(MATCHER!$J$5:$J$504,AF268)=IFERROR(INDEX(MATCHER!$J$5:$J$504,T268),"")),""," / "&amp;INDEX(MATCHER!$J$5:$J$504,AF268))),4,1000)</f>
        <v>F13</v>
      </c>
      <c r="H268" s="45" t="str">
        <f t="shared" si="60"/>
        <v>F12, F13, F14</v>
      </c>
      <c r="I268" s="46" t="s">
        <v>90</v>
      </c>
      <c r="J268" s="47" t="s">
        <v>97</v>
      </c>
      <c r="K268" s="48"/>
      <c r="L268" s="49"/>
      <c r="M268" s="50" t="str">
        <f>IF(O268&lt;&gt;O267,MAX(1,MIN(AA268,ROUNDUP(SUMPRODUCT(($O$5:$O$546=O268)*($I$5:$I$546="Ja")*($E$5:$E$546-$D$5:$D$546))*24/REGLER!$B$8,0))),"")</f>
        <v/>
      </c>
      <c r="N268" s="50" t="str">
        <f t="shared" si="62"/>
        <v>Klar</v>
      </c>
      <c r="O268" s="15" t="s">
        <v>131</v>
      </c>
      <c r="P268" s="16">
        <v>0.46875</v>
      </c>
      <c r="Q268" s="16">
        <v>0.77083333333333304</v>
      </c>
      <c r="R268" s="15">
        <f>IFERROR(MATCH(1,INDEX((MATCHER!$B$5:$B$504=A268)*(MATCHER!$D$5:$D$504=C268)*(MATCHER!$K$5:$K$504="Ja")*(MATCHER!$C$5:$C$504&lt;E268)*(MATCHER!$M$5:$M$504&gt;D268),0),0),"")</f>
        <v>95</v>
      </c>
      <c r="S268" s="15" t="str">
        <f>IF(R268="","",IFERROR(MATCH(1,INDEX((MATCHER!$B$5:$B$504=A268)*(MATCHER!$D$5:$D$504=C268)*(MATCHER!$K$5:$K$504="Ja")*(MATCHER!$C$5:$C$504&lt;E268)*(MATCHER!$M$5:$M$504&gt;D268)*(ROW(MATCHER!$A$5:$A$504)-ROW(MATCHER!$A$5)+1&gt;R268),0),0),""))</f>
        <v/>
      </c>
      <c r="T268" s="15" t="str">
        <f>IF(S268="","",IFERROR(MATCH(1,INDEX((MATCHER!$B$5:$B$504=A268)*(MATCHER!$D$5:$D$504=C268)*(MATCHER!$K$5:$K$504="Ja")*(MATCHER!$C$5:$C$504&lt;E268)*(MATCHER!$M$5:$M$504&gt;D268)*(ROW(MATCHER!$A$5:$A$504)-ROW(MATCHER!$A$5)+1&gt;S268),0),0),""))</f>
        <v/>
      </c>
      <c r="U268" s="15">
        <f t="shared" si="63"/>
        <v>0</v>
      </c>
      <c r="V268" s="15">
        <f>IF(OR(I268&lt;&gt;"Ja",J268=""),"",COUNTIFS($O$5:O268,O268,$U$5:U268,1))</f>
        <v>2</v>
      </c>
      <c r="W268" s="15" t="str">
        <f t="shared" si="64"/>
        <v>2026-11-28 | Ulriksdalshallen|2</v>
      </c>
      <c r="X268" s="16" t="str">
        <f t="shared" si="65"/>
        <v/>
      </c>
      <c r="Y268" s="15">
        <f>IF(OR(I268&lt;&gt;"Ja",J268=""),0,IF(COUNTIFS($O$5:O268,O268,$I$5:I268,"Ja",$J$5:J268,"&lt;&gt;")=1,1,0))</f>
        <v>0</v>
      </c>
      <c r="Z268" s="15">
        <f>IF(OR(I268&lt;&gt;"Ja",J268=""),0,IF(COUNTIFS(O268:$O$546,O268,I268:$I$546,"Ja",J268:$J$546,"&lt;&gt;")=1,1,0))</f>
        <v>0</v>
      </c>
      <c r="AA268" s="15">
        <f t="shared" si="61"/>
        <v>3</v>
      </c>
      <c r="AB268" s="15" t="str">
        <f>IF(U268&lt;&gt;1,"",COUNTIF($U$5:U268,1))</f>
        <v/>
      </c>
      <c r="AC268" s="15" t="str">
        <f t="shared" si="66"/>
        <v/>
      </c>
      <c r="AD268" s="15" t="str">
        <f t="shared" si="67"/>
        <v>Vanligt café</v>
      </c>
      <c r="AE268" s="15" t="str">
        <f t="shared" si="68"/>
        <v/>
      </c>
      <c r="AF268" t="str">
        <f>IF(T268="","",IFERROR(MATCH(1,INDEX((MATCHER!$B$5:$B$504=A268)*(MATCHER!$D$5:$D$504=C268)*(MATCHER!$K$5:$K$504="Ja")*(MATCHER!$C$5:$C$504&lt;E268)*(MATCHER!$M$5:$M$504&gt;D268)*(ROW(MATCHER!$A$5:$A$504)-ROW(MATCHER!$A$5)+1&gt;T268),0),0),""))</f>
        <v/>
      </c>
    </row>
    <row r="269" spans="1:32" ht="26">
      <c r="A269" s="42">
        <v>46354</v>
      </c>
      <c r="B269" s="43" t="s">
        <v>85</v>
      </c>
      <c r="C269" s="43" t="s">
        <v>86</v>
      </c>
      <c r="D269" s="44">
        <v>0.66666666666666696</v>
      </c>
      <c r="E269" s="44">
        <v>0.6875</v>
      </c>
      <c r="F269" s="45" t="str">
        <f>IF(R269="","",HOUR(INDEX(MATCHER!$C$5:$C$504,R269))&amp;":"&amp;IF(MINUTE(INDEX(MATCHER!$C$5:$C$504,R269))&lt;10,"0","")&amp;MINUTE(INDEX(MATCHER!$C$5:$C$504,R269))&amp;" "&amp;INDEX(MATCHER!$H$5:$H$504,R269)&amp;" – "&amp;INDEX(MATCHER!$I$5:$I$504,R269))&amp;IF(S269="",""," | "&amp;HOUR(INDEX(MATCHER!$C$5:$C$504,S269))&amp;":"&amp;IF(MINUTE(INDEX(MATCHER!$C$5:$C$504,S269))&lt;10,"0","")&amp;MINUTE(INDEX(MATCHER!$C$5:$C$504,S269))&amp;" "&amp;INDEX(MATCHER!$H$5:$H$504,S269)&amp;" – "&amp;INDEX(MATCHER!$I$5:$I$504,S269))&amp;IF(T269="",""," | "&amp;HOUR(INDEX(MATCHER!$C$5:$C$504,T269))&amp;":"&amp;IF(MINUTE(INDEX(MATCHER!$C$5:$C$504,T269))&lt;10,"0","")&amp;MINUTE(INDEX(MATCHER!$C$5:$C$504,T269))&amp;" "&amp;INDEX(MATCHER!$H$5:$H$504,T269)&amp;" – "&amp;INDEX(MATCHER!$I$5:$I$504,T269))&amp;IF(AF269="",""," | "&amp;HOUR(INDEX(MATCHER!$C$5:$C$504,AF269))&amp;":"&amp;IF(MINUTE(INDEX(MATCHER!$C$5:$C$504,AF269))&lt;10,"0","")&amp;MINUTE(INDEX(MATCHER!$C$5:$C$504,AF269))&amp;" "&amp;INDEX(MATCHER!$H$5:$H$504,AF269)&amp;" – "&amp;INDEX(MATCHER!$I$5:$I$504,AF269))</f>
        <v>16:20 AIK 2 – Skuru IK 3</v>
      </c>
      <c r="G269" s="45" t="str">
        <f>MID(IF(R269="","",IF(OR(INDEX(MATCHER!$J$5:$J$504,R269)=""),""," / "&amp;INDEX(MATCHER!$J$5:$J$504,R269)))&amp;IF(S269="","",IF(OR(INDEX(MATCHER!$J$5:$J$504,S269)="",INDEX(MATCHER!$J$5:$J$504,S269)=IFERROR(INDEX(MATCHER!$J$5:$J$504,R269),"")),""," / "&amp;INDEX(MATCHER!$J$5:$J$504,S269)))&amp;IF(T269="","",IF(OR(INDEX(MATCHER!$J$5:$J$504,T269)="",INDEX(MATCHER!$J$5:$J$504,T269)=IFERROR(INDEX(MATCHER!$J$5:$J$504,R269),""),INDEX(MATCHER!$J$5:$J$504,T269)=IFERROR(INDEX(MATCHER!$J$5:$J$504,S269),"")),""," / "&amp;INDEX(MATCHER!$J$5:$J$504,T269)))&amp;IF(AF269="","",IF(OR(INDEX(MATCHER!$J$5:$J$504,AF269)="",INDEX(MATCHER!$J$5:$J$504,AF269)=IFERROR(INDEX(MATCHER!$J$5:$J$504,R269),""),INDEX(MATCHER!$J$5:$J$504,AF269)=IFERROR(INDEX(MATCHER!$J$5:$J$504,S269),""),INDEX(MATCHER!$J$5:$J$504,AF269)=IFERROR(INDEX(MATCHER!$J$5:$J$504,T269),"")),""," / "&amp;INDEX(MATCHER!$J$5:$J$504,AF269))),4,1000)</f>
        <v>F13 2</v>
      </c>
      <c r="H269" s="45" t="str">
        <f t="shared" si="60"/>
        <v>F12, F13, F14</v>
      </c>
      <c r="I269" s="46" t="s">
        <v>90</v>
      </c>
      <c r="J269" s="47" t="s">
        <v>97</v>
      </c>
      <c r="K269" s="48"/>
      <c r="L269" s="49"/>
      <c r="M269" s="50" t="str">
        <f>IF(O269&lt;&gt;O268,MAX(1,MIN(AA269,ROUNDUP(SUMPRODUCT(($O$5:$O$546=O269)*($I$5:$I$546="Ja")*($E$5:$E$546-$D$5:$D$546))*24/REGLER!$B$8,0))),"")</f>
        <v/>
      </c>
      <c r="N269" s="50" t="str">
        <f t="shared" si="62"/>
        <v>Klar</v>
      </c>
      <c r="O269" s="15" t="s">
        <v>131</v>
      </c>
      <c r="P269" s="16">
        <v>0.46875</v>
      </c>
      <c r="Q269" s="16">
        <v>0.77083333333333304</v>
      </c>
      <c r="R269" s="15">
        <f>IFERROR(MATCH(1,INDEX((MATCHER!$B$5:$B$504=A269)*(MATCHER!$D$5:$D$504=C269)*(MATCHER!$K$5:$K$504="Ja")*(MATCHER!$C$5:$C$504&lt;E269)*(MATCHER!$M$5:$M$504&gt;D269),0),0),"")</f>
        <v>96</v>
      </c>
      <c r="S269" s="15" t="str">
        <f>IF(R269="","",IFERROR(MATCH(1,INDEX((MATCHER!$B$5:$B$504=A269)*(MATCHER!$D$5:$D$504=C269)*(MATCHER!$K$5:$K$504="Ja")*(MATCHER!$C$5:$C$504&lt;E269)*(MATCHER!$M$5:$M$504&gt;D269)*(ROW(MATCHER!$A$5:$A$504)-ROW(MATCHER!$A$5)+1&gt;R269),0),0),""))</f>
        <v/>
      </c>
      <c r="T269" s="15" t="str">
        <f>IF(S269="","",IFERROR(MATCH(1,INDEX((MATCHER!$B$5:$B$504=A269)*(MATCHER!$D$5:$D$504=C269)*(MATCHER!$K$5:$K$504="Ja")*(MATCHER!$C$5:$C$504&lt;E269)*(MATCHER!$M$5:$M$504&gt;D269)*(ROW(MATCHER!$A$5:$A$504)-ROW(MATCHER!$A$5)+1&gt;S269),0),0),""))</f>
        <v/>
      </c>
      <c r="U269" s="15">
        <f t="shared" si="63"/>
        <v>0</v>
      </c>
      <c r="V269" s="15">
        <f>IF(OR(I269&lt;&gt;"Ja",J269=""),"",COUNTIFS($O$5:O269,O269,$U$5:U269,1))</f>
        <v>2</v>
      </c>
      <c r="W269" s="15" t="str">
        <f t="shared" si="64"/>
        <v>2026-11-28 | Ulriksdalshallen|2</v>
      </c>
      <c r="X269" s="16" t="str">
        <f t="shared" si="65"/>
        <v/>
      </c>
      <c r="Y269" s="15">
        <f>IF(OR(I269&lt;&gt;"Ja",J269=""),0,IF(COUNTIFS($O$5:O269,O269,$I$5:I269,"Ja",$J$5:J269,"&lt;&gt;")=1,1,0))</f>
        <v>0</v>
      </c>
      <c r="Z269" s="15">
        <f>IF(OR(I269&lt;&gt;"Ja",J269=""),0,IF(COUNTIFS(O269:$O$546,O269,I269:$I$546,"Ja",J269:$J$546,"&lt;&gt;")=1,1,0))</f>
        <v>0</v>
      </c>
      <c r="AA269" s="15">
        <f t="shared" si="61"/>
        <v>3</v>
      </c>
      <c r="AB269" s="15" t="str">
        <f>IF(U269&lt;&gt;1,"",COUNTIF($U$5:U269,1))</f>
        <v/>
      </c>
      <c r="AC269" s="15" t="str">
        <f t="shared" si="66"/>
        <v/>
      </c>
      <c r="AD269" s="15" t="str">
        <f t="shared" si="67"/>
        <v>Vanligt café</v>
      </c>
      <c r="AE269" s="15" t="str">
        <f t="shared" si="68"/>
        <v/>
      </c>
      <c r="AF269" t="str">
        <f>IF(T269="","",IFERROR(MATCH(1,INDEX((MATCHER!$B$5:$B$504=A269)*(MATCHER!$D$5:$D$504=C269)*(MATCHER!$K$5:$K$504="Ja")*(MATCHER!$C$5:$C$504&lt;E269)*(MATCHER!$M$5:$M$504&gt;D269)*(ROW(MATCHER!$A$5:$A$504)-ROW(MATCHER!$A$5)+1&gt;T269),0),0),""))</f>
        <v/>
      </c>
    </row>
    <row r="270" spans="1:32" ht="26">
      <c r="A270" s="42">
        <v>46354</v>
      </c>
      <c r="B270" s="43" t="s">
        <v>85</v>
      </c>
      <c r="C270" s="43" t="s">
        <v>86</v>
      </c>
      <c r="D270" s="44">
        <v>0.6875</v>
      </c>
      <c r="E270" s="44">
        <v>0.70833333333333304</v>
      </c>
      <c r="F270" s="45" t="str">
        <f>IF(R270="","",HOUR(INDEX(MATCHER!$C$5:$C$504,R270))&amp;":"&amp;IF(MINUTE(INDEX(MATCHER!$C$5:$C$504,R270))&lt;10,"0","")&amp;MINUTE(INDEX(MATCHER!$C$5:$C$504,R270))&amp;" "&amp;INDEX(MATCHER!$H$5:$H$504,R270)&amp;" – "&amp;INDEX(MATCHER!$I$5:$I$504,R270))&amp;IF(S270="",""," | "&amp;HOUR(INDEX(MATCHER!$C$5:$C$504,S270))&amp;":"&amp;IF(MINUTE(INDEX(MATCHER!$C$5:$C$504,S270))&lt;10,"0","")&amp;MINUTE(INDEX(MATCHER!$C$5:$C$504,S270))&amp;" "&amp;INDEX(MATCHER!$H$5:$H$504,S270)&amp;" – "&amp;INDEX(MATCHER!$I$5:$I$504,S270))&amp;IF(T270="",""," | "&amp;HOUR(INDEX(MATCHER!$C$5:$C$504,T270))&amp;":"&amp;IF(MINUTE(INDEX(MATCHER!$C$5:$C$504,T270))&lt;10,"0","")&amp;MINUTE(INDEX(MATCHER!$C$5:$C$504,T270))&amp;" "&amp;INDEX(MATCHER!$H$5:$H$504,T270)&amp;" – "&amp;INDEX(MATCHER!$I$5:$I$504,T270))&amp;IF(AF270="",""," | "&amp;HOUR(INDEX(MATCHER!$C$5:$C$504,AF270))&amp;":"&amp;IF(MINUTE(INDEX(MATCHER!$C$5:$C$504,AF270))&lt;10,"0","")&amp;MINUTE(INDEX(MATCHER!$C$5:$C$504,AF270))&amp;" "&amp;INDEX(MATCHER!$H$5:$H$504,AF270)&amp;" – "&amp;INDEX(MATCHER!$I$5:$I$504,AF270))</f>
        <v>16:20 AIK 2 – Skuru IK 3</v>
      </c>
      <c r="G270" s="45" t="str">
        <f>MID(IF(R270="","",IF(OR(INDEX(MATCHER!$J$5:$J$504,R270)=""),""," / "&amp;INDEX(MATCHER!$J$5:$J$504,R270)))&amp;IF(S270="","",IF(OR(INDEX(MATCHER!$J$5:$J$504,S270)="",INDEX(MATCHER!$J$5:$J$504,S270)=IFERROR(INDEX(MATCHER!$J$5:$J$504,R270),"")),""," / "&amp;INDEX(MATCHER!$J$5:$J$504,S270)))&amp;IF(T270="","",IF(OR(INDEX(MATCHER!$J$5:$J$504,T270)="",INDEX(MATCHER!$J$5:$J$504,T270)=IFERROR(INDEX(MATCHER!$J$5:$J$504,R270),""),INDEX(MATCHER!$J$5:$J$504,T270)=IFERROR(INDEX(MATCHER!$J$5:$J$504,S270),"")),""," / "&amp;INDEX(MATCHER!$J$5:$J$504,T270)))&amp;IF(AF270="","",IF(OR(INDEX(MATCHER!$J$5:$J$504,AF270)="",INDEX(MATCHER!$J$5:$J$504,AF270)=IFERROR(INDEX(MATCHER!$J$5:$J$504,R270),""),INDEX(MATCHER!$J$5:$J$504,AF270)=IFERROR(INDEX(MATCHER!$J$5:$J$504,S270),""),INDEX(MATCHER!$J$5:$J$504,AF270)=IFERROR(INDEX(MATCHER!$J$5:$J$504,T270),"")),""," / "&amp;INDEX(MATCHER!$J$5:$J$504,AF270))),4,1000)</f>
        <v>F13 2</v>
      </c>
      <c r="H270" s="45" t="str">
        <f t="shared" si="60"/>
        <v>F12, F13, F14</v>
      </c>
      <c r="I270" s="46" t="s">
        <v>90</v>
      </c>
      <c r="J270" s="47" t="s">
        <v>97</v>
      </c>
      <c r="K270" s="48"/>
      <c r="L270" s="49"/>
      <c r="M270" s="50" t="str">
        <f>IF(O270&lt;&gt;O269,MAX(1,MIN(AA270,ROUNDUP(SUMPRODUCT(($O$5:$O$546=O270)*($I$5:$I$546="Ja")*($E$5:$E$546-$D$5:$D$546))*24/REGLER!$B$8,0))),"")</f>
        <v/>
      </c>
      <c r="N270" s="50" t="str">
        <f t="shared" si="62"/>
        <v>Klar</v>
      </c>
      <c r="O270" s="15" t="s">
        <v>131</v>
      </c>
      <c r="P270" s="16">
        <v>0.46875</v>
      </c>
      <c r="Q270" s="16">
        <v>0.77083333333333304</v>
      </c>
      <c r="R270" s="15">
        <f>IFERROR(MATCH(1,INDEX((MATCHER!$B$5:$B$504=A270)*(MATCHER!$D$5:$D$504=C270)*(MATCHER!$K$5:$K$504="Ja")*(MATCHER!$C$5:$C$504&lt;E270)*(MATCHER!$M$5:$M$504&gt;D270),0),0),"")</f>
        <v>96</v>
      </c>
      <c r="S270" s="15" t="str">
        <f>IF(R270="","",IFERROR(MATCH(1,INDEX((MATCHER!$B$5:$B$504=A270)*(MATCHER!$D$5:$D$504=C270)*(MATCHER!$K$5:$K$504="Ja")*(MATCHER!$C$5:$C$504&lt;E270)*(MATCHER!$M$5:$M$504&gt;D270)*(ROW(MATCHER!$A$5:$A$504)-ROW(MATCHER!$A$5)+1&gt;R270),0),0),""))</f>
        <v/>
      </c>
      <c r="T270" s="15" t="str">
        <f>IF(S270="","",IFERROR(MATCH(1,INDEX((MATCHER!$B$5:$B$504=A270)*(MATCHER!$D$5:$D$504=C270)*(MATCHER!$K$5:$K$504="Ja")*(MATCHER!$C$5:$C$504&lt;E270)*(MATCHER!$M$5:$M$504&gt;D270)*(ROW(MATCHER!$A$5:$A$504)-ROW(MATCHER!$A$5)+1&gt;S270),0),0),""))</f>
        <v/>
      </c>
      <c r="U270" s="15">
        <f t="shared" si="63"/>
        <v>0</v>
      </c>
      <c r="V270" s="15">
        <f>IF(OR(I270&lt;&gt;"Ja",J270=""),"",COUNTIFS($O$5:O270,O270,$U$5:U270,1))</f>
        <v>2</v>
      </c>
      <c r="W270" s="15" t="str">
        <f t="shared" si="64"/>
        <v>2026-11-28 | Ulriksdalshallen|2</v>
      </c>
      <c r="X270" s="16" t="str">
        <f t="shared" si="65"/>
        <v/>
      </c>
      <c r="Y270" s="15">
        <f>IF(OR(I270&lt;&gt;"Ja",J270=""),0,IF(COUNTIFS($O$5:O270,O270,$I$5:I270,"Ja",$J$5:J270,"&lt;&gt;")=1,1,0))</f>
        <v>0</v>
      </c>
      <c r="Z270" s="15">
        <f>IF(OR(I270&lt;&gt;"Ja",J270=""),0,IF(COUNTIFS(O270:$O$546,O270,I270:$I$546,"Ja",J270:$J$546,"&lt;&gt;")=1,1,0))</f>
        <v>0</v>
      </c>
      <c r="AA270" s="15">
        <f t="shared" si="61"/>
        <v>3</v>
      </c>
      <c r="AB270" s="15" t="str">
        <f>IF(U270&lt;&gt;1,"",COUNTIF($U$5:U270,1))</f>
        <v/>
      </c>
      <c r="AC270" s="15" t="str">
        <f t="shared" si="66"/>
        <v/>
      </c>
      <c r="AD270" s="15" t="str">
        <f t="shared" si="67"/>
        <v>Vanligt café</v>
      </c>
      <c r="AE270" s="15" t="str">
        <f t="shared" si="68"/>
        <v/>
      </c>
      <c r="AF270" t="str">
        <f>IF(T270="","",IFERROR(MATCH(1,INDEX((MATCHER!$B$5:$B$504=A270)*(MATCHER!$D$5:$D$504=C270)*(MATCHER!$K$5:$K$504="Ja")*(MATCHER!$C$5:$C$504&lt;E270)*(MATCHER!$M$5:$M$504&gt;D270)*(ROW(MATCHER!$A$5:$A$504)-ROW(MATCHER!$A$5)+1&gt;T270),0),0),""))</f>
        <v/>
      </c>
    </row>
    <row r="271" spans="1:32" ht="26">
      <c r="A271" s="42">
        <v>46354</v>
      </c>
      <c r="B271" s="43" t="s">
        <v>85</v>
      </c>
      <c r="C271" s="43" t="s">
        <v>86</v>
      </c>
      <c r="D271" s="44">
        <v>0.70833333333333304</v>
      </c>
      <c r="E271" s="44">
        <v>0.72916666666666696</v>
      </c>
      <c r="F271" s="45" t="str">
        <f>IF(R271="","",HOUR(INDEX(MATCHER!$C$5:$C$504,R271))&amp;":"&amp;IF(MINUTE(INDEX(MATCHER!$C$5:$C$504,R271))&lt;10,"0","")&amp;MINUTE(INDEX(MATCHER!$C$5:$C$504,R271))&amp;" "&amp;INDEX(MATCHER!$H$5:$H$504,R271)&amp;" – "&amp;INDEX(MATCHER!$I$5:$I$504,R271))&amp;IF(S271="",""," | "&amp;HOUR(INDEX(MATCHER!$C$5:$C$504,S271))&amp;":"&amp;IF(MINUTE(INDEX(MATCHER!$C$5:$C$504,S271))&lt;10,"0","")&amp;MINUTE(INDEX(MATCHER!$C$5:$C$504,S271))&amp;" "&amp;INDEX(MATCHER!$H$5:$H$504,S271)&amp;" – "&amp;INDEX(MATCHER!$I$5:$I$504,S271))&amp;IF(T271="",""," | "&amp;HOUR(INDEX(MATCHER!$C$5:$C$504,T271))&amp;":"&amp;IF(MINUTE(INDEX(MATCHER!$C$5:$C$504,T271))&lt;10,"0","")&amp;MINUTE(INDEX(MATCHER!$C$5:$C$504,T271))&amp;" "&amp;INDEX(MATCHER!$H$5:$H$504,T271)&amp;" – "&amp;INDEX(MATCHER!$I$5:$I$504,T271))&amp;IF(AF271="",""," | "&amp;HOUR(INDEX(MATCHER!$C$5:$C$504,AF271))&amp;":"&amp;IF(MINUTE(INDEX(MATCHER!$C$5:$C$504,AF271))&lt;10,"0","")&amp;MINUTE(INDEX(MATCHER!$C$5:$C$504,AF271))&amp;" "&amp;INDEX(MATCHER!$H$5:$H$504,AF271)&amp;" – "&amp;INDEX(MATCHER!$I$5:$I$504,AF271))</f>
        <v>16:20 AIK 2 – Skuru IK 3</v>
      </c>
      <c r="G271" s="45" t="str">
        <f>MID(IF(R271="","",IF(OR(INDEX(MATCHER!$J$5:$J$504,R271)=""),""," / "&amp;INDEX(MATCHER!$J$5:$J$504,R271)))&amp;IF(S271="","",IF(OR(INDEX(MATCHER!$J$5:$J$504,S271)="",INDEX(MATCHER!$J$5:$J$504,S271)=IFERROR(INDEX(MATCHER!$J$5:$J$504,R271),"")),""," / "&amp;INDEX(MATCHER!$J$5:$J$504,S271)))&amp;IF(T271="","",IF(OR(INDEX(MATCHER!$J$5:$J$504,T271)="",INDEX(MATCHER!$J$5:$J$504,T271)=IFERROR(INDEX(MATCHER!$J$5:$J$504,R271),""),INDEX(MATCHER!$J$5:$J$504,T271)=IFERROR(INDEX(MATCHER!$J$5:$J$504,S271),"")),""," / "&amp;INDEX(MATCHER!$J$5:$J$504,T271)))&amp;IF(AF271="","",IF(OR(INDEX(MATCHER!$J$5:$J$504,AF271)="",INDEX(MATCHER!$J$5:$J$504,AF271)=IFERROR(INDEX(MATCHER!$J$5:$J$504,R271),""),INDEX(MATCHER!$J$5:$J$504,AF271)=IFERROR(INDEX(MATCHER!$J$5:$J$504,S271),""),INDEX(MATCHER!$J$5:$J$504,AF271)=IFERROR(INDEX(MATCHER!$J$5:$J$504,T271),"")),""," / "&amp;INDEX(MATCHER!$J$5:$J$504,AF271))),4,1000)</f>
        <v>F13 2</v>
      </c>
      <c r="H271" s="45" t="str">
        <f t="shared" si="60"/>
        <v>F12, F13, F14</v>
      </c>
      <c r="I271" s="46" t="s">
        <v>90</v>
      </c>
      <c r="J271" s="47" t="s">
        <v>97</v>
      </c>
      <c r="K271" s="48"/>
      <c r="L271" s="49"/>
      <c r="M271" s="50" t="str">
        <f>IF(O271&lt;&gt;O270,MAX(1,MIN(AA271,ROUNDUP(SUMPRODUCT(($O$5:$O$546=O271)*($I$5:$I$546="Ja")*($E$5:$E$546-$D$5:$D$546))*24/REGLER!$B$8,0))),"")</f>
        <v/>
      </c>
      <c r="N271" s="50" t="str">
        <f t="shared" si="62"/>
        <v>Klar</v>
      </c>
      <c r="O271" s="15" t="s">
        <v>131</v>
      </c>
      <c r="P271" s="16">
        <v>0.46875</v>
      </c>
      <c r="Q271" s="16">
        <v>0.77083333333333304</v>
      </c>
      <c r="R271" s="15">
        <f>IFERROR(MATCH(1,INDEX((MATCHER!$B$5:$B$504=A271)*(MATCHER!$D$5:$D$504=C271)*(MATCHER!$K$5:$K$504="Ja")*(MATCHER!$C$5:$C$504&lt;E271)*(MATCHER!$M$5:$M$504&gt;D271),0),0),"")</f>
        <v>96</v>
      </c>
      <c r="S271" s="15" t="str">
        <f>IF(R271="","",IFERROR(MATCH(1,INDEX((MATCHER!$B$5:$B$504=A271)*(MATCHER!$D$5:$D$504=C271)*(MATCHER!$K$5:$K$504="Ja")*(MATCHER!$C$5:$C$504&lt;E271)*(MATCHER!$M$5:$M$504&gt;D271)*(ROW(MATCHER!$A$5:$A$504)-ROW(MATCHER!$A$5)+1&gt;R271),0),0),""))</f>
        <v/>
      </c>
      <c r="T271" s="15" t="str">
        <f>IF(S271="","",IFERROR(MATCH(1,INDEX((MATCHER!$B$5:$B$504=A271)*(MATCHER!$D$5:$D$504=C271)*(MATCHER!$K$5:$K$504="Ja")*(MATCHER!$C$5:$C$504&lt;E271)*(MATCHER!$M$5:$M$504&gt;D271)*(ROW(MATCHER!$A$5:$A$504)-ROW(MATCHER!$A$5)+1&gt;S271),0),0),""))</f>
        <v/>
      </c>
      <c r="U271" s="15">
        <f t="shared" si="63"/>
        <v>0</v>
      </c>
      <c r="V271" s="15">
        <f>IF(OR(I271&lt;&gt;"Ja",J271=""),"",COUNTIFS($O$5:O271,O271,$U$5:U271,1))</f>
        <v>2</v>
      </c>
      <c r="W271" s="15" t="str">
        <f t="shared" si="64"/>
        <v>2026-11-28 | Ulriksdalshallen|2</v>
      </c>
      <c r="X271" s="16" t="str">
        <f t="shared" si="65"/>
        <v/>
      </c>
      <c r="Y271" s="15">
        <f>IF(OR(I271&lt;&gt;"Ja",J271=""),0,IF(COUNTIFS($O$5:O271,O271,$I$5:I271,"Ja",$J$5:J271,"&lt;&gt;")=1,1,0))</f>
        <v>0</v>
      </c>
      <c r="Z271" s="15">
        <f>IF(OR(I271&lt;&gt;"Ja",J271=""),0,IF(COUNTIFS(O271:$O$546,O271,I271:$I$546,"Ja",J271:$J$546,"&lt;&gt;")=1,1,0))</f>
        <v>0</v>
      </c>
      <c r="AA271" s="15">
        <f t="shared" si="61"/>
        <v>3</v>
      </c>
      <c r="AB271" s="15" t="str">
        <f>IF(U271&lt;&gt;1,"",COUNTIF($U$5:U271,1))</f>
        <v/>
      </c>
      <c r="AC271" s="15" t="str">
        <f t="shared" si="66"/>
        <v/>
      </c>
      <c r="AD271" s="15" t="str">
        <f t="shared" si="67"/>
        <v>Vanligt café</v>
      </c>
      <c r="AE271" s="15" t="str">
        <f t="shared" si="68"/>
        <v/>
      </c>
      <c r="AF271" t="str">
        <f>IF(T271="","",IFERROR(MATCH(1,INDEX((MATCHER!$B$5:$B$504=A271)*(MATCHER!$D$5:$D$504=C271)*(MATCHER!$K$5:$K$504="Ja")*(MATCHER!$C$5:$C$504&lt;E271)*(MATCHER!$M$5:$M$504&gt;D271)*(ROW(MATCHER!$A$5:$A$504)-ROW(MATCHER!$A$5)+1&gt;T271),0),0),""))</f>
        <v/>
      </c>
    </row>
    <row r="272" spans="1:32" ht="26">
      <c r="A272" s="42">
        <v>46354</v>
      </c>
      <c r="B272" s="43" t="s">
        <v>85</v>
      </c>
      <c r="C272" s="43" t="s">
        <v>86</v>
      </c>
      <c r="D272" s="44">
        <v>0.72916666666666696</v>
      </c>
      <c r="E272" s="44">
        <v>0.75</v>
      </c>
      <c r="F272" s="45" t="str">
        <f>IF(R272="","",HOUR(INDEX(MATCHER!$C$5:$C$504,R272))&amp;":"&amp;IF(MINUTE(INDEX(MATCHER!$C$5:$C$504,R272))&lt;10,"0","")&amp;MINUTE(INDEX(MATCHER!$C$5:$C$504,R272))&amp;" "&amp;INDEX(MATCHER!$H$5:$H$504,R272)&amp;" – "&amp;INDEX(MATCHER!$I$5:$I$504,R272))&amp;IF(S272="",""," | "&amp;HOUR(INDEX(MATCHER!$C$5:$C$504,S272))&amp;":"&amp;IF(MINUTE(INDEX(MATCHER!$C$5:$C$504,S272))&lt;10,"0","")&amp;MINUTE(INDEX(MATCHER!$C$5:$C$504,S272))&amp;" "&amp;INDEX(MATCHER!$H$5:$H$504,S272)&amp;" – "&amp;INDEX(MATCHER!$I$5:$I$504,S272))&amp;IF(T272="",""," | "&amp;HOUR(INDEX(MATCHER!$C$5:$C$504,T272))&amp;":"&amp;IF(MINUTE(INDEX(MATCHER!$C$5:$C$504,T272))&lt;10,"0","")&amp;MINUTE(INDEX(MATCHER!$C$5:$C$504,T272))&amp;" "&amp;INDEX(MATCHER!$H$5:$H$504,T272)&amp;" – "&amp;INDEX(MATCHER!$I$5:$I$504,T272))&amp;IF(AF272="",""," | "&amp;HOUR(INDEX(MATCHER!$C$5:$C$504,AF272))&amp;":"&amp;IF(MINUTE(INDEX(MATCHER!$C$5:$C$504,AF272))&lt;10,"0","")&amp;MINUTE(INDEX(MATCHER!$C$5:$C$504,AF272))&amp;" "&amp;INDEX(MATCHER!$H$5:$H$504,AF272)&amp;" – "&amp;INDEX(MATCHER!$I$5:$I$504,AF272))</f>
        <v>17:30 AIK – Täby HBK 2</v>
      </c>
      <c r="G272" s="45" t="str">
        <f>MID(IF(R272="","",IF(OR(INDEX(MATCHER!$J$5:$J$504,R272)=""),""," / "&amp;INDEX(MATCHER!$J$5:$J$504,R272)))&amp;IF(S272="","",IF(OR(INDEX(MATCHER!$J$5:$J$504,S272)="",INDEX(MATCHER!$J$5:$J$504,S272)=IFERROR(INDEX(MATCHER!$J$5:$J$504,R272),"")),""," / "&amp;INDEX(MATCHER!$J$5:$J$504,S272)))&amp;IF(T272="","",IF(OR(INDEX(MATCHER!$J$5:$J$504,T272)="",INDEX(MATCHER!$J$5:$J$504,T272)=IFERROR(INDEX(MATCHER!$J$5:$J$504,R272),""),INDEX(MATCHER!$J$5:$J$504,T272)=IFERROR(INDEX(MATCHER!$J$5:$J$504,S272),"")),""," / "&amp;INDEX(MATCHER!$J$5:$J$504,T272)))&amp;IF(AF272="","",IF(OR(INDEX(MATCHER!$J$5:$J$504,AF272)="",INDEX(MATCHER!$J$5:$J$504,AF272)=IFERROR(INDEX(MATCHER!$J$5:$J$504,R272),""),INDEX(MATCHER!$J$5:$J$504,AF272)=IFERROR(INDEX(MATCHER!$J$5:$J$504,S272),""),INDEX(MATCHER!$J$5:$J$504,AF272)=IFERROR(INDEX(MATCHER!$J$5:$J$504,T272),"")),""," / "&amp;INDEX(MATCHER!$J$5:$J$504,AF272))),4,1000)</f>
        <v>F14</v>
      </c>
      <c r="H272" s="45" t="str">
        <f t="shared" si="60"/>
        <v>F12, F13, F14</v>
      </c>
      <c r="I272" s="46" t="s">
        <v>90</v>
      </c>
      <c r="J272" s="47" t="s">
        <v>97</v>
      </c>
      <c r="K272" s="48"/>
      <c r="L272" s="49"/>
      <c r="M272" s="50" t="str">
        <f>IF(O272&lt;&gt;O271,MAX(1,MIN(AA272,ROUNDUP(SUMPRODUCT(($O$5:$O$546=O272)*($I$5:$I$546="Ja")*($E$5:$E$546-$D$5:$D$546))*24/REGLER!$B$8,0))),"")</f>
        <v/>
      </c>
      <c r="N272" s="50" t="str">
        <f t="shared" si="62"/>
        <v>Klar</v>
      </c>
      <c r="O272" s="15" t="s">
        <v>131</v>
      </c>
      <c r="P272" s="16">
        <v>0.46875</v>
      </c>
      <c r="Q272" s="16">
        <v>0.77083333333333304</v>
      </c>
      <c r="R272" s="15">
        <f>IFERROR(MATCH(1,INDEX((MATCHER!$B$5:$B$504=A272)*(MATCHER!$D$5:$D$504=C272)*(MATCHER!$K$5:$K$504="Ja")*(MATCHER!$C$5:$C$504&lt;E272)*(MATCHER!$M$5:$M$504&gt;D272),0),0),"")</f>
        <v>97</v>
      </c>
      <c r="S272" s="15" t="str">
        <f>IF(R272="","",IFERROR(MATCH(1,INDEX((MATCHER!$B$5:$B$504=A272)*(MATCHER!$D$5:$D$504=C272)*(MATCHER!$K$5:$K$504="Ja")*(MATCHER!$C$5:$C$504&lt;E272)*(MATCHER!$M$5:$M$504&gt;D272)*(ROW(MATCHER!$A$5:$A$504)-ROW(MATCHER!$A$5)+1&gt;R272),0),0),""))</f>
        <v/>
      </c>
      <c r="T272" s="15" t="str">
        <f>IF(S272="","",IFERROR(MATCH(1,INDEX((MATCHER!$B$5:$B$504=A272)*(MATCHER!$D$5:$D$504=C272)*(MATCHER!$K$5:$K$504="Ja")*(MATCHER!$C$5:$C$504&lt;E272)*(MATCHER!$M$5:$M$504&gt;D272)*(ROW(MATCHER!$A$5:$A$504)-ROW(MATCHER!$A$5)+1&gt;S272),0),0),""))</f>
        <v/>
      </c>
      <c r="U272" s="15">
        <f t="shared" si="63"/>
        <v>0</v>
      </c>
      <c r="V272" s="15">
        <f>IF(OR(I272&lt;&gt;"Ja",J272=""),"",COUNTIFS($O$5:O272,O272,$U$5:U272,1))</f>
        <v>2</v>
      </c>
      <c r="W272" s="15" t="str">
        <f t="shared" si="64"/>
        <v>2026-11-28 | Ulriksdalshallen|2</v>
      </c>
      <c r="X272" s="16" t="str">
        <f t="shared" si="65"/>
        <v/>
      </c>
      <c r="Y272" s="15">
        <f>IF(OR(I272&lt;&gt;"Ja",J272=""),0,IF(COUNTIFS($O$5:O272,O272,$I$5:I272,"Ja",$J$5:J272,"&lt;&gt;")=1,1,0))</f>
        <v>0</v>
      </c>
      <c r="Z272" s="15">
        <f>IF(OR(I272&lt;&gt;"Ja",J272=""),0,IF(COUNTIFS(O272:$O$546,O272,I272:$I$546,"Ja",J272:$J$546,"&lt;&gt;")=1,1,0))</f>
        <v>0</v>
      </c>
      <c r="AA272" s="15">
        <f t="shared" si="61"/>
        <v>3</v>
      </c>
      <c r="AB272" s="15" t="str">
        <f>IF(U272&lt;&gt;1,"",COUNTIF($U$5:U272,1))</f>
        <v/>
      </c>
      <c r="AC272" s="15" t="str">
        <f t="shared" si="66"/>
        <v/>
      </c>
      <c r="AD272" s="15" t="str">
        <f t="shared" si="67"/>
        <v>Vanligt café</v>
      </c>
      <c r="AE272" s="15" t="str">
        <f t="shared" si="68"/>
        <v/>
      </c>
      <c r="AF272" t="str">
        <f>IF(T272="","",IFERROR(MATCH(1,INDEX((MATCHER!$B$5:$B$504=A272)*(MATCHER!$D$5:$D$504=C272)*(MATCHER!$K$5:$K$504="Ja")*(MATCHER!$C$5:$C$504&lt;E272)*(MATCHER!$M$5:$M$504&gt;D272)*(ROW(MATCHER!$A$5:$A$504)-ROW(MATCHER!$A$5)+1&gt;T272),0),0),""))</f>
        <v/>
      </c>
    </row>
    <row r="273" spans="1:32" ht="26.5" thickBot="1">
      <c r="A273" s="52">
        <v>46354</v>
      </c>
      <c r="B273" s="53" t="s">
        <v>85</v>
      </c>
      <c r="C273" s="53" t="s">
        <v>86</v>
      </c>
      <c r="D273" s="54">
        <v>0.75</v>
      </c>
      <c r="E273" s="54">
        <v>0.77083333333333304</v>
      </c>
      <c r="F273" s="55" t="str">
        <f>IF(R273="","",HOUR(INDEX(MATCHER!$C$5:$C$504,R273))&amp;":"&amp;IF(MINUTE(INDEX(MATCHER!$C$5:$C$504,R273))&lt;10,"0","")&amp;MINUTE(INDEX(MATCHER!$C$5:$C$504,R273))&amp;" "&amp;INDEX(MATCHER!$H$5:$H$504,R273)&amp;" – "&amp;INDEX(MATCHER!$I$5:$I$504,R273))&amp;IF(S273="",""," | "&amp;HOUR(INDEX(MATCHER!$C$5:$C$504,S273))&amp;":"&amp;IF(MINUTE(INDEX(MATCHER!$C$5:$C$504,S273))&lt;10,"0","")&amp;MINUTE(INDEX(MATCHER!$C$5:$C$504,S273))&amp;" "&amp;INDEX(MATCHER!$H$5:$H$504,S273)&amp;" – "&amp;INDEX(MATCHER!$I$5:$I$504,S273))&amp;IF(T273="",""," | "&amp;HOUR(INDEX(MATCHER!$C$5:$C$504,T273))&amp;":"&amp;IF(MINUTE(INDEX(MATCHER!$C$5:$C$504,T273))&lt;10,"0","")&amp;MINUTE(INDEX(MATCHER!$C$5:$C$504,T273))&amp;" "&amp;INDEX(MATCHER!$H$5:$H$504,T273)&amp;" – "&amp;INDEX(MATCHER!$I$5:$I$504,T273))&amp;IF(AF273="",""," | "&amp;HOUR(INDEX(MATCHER!$C$5:$C$504,AF273))&amp;":"&amp;IF(MINUTE(INDEX(MATCHER!$C$5:$C$504,AF273))&lt;10,"0","")&amp;MINUTE(INDEX(MATCHER!$C$5:$C$504,AF273))&amp;" "&amp;INDEX(MATCHER!$H$5:$H$504,AF273)&amp;" – "&amp;INDEX(MATCHER!$I$5:$I$504,AF273))</f>
        <v>17:30 AIK – Täby HBK 2</v>
      </c>
      <c r="G273" s="55" t="str">
        <f>MID(IF(R273="","",IF(OR(INDEX(MATCHER!$J$5:$J$504,R273)=""),""," / "&amp;INDEX(MATCHER!$J$5:$J$504,R273)))&amp;IF(S273="","",IF(OR(INDEX(MATCHER!$J$5:$J$504,S273)="",INDEX(MATCHER!$J$5:$J$504,S273)=IFERROR(INDEX(MATCHER!$J$5:$J$504,R273),"")),""," / "&amp;INDEX(MATCHER!$J$5:$J$504,S273)))&amp;IF(T273="","",IF(OR(INDEX(MATCHER!$J$5:$J$504,T273)="",INDEX(MATCHER!$J$5:$J$504,T273)=IFERROR(INDEX(MATCHER!$J$5:$J$504,R273),""),INDEX(MATCHER!$J$5:$J$504,T273)=IFERROR(INDEX(MATCHER!$J$5:$J$504,S273),"")),""," / "&amp;INDEX(MATCHER!$J$5:$J$504,T273)))&amp;IF(AF273="","",IF(OR(INDEX(MATCHER!$J$5:$J$504,AF273)="",INDEX(MATCHER!$J$5:$J$504,AF273)=IFERROR(INDEX(MATCHER!$J$5:$J$504,R273),""),INDEX(MATCHER!$J$5:$J$504,AF273)=IFERROR(INDEX(MATCHER!$J$5:$J$504,S273),""),INDEX(MATCHER!$J$5:$J$504,AF273)=IFERROR(INDEX(MATCHER!$J$5:$J$504,T273),"")),""," / "&amp;INDEX(MATCHER!$J$5:$J$504,AF273))),4,1000)</f>
        <v>F14</v>
      </c>
      <c r="H273" s="55" t="str">
        <f t="shared" si="60"/>
        <v>F12, F13, F14</v>
      </c>
      <c r="I273" s="56" t="s">
        <v>90</v>
      </c>
      <c r="J273" s="57" t="s">
        <v>97</v>
      </c>
      <c r="K273" s="58"/>
      <c r="L273" s="59"/>
      <c r="M273" s="60" t="str">
        <f>IF(O273&lt;&gt;O272,MAX(1,MIN(AA273,ROUNDUP(SUMPRODUCT(($O$5:$O$546=O273)*($I$5:$I$546="Ja")*($E$5:$E$546-$D$5:$D$546))*24/REGLER!$B$8,0))),"")</f>
        <v/>
      </c>
      <c r="N273" s="60" t="str">
        <f t="shared" si="62"/>
        <v>Klar</v>
      </c>
      <c r="O273" s="15" t="s">
        <v>131</v>
      </c>
      <c r="P273" s="16">
        <v>0.46875</v>
      </c>
      <c r="Q273" s="16">
        <v>0.77083333333333304</v>
      </c>
      <c r="R273" s="15">
        <f>IFERROR(MATCH(1,INDEX((MATCHER!$B$5:$B$504=A273)*(MATCHER!$D$5:$D$504=C273)*(MATCHER!$K$5:$K$504="Ja")*(MATCHER!$C$5:$C$504&lt;E273)*(MATCHER!$M$5:$M$504&gt;D273),0),0),"")</f>
        <v>97</v>
      </c>
      <c r="S273" s="15" t="str">
        <f>IF(R273="","",IFERROR(MATCH(1,INDEX((MATCHER!$B$5:$B$504=A273)*(MATCHER!$D$5:$D$504=C273)*(MATCHER!$K$5:$K$504="Ja")*(MATCHER!$C$5:$C$504&lt;E273)*(MATCHER!$M$5:$M$504&gt;D273)*(ROW(MATCHER!$A$5:$A$504)-ROW(MATCHER!$A$5)+1&gt;R273),0),0),""))</f>
        <v/>
      </c>
      <c r="T273" s="15" t="str">
        <f>IF(S273="","",IFERROR(MATCH(1,INDEX((MATCHER!$B$5:$B$504=A273)*(MATCHER!$D$5:$D$504=C273)*(MATCHER!$K$5:$K$504="Ja")*(MATCHER!$C$5:$C$504&lt;E273)*(MATCHER!$M$5:$M$504&gt;D273)*(ROW(MATCHER!$A$5:$A$504)-ROW(MATCHER!$A$5)+1&gt;S273),0),0),""))</f>
        <v/>
      </c>
      <c r="U273" s="15">
        <f t="shared" si="63"/>
        <v>0</v>
      </c>
      <c r="V273" s="15">
        <f>IF(OR(I273&lt;&gt;"Ja",J273=""),"",COUNTIFS($O$5:O273,O273,$U$5:U273,1))</f>
        <v>2</v>
      </c>
      <c r="W273" s="15" t="str">
        <f t="shared" si="64"/>
        <v>2026-11-28 | Ulriksdalshallen|2</v>
      </c>
      <c r="X273" s="16">
        <f t="shared" si="65"/>
        <v>0.77083333333333304</v>
      </c>
      <c r="Y273" s="15">
        <f>IF(OR(I273&lt;&gt;"Ja",J273=""),0,IF(COUNTIFS($O$5:O273,O273,$I$5:I273,"Ja",$J$5:J273,"&lt;&gt;")=1,1,0))</f>
        <v>0</v>
      </c>
      <c r="Z273" s="15">
        <f>IF(OR(I273&lt;&gt;"Ja",J273=""),0,IF(COUNTIFS(O273:$O$546,O273,I273:$I$546,"Ja",J273:$J$546,"&lt;&gt;")=1,1,0))</f>
        <v>1</v>
      </c>
      <c r="AA273" s="15">
        <f t="shared" si="61"/>
        <v>3</v>
      </c>
      <c r="AB273" s="15" t="str">
        <f>IF(U273&lt;&gt;1,"",COUNTIF($U$5:U273,1))</f>
        <v/>
      </c>
      <c r="AC273" s="15" t="str">
        <f t="shared" si="66"/>
        <v>2026-11-28 | Ulriksdalshallen|2</v>
      </c>
      <c r="AD273" s="15" t="str">
        <f t="shared" si="67"/>
        <v>Vanligt café</v>
      </c>
      <c r="AE273" s="15" t="str">
        <f t="shared" si="68"/>
        <v/>
      </c>
      <c r="AF273" t="str">
        <f>IF(T273="","",IFERROR(MATCH(1,INDEX((MATCHER!$B$5:$B$504=A273)*(MATCHER!$D$5:$D$504=C273)*(MATCHER!$K$5:$K$504="Ja")*(MATCHER!$C$5:$C$504&lt;E273)*(MATCHER!$M$5:$M$504&gt;D273)*(ROW(MATCHER!$A$5:$A$504)-ROW(MATCHER!$A$5)+1&gt;T273),0),0),""))</f>
        <v/>
      </c>
    </row>
    <row r="274" spans="1:32" ht="13">
      <c r="A274" s="42">
        <v>46357</v>
      </c>
      <c r="B274" s="43" t="s">
        <v>104</v>
      </c>
      <c r="C274" s="43" t="s">
        <v>94</v>
      </c>
      <c r="D274" s="44">
        <v>0.83333333333333304</v>
      </c>
      <c r="E274" s="44">
        <v>0.85416666666666696</v>
      </c>
      <c r="F274" s="45" t="str">
        <f>IF(R274="","",HOUR(INDEX(MATCHER!$C$5:$C$504,R274))&amp;":"&amp;IF(MINUTE(INDEX(MATCHER!$C$5:$C$504,R274))&lt;10,"0","")&amp;MINUTE(INDEX(MATCHER!$C$5:$C$504,R274))&amp;" "&amp;INDEX(MATCHER!$H$5:$H$504,R274)&amp;" – "&amp;INDEX(MATCHER!$I$5:$I$504,R274))&amp;IF(S274="",""," | "&amp;HOUR(INDEX(MATCHER!$C$5:$C$504,S274))&amp;":"&amp;IF(MINUTE(INDEX(MATCHER!$C$5:$C$504,S274))&lt;10,"0","")&amp;MINUTE(INDEX(MATCHER!$C$5:$C$504,S274))&amp;" "&amp;INDEX(MATCHER!$H$5:$H$504,S274)&amp;" – "&amp;INDEX(MATCHER!$I$5:$I$504,S274))&amp;IF(T274="",""," | "&amp;HOUR(INDEX(MATCHER!$C$5:$C$504,T274))&amp;":"&amp;IF(MINUTE(INDEX(MATCHER!$C$5:$C$504,T274))&lt;10,"0","")&amp;MINUTE(INDEX(MATCHER!$C$5:$C$504,T274))&amp;" "&amp;INDEX(MATCHER!$H$5:$H$504,T274)&amp;" – "&amp;INDEX(MATCHER!$I$5:$I$504,T274))&amp;IF(AF274="",""," | "&amp;HOUR(INDEX(MATCHER!$C$5:$C$504,AF274))&amp;":"&amp;IF(MINUTE(INDEX(MATCHER!$C$5:$C$504,AF274))&lt;10,"0","")&amp;MINUTE(INDEX(MATCHER!$C$5:$C$504,AF274))&amp;" "&amp;INDEX(MATCHER!$H$5:$H$504,AF274)&amp;" – "&amp;INDEX(MATCHER!$I$5:$I$504,AF274))</f>
        <v/>
      </c>
      <c r="G274" s="45" t="str">
        <f>MID(IF(R274="","",IF(OR(INDEX(MATCHER!$J$5:$J$504,R274)=""),""," / "&amp;INDEX(MATCHER!$J$5:$J$504,R274)))&amp;IF(S274="","",IF(OR(INDEX(MATCHER!$J$5:$J$504,S274)="",INDEX(MATCHER!$J$5:$J$504,S274)=IFERROR(INDEX(MATCHER!$J$5:$J$504,R274),"")),""," / "&amp;INDEX(MATCHER!$J$5:$J$504,S274)))&amp;IF(T274="","",IF(OR(INDEX(MATCHER!$J$5:$J$504,T274)="",INDEX(MATCHER!$J$5:$J$504,T274)=IFERROR(INDEX(MATCHER!$J$5:$J$504,R274),""),INDEX(MATCHER!$J$5:$J$504,T274)=IFERROR(INDEX(MATCHER!$J$5:$J$504,S274),"")),""," / "&amp;INDEX(MATCHER!$J$5:$J$504,T274)))&amp;IF(AF274="","",IF(OR(INDEX(MATCHER!$J$5:$J$504,AF274)="",INDEX(MATCHER!$J$5:$J$504,AF274)=IFERROR(INDEX(MATCHER!$J$5:$J$504,R274),""),INDEX(MATCHER!$J$5:$J$504,AF274)=IFERROR(INDEX(MATCHER!$J$5:$J$504,S274),""),INDEX(MATCHER!$J$5:$J$504,AF274)=IFERROR(INDEX(MATCHER!$J$5:$J$504,T274),"")),""," / "&amp;INDEX(MATCHER!$J$5:$J$504,AF274))),4,1000)</f>
        <v/>
      </c>
      <c r="H274" s="45" t="str">
        <f>MID(IF(COUNTIFS(MATCHER!$B$5:$B$504,A274,MATCHER!$D$5:$D$504,C274,MATCHER!$J$5:$J$504,REGLER!$I$6,MATCHER!$K$5:$K$504,"Ja")+COUNTIFS(MATCHER!$B$5:$B$504,A274,MATCHER!$D$5:$D$504,C274,MATCHER!$J$5:$J$504,REGLER!$I$6&amp;" 2",MATCHER!$K$5:$K$504,"Ja")&gt;0,", "&amp;REGLER!$I$6,"")&amp;IF(COUNTIFS(MATCHER!$B$5:$B$504,A274,MATCHER!$D$5:$D$504,C274,MATCHER!$J$5:$J$504,REGLER!$I$7,MATCHER!$K$5:$K$504,"Ja")+COUNTIFS(MATCHER!$B$5:$B$504,A274,MATCHER!$D$5:$D$504,C274,MATCHER!$J$5:$J$504,REGLER!$I$7&amp;" 2",MATCHER!$K$5:$K$504,"Ja")&gt;0,", "&amp;REGLER!$I$7,"")&amp;IF(COUNTIFS(MATCHER!$B$5:$B$504,A274,MATCHER!$D$5:$D$504,C274,MATCHER!$J$5:$J$504,REGLER!$I$8,MATCHER!$K$5:$K$504,"Ja")+COUNTIFS(MATCHER!$B$5:$B$504,A274,MATCHER!$D$5:$D$504,C274,MATCHER!$J$5:$J$504,REGLER!$I$8&amp;" 2",MATCHER!$K$5:$K$504,"Ja")&gt;0,", "&amp;REGLER!$I$8,"")&amp;IF(COUNTIFS(MATCHER!$B$5:$B$504,A274,MATCHER!$D$5:$D$504,C274,MATCHER!$J$5:$J$504,REGLER!$I$9,MATCHER!$K$5:$K$504,"Ja")+COUNTIFS(MATCHER!$B$5:$B$504,A274,MATCHER!$D$5:$D$504,C274,MATCHER!$J$5:$J$504,REGLER!$I$9&amp;" 2",MATCHER!$K$5:$K$504,"Ja")&gt;0,", "&amp;REGLER!$I$9,"")&amp;IF(COUNTIFS(MATCHER!$B$5:$B$504,A274,MATCHER!$D$5:$D$504,C274,MATCHER!$J$5:$J$504,REGLER!$I$10,MATCHER!$K$5:$K$504,"Ja")+COUNTIFS(MATCHER!$B$5:$B$504,A274,MATCHER!$D$5:$D$504,C274,MATCHER!$J$5:$J$504,REGLER!$I$10&amp;" 2",MATCHER!$K$5:$K$504,"Ja")&gt;0,", "&amp;REGLER!$I$10,"")&amp;IF(COUNTIFS(MATCHER!$B$5:$B$504,A274,MATCHER!$D$5:$D$504,C274,MATCHER!$J$5:$J$504,REGLER!$I$11,MATCHER!$K$5:$K$504,"Ja")+COUNTIFS(MATCHER!$B$5:$B$504,A274,MATCHER!$D$5:$D$504,C274,MATCHER!$J$5:$J$504,REGLER!$I$11&amp;" 2",MATCHER!$K$5:$K$504,"Ja")&gt;0,", "&amp;REGLER!$I$11,"")&amp;IF(COUNTIFS(MATCHER!$B$5:$B$504,A274,MATCHER!$D$5:$D$504,C274,MATCHER!$J$5:$J$504,REGLER!$I$12,MATCHER!$K$5:$K$504,"Ja")+COUNTIFS(MATCHER!$B$5:$B$504,A274,MATCHER!$D$5:$D$504,C274,MATCHER!$J$5:$J$504,REGLER!$I$12&amp;" 2",MATCHER!$K$5:$K$504,"Ja")&gt;0,", "&amp;REGLER!$I$12,"")&amp;IF(COUNTIFS(MATCHER!$B$5:$B$504,A274,MATCHER!$D$5:$D$504,C274,MATCHER!$J$5:$J$504,REGLER!$I$13,MATCHER!$K$5:$K$504,"Ja")+COUNTIFS(MATCHER!$B$5:$B$504,A274,MATCHER!$D$5:$D$504,C274,MATCHER!$J$5:$J$504,REGLER!$I$13&amp;" 2",MATCHER!$K$5:$K$504,"Ja")&gt;0,", "&amp;REGLER!$I$13,"")&amp;IF(COUNTIFS(MATCHER!$B$5:$B$504,A274,MATCHER!$D$5:$D$504,C274,MATCHER!$J$5:$J$504,REGLER!$I$14,MATCHER!$K$5:$K$504,"Ja")+COUNTIFS(MATCHER!$B$5:$B$504,A274,MATCHER!$D$5:$D$504,C274,MATCHER!$J$5:$J$504,REGLER!$I$14&amp;" 2",MATCHER!$K$5:$K$504,"Ja")&gt;0,", "&amp;REGLER!$I$14,"")&amp;IF(COUNTIFS(MATCHER!$B$5:$B$504,A274,MATCHER!$D$5:$D$504,C274,MATCHER!$J$5:$J$504,REGLER!$I$15,MATCHER!$K$5:$K$504,"Ja")+COUNTIFS(MATCHER!$B$5:$B$504,A274,MATCHER!$D$5:$D$504,C274,MATCHER!$J$5:$J$504,REGLER!$I$15&amp;" 2",MATCHER!$K$5:$K$504,"Ja")&gt;0,", "&amp;REGLER!$I$15,"")&amp;IF(COUNTIFS(MATCHER!$B$5:$B$504,A274,MATCHER!$D$5:$D$504,C274,MATCHER!$J$5:$J$504,REGLER!$I$16,MATCHER!$K$5:$K$504,"Ja")+COUNTIFS(MATCHER!$B$5:$B$504,A274,MATCHER!$D$5:$D$504,C274,MATCHER!$J$5:$J$504,REGLER!$I$16&amp;" 2",MATCHER!$K$5:$K$504,"Ja")&gt;0,", "&amp;REGLER!$I$16,"")&amp;IF(COUNTIFS(MATCHER!$B$5:$B$504,A274,MATCHER!$D$5:$D$504,C274,MATCHER!$J$5:$J$504,REGLER!$I$17,MATCHER!$K$5:$K$504,"Ja")+COUNTIFS(MATCHER!$B$5:$B$504,A274,MATCHER!$D$5:$D$504,C274,MATCHER!$J$5:$J$504,REGLER!$I$17&amp;" 2",MATCHER!$K$5:$K$504,"Ja")&gt;0,", "&amp;REGLER!$I$17,"")&amp;IF(COUNTIFS(MATCHER!$B$5:$B$504,A274,MATCHER!$D$5:$D$504,C274,MATCHER!$J$5:$J$504,REGLER!$I$18,MATCHER!$K$5:$K$504,"Ja")+COUNTIFS(MATCHER!$B$5:$B$504,A274,MATCHER!$D$5:$D$504,C274,MATCHER!$J$5:$J$504,REGLER!$I$18&amp;" 2",MATCHER!$K$5:$K$504,"Ja")&gt;0,", "&amp;REGLER!$I$18,"")&amp;IF(COUNTIFS(MATCHER!$B$5:$B$504,A274,MATCHER!$D$5:$D$504,C274,MATCHER!$J$5:$J$504,REGLER!$I$19,MATCHER!$K$5:$K$504,"Ja")+COUNTIFS(MATCHER!$B$5:$B$504,A274,MATCHER!$D$5:$D$504,C274,MATCHER!$J$5:$J$504,REGLER!$I$19&amp;" 2",MATCHER!$K$5:$K$504,"Ja")&gt;0,", "&amp;REGLER!$I$19,"")&amp;IF(COUNTIFS(MATCHER!$B$5:$B$504,A274,MATCHER!$D$5:$D$504,C274,MATCHER!$J$5:$J$504,REGLER!$I$20,MATCHER!$K$5:$K$504,"Ja")+COUNTIFS(MATCHER!$B$5:$B$504,A274,MATCHER!$D$5:$D$504,C274,MATCHER!$J$5:$J$504,REGLER!$I$20&amp;" 2",MATCHER!$K$5:$K$504,"Ja")&gt;0,", "&amp;REGLER!$I$20,"")&amp;IF(COUNTIFS(MATCHER!$B$5:$B$504,A274,MATCHER!$D$5:$D$504,C274,MATCHER!$J$5:$J$504,REGLER!$I$21,MATCHER!$K$5:$K$504,"Ja")+COUNTIFS(MATCHER!$B$5:$B$504,A274,MATCHER!$D$5:$D$504,C274,MATCHER!$J$5:$J$504,REGLER!$I$21&amp;" 2",MATCHER!$K$5:$K$504,"Ja")&gt;0,", "&amp;REGLER!$I$21,"")&amp;IF(COUNTIFS(MATCHER!$B$5:$B$504,A274,MATCHER!$D$5:$D$504,C274,MATCHER!$J$5:$J$504,REGLER!$I$22,MATCHER!$K$5:$K$504,"Ja")+COUNTIFS(MATCHER!$B$5:$B$504,A274,MATCHER!$D$5:$D$504,C274,MATCHER!$J$5:$J$504,REGLER!$I$22&amp;" 2",MATCHER!$K$5:$K$504,"Ja")&gt;0,", "&amp;REGLER!$I$22,"")&amp;IF(COUNTIFS(MATCHER!$B$5:$B$504,A274,MATCHER!$D$5:$D$504,C274,MATCHER!$J$5:$J$504,REGLER!$I$23,MATCHER!$K$5:$K$504,"Ja")+COUNTIFS(MATCHER!$B$5:$B$504,A274,MATCHER!$D$5:$D$504,C274,MATCHER!$J$5:$J$504,REGLER!$I$23&amp;" 2",MATCHER!$K$5:$K$504,"Ja")&gt;0,", "&amp;REGLER!$I$23,"")&amp;IF(COUNTIFS(MATCHER!$B$5:$B$504,A274,MATCHER!$D$5:$D$504,C274,MATCHER!$J$5:$J$504,REGLER!$I$24,MATCHER!$K$5:$K$504,"Ja")+COUNTIFS(MATCHER!$B$5:$B$504,A274,MATCHER!$D$5:$D$504,C274,MATCHER!$J$5:$J$504,REGLER!$I$24&amp;" 2",MATCHER!$K$5:$K$504,"Ja")&gt;0,", "&amp;REGLER!$I$24,"")&amp;IF(COUNTIFS(MATCHER!$B$5:$B$504,A274,MATCHER!$D$5:$D$504,C274,MATCHER!$J$5:$J$504,REGLER!$I$25,MATCHER!$K$5:$K$504,"Ja")+COUNTIFS(MATCHER!$B$5:$B$504,A274,MATCHER!$D$5:$D$504,C274,MATCHER!$J$5:$J$504,REGLER!$I$25&amp;" 2",MATCHER!$K$5:$K$504,"Ja")&gt;0,", "&amp;REGLER!$I$25,"")&amp;IF(COUNTIFS(MATCHER!$B$5:$B$504,A274,MATCHER!$D$5:$D$504,C274,MATCHER!$J$5:$J$504,REGLER!$I$26,MATCHER!$K$5:$K$504,"Ja")+COUNTIFS(MATCHER!$B$5:$B$504,A274,MATCHER!$D$5:$D$504,C274,MATCHER!$J$5:$J$504,REGLER!$I$26&amp;" 2",MATCHER!$K$5:$K$504,"Ja")&gt;0,", "&amp;REGLER!$I$26,""),3,1000)</f>
        <v>F19</v>
      </c>
      <c r="I274" s="46" t="s">
        <v>90</v>
      </c>
      <c r="J274" s="47" t="s">
        <v>105</v>
      </c>
      <c r="K274" s="48" t="s">
        <v>98</v>
      </c>
      <c r="L274" s="49"/>
      <c r="M274" s="50">
        <f>IF(O274&lt;&gt;O273,MAX(1,MIN(AA274,ROUNDUP(SUMPRODUCT(($O$5:$O$546=O274)*($I$5:$I$546="Ja")*($E$5:$E$546-$D$5:$D$546))*24/REGLER!$B$8,0))),"")</f>
        <v>1</v>
      </c>
      <c r="N274" s="50" t="str">
        <f t="shared" si="62"/>
        <v>Klar</v>
      </c>
      <c r="O274" s="15" t="s">
        <v>132</v>
      </c>
      <c r="P274" s="16">
        <v>0.83333333333333304</v>
      </c>
      <c r="Q274" s="16">
        <v>0.91666666666666696</v>
      </c>
      <c r="R274" s="15" t="str">
        <f>IFERROR(MATCH(1,INDEX((MATCHER!$B$5:$B$504=A274)*(MATCHER!$D$5:$D$504=C274)*(MATCHER!$K$5:$K$504="Ja")*(MATCHER!$C$5:$C$504&lt;E274)*(MATCHER!$M$5:$M$504&gt;D274),0),0),"")</f>
        <v/>
      </c>
      <c r="S274" s="15" t="str">
        <f>IF(R274="","",IFERROR(MATCH(1,INDEX((MATCHER!$B$5:$B$504=A274)*(MATCHER!$D$5:$D$504=C274)*(MATCHER!$K$5:$K$504="Ja")*(MATCHER!$C$5:$C$504&lt;E274)*(MATCHER!$M$5:$M$504&gt;D274)*(ROW(MATCHER!$A$5:$A$504)-ROW(MATCHER!$A$5)+1&gt;R274),0),0),""))</f>
        <v/>
      </c>
      <c r="T274" s="15" t="str">
        <f>IF(S274="","",IFERROR(MATCH(1,INDEX((MATCHER!$B$5:$B$504=A274)*(MATCHER!$D$5:$D$504=C274)*(MATCHER!$K$5:$K$504="Ja")*(MATCHER!$C$5:$C$504&lt;E274)*(MATCHER!$M$5:$M$504&gt;D274)*(ROW(MATCHER!$A$5:$A$504)-ROW(MATCHER!$A$5)+1&gt;S274),0),0),""))</f>
        <v/>
      </c>
      <c r="U274" s="15">
        <f t="shared" si="63"/>
        <v>1</v>
      </c>
      <c r="V274" s="15">
        <f>IF(OR(I274&lt;&gt;"Ja",J274=""),"",COUNTIFS($O$5:O274,O274,$U$5:U274,1))</f>
        <v>1</v>
      </c>
      <c r="W274" s="15" t="str">
        <f t="shared" si="64"/>
        <v>2026-12-01 | Råsta Park|1</v>
      </c>
      <c r="X274" s="16" t="str">
        <f t="shared" si="65"/>
        <v/>
      </c>
      <c r="Y274" s="15">
        <f>IF(OR(I274&lt;&gt;"Ja",J274=""),0,IF(COUNTIFS($O$5:O274,O274,$I$5:I274,"Ja",$J$5:J274,"&lt;&gt;")=1,1,0))</f>
        <v>1</v>
      </c>
      <c r="Z274" s="15">
        <f>IF(OR(I274&lt;&gt;"Ja",J274=""),0,IF(COUNTIFS(O274:$O$546,O274,I274:$I$546,"Ja",J274:$J$546,"&lt;&gt;")=1,1,0))</f>
        <v>0</v>
      </c>
      <c r="AA274" s="15">
        <f>IF(COUNTIFS(MATCHER!$B$5:$B$504,A274,MATCHER!$D$5:$D$504,C274,MATCHER!$J$5:$J$504,REGLER!$I$6,MATCHER!$K$5:$K$504,"Ja")+COUNTIFS(MATCHER!$B$5:$B$504,A274,MATCHER!$D$5:$D$504,C274,MATCHER!$J$5:$J$504,REGLER!$I$6&amp;" 2",MATCHER!$K$5:$K$504,"Ja")&gt;0,1,0)+IF(COUNTIFS(MATCHER!$B$5:$B$504,A274,MATCHER!$D$5:$D$504,C274,MATCHER!$J$5:$J$504,REGLER!$I$7,MATCHER!$K$5:$K$504,"Ja")+COUNTIFS(MATCHER!$B$5:$B$504,A274,MATCHER!$D$5:$D$504,C274,MATCHER!$J$5:$J$504,REGLER!$I$7&amp;" 2",MATCHER!$K$5:$K$504,"Ja")&gt;0,1,0)+IF(COUNTIFS(MATCHER!$B$5:$B$504,A274,MATCHER!$D$5:$D$504,C274,MATCHER!$J$5:$J$504,REGLER!$I$8,MATCHER!$K$5:$K$504,"Ja")+COUNTIFS(MATCHER!$B$5:$B$504,A274,MATCHER!$D$5:$D$504,C274,MATCHER!$J$5:$J$504,REGLER!$I$8&amp;" 2",MATCHER!$K$5:$K$504,"Ja")&gt;0,1,0)+IF(COUNTIFS(MATCHER!$B$5:$B$504,A274,MATCHER!$D$5:$D$504,C274,MATCHER!$J$5:$J$504,REGLER!$I$9,MATCHER!$K$5:$K$504,"Ja")+COUNTIFS(MATCHER!$B$5:$B$504,A274,MATCHER!$D$5:$D$504,C274,MATCHER!$J$5:$J$504,REGLER!$I$9&amp;" 2",MATCHER!$K$5:$K$504,"Ja")&gt;0,1,0)+IF(COUNTIFS(MATCHER!$B$5:$B$504,A274,MATCHER!$D$5:$D$504,C274,MATCHER!$J$5:$J$504,REGLER!$I$10,MATCHER!$K$5:$K$504,"Ja")+COUNTIFS(MATCHER!$B$5:$B$504,A274,MATCHER!$D$5:$D$504,C274,MATCHER!$J$5:$J$504,REGLER!$I$10&amp;" 2",MATCHER!$K$5:$K$504,"Ja")&gt;0,1,0)+IF(COUNTIFS(MATCHER!$B$5:$B$504,A274,MATCHER!$D$5:$D$504,C274,MATCHER!$J$5:$J$504,REGLER!$I$11,MATCHER!$K$5:$K$504,"Ja")+COUNTIFS(MATCHER!$B$5:$B$504,A274,MATCHER!$D$5:$D$504,C274,MATCHER!$J$5:$J$504,REGLER!$I$11&amp;" 2",MATCHER!$K$5:$K$504,"Ja")&gt;0,1,0)+IF(COUNTIFS(MATCHER!$B$5:$B$504,A274,MATCHER!$D$5:$D$504,C274,MATCHER!$J$5:$J$504,REGLER!$I$12,MATCHER!$K$5:$K$504,"Ja")+COUNTIFS(MATCHER!$B$5:$B$504,A274,MATCHER!$D$5:$D$504,C274,MATCHER!$J$5:$J$504,REGLER!$I$12&amp;" 2",MATCHER!$K$5:$K$504,"Ja")&gt;0,1,0)+IF(COUNTIFS(MATCHER!$B$5:$B$504,A274,MATCHER!$D$5:$D$504,C274,MATCHER!$J$5:$J$504,REGLER!$I$13,MATCHER!$K$5:$K$504,"Ja")+COUNTIFS(MATCHER!$B$5:$B$504,A274,MATCHER!$D$5:$D$504,C274,MATCHER!$J$5:$J$504,REGLER!$I$13&amp;" 2",MATCHER!$K$5:$K$504,"Ja")&gt;0,1,0)+IF(COUNTIFS(MATCHER!$B$5:$B$504,A274,MATCHER!$D$5:$D$504,C274,MATCHER!$J$5:$J$504,REGLER!$I$14,MATCHER!$K$5:$K$504,"Ja")+COUNTIFS(MATCHER!$B$5:$B$504,A274,MATCHER!$D$5:$D$504,C274,MATCHER!$J$5:$J$504,REGLER!$I$14&amp;" 2",MATCHER!$K$5:$K$504,"Ja")&gt;0,1,0)+IF(COUNTIFS(MATCHER!$B$5:$B$504,A274,MATCHER!$D$5:$D$504,C274,MATCHER!$J$5:$J$504,REGLER!$I$15,MATCHER!$K$5:$K$504,"Ja")+COUNTIFS(MATCHER!$B$5:$B$504,A274,MATCHER!$D$5:$D$504,C274,MATCHER!$J$5:$J$504,REGLER!$I$15&amp;" 2",MATCHER!$K$5:$K$504,"Ja")&gt;0,1,0)+IF(COUNTIFS(MATCHER!$B$5:$B$504,A274,MATCHER!$D$5:$D$504,C274,MATCHER!$J$5:$J$504,REGLER!$I$16,MATCHER!$K$5:$K$504,"Ja")+COUNTIFS(MATCHER!$B$5:$B$504,A274,MATCHER!$D$5:$D$504,C274,MATCHER!$J$5:$J$504,REGLER!$I$16&amp;" 2",MATCHER!$K$5:$K$504,"Ja")&gt;0,1,0)+IF(COUNTIFS(MATCHER!$B$5:$B$504,A274,MATCHER!$D$5:$D$504,C274,MATCHER!$J$5:$J$504,REGLER!$I$17,MATCHER!$K$5:$K$504,"Ja")+COUNTIFS(MATCHER!$B$5:$B$504,A274,MATCHER!$D$5:$D$504,C274,MATCHER!$J$5:$J$504,REGLER!$I$17&amp;" 2",MATCHER!$K$5:$K$504,"Ja")&gt;0,1,0)+IF(COUNTIFS(MATCHER!$B$5:$B$504,A274,MATCHER!$D$5:$D$504,C274,MATCHER!$J$5:$J$504,REGLER!$I$18,MATCHER!$K$5:$K$504,"Ja")+COUNTIFS(MATCHER!$B$5:$B$504,A274,MATCHER!$D$5:$D$504,C274,MATCHER!$J$5:$J$504,REGLER!$I$18&amp;" 2",MATCHER!$K$5:$K$504,"Ja")&gt;0,1,0)+IF(COUNTIFS(MATCHER!$B$5:$B$504,A274,MATCHER!$D$5:$D$504,C274,MATCHER!$J$5:$J$504,REGLER!$I$19,MATCHER!$K$5:$K$504,"Ja")+COUNTIFS(MATCHER!$B$5:$B$504,A274,MATCHER!$D$5:$D$504,C274,MATCHER!$J$5:$J$504,REGLER!$I$19&amp;" 2",MATCHER!$K$5:$K$504,"Ja")&gt;0,1,0)+IF(COUNTIFS(MATCHER!$B$5:$B$504,A274,MATCHER!$D$5:$D$504,C274,MATCHER!$J$5:$J$504,REGLER!$I$20,MATCHER!$K$5:$K$504,"Ja")+COUNTIFS(MATCHER!$B$5:$B$504,A274,MATCHER!$D$5:$D$504,C274,MATCHER!$J$5:$J$504,REGLER!$I$20&amp;" 2",MATCHER!$K$5:$K$504,"Ja")&gt;0,1,0)+IF(COUNTIFS(MATCHER!$B$5:$B$504,A274,MATCHER!$D$5:$D$504,C274,MATCHER!$J$5:$J$504,REGLER!$I$21,MATCHER!$K$5:$K$504,"Ja")+COUNTIFS(MATCHER!$B$5:$B$504,A274,MATCHER!$D$5:$D$504,C274,MATCHER!$J$5:$J$504,REGLER!$I$21&amp;" 2",MATCHER!$K$5:$K$504,"Ja")&gt;0,1,0)+IF(COUNTIFS(MATCHER!$B$5:$B$504,A274,MATCHER!$D$5:$D$504,C274,MATCHER!$J$5:$J$504,REGLER!$I$22,MATCHER!$K$5:$K$504,"Ja")+COUNTIFS(MATCHER!$B$5:$B$504,A274,MATCHER!$D$5:$D$504,C274,MATCHER!$J$5:$J$504,REGLER!$I$22&amp;" 2",MATCHER!$K$5:$K$504,"Ja")&gt;0,1,0)+IF(COUNTIFS(MATCHER!$B$5:$B$504,A274,MATCHER!$D$5:$D$504,C274,MATCHER!$J$5:$J$504,REGLER!$I$23,MATCHER!$K$5:$K$504,"Ja")+COUNTIFS(MATCHER!$B$5:$B$504,A274,MATCHER!$D$5:$D$504,C274,MATCHER!$J$5:$J$504,REGLER!$I$23&amp;" 2",MATCHER!$K$5:$K$504,"Ja")&gt;0,1,0)+IF(COUNTIFS(MATCHER!$B$5:$B$504,A274,MATCHER!$D$5:$D$504,C274,MATCHER!$J$5:$J$504,REGLER!$I$24,MATCHER!$K$5:$K$504,"Ja")+COUNTIFS(MATCHER!$B$5:$B$504,A274,MATCHER!$D$5:$D$504,C274,MATCHER!$J$5:$J$504,REGLER!$I$24&amp;" 2",MATCHER!$K$5:$K$504,"Ja")&gt;0,1,0)+IF(COUNTIFS(MATCHER!$B$5:$B$504,A274,MATCHER!$D$5:$D$504,C274,MATCHER!$J$5:$J$504,REGLER!$I$25,MATCHER!$K$5:$K$504,"Ja")+COUNTIFS(MATCHER!$B$5:$B$504,A274,MATCHER!$D$5:$D$504,C274,MATCHER!$J$5:$J$504,REGLER!$I$25&amp;" 2",MATCHER!$K$5:$K$504,"Ja")&gt;0,1,0)+IF(COUNTIFS(MATCHER!$B$5:$B$504,A274,MATCHER!$D$5:$D$504,C274,MATCHER!$J$5:$J$504,REGLER!$I$26,MATCHER!$K$5:$K$504,"Ja")+COUNTIFS(MATCHER!$B$5:$B$504,A274,MATCHER!$D$5:$D$504,C274,MATCHER!$J$5:$J$504,REGLER!$I$26&amp;" 2",MATCHER!$K$5:$K$504,"Ja")&gt;0,1,0)</f>
        <v>1</v>
      </c>
      <c r="AB274" s="15">
        <f>IF(U274&lt;&gt;1,"",COUNTIF($U$5:U274,1))</f>
        <v>31</v>
      </c>
      <c r="AC274" s="15" t="str">
        <f t="shared" si="66"/>
        <v/>
      </c>
      <c r="AD274" s="15" t="str">
        <f t="shared" si="67"/>
        <v>Minicafé</v>
      </c>
      <c r="AE274" s="15">
        <f t="shared" si="68"/>
        <v>2.0000000000000142</v>
      </c>
      <c r="AF274" t="str">
        <f>IF(T274="","",IFERROR(MATCH(1,INDEX((MATCHER!$B$5:$B$504=A274)*(MATCHER!$D$5:$D$504=C274)*(MATCHER!$K$5:$K$504="Ja")*(MATCHER!$C$5:$C$504&lt;E274)*(MATCHER!$M$5:$M$504&gt;D274)*(ROW(MATCHER!$A$5:$A$504)-ROW(MATCHER!$A$5)+1&gt;T274),0),0),""))</f>
        <v/>
      </c>
    </row>
    <row r="275" spans="1:32" ht="13">
      <c r="A275" s="42">
        <v>46357</v>
      </c>
      <c r="B275" s="43" t="s">
        <v>104</v>
      </c>
      <c r="C275" s="43" t="s">
        <v>94</v>
      </c>
      <c r="D275" s="44">
        <v>0.85416666666666696</v>
      </c>
      <c r="E275" s="44">
        <v>0.875</v>
      </c>
      <c r="F275" s="45" t="str">
        <f>IF(R275="","",HOUR(INDEX(MATCHER!$C$5:$C$504,R275))&amp;":"&amp;IF(MINUTE(INDEX(MATCHER!$C$5:$C$504,R275))&lt;10,"0","")&amp;MINUTE(INDEX(MATCHER!$C$5:$C$504,R275))&amp;" "&amp;INDEX(MATCHER!$H$5:$H$504,R275)&amp;" – "&amp;INDEX(MATCHER!$I$5:$I$504,R275))&amp;IF(S275="",""," | "&amp;HOUR(INDEX(MATCHER!$C$5:$C$504,S275))&amp;":"&amp;IF(MINUTE(INDEX(MATCHER!$C$5:$C$504,S275))&lt;10,"0","")&amp;MINUTE(INDEX(MATCHER!$C$5:$C$504,S275))&amp;" "&amp;INDEX(MATCHER!$H$5:$H$504,S275)&amp;" – "&amp;INDEX(MATCHER!$I$5:$I$504,S275))&amp;IF(T275="",""," | "&amp;HOUR(INDEX(MATCHER!$C$5:$C$504,T275))&amp;":"&amp;IF(MINUTE(INDEX(MATCHER!$C$5:$C$504,T275))&lt;10,"0","")&amp;MINUTE(INDEX(MATCHER!$C$5:$C$504,T275))&amp;" "&amp;INDEX(MATCHER!$H$5:$H$504,T275)&amp;" – "&amp;INDEX(MATCHER!$I$5:$I$504,T275))&amp;IF(AF275="",""," | "&amp;HOUR(INDEX(MATCHER!$C$5:$C$504,AF275))&amp;":"&amp;IF(MINUTE(INDEX(MATCHER!$C$5:$C$504,AF275))&lt;10,"0","")&amp;MINUTE(INDEX(MATCHER!$C$5:$C$504,AF275))&amp;" "&amp;INDEX(MATCHER!$H$5:$H$504,AF275)&amp;" – "&amp;INDEX(MATCHER!$I$5:$I$504,AF275))</f>
        <v>20:45 AIK – Tyresö Handboll</v>
      </c>
      <c r="G275" s="45" t="str">
        <f>MID(IF(R275="","",IF(OR(INDEX(MATCHER!$J$5:$J$504,R275)=""),""," / "&amp;INDEX(MATCHER!$J$5:$J$504,R275)))&amp;IF(S275="","",IF(OR(INDEX(MATCHER!$J$5:$J$504,S275)="",INDEX(MATCHER!$J$5:$J$504,S275)=IFERROR(INDEX(MATCHER!$J$5:$J$504,R275),"")),""," / "&amp;INDEX(MATCHER!$J$5:$J$504,S275)))&amp;IF(T275="","",IF(OR(INDEX(MATCHER!$J$5:$J$504,T275)="",INDEX(MATCHER!$J$5:$J$504,T275)=IFERROR(INDEX(MATCHER!$J$5:$J$504,R275),""),INDEX(MATCHER!$J$5:$J$504,T275)=IFERROR(INDEX(MATCHER!$J$5:$J$504,S275),"")),""," / "&amp;INDEX(MATCHER!$J$5:$J$504,T275)))&amp;IF(AF275="","",IF(OR(INDEX(MATCHER!$J$5:$J$504,AF275)="",INDEX(MATCHER!$J$5:$J$504,AF275)=IFERROR(INDEX(MATCHER!$J$5:$J$504,R275),""),INDEX(MATCHER!$J$5:$J$504,AF275)=IFERROR(INDEX(MATCHER!$J$5:$J$504,S275),""),INDEX(MATCHER!$J$5:$J$504,AF275)=IFERROR(INDEX(MATCHER!$J$5:$J$504,T275),"")),""," / "&amp;INDEX(MATCHER!$J$5:$J$504,AF275))),4,1000)</f>
        <v>F19</v>
      </c>
      <c r="H275" s="45" t="str">
        <f>H274</f>
        <v>F19</v>
      </c>
      <c r="I275" s="46" t="s">
        <v>90</v>
      </c>
      <c r="J275" s="47" t="s">
        <v>105</v>
      </c>
      <c r="K275" s="48"/>
      <c r="L275" s="49"/>
      <c r="M275" s="50" t="str">
        <f>IF(O275&lt;&gt;O274,MAX(1,MIN(AA275,ROUNDUP(SUMPRODUCT(($O$5:$O$546=O275)*($I$5:$I$546="Ja")*($E$5:$E$546-$D$5:$D$546))*24/REGLER!$B$8,0))),"")</f>
        <v/>
      </c>
      <c r="N275" s="50" t="str">
        <f t="shared" si="62"/>
        <v>Klar</v>
      </c>
      <c r="O275" s="15" t="s">
        <v>132</v>
      </c>
      <c r="P275" s="16">
        <v>0.83333333333333304</v>
      </c>
      <c r="Q275" s="16">
        <v>0.91666666666666696</v>
      </c>
      <c r="R275" s="15">
        <f>IFERROR(MATCH(1,INDEX((MATCHER!$B$5:$B$504=A275)*(MATCHER!$D$5:$D$504=C275)*(MATCHER!$K$5:$K$504="Ja")*(MATCHER!$C$5:$C$504&lt;E275)*(MATCHER!$M$5:$M$504&gt;D275),0),0),"")</f>
        <v>99</v>
      </c>
      <c r="S275" s="15" t="str">
        <f>IF(R275="","",IFERROR(MATCH(1,INDEX((MATCHER!$B$5:$B$504=A275)*(MATCHER!$D$5:$D$504=C275)*(MATCHER!$K$5:$K$504="Ja")*(MATCHER!$C$5:$C$504&lt;E275)*(MATCHER!$M$5:$M$504&gt;D275)*(ROW(MATCHER!$A$5:$A$504)-ROW(MATCHER!$A$5)+1&gt;R275),0),0),""))</f>
        <v/>
      </c>
      <c r="T275" s="15" t="str">
        <f>IF(S275="","",IFERROR(MATCH(1,INDEX((MATCHER!$B$5:$B$504=A275)*(MATCHER!$D$5:$D$504=C275)*(MATCHER!$K$5:$K$504="Ja")*(MATCHER!$C$5:$C$504&lt;E275)*(MATCHER!$M$5:$M$504&gt;D275)*(ROW(MATCHER!$A$5:$A$504)-ROW(MATCHER!$A$5)+1&gt;S275),0),0),""))</f>
        <v/>
      </c>
      <c r="U275" s="15">
        <f t="shared" si="63"/>
        <v>0</v>
      </c>
      <c r="V275" s="15">
        <f>IF(OR(I275&lt;&gt;"Ja",J275=""),"",COUNTIFS($O$5:O275,O275,$U$5:U275,1))</f>
        <v>1</v>
      </c>
      <c r="W275" s="15" t="str">
        <f t="shared" si="64"/>
        <v>2026-12-01 | Råsta Park|1</v>
      </c>
      <c r="X275" s="16" t="str">
        <f t="shared" si="65"/>
        <v/>
      </c>
      <c r="Y275" s="15">
        <f>IF(OR(I275&lt;&gt;"Ja",J275=""),0,IF(COUNTIFS($O$5:O275,O275,$I$5:I275,"Ja",$J$5:J275,"&lt;&gt;")=1,1,0))</f>
        <v>0</v>
      </c>
      <c r="Z275" s="15">
        <f>IF(OR(I275&lt;&gt;"Ja",J275=""),0,IF(COUNTIFS(O275:$O$546,O275,I275:$I$546,"Ja",J275:$J$546,"&lt;&gt;")=1,1,0))</f>
        <v>0</v>
      </c>
      <c r="AA275" s="15">
        <f>AA274</f>
        <v>1</v>
      </c>
      <c r="AB275" s="15" t="str">
        <f>IF(U275&lt;&gt;1,"",COUNTIF($U$5:U275,1))</f>
        <v/>
      </c>
      <c r="AC275" s="15" t="str">
        <f t="shared" si="66"/>
        <v/>
      </c>
      <c r="AD275" s="15" t="str">
        <f t="shared" si="67"/>
        <v>Minicafé</v>
      </c>
      <c r="AE275" s="15" t="str">
        <f t="shared" si="68"/>
        <v/>
      </c>
      <c r="AF275" t="str">
        <f>IF(T275="","",IFERROR(MATCH(1,INDEX((MATCHER!$B$5:$B$504=A275)*(MATCHER!$D$5:$D$504=C275)*(MATCHER!$K$5:$K$504="Ja")*(MATCHER!$C$5:$C$504&lt;E275)*(MATCHER!$M$5:$M$504&gt;D275)*(ROW(MATCHER!$A$5:$A$504)-ROW(MATCHER!$A$5)+1&gt;T275),0),0),""))</f>
        <v/>
      </c>
    </row>
    <row r="276" spans="1:32" ht="13">
      <c r="A276" s="42">
        <v>46357</v>
      </c>
      <c r="B276" s="43" t="s">
        <v>104</v>
      </c>
      <c r="C276" s="43" t="s">
        <v>94</v>
      </c>
      <c r="D276" s="44">
        <v>0.875</v>
      </c>
      <c r="E276" s="44">
        <v>0.89583333333333304</v>
      </c>
      <c r="F276" s="45" t="str">
        <f>IF(R276="","",HOUR(INDEX(MATCHER!$C$5:$C$504,R276))&amp;":"&amp;IF(MINUTE(INDEX(MATCHER!$C$5:$C$504,R276))&lt;10,"0","")&amp;MINUTE(INDEX(MATCHER!$C$5:$C$504,R276))&amp;" "&amp;INDEX(MATCHER!$H$5:$H$504,R276)&amp;" – "&amp;INDEX(MATCHER!$I$5:$I$504,R276))&amp;IF(S276="",""," | "&amp;HOUR(INDEX(MATCHER!$C$5:$C$504,S276))&amp;":"&amp;IF(MINUTE(INDEX(MATCHER!$C$5:$C$504,S276))&lt;10,"0","")&amp;MINUTE(INDEX(MATCHER!$C$5:$C$504,S276))&amp;" "&amp;INDEX(MATCHER!$H$5:$H$504,S276)&amp;" – "&amp;INDEX(MATCHER!$I$5:$I$504,S276))&amp;IF(T276="",""," | "&amp;HOUR(INDEX(MATCHER!$C$5:$C$504,T276))&amp;":"&amp;IF(MINUTE(INDEX(MATCHER!$C$5:$C$504,T276))&lt;10,"0","")&amp;MINUTE(INDEX(MATCHER!$C$5:$C$504,T276))&amp;" "&amp;INDEX(MATCHER!$H$5:$H$504,T276)&amp;" – "&amp;INDEX(MATCHER!$I$5:$I$504,T276))&amp;IF(AF276="",""," | "&amp;HOUR(INDEX(MATCHER!$C$5:$C$504,AF276))&amp;":"&amp;IF(MINUTE(INDEX(MATCHER!$C$5:$C$504,AF276))&lt;10,"0","")&amp;MINUTE(INDEX(MATCHER!$C$5:$C$504,AF276))&amp;" "&amp;INDEX(MATCHER!$H$5:$H$504,AF276)&amp;" – "&amp;INDEX(MATCHER!$I$5:$I$504,AF276))</f>
        <v>20:45 AIK – Tyresö Handboll</v>
      </c>
      <c r="G276" s="45" t="str">
        <f>MID(IF(R276="","",IF(OR(INDEX(MATCHER!$J$5:$J$504,R276)=""),""," / "&amp;INDEX(MATCHER!$J$5:$J$504,R276)))&amp;IF(S276="","",IF(OR(INDEX(MATCHER!$J$5:$J$504,S276)="",INDEX(MATCHER!$J$5:$J$504,S276)=IFERROR(INDEX(MATCHER!$J$5:$J$504,R276),"")),""," / "&amp;INDEX(MATCHER!$J$5:$J$504,S276)))&amp;IF(T276="","",IF(OR(INDEX(MATCHER!$J$5:$J$504,T276)="",INDEX(MATCHER!$J$5:$J$504,T276)=IFERROR(INDEX(MATCHER!$J$5:$J$504,R276),""),INDEX(MATCHER!$J$5:$J$504,T276)=IFERROR(INDEX(MATCHER!$J$5:$J$504,S276),"")),""," / "&amp;INDEX(MATCHER!$J$5:$J$504,T276)))&amp;IF(AF276="","",IF(OR(INDEX(MATCHER!$J$5:$J$504,AF276)="",INDEX(MATCHER!$J$5:$J$504,AF276)=IFERROR(INDEX(MATCHER!$J$5:$J$504,R276),""),INDEX(MATCHER!$J$5:$J$504,AF276)=IFERROR(INDEX(MATCHER!$J$5:$J$504,S276),""),INDEX(MATCHER!$J$5:$J$504,AF276)=IFERROR(INDEX(MATCHER!$J$5:$J$504,T276),"")),""," / "&amp;INDEX(MATCHER!$J$5:$J$504,AF276))),4,1000)</f>
        <v>F19</v>
      </c>
      <c r="H276" s="45" t="str">
        <f>H275</f>
        <v>F19</v>
      </c>
      <c r="I276" s="46" t="s">
        <v>90</v>
      </c>
      <c r="J276" s="47" t="s">
        <v>105</v>
      </c>
      <c r="K276" s="48"/>
      <c r="L276" s="49"/>
      <c r="M276" s="50" t="str">
        <f>IF(O276&lt;&gt;O275,MAX(1,MIN(AA276,ROUNDUP(SUMPRODUCT(($O$5:$O$546=O276)*($I$5:$I$546="Ja")*($E$5:$E$546-$D$5:$D$546))*24/REGLER!$B$8,0))),"")</f>
        <v/>
      </c>
      <c r="N276" s="50" t="str">
        <f t="shared" si="62"/>
        <v>Klar</v>
      </c>
      <c r="O276" s="15" t="s">
        <v>132</v>
      </c>
      <c r="P276" s="16">
        <v>0.83333333333333304</v>
      </c>
      <c r="Q276" s="16">
        <v>0.91666666666666696</v>
      </c>
      <c r="R276" s="15">
        <f>IFERROR(MATCH(1,INDEX((MATCHER!$B$5:$B$504=A276)*(MATCHER!$D$5:$D$504=C276)*(MATCHER!$K$5:$K$504="Ja")*(MATCHER!$C$5:$C$504&lt;E276)*(MATCHER!$M$5:$M$504&gt;D276),0),0),"")</f>
        <v>99</v>
      </c>
      <c r="S276" s="15" t="str">
        <f>IF(R276="","",IFERROR(MATCH(1,INDEX((MATCHER!$B$5:$B$504=A276)*(MATCHER!$D$5:$D$504=C276)*(MATCHER!$K$5:$K$504="Ja")*(MATCHER!$C$5:$C$504&lt;E276)*(MATCHER!$M$5:$M$504&gt;D276)*(ROW(MATCHER!$A$5:$A$504)-ROW(MATCHER!$A$5)+1&gt;R276),0),0),""))</f>
        <v/>
      </c>
      <c r="T276" s="15" t="str">
        <f>IF(S276="","",IFERROR(MATCH(1,INDEX((MATCHER!$B$5:$B$504=A276)*(MATCHER!$D$5:$D$504=C276)*(MATCHER!$K$5:$K$504="Ja")*(MATCHER!$C$5:$C$504&lt;E276)*(MATCHER!$M$5:$M$504&gt;D276)*(ROW(MATCHER!$A$5:$A$504)-ROW(MATCHER!$A$5)+1&gt;S276),0),0),""))</f>
        <v/>
      </c>
      <c r="U276" s="15">
        <f t="shared" si="63"/>
        <v>0</v>
      </c>
      <c r="V276" s="15">
        <f>IF(OR(I276&lt;&gt;"Ja",J276=""),"",COUNTIFS($O$5:O276,O276,$U$5:U276,1))</f>
        <v>1</v>
      </c>
      <c r="W276" s="15" t="str">
        <f t="shared" si="64"/>
        <v>2026-12-01 | Råsta Park|1</v>
      </c>
      <c r="X276" s="16" t="str">
        <f t="shared" si="65"/>
        <v/>
      </c>
      <c r="Y276" s="15">
        <f>IF(OR(I276&lt;&gt;"Ja",J276=""),0,IF(COUNTIFS($O$5:O276,O276,$I$5:I276,"Ja",$J$5:J276,"&lt;&gt;")=1,1,0))</f>
        <v>0</v>
      </c>
      <c r="Z276" s="15">
        <f>IF(OR(I276&lt;&gt;"Ja",J276=""),0,IF(COUNTIFS(O276:$O$546,O276,I276:$I$546,"Ja",J276:$J$546,"&lt;&gt;")=1,1,0))</f>
        <v>0</v>
      </c>
      <c r="AA276" s="15">
        <f>AA275</f>
        <v>1</v>
      </c>
      <c r="AB276" s="15" t="str">
        <f>IF(U276&lt;&gt;1,"",COUNTIF($U$5:U276,1))</f>
        <v/>
      </c>
      <c r="AC276" s="15" t="str">
        <f t="shared" si="66"/>
        <v/>
      </c>
      <c r="AD276" s="15" t="str">
        <f t="shared" si="67"/>
        <v>Minicafé</v>
      </c>
      <c r="AE276" s="15" t="str">
        <f t="shared" si="68"/>
        <v/>
      </c>
      <c r="AF276" t="str">
        <f>IF(T276="","",IFERROR(MATCH(1,INDEX((MATCHER!$B$5:$B$504=A276)*(MATCHER!$D$5:$D$504=C276)*(MATCHER!$K$5:$K$504="Ja")*(MATCHER!$C$5:$C$504&lt;E276)*(MATCHER!$M$5:$M$504&gt;D276)*(ROW(MATCHER!$A$5:$A$504)-ROW(MATCHER!$A$5)+1&gt;T276),0),0),""))</f>
        <v/>
      </c>
    </row>
    <row r="277" spans="1:32" ht="13.5" thickBot="1">
      <c r="A277" s="52">
        <v>46357</v>
      </c>
      <c r="B277" s="53" t="s">
        <v>104</v>
      </c>
      <c r="C277" s="53" t="s">
        <v>94</v>
      </c>
      <c r="D277" s="54">
        <v>0.89583333333333304</v>
      </c>
      <c r="E277" s="54">
        <v>0.91666666666666696</v>
      </c>
      <c r="F277" s="55" t="str">
        <f>IF(R277="","",HOUR(INDEX(MATCHER!$C$5:$C$504,R277))&amp;":"&amp;IF(MINUTE(INDEX(MATCHER!$C$5:$C$504,R277))&lt;10,"0","")&amp;MINUTE(INDEX(MATCHER!$C$5:$C$504,R277))&amp;" "&amp;INDEX(MATCHER!$H$5:$H$504,R277)&amp;" – "&amp;INDEX(MATCHER!$I$5:$I$504,R277))&amp;IF(S277="",""," | "&amp;HOUR(INDEX(MATCHER!$C$5:$C$504,S277))&amp;":"&amp;IF(MINUTE(INDEX(MATCHER!$C$5:$C$504,S277))&lt;10,"0","")&amp;MINUTE(INDEX(MATCHER!$C$5:$C$504,S277))&amp;" "&amp;INDEX(MATCHER!$H$5:$H$504,S277)&amp;" – "&amp;INDEX(MATCHER!$I$5:$I$504,S277))&amp;IF(T277="",""," | "&amp;HOUR(INDEX(MATCHER!$C$5:$C$504,T277))&amp;":"&amp;IF(MINUTE(INDEX(MATCHER!$C$5:$C$504,T277))&lt;10,"0","")&amp;MINUTE(INDEX(MATCHER!$C$5:$C$504,T277))&amp;" "&amp;INDEX(MATCHER!$H$5:$H$504,T277)&amp;" – "&amp;INDEX(MATCHER!$I$5:$I$504,T277))&amp;IF(AF277="",""," | "&amp;HOUR(INDEX(MATCHER!$C$5:$C$504,AF277))&amp;":"&amp;IF(MINUTE(INDEX(MATCHER!$C$5:$C$504,AF277))&lt;10,"0","")&amp;MINUTE(INDEX(MATCHER!$C$5:$C$504,AF277))&amp;" "&amp;INDEX(MATCHER!$H$5:$H$504,AF277)&amp;" – "&amp;INDEX(MATCHER!$I$5:$I$504,AF277))</f>
        <v>20:45 AIK – Tyresö Handboll</v>
      </c>
      <c r="G277" s="55" t="str">
        <f>MID(IF(R277="","",IF(OR(INDEX(MATCHER!$J$5:$J$504,R277)=""),""," / "&amp;INDEX(MATCHER!$J$5:$J$504,R277)))&amp;IF(S277="","",IF(OR(INDEX(MATCHER!$J$5:$J$504,S277)="",INDEX(MATCHER!$J$5:$J$504,S277)=IFERROR(INDEX(MATCHER!$J$5:$J$504,R277),"")),""," / "&amp;INDEX(MATCHER!$J$5:$J$504,S277)))&amp;IF(T277="","",IF(OR(INDEX(MATCHER!$J$5:$J$504,T277)="",INDEX(MATCHER!$J$5:$J$504,T277)=IFERROR(INDEX(MATCHER!$J$5:$J$504,R277),""),INDEX(MATCHER!$J$5:$J$504,T277)=IFERROR(INDEX(MATCHER!$J$5:$J$504,S277),"")),""," / "&amp;INDEX(MATCHER!$J$5:$J$504,T277)))&amp;IF(AF277="","",IF(OR(INDEX(MATCHER!$J$5:$J$504,AF277)="",INDEX(MATCHER!$J$5:$J$504,AF277)=IFERROR(INDEX(MATCHER!$J$5:$J$504,R277),""),INDEX(MATCHER!$J$5:$J$504,AF277)=IFERROR(INDEX(MATCHER!$J$5:$J$504,S277),""),INDEX(MATCHER!$J$5:$J$504,AF277)=IFERROR(INDEX(MATCHER!$J$5:$J$504,T277),"")),""," / "&amp;INDEX(MATCHER!$J$5:$J$504,AF277))),4,1000)</f>
        <v>F19</v>
      </c>
      <c r="H277" s="55" t="str">
        <f>H276</f>
        <v>F19</v>
      </c>
      <c r="I277" s="56" t="s">
        <v>90</v>
      </c>
      <c r="J277" s="57" t="s">
        <v>105</v>
      </c>
      <c r="K277" s="58"/>
      <c r="L277" s="59"/>
      <c r="M277" s="60" t="str">
        <f>IF(O277&lt;&gt;O276,MAX(1,MIN(AA277,ROUNDUP(SUMPRODUCT(($O$5:$O$546=O277)*($I$5:$I$546="Ja")*($E$5:$E$546-$D$5:$D$546))*24/REGLER!$B$8,0))),"")</f>
        <v/>
      </c>
      <c r="N277" s="60" t="str">
        <f t="shared" si="62"/>
        <v>Klar</v>
      </c>
      <c r="O277" s="15" t="s">
        <v>132</v>
      </c>
      <c r="P277" s="16">
        <v>0.83333333333333304</v>
      </c>
      <c r="Q277" s="16">
        <v>0.91666666666666696</v>
      </c>
      <c r="R277" s="15">
        <f>IFERROR(MATCH(1,INDEX((MATCHER!$B$5:$B$504=A277)*(MATCHER!$D$5:$D$504=C277)*(MATCHER!$K$5:$K$504="Ja")*(MATCHER!$C$5:$C$504&lt;E277)*(MATCHER!$M$5:$M$504&gt;D277),0),0),"")</f>
        <v>99</v>
      </c>
      <c r="S277" s="15" t="str">
        <f>IF(R277="","",IFERROR(MATCH(1,INDEX((MATCHER!$B$5:$B$504=A277)*(MATCHER!$D$5:$D$504=C277)*(MATCHER!$K$5:$K$504="Ja")*(MATCHER!$C$5:$C$504&lt;E277)*(MATCHER!$M$5:$M$504&gt;D277)*(ROW(MATCHER!$A$5:$A$504)-ROW(MATCHER!$A$5)+1&gt;R277),0),0),""))</f>
        <v/>
      </c>
      <c r="T277" s="15" t="str">
        <f>IF(S277="","",IFERROR(MATCH(1,INDEX((MATCHER!$B$5:$B$504=A277)*(MATCHER!$D$5:$D$504=C277)*(MATCHER!$K$5:$K$504="Ja")*(MATCHER!$C$5:$C$504&lt;E277)*(MATCHER!$M$5:$M$504&gt;D277)*(ROW(MATCHER!$A$5:$A$504)-ROW(MATCHER!$A$5)+1&gt;S277),0),0),""))</f>
        <v/>
      </c>
      <c r="U277" s="15">
        <f t="shared" si="63"/>
        <v>0</v>
      </c>
      <c r="V277" s="15">
        <f>IF(OR(I277&lt;&gt;"Ja",J277=""),"",COUNTIFS($O$5:O277,O277,$U$5:U277,1))</f>
        <v>1</v>
      </c>
      <c r="W277" s="15" t="str">
        <f t="shared" si="64"/>
        <v>2026-12-01 | Råsta Park|1</v>
      </c>
      <c r="X277" s="16">
        <f t="shared" si="65"/>
        <v>0.91666666666666696</v>
      </c>
      <c r="Y277" s="15">
        <f>IF(OR(I277&lt;&gt;"Ja",J277=""),0,IF(COUNTIFS($O$5:O277,O277,$I$5:I277,"Ja",$J$5:J277,"&lt;&gt;")=1,1,0))</f>
        <v>0</v>
      </c>
      <c r="Z277" s="15">
        <f>IF(OR(I277&lt;&gt;"Ja",J277=""),0,IF(COUNTIFS(O277:$O$546,O277,I277:$I$546,"Ja",J277:$J$546,"&lt;&gt;")=1,1,0))</f>
        <v>1</v>
      </c>
      <c r="AA277" s="15">
        <f>AA276</f>
        <v>1</v>
      </c>
      <c r="AB277" s="15" t="str">
        <f>IF(U277&lt;&gt;1,"",COUNTIF($U$5:U277,1))</f>
        <v/>
      </c>
      <c r="AC277" s="15" t="str">
        <f t="shared" si="66"/>
        <v>2026-12-01 | Råsta Park|1</v>
      </c>
      <c r="AD277" s="15" t="str">
        <f t="shared" si="67"/>
        <v>Minicafé</v>
      </c>
      <c r="AE277" s="15" t="str">
        <f t="shared" si="68"/>
        <v/>
      </c>
      <c r="AF277" t="str">
        <f>IF(T277="","",IFERROR(MATCH(1,INDEX((MATCHER!$B$5:$B$504=A277)*(MATCHER!$D$5:$D$504=C277)*(MATCHER!$K$5:$K$504="Ja")*(MATCHER!$C$5:$C$504&lt;E277)*(MATCHER!$M$5:$M$504&gt;D277)*(ROW(MATCHER!$A$5:$A$504)-ROW(MATCHER!$A$5)+1&gt;T277),0),0),""))</f>
        <v/>
      </c>
    </row>
    <row r="278" spans="1:32" ht="13">
      <c r="A278" s="42">
        <v>46361</v>
      </c>
      <c r="B278" s="43" t="s">
        <v>85</v>
      </c>
      <c r="C278" s="43" t="s">
        <v>94</v>
      </c>
      <c r="D278" s="44">
        <v>0.39583333333333298</v>
      </c>
      <c r="E278" s="44">
        <v>0.41666666666666702</v>
      </c>
      <c r="F278" s="45" t="str">
        <f>IF(R278="","",HOUR(INDEX(MATCHER!$C$5:$C$504,R278))&amp;":"&amp;IF(MINUTE(INDEX(MATCHER!$C$5:$C$504,R278))&lt;10,"0","")&amp;MINUTE(INDEX(MATCHER!$C$5:$C$504,R278))&amp;" "&amp;INDEX(MATCHER!$H$5:$H$504,R278)&amp;" – "&amp;INDEX(MATCHER!$I$5:$I$504,R278))&amp;IF(S278="",""," | "&amp;HOUR(INDEX(MATCHER!$C$5:$C$504,S278))&amp;":"&amp;IF(MINUTE(INDEX(MATCHER!$C$5:$C$504,S278))&lt;10,"0","")&amp;MINUTE(INDEX(MATCHER!$C$5:$C$504,S278))&amp;" "&amp;INDEX(MATCHER!$H$5:$H$504,S278)&amp;" – "&amp;INDEX(MATCHER!$I$5:$I$504,S278))&amp;IF(T278="",""," | "&amp;HOUR(INDEX(MATCHER!$C$5:$C$504,T278))&amp;":"&amp;IF(MINUTE(INDEX(MATCHER!$C$5:$C$504,T278))&lt;10,"0","")&amp;MINUTE(INDEX(MATCHER!$C$5:$C$504,T278))&amp;" "&amp;INDEX(MATCHER!$H$5:$H$504,T278)&amp;" – "&amp;INDEX(MATCHER!$I$5:$I$504,T278))&amp;IF(AF278="",""," | "&amp;HOUR(INDEX(MATCHER!$C$5:$C$504,AF278))&amp;":"&amp;IF(MINUTE(INDEX(MATCHER!$C$5:$C$504,AF278))&lt;10,"0","")&amp;MINUTE(INDEX(MATCHER!$C$5:$C$504,AF278))&amp;" "&amp;INDEX(MATCHER!$H$5:$H$504,AF278)&amp;" – "&amp;INDEX(MATCHER!$I$5:$I$504,AF278))</f>
        <v/>
      </c>
      <c r="G278" s="45" t="str">
        <f>MID(IF(R278="","",IF(OR(INDEX(MATCHER!$J$5:$J$504,R278)=""),""," / "&amp;INDEX(MATCHER!$J$5:$J$504,R278)))&amp;IF(S278="","",IF(OR(INDEX(MATCHER!$J$5:$J$504,S278)="",INDEX(MATCHER!$J$5:$J$504,S278)=IFERROR(INDEX(MATCHER!$J$5:$J$504,R278),"")),""," / "&amp;INDEX(MATCHER!$J$5:$J$504,S278)))&amp;IF(T278="","",IF(OR(INDEX(MATCHER!$J$5:$J$504,T278)="",INDEX(MATCHER!$J$5:$J$504,T278)=IFERROR(INDEX(MATCHER!$J$5:$J$504,R278),""),INDEX(MATCHER!$J$5:$J$504,T278)=IFERROR(INDEX(MATCHER!$J$5:$J$504,S278),"")),""," / "&amp;INDEX(MATCHER!$J$5:$J$504,T278)))&amp;IF(AF278="","",IF(OR(INDEX(MATCHER!$J$5:$J$504,AF278)="",INDEX(MATCHER!$J$5:$J$504,AF278)=IFERROR(INDEX(MATCHER!$J$5:$J$504,R278),""),INDEX(MATCHER!$J$5:$J$504,AF278)=IFERROR(INDEX(MATCHER!$J$5:$J$504,S278),""),INDEX(MATCHER!$J$5:$J$504,AF278)=IFERROR(INDEX(MATCHER!$J$5:$J$504,T278),"")),""," / "&amp;INDEX(MATCHER!$J$5:$J$504,AF278))),4,1000)</f>
        <v/>
      </c>
      <c r="H278" s="45" t="str">
        <f>MID(IF(COUNTIFS(MATCHER!$B$5:$B$504,A278,MATCHER!$D$5:$D$504,C278,MATCHER!$J$5:$J$504,REGLER!$I$6,MATCHER!$K$5:$K$504,"Ja")+COUNTIFS(MATCHER!$B$5:$B$504,A278,MATCHER!$D$5:$D$504,C278,MATCHER!$J$5:$J$504,REGLER!$I$6&amp;" 2",MATCHER!$K$5:$K$504,"Ja")&gt;0,", "&amp;REGLER!$I$6,"")&amp;IF(COUNTIFS(MATCHER!$B$5:$B$504,A278,MATCHER!$D$5:$D$504,C278,MATCHER!$J$5:$J$504,REGLER!$I$7,MATCHER!$K$5:$K$504,"Ja")+COUNTIFS(MATCHER!$B$5:$B$504,A278,MATCHER!$D$5:$D$504,C278,MATCHER!$J$5:$J$504,REGLER!$I$7&amp;" 2",MATCHER!$K$5:$K$504,"Ja")&gt;0,", "&amp;REGLER!$I$7,"")&amp;IF(COUNTIFS(MATCHER!$B$5:$B$504,A278,MATCHER!$D$5:$D$504,C278,MATCHER!$J$5:$J$504,REGLER!$I$8,MATCHER!$K$5:$K$504,"Ja")+COUNTIFS(MATCHER!$B$5:$B$504,A278,MATCHER!$D$5:$D$504,C278,MATCHER!$J$5:$J$504,REGLER!$I$8&amp;" 2",MATCHER!$K$5:$K$504,"Ja")&gt;0,", "&amp;REGLER!$I$8,"")&amp;IF(COUNTIFS(MATCHER!$B$5:$B$504,A278,MATCHER!$D$5:$D$504,C278,MATCHER!$J$5:$J$504,REGLER!$I$9,MATCHER!$K$5:$K$504,"Ja")+COUNTIFS(MATCHER!$B$5:$B$504,A278,MATCHER!$D$5:$D$504,C278,MATCHER!$J$5:$J$504,REGLER!$I$9&amp;" 2",MATCHER!$K$5:$K$504,"Ja")&gt;0,", "&amp;REGLER!$I$9,"")&amp;IF(COUNTIFS(MATCHER!$B$5:$B$504,A278,MATCHER!$D$5:$D$504,C278,MATCHER!$J$5:$J$504,REGLER!$I$10,MATCHER!$K$5:$K$504,"Ja")+COUNTIFS(MATCHER!$B$5:$B$504,A278,MATCHER!$D$5:$D$504,C278,MATCHER!$J$5:$J$504,REGLER!$I$10&amp;" 2",MATCHER!$K$5:$K$504,"Ja")&gt;0,", "&amp;REGLER!$I$10,"")&amp;IF(COUNTIFS(MATCHER!$B$5:$B$504,A278,MATCHER!$D$5:$D$504,C278,MATCHER!$J$5:$J$504,REGLER!$I$11,MATCHER!$K$5:$K$504,"Ja")+COUNTIFS(MATCHER!$B$5:$B$504,A278,MATCHER!$D$5:$D$504,C278,MATCHER!$J$5:$J$504,REGLER!$I$11&amp;" 2",MATCHER!$K$5:$K$504,"Ja")&gt;0,", "&amp;REGLER!$I$11,"")&amp;IF(COUNTIFS(MATCHER!$B$5:$B$504,A278,MATCHER!$D$5:$D$504,C278,MATCHER!$J$5:$J$504,REGLER!$I$12,MATCHER!$K$5:$K$504,"Ja")+COUNTIFS(MATCHER!$B$5:$B$504,A278,MATCHER!$D$5:$D$504,C278,MATCHER!$J$5:$J$504,REGLER!$I$12&amp;" 2",MATCHER!$K$5:$K$504,"Ja")&gt;0,", "&amp;REGLER!$I$12,"")&amp;IF(COUNTIFS(MATCHER!$B$5:$B$504,A278,MATCHER!$D$5:$D$504,C278,MATCHER!$J$5:$J$504,REGLER!$I$13,MATCHER!$K$5:$K$504,"Ja")+COUNTIFS(MATCHER!$B$5:$B$504,A278,MATCHER!$D$5:$D$504,C278,MATCHER!$J$5:$J$504,REGLER!$I$13&amp;" 2",MATCHER!$K$5:$K$504,"Ja")&gt;0,", "&amp;REGLER!$I$13,"")&amp;IF(COUNTIFS(MATCHER!$B$5:$B$504,A278,MATCHER!$D$5:$D$504,C278,MATCHER!$J$5:$J$504,REGLER!$I$14,MATCHER!$K$5:$K$504,"Ja")+COUNTIFS(MATCHER!$B$5:$B$504,A278,MATCHER!$D$5:$D$504,C278,MATCHER!$J$5:$J$504,REGLER!$I$14&amp;" 2",MATCHER!$K$5:$K$504,"Ja")&gt;0,", "&amp;REGLER!$I$14,"")&amp;IF(COUNTIFS(MATCHER!$B$5:$B$504,A278,MATCHER!$D$5:$D$504,C278,MATCHER!$J$5:$J$504,REGLER!$I$15,MATCHER!$K$5:$K$504,"Ja")+COUNTIFS(MATCHER!$B$5:$B$504,A278,MATCHER!$D$5:$D$504,C278,MATCHER!$J$5:$J$504,REGLER!$I$15&amp;" 2",MATCHER!$K$5:$K$504,"Ja")&gt;0,", "&amp;REGLER!$I$15,"")&amp;IF(COUNTIFS(MATCHER!$B$5:$B$504,A278,MATCHER!$D$5:$D$504,C278,MATCHER!$J$5:$J$504,REGLER!$I$16,MATCHER!$K$5:$K$504,"Ja")+COUNTIFS(MATCHER!$B$5:$B$504,A278,MATCHER!$D$5:$D$504,C278,MATCHER!$J$5:$J$504,REGLER!$I$16&amp;" 2",MATCHER!$K$5:$K$504,"Ja")&gt;0,", "&amp;REGLER!$I$16,"")&amp;IF(COUNTIFS(MATCHER!$B$5:$B$504,A278,MATCHER!$D$5:$D$504,C278,MATCHER!$J$5:$J$504,REGLER!$I$17,MATCHER!$K$5:$K$504,"Ja")+COUNTIFS(MATCHER!$B$5:$B$504,A278,MATCHER!$D$5:$D$504,C278,MATCHER!$J$5:$J$504,REGLER!$I$17&amp;" 2",MATCHER!$K$5:$K$504,"Ja")&gt;0,", "&amp;REGLER!$I$17,"")&amp;IF(COUNTIFS(MATCHER!$B$5:$B$504,A278,MATCHER!$D$5:$D$504,C278,MATCHER!$J$5:$J$504,REGLER!$I$18,MATCHER!$K$5:$K$504,"Ja")+COUNTIFS(MATCHER!$B$5:$B$504,A278,MATCHER!$D$5:$D$504,C278,MATCHER!$J$5:$J$504,REGLER!$I$18&amp;" 2",MATCHER!$K$5:$K$504,"Ja")&gt;0,", "&amp;REGLER!$I$18,"")&amp;IF(COUNTIFS(MATCHER!$B$5:$B$504,A278,MATCHER!$D$5:$D$504,C278,MATCHER!$J$5:$J$504,REGLER!$I$19,MATCHER!$K$5:$K$504,"Ja")+COUNTIFS(MATCHER!$B$5:$B$504,A278,MATCHER!$D$5:$D$504,C278,MATCHER!$J$5:$J$504,REGLER!$I$19&amp;" 2",MATCHER!$K$5:$K$504,"Ja")&gt;0,", "&amp;REGLER!$I$19,"")&amp;IF(COUNTIFS(MATCHER!$B$5:$B$504,A278,MATCHER!$D$5:$D$504,C278,MATCHER!$J$5:$J$504,REGLER!$I$20,MATCHER!$K$5:$K$504,"Ja")+COUNTIFS(MATCHER!$B$5:$B$504,A278,MATCHER!$D$5:$D$504,C278,MATCHER!$J$5:$J$504,REGLER!$I$20&amp;" 2",MATCHER!$K$5:$K$504,"Ja")&gt;0,", "&amp;REGLER!$I$20,"")&amp;IF(COUNTIFS(MATCHER!$B$5:$B$504,A278,MATCHER!$D$5:$D$504,C278,MATCHER!$J$5:$J$504,REGLER!$I$21,MATCHER!$K$5:$K$504,"Ja")+COUNTIFS(MATCHER!$B$5:$B$504,A278,MATCHER!$D$5:$D$504,C278,MATCHER!$J$5:$J$504,REGLER!$I$21&amp;" 2",MATCHER!$K$5:$K$504,"Ja")&gt;0,", "&amp;REGLER!$I$21,"")&amp;IF(COUNTIFS(MATCHER!$B$5:$B$504,A278,MATCHER!$D$5:$D$504,C278,MATCHER!$J$5:$J$504,REGLER!$I$22,MATCHER!$K$5:$K$504,"Ja")+COUNTIFS(MATCHER!$B$5:$B$504,A278,MATCHER!$D$5:$D$504,C278,MATCHER!$J$5:$J$504,REGLER!$I$22&amp;" 2",MATCHER!$K$5:$K$504,"Ja")&gt;0,", "&amp;REGLER!$I$22,"")&amp;IF(COUNTIFS(MATCHER!$B$5:$B$504,A278,MATCHER!$D$5:$D$504,C278,MATCHER!$J$5:$J$504,REGLER!$I$23,MATCHER!$K$5:$K$504,"Ja")+COUNTIFS(MATCHER!$B$5:$B$504,A278,MATCHER!$D$5:$D$504,C278,MATCHER!$J$5:$J$504,REGLER!$I$23&amp;" 2",MATCHER!$K$5:$K$504,"Ja")&gt;0,", "&amp;REGLER!$I$23,"")&amp;IF(COUNTIFS(MATCHER!$B$5:$B$504,A278,MATCHER!$D$5:$D$504,C278,MATCHER!$J$5:$J$504,REGLER!$I$24,MATCHER!$K$5:$K$504,"Ja")+COUNTIFS(MATCHER!$B$5:$B$504,A278,MATCHER!$D$5:$D$504,C278,MATCHER!$J$5:$J$504,REGLER!$I$24&amp;" 2",MATCHER!$K$5:$K$504,"Ja")&gt;0,", "&amp;REGLER!$I$24,"")&amp;IF(COUNTIFS(MATCHER!$B$5:$B$504,A278,MATCHER!$D$5:$D$504,C278,MATCHER!$J$5:$J$504,REGLER!$I$25,MATCHER!$K$5:$K$504,"Ja")+COUNTIFS(MATCHER!$B$5:$B$504,A278,MATCHER!$D$5:$D$504,C278,MATCHER!$J$5:$J$504,REGLER!$I$25&amp;" 2",MATCHER!$K$5:$K$504,"Ja")&gt;0,", "&amp;REGLER!$I$25,"")&amp;IF(COUNTIFS(MATCHER!$B$5:$B$504,A278,MATCHER!$D$5:$D$504,C278,MATCHER!$J$5:$J$504,REGLER!$I$26,MATCHER!$K$5:$K$504,"Ja")+COUNTIFS(MATCHER!$B$5:$B$504,A278,MATCHER!$D$5:$D$504,C278,MATCHER!$J$5:$J$504,REGLER!$I$26&amp;" 2",MATCHER!$K$5:$K$504,"Ja")&gt;0,", "&amp;REGLER!$I$26,""),3,1000)</f>
        <v>F16, P16, Dam</v>
      </c>
      <c r="I278" s="46" t="s">
        <v>90</v>
      </c>
      <c r="J278" s="47" t="s">
        <v>128</v>
      </c>
      <c r="K278" s="48" t="s">
        <v>88</v>
      </c>
      <c r="L278" s="157" t="s">
        <v>859</v>
      </c>
      <c r="M278" s="50">
        <f>IF(O278&lt;&gt;O277,MAX(1,MIN(AA278,ROUNDUP(SUMPRODUCT(($O$5:$O$546=O278)*($I$5:$I$546="Ja")*($E$5:$E$546-$D$5:$D$546))*24/REGLER!$B$8,0))),"")</f>
        <v>2</v>
      </c>
      <c r="N278" s="50" t="str">
        <f t="shared" si="62"/>
        <v>Klar</v>
      </c>
      <c r="O278" s="15" t="s">
        <v>133</v>
      </c>
      <c r="P278" s="16">
        <v>0.39583333333333298</v>
      </c>
      <c r="Q278" s="16">
        <v>0.625</v>
      </c>
      <c r="R278" s="15" t="str">
        <f>IFERROR(MATCH(1,INDEX((MATCHER!$B$5:$B$504=A278)*(MATCHER!$D$5:$D$504=C278)*(MATCHER!$K$5:$K$504="Ja")*(MATCHER!$C$5:$C$504&lt;E278)*(MATCHER!$M$5:$M$504&gt;D278),0),0),"")</f>
        <v/>
      </c>
      <c r="S278" s="15" t="str">
        <f>IF(R278="","",IFERROR(MATCH(1,INDEX((MATCHER!$B$5:$B$504=A278)*(MATCHER!$D$5:$D$504=C278)*(MATCHER!$K$5:$K$504="Ja")*(MATCHER!$C$5:$C$504&lt;E278)*(MATCHER!$M$5:$M$504&gt;D278)*(ROW(MATCHER!$A$5:$A$504)-ROW(MATCHER!$A$5)+1&gt;R278),0),0),""))</f>
        <v/>
      </c>
      <c r="T278" s="15" t="str">
        <f>IF(S278="","",IFERROR(MATCH(1,INDEX((MATCHER!$B$5:$B$504=A278)*(MATCHER!$D$5:$D$504=C278)*(MATCHER!$K$5:$K$504="Ja")*(MATCHER!$C$5:$C$504&lt;E278)*(MATCHER!$M$5:$M$504&gt;D278)*(ROW(MATCHER!$A$5:$A$504)-ROW(MATCHER!$A$5)+1&gt;S278),0),0),""))</f>
        <v/>
      </c>
      <c r="U278" s="15">
        <f t="shared" si="63"/>
        <v>1</v>
      </c>
      <c r="V278" s="15">
        <f>IF(OR(I278&lt;&gt;"Ja",J278=""),"",COUNTIFS($O$5:O278,O278,$U$5:U278,1))</f>
        <v>1</v>
      </c>
      <c r="W278" s="15" t="str">
        <f t="shared" si="64"/>
        <v>2026-12-05 | Råsta Park|1</v>
      </c>
      <c r="X278" s="16" t="str">
        <f t="shared" si="65"/>
        <v/>
      </c>
      <c r="Y278" s="15">
        <f>IF(OR(I278&lt;&gt;"Ja",J278=""),0,IF(COUNTIFS($O$5:O278,O278,$I$5:I278,"Ja",$J$5:J278,"&lt;&gt;")=1,1,0))</f>
        <v>1</v>
      </c>
      <c r="Z278" s="15">
        <f>IF(OR(I278&lt;&gt;"Ja",J278=""),0,IF(COUNTIFS(O278:$O$546,O278,I278:$I$546,"Ja",J278:$J$546,"&lt;&gt;")=1,1,0))</f>
        <v>0</v>
      </c>
      <c r="AA278" s="15">
        <f>IF(COUNTIFS(MATCHER!$B$5:$B$504,A278,MATCHER!$D$5:$D$504,C278,MATCHER!$J$5:$J$504,REGLER!$I$6,MATCHER!$K$5:$K$504,"Ja")+COUNTIFS(MATCHER!$B$5:$B$504,A278,MATCHER!$D$5:$D$504,C278,MATCHER!$J$5:$J$504,REGLER!$I$6&amp;" 2",MATCHER!$K$5:$K$504,"Ja")&gt;0,1,0)+IF(COUNTIFS(MATCHER!$B$5:$B$504,A278,MATCHER!$D$5:$D$504,C278,MATCHER!$J$5:$J$504,REGLER!$I$7,MATCHER!$K$5:$K$504,"Ja")+COUNTIFS(MATCHER!$B$5:$B$504,A278,MATCHER!$D$5:$D$504,C278,MATCHER!$J$5:$J$504,REGLER!$I$7&amp;" 2",MATCHER!$K$5:$K$504,"Ja")&gt;0,1,0)+IF(COUNTIFS(MATCHER!$B$5:$B$504,A278,MATCHER!$D$5:$D$504,C278,MATCHER!$J$5:$J$504,REGLER!$I$8,MATCHER!$K$5:$K$504,"Ja")+COUNTIFS(MATCHER!$B$5:$B$504,A278,MATCHER!$D$5:$D$504,C278,MATCHER!$J$5:$J$504,REGLER!$I$8&amp;" 2",MATCHER!$K$5:$K$504,"Ja")&gt;0,1,0)+IF(COUNTIFS(MATCHER!$B$5:$B$504,A278,MATCHER!$D$5:$D$504,C278,MATCHER!$J$5:$J$504,REGLER!$I$9,MATCHER!$K$5:$K$504,"Ja")+COUNTIFS(MATCHER!$B$5:$B$504,A278,MATCHER!$D$5:$D$504,C278,MATCHER!$J$5:$J$504,REGLER!$I$9&amp;" 2",MATCHER!$K$5:$K$504,"Ja")&gt;0,1,0)+IF(COUNTIFS(MATCHER!$B$5:$B$504,A278,MATCHER!$D$5:$D$504,C278,MATCHER!$J$5:$J$504,REGLER!$I$10,MATCHER!$K$5:$K$504,"Ja")+COUNTIFS(MATCHER!$B$5:$B$504,A278,MATCHER!$D$5:$D$504,C278,MATCHER!$J$5:$J$504,REGLER!$I$10&amp;" 2",MATCHER!$K$5:$K$504,"Ja")&gt;0,1,0)+IF(COUNTIFS(MATCHER!$B$5:$B$504,A278,MATCHER!$D$5:$D$504,C278,MATCHER!$J$5:$J$504,REGLER!$I$11,MATCHER!$K$5:$K$504,"Ja")+COUNTIFS(MATCHER!$B$5:$B$504,A278,MATCHER!$D$5:$D$504,C278,MATCHER!$J$5:$J$504,REGLER!$I$11&amp;" 2",MATCHER!$K$5:$K$504,"Ja")&gt;0,1,0)+IF(COUNTIFS(MATCHER!$B$5:$B$504,A278,MATCHER!$D$5:$D$504,C278,MATCHER!$J$5:$J$504,REGLER!$I$12,MATCHER!$K$5:$K$504,"Ja")+COUNTIFS(MATCHER!$B$5:$B$504,A278,MATCHER!$D$5:$D$504,C278,MATCHER!$J$5:$J$504,REGLER!$I$12&amp;" 2",MATCHER!$K$5:$K$504,"Ja")&gt;0,1,0)+IF(COUNTIFS(MATCHER!$B$5:$B$504,A278,MATCHER!$D$5:$D$504,C278,MATCHER!$J$5:$J$504,REGLER!$I$13,MATCHER!$K$5:$K$504,"Ja")+COUNTIFS(MATCHER!$B$5:$B$504,A278,MATCHER!$D$5:$D$504,C278,MATCHER!$J$5:$J$504,REGLER!$I$13&amp;" 2",MATCHER!$K$5:$K$504,"Ja")&gt;0,1,0)+IF(COUNTIFS(MATCHER!$B$5:$B$504,A278,MATCHER!$D$5:$D$504,C278,MATCHER!$J$5:$J$504,REGLER!$I$14,MATCHER!$K$5:$K$504,"Ja")+COUNTIFS(MATCHER!$B$5:$B$504,A278,MATCHER!$D$5:$D$504,C278,MATCHER!$J$5:$J$504,REGLER!$I$14&amp;" 2",MATCHER!$K$5:$K$504,"Ja")&gt;0,1,0)+IF(COUNTIFS(MATCHER!$B$5:$B$504,A278,MATCHER!$D$5:$D$504,C278,MATCHER!$J$5:$J$504,REGLER!$I$15,MATCHER!$K$5:$K$504,"Ja")+COUNTIFS(MATCHER!$B$5:$B$504,A278,MATCHER!$D$5:$D$504,C278,MATCHER!$J$5:$J$504,REGLER!$I$15&amp;" 2",MATCHER!$K$5:$K$504,"Ja")&gt;0,1,0)+IF(COUNTIFS(MATCHER!$B$5:$B$504,A278,MATCHER!$D$5:$D$504,C278,MATCHER!$J$5:$J$504,REGLER!$I$16,MATCHER!$K$5:$K$504,"Ja")+COUNTIFS(MATCHER!$B$5:$B$504,A278,MATCHER!$D$5:$D$504,C278,MATCHER!$J$5:$J$504,REGLER!$I$16&amp;" 2",MATCHER!$K$5:$K$504,"Ja")&gt;0,1,0)+IF(COUNTIFS(MATCHER!$B$5:$B$504,A278,MATCHER!$D$5:$D$504,C278,MATCHER!$J$5:$J$504,REGLER!$I$17,MATCHER!$K$5:$K$504,"Ja")+COUNTIFS(MATCHER!$B$5:$B$504,A278,MATCHER!$D$5:$D$504,C278,MATCHER!$J$5:$J$504,REGLER!$I$17&amp;" 2",MATCHER!$K$5:$K$504,"Ja")&gt;0,1,0)+IF(COUNTIFS(MATCHER!$B$5:$B$504,A278,MATCHER!$D$5:$D$504,C278,MATCHER!$J$5:$J$504,REGLER!$I$18,MATCHER!$K$5:$K$504,"Ja")+COUNTIFS(MATCHER!$B$5:$B$504,A278,MATCHER!$D$5:$D$504,C278,MATCHER!$J$5:$J$504,REGLER!$I$18&amp;" 2",MATCHER!$K$5:$K$504,"Ja")&gt;0,1,0)+IF(COUNTIFS(MATCHER!$B$5:$B$504,A278,MATCHER!$D$5:$D$504,C278,MATCHER!$J$5:$J$504,REGLER!$I$19,MATCHER!$K$5:$K$504,"Ja")+COUNTIFS(MATCHER!$B$5:$B$504,A278,MATCHER!$D$5:$D$504,C278,MATCHER!$J$5:$J$504,REGLER!$I$19&amp;" 2",MATCHER!$K$5:$K$504,"Ja")&gt;0,1,0)+IF(COUNTIFS(MATCHER!$B$5:$B$504,A278,MATCHER!$D$5:$D$504,C278,MATCHER!$J$5:$J$504,REGLER!$I$20,MATCHER!$K$5:$K$504,"Ja")+COUNTIFS(MATCHER!$B$5:$B$504,A278,MATCHER!$D$5:$D$504,C278,MATCHER!$J$5:$J$504,REGLER!$I$20&amp;" 2",MATCHER!$K$5:$K$504,"Ja")&gt;0,1,0)+IF(COUNTIFS(MATCHER!$B$5:$B$504,A278,MATCHER!$D$5:$D$504,C278,MATCHER!$J$5:$J$504,REGLER!$I$21,MATCHER!$K$5:$K$504,"Ja")+COUNTIFS(MATCHER!$B$5:$B$504,A278,MATCHER!$D$5:$D$504,C278,MATCHER!$J$5:$J$504,REGLER!$I$21&amp;" 2",MATCHER!$K$5:$K$504,"Ja")&gt;0,1,0)+IF(COUNTIFS(MATCHER!$B$5:$B$504,A278,MATCHER!$D$5:$D$504,C278,MATCHER!$J$5:$J$504,REGLER!$I$22,MATCHER!$K$5:$K$504,"Ja")+COUNTIFS(MATCHER!$B$5:$B$504,A278,MATCHER!$D$5:$D$504,C278,MATCHER!$J$5:$J$504,REGLER!$I$22&amp;" 2",MATCHER!$K$5:$K$504,"Ja")&gt;0,1,0)+IF(COUNTIFS(MATCHER!$B$5:$B$504,A278,MATCHER!$D$5:$D$504,C278,MATCHER!$J$5:$J$504,REGLER!$I$23,MATCHER!$K$5:$K$504,"Ja")+COUNTIFS(MATCHER!$B$5:$B$504,A278,MATCHER!$D$5:$D$504,C278,MATCHER!$J$5:$J$504,REGLER!$I$23&amp;" 2",MATCHER!$K$5:$K$504,"Ja")&gt;0,1,0)+IF(COUNTIFS(MATCHER!$B$5:$B$504,A278,MATCHER!$D$5:$D$504,C278,MATCHER!$J$5:$J$504,REGLER!$I$24,MATCHER!$K$5:$K$504,"Ja")+COUNTIFS(MATCHER!$B$5:$B$504,A278,MATCHER!$D$5:$D$504,C278,MATCHER!$J$5:$J$504,REGLER!$I$24&amp;" 2",MATCHER!$K$5:$K$504,"Ja")&gt;0,1,0)+IF(COUNTIFS(MATCHER!$B$5:$B$504,A278,MATCHER!$D$5:$D$504,C278,MATCHER!$J$5:$J$504,REGLER!$I$25,MATCHER!$K$5:$K$504,"Ja")+COUNTIFS(MATCHER!$B$5:$B$504,A278,MATCHER!$D$5:$D$504,C278,MATCHER!$J$5:$J$504,REGLER!$I$25&amp;" 2",MATCHER!$K$5:$K$504,"Ja")&gt;0,1,0)+IF(COUNTIFS(MATCHER!$B$5:$B$504,A278,MATCHER!$D$5:$D$504,C278,MATCHER!$J$5:$J$504,REGLER!$I$26,MATCHER!$K$5:$K$504,"Ja")+COUNTIFS(MATCHER!$B$5:$B$504,A278,MATCHER!$D$5:$D$504,C278,MATCHER!$J$5:$J$504,REGLER!$I$26&amp;" 2",MATCHER!$K$5:$K$504,"Ja")&gt;0,1,0)</f>
        <v>3</v>
      </c>
      <c r="AB278" s="15">
        <f>IF(U278&lt;&gt;1,"",COUNTIF($U$5:U278,1))</f>
        <v>32</v>
      </c>
      <c r="AC278" s="15" t="str">
        <f t="shared" si="66"/>
        <v/>
      </c>
      <c r="AD278" s="15" t="str">
        <f t="shared" si="67"/>
        <v>Vanligt café</v>
      </c>
      <c r="AE278" s="15">
        <f t="shared" si="68"/>
        <v>3.5000000000000155</v>
      </c>
      <c r="AF278" t="str">
        <f>IF(T278="","",IFERROR(MATCH(1,INDEX((MATCHER!$B$5:$B$504=A278)*(MATCHER!$D$5:$D$504=C278)*(MATCHER!$K$5:$K$504="Ja")*(MATCHER!$C$5:$C$504&lt;E278)*(MATCHER!$M$5:$M$504&gt;D278)*(ROW(MATCHER!$A$5:$A$504)-ROW(MATCHER!$A$5)+1&gt;T278),0),0),""))</f>
        <v/>
      </c>
    </row>
    <row r="279" spans="1:32" ht="13">
      <c r="A279" s="42">
        <v>46361</v>
      </c>
      <c r="B279" s="43" t="s">
        <v>85</v>
      </c>
      <c r="C279" s="43" t="s">
        <v>94</v>
      </c>
      <c r="D279" s="44">
        <v>0.41666666666666702</v>
      </c>
      <c r="E279" s="44">
        <v>0.4375</v>
      </c>
      <c r="F279" s="45" t="str">
        <f>IF(R279="","",HOUR(INDEX(MATCHER!$C$5:$C$504,R279))&amp;":"&amp;IF(MINUTE(INDEX(MATCHER!$C$5:$C$504,R279))&lt;10,"0","")&amp;MINUTE(INDEX(MATCHER!$C$5:$C$504,R279))&amp;" "&amp;INDEX(MATCHER!$H$5:$H$504,R279)&amp;" – "&amp;INDEX(MATCHER!$I$5:$I$504,R279))&amp;IF(S279="",""," | "&amp;HOUR(INDEX(MATCHER!$C$5:$C$504,S279))&amp;":"&amp;IF(MINUTE(INDEX(MATCHER!$C$5:$C$504,S279))&lt;10,"0","")&amp;MINUTE(INDEX(MATCHER!$C$5:$C$504,S279))&amp;" "&amp;INDEX(MATCHER!$H$5:$H$504,S279)&amp;" – "&amp;INDEX(MATCHER!$I$5:$I$504,S279))&amp;IF(T279="",""," | "&amp;HOUR(INDEX(MATCHER!$C$5:$C$504,T279))&amp;":"&amp;IF(MINUTE(INDEX(MATCHER!$C$5:$C$504,T279))&lt;10,"0","")&amp;MINUTE(INDEX(MATCHER!$C$5:$C$504,T279))&amp;" "&amp;INDEX(MATCHER!$H$5:$H$504,T279)&amp;" – "&amp;INDEX(MATCHER!$I$5:$I$504,T279))&amp;IF(AF279="",""," | "&amp;HOUR(INDEX(MATCHER!$C$5:$C$504,AF279))&amp;":"&amp;IF(MINUTE(INDEX(MATCHER!$C$5:$C$504,AF279))&lt;10,"0","")&amp;MINUTE(INDEX(MATCHER!$C$5:$C$504,AF279))&amp;" "&amp;INDEX(MATCHER!$H$5:$H$504,AF279)&amp;" – "&amp;INDEX(MATCHER!$I$5:$I$504,AF279))</f>
        <v>10:20 AIK 2 – Uppsala HK 2</v>
      </c>
      <c r="G279" s="45" t="str">
        <f>MID(IF(R279="","",IF(OR(INDEX(MATCHER!$J$5:$J$504,R279)=""),""," / "&amp;INDEX(MATCHER!$J$5:$J$504,R279)))&amp;IF(S279="","",IF(OR(INDEX(MATCHER!$J$5:$J$504,S279)="",INDEX(MATCHER!$J$5:$J$504,S279)=IFERROR(INDEX(MATCHER!$J$5:$J$504,R279),"")),""," / "&amp;INDEX(MATCHER!$J$5:$J$504,S279)))&amp;IF(T279="","",IF(OR(INDEX(MATCHER!$J$5:$J$504,T279)="",INDEX(MATCHER!$J$5:$J$504,T279)=IFERROR(INDEX(MATCHER!$J$5:$J$504,R279),""),INDEX(MATCHER!$J$5:$J$504,T279)=IFERROR(INDEX(MATCHER!$J$5:$J$504,S279),"")),""," / "&amp;INDEX(MATCHER!$J$5:$J$504,T279)))&amp;IF(AF279="","",IF(OR(INDEX(MATCHER!$J$5:$J$504,AF279)="",INDEX(MATCHER!$J$5:$J$504,AF279)=IFERROR(INDEX(MATCHER!$J$5:$J$504,R279),""),INDEX(MATCHER!$J$5:$J$504,AF279)=IFERROR(INDEX(MATCHER!$J$5:$J$504,S279),""),INDEX(MATCHER!$J$5:$J$504,AF279)=IFERROR(INDEX(MATCHER!$J$5:$J$504,T279),"")),""," / "&amp;INDEX(MATCHER!$J$5:$J$504,AF279))),4,1000)</f>
        <v>F16 2</v>
      </c>
      <c r="H279" s="45" t="str">
        <f t="shared" ref="H279:H289" si="69">H278</f>
        <v>F16, P16, Dam</v>
      </c>
      <c r="I279" s="46" t="s">
        <v>90</v>
      </c>
      <c r="J279" s="47" t="s">
        <v>128</v>
      </c>
      <c r="K279" s="48"/>
      <c r="L279" s="49"/>
      <c r="M279" s="50" t="str">
        <f>IF(O279&lt;&gt;O278,MAX(1,MIN(AA279,ROUNDUP(SUMPRODUCT(($O$5:$O$546=O279)*($I$5:$I$546="Ja")*($E$5:$E$546-$D$5:$D$546))*24/REGLER!$B$8,0))),"")</f>
        <v/>
      </c>
      <c r="N279" s="50" t="str">
        <f t="shared" si="62"/>
        <v>Klar</v>
      </c>
      <c r="O279" s="15" t="s">
        <v>133</v>
      </c>
      <c r="P279" s="16">
        <v>0.39583333333333298</v>
      </c>
      <c r="Q279" s="16">
        <v>0.625</v>
      </c>
      <c r="R279" s="15">
        <f>IFERROR(MATCH(1,INDEX((MATCHER!$B$5:$B$504=A279)*(MATCHER!$D$5:$D$504=C279)*(MATCHER!$K$5:$K$504="Ja")*(MATCHER!$C$5:$C$504&lt;E279)*(MATCHER!$M$5:$M$504&gt;D279),0),0),"")</f>
        <v>100</v>
      </c>
      <c r="S279" s="15" t="str">
        <f>IF(R279="","",IFERROR(MATCH(1,INDEX((MATCHER!$B$5:$B$504=A279)*(MATCHER!$D$5:$D$504=C279)*(MATCHER!$K$5:$K$504="Ja")*(MATCHER!$C$5:$C$504&lt;E279)*(MATCHER!$M$5:$M$504&gt;D279)*(ROW(MATCHER!$A$5:$A$504)-ROW(MATCHER!$A$5)+1&gt;R279),0),0),""))</f>
        <v/>
      </c>
      <c r="T279" s="15" t="str">
        <f>IF(S279="","",IFERROR(MATCH(1,INDEX((MATCHER!$B$5:$B$504=A279)*(MATCHER!$D$5:$D$504=C279)*(MATCHER!$K$5:$K$504="Ja")*(MATCHER!$C$5:$C$504&lt;E279)*(MATCHER!$M$5:$M$504&gt;D279)*(ROW(MATCHER!$A$5:$A$504)-ROW(MATCHER!$A$5)+1&gt;S279),0),0),""))</f>
        <v/>
      </c>
      <c r="U279" s="15">
        <f t="shared" si="63"/>
        <v>0</v>
      </c>
      <c r="V279" s="15">
        <f>IF(OR(I279&lt;&gt;"Ja",J279=""),"",COUNTIFS($O$5:O279,O279,$U$5:U279,1))</f>
        <v>1</v>
      </c>
      <c r="W279" s="15" t="str">
        <f t="shared" si="64"/>
        <v>2026-12-05 | Råsta Park|1</v>
      </c>
      <c r="X279" s="16" t="str">
        <f t="shared" si="65"/>
        <v/>
      </c>
      <c r="Y279" s="15">
        <f>IF(OR(I279&lt;&gt;"Ja",J279=""),0,IF(COUNTIFS($O$5:O279,O279,$I$5:I279,"Ja",$J$5:J279,"&lt;&gt;")=1,1,0))</f>
        <v>0</v>
      </c>
      <c r="Z279" s="15">
        <f>IF(OR(I279&lt;&gt;"Ja",J279=""),0,IF(COUNTIFS(O279:$O$546,O279,I279:$I$546,"Ja",J279:$J$546,"&lt;&gt;")=1,1,0))</f>
        <v>0</v>
      </c>
      <c r="AA279" s="15">
        <f t="shared" ref="AA279:AA289" si="70">AA278</f>
        <v>3</v>
      </c>
      <c r="AB279" s="15" t="str">
        <f>IF(U279&lt;&gt;1,"",COUNTIF($U$5:U279,1))</f>
        <v/>
      </c>
      <c r="AC279" s="15" t="str">
        <f t="shared" si="66"/>
        <v/>
      </c>
      <c r="AD279" s="15" t="str">
        <f t="shared" si="67"/>
        <v>Vanligt café</v>
      </c>
      <c r="AE279" s="15" t="str">
        <f t="shared" si="68"/>
        <v/>
      </c>
      <c r="AF279" t="str">
        <f>IF(T279="","",IFERROR(MATCH(1,INDEX((MATCHER!$B$5:$B$504=A279)*(MATCHER!$D$5:$D$504=C279)*(MATCHER!$K$5:$K$504="Ja")*(MATCHER!$C$5:$C$504&lt;E279)*(MATCHER!$M$5:$M$504&gt;D279)*(ROW(MATCHER!$A$5:$A$504)-ROW(MATCHER!$A$5)+1&gt;T279),0),0),""))</f>
        <v/>
      </c>
    </row>
    <row r="280" spans="1:32" ht="13">
      <c r="A280" s="42">
        <v>46361</v>
      </c>
      <c r="B280" s="43" t="s">
        <v>85</v>
      </c>
      <c r="C280" s="43" t="s">
        <v>94</v>
      </c>
      <c r="D280" s="44">
        <v>0.4375</v>
      </c>
      <c r="E280" s="44">
        <v>0.45833333333333298</v>
      </c>
      <c r="F280" s="45" t="str">
        <f>IF(R280="","",HOUR(INDEX(MATCHER!$C$5:$C$504,R280))&amp;":"&amp;IF(MINUTE(INDEX(MATCHER!$C$5:$C$504,R280))&lt;10,"0","")&amp;MINUTE(INDEX(MATCHER!$C$5:$C$504,R280))&amp;" "&amp;INDEX(MATCHER!$H$5:$H$504,R280)&amp;" – "&amp;INDEX(MATCHER!$I$5:$I$504,R280))&amp;IF(S280="",""," | "&amp;HOUR(INDEX(MATCHER!$C$5:$C$504,S280))&amp;":"&amp;IF(MINUTE(INDEX(MATCHER!$C$5:$C$504,S280))&lt;10,"0","")&amp;MINUTE(INDEX(MATCHER!$C$5:$C$504,S280))&amp;" "&amp;INDEX(MATCHER!$H$5:$H$504,S280)&amp;" – "&amp;INDEX(MATCHER!$I$5:$I$504,S280))&amp;IF(T280="",""," | "&amp;HOUR(INDEX(MATCHER!$C$5:$C$504,T280))&amp;":"&amp;IF(MINUTE(INDEX(MATCHER!$C$5:$C$504,T280))&lt;10,"0","")&amp;MINUTE(INDEX(MATCHER!$C$5:$C$504,T280))&amp;" "&amp;INDEX(MATCHER!$H$5:$H$504,T280)&amp;" – "&amp;INDEX(MATCHER!$I$5:$I$504,T280))&amp;IF(AF280="",""," | "&amp;HOUR(INDEX(MATCHER!$C$5:$C$504,AF280))&amp;":"&amp;IF(MINUTE(INDEX(MATCHER!$C$5:$C$504,AF280))&lt;10,"0","")&amp;MINUTE(INDEX(MATCHER!$C$5:$C$504,AF280))&amp;" "&amp;INDEX(MATCHER!$H$5:$H$504,AF280)&amp;" – "&amp;INDEX(MATCHER!$I$5:$I$504,AF280))</f>
        <v>10:20 AIK 2 – Uppsala HK 2</v>
      </c>
      <c r="G280" s="45" t="str">
        <f>MID(IF(R280="","",IF(OR(INDEX(MATCHER!$J$5:$J$504,R280)=""),""," / "&amp;INDEX(MATCHER!$J$5:$J$504,R280)))&amp;IF(S280="","",IF(OR(INDEX(MATCHER!$J$5:$J$504,S280)="",INDEX(MATCHER!$J$5:$J$504,S280)=IFERROR(INDEX(MATCHER!$J$5:$J$504,R280),"")),""," / "&amp;INDEX(MATCHER!$J$5:$J$504,S280)))&amp;IF(T280="","",IF(OR(INDEX(MATCHER!$J$5:$J$504,T280)="",INDEX(MATCHER!$J$5:$J$504,T280)=IFERROR(INDEX(MATCHER!$J$5:$J$504,R280),""),INDEX(MATCHER!$J$5:$J$504,T280)=IFERROR(INDEX(MATCHER!$J$5:$J$504,S280),"")),""," / "&amp;INDEX(MATCHER!$J$5:$J$504,T280)))&amp;IF(AF280="","",IF(OR(INDEX(MATCHER!$J$5:$J$504,AF280)="",INDEX(MATCHER!$J$5:$J$504,AF280)=IFERROR(INDEX(MATCHER!$J$5:$J$504,R280),""),INDEX(MATCHER!$J$5:$J$504,AF280)=IFERROR(INDEX(MATCHER!$J$5:$J$504,S280),""),INDEX(MATCHER!$J$5:$J$504,AF280)=IFERROR(INDEX(MATCHER!$J$5:$J$504,T280),"")),""," / "&amp;INDEX(MATCHER!$J$5:$J$504,AF280))),4,1000)</f>
        <v>F16 2</v>
      </c>
      <c r="H280" s="45" t="str">
        <f t="shared" si="69"/>
        <v>F16, P16, Dam</v>
      </c>
      <c r="I280" s="46" t="s">
        <v>90</v>
      </c>
      <c r="J280" s="47" t="s">
        <v>128</v>
      </c>
      <c r="K280" s="48"/>
      <c r="L280" s="49"/>
      <c r="M280" s="50" t="str">
        <f>IF(O280&lt;&gt;O279,MAX(1,MIN(AA280,ROUNDUP(SUMPRODUCT(($O$5:$O$546=O280)*($I$5:$I$546="Ja")*($E$5:$E$546-$D$5:$D$546))*24/REGLER!$B$8,0))),"")</f>
        <v/>
      </c>
      <c r="N280" s="50" t="str">
        <f t="shared" si="62"/>
        <v>Klar</v>
      </c>
      <c r="O280" s="15" t="s">
        <v>133</v>
      </c>
      <c r="P280" s="16">
        <v>0.39583333333333298</v>
      </c>
      <c r="Q280" s="16">
        <v>0.625</v>
      </c>
      <c r="R280" s="15">
        <f>IFERROR(MATCH(1,INDEX((MATCHER!$B$5:$B$504=A280)*(MATCHER!$D$5:$D$504=C280)*(MATCHER!$K$5:$K$504="Ja")*(MATCHER!$C$5:$C$504&lt;E280)*(MATCHER!$M$5:$M$504&gt;D280),0),0),"")</f>
        <v>100</v>
      </c>
      <c r="S280" s="15" t="str">
        <f>IF(R280="","",IFERROR(MATCH(1,INDEX((MATCHER!$B$5:$B$504=A280)*(MATCHER!$D$5:$D$504=C280)*(MATCHER!$K$5:$K$504="Ja")*(MATCHER!$C$5:$C$504&lt;E280)*(MATCHER!$M$5:$M$504&gt;D280)*(ROW(MATCHER!$A$5:$A$504)-ROW(MATCHER!$A$5)+1&gt;R280),0),0),""))</f>
        <v/>
      </c>
      <c r="T280" s="15" t="str">
        <f>IF(S280="","",IFERROR(MATCH(1,INDEX((MATCHER!$B$5:$B$504=A280)*(MATCHER!$D$5:$D$504=C280)*(MATCHER!$K$5:$K$504="Ja")*(MATCHER!$C$5:$C$504&lt;E280)*(MATCHER!$M$5:$M$504&gt;D280)*(ROW(MATCHER!$A$5:$A$504)-ROW(MATCHER!$A$5)+1&gt;S280),0),0),""))</f>
        <v/>
      </c>
      <c r="U280" s="15">
        <f t="shared" si="63"/>
        <v>0</v>
      </c>
      <c r="V280" s="15">
        <f>IF(OR(I280&lt;&gt;"Ja",J280=""),"",COUNTIFS($O$5:O280,O280,$U$5:U280,1))</f>
        <v>1</v>
      </c>
      <c r="W280" s="15" t="str">
        <f t="shared" si="64"/>
        <v>2026-12-05 | Råsta Park|1</v>
      </c>
      <c r="X280" s="16" t="str">
        <f t="shared" si="65"/>
        <v/>
      </c>
      <c r="Y280" s="15">
        <f>IF(OR(I280&lt;&gt;"Ja",J280=""),0,IF(COUNTIFS($O$5:O280,O280,$I$5:I280,"Ja",$J$5:J280,"&lt;&gt;")=1,1,0))</f>
        <v>0</v>
      </c>
      <c r="Z280" s="15">
        <f>IF(OR(I280&lt;&gt;"Ja",J280=""),0,IF(COUNTIFS(O280:$O$546,O280,I280:$I$546,"Ja",J280:$J$546,"&lt;&gt;")=1,1,0))</f>
        <v>0</v>
      </c>
      <c r="AA280" s="15">
        <f t="shared" si="70"/>
        <v>3</v>
      </c>
      <c r="AB280" s="15" t="str">
        <f>IF(U280&lt;&gt;1,"",COUNTIF($U$5:U280,1))</f>
        <v/>
      </c>
      <c r="AC280" s="15" t="str">
        <f t="shared" si="66"/>
        <v/>
      </c>
      <c r="AD280" s="15" t="str">
        <f t="shared" si="67"/>
        <v>Vanligt café</v>
      </c>
      <c r="AE280" s="15" t="str">
        <f t="shared" si="68"/>
        <v/>
      </c>
      <c r="AF280" t="str">
        <f>IF(T280="","",IFERROR(MATCH(1,INDEX((MATCHER!$B$5:$B$504=A280)*(MATCHER!$D$5:$D$504=C280)*(MATCHER!$K$5:$K$504="Ja")*(MATCHER!$C$5:$C$504&lt;E280)*(MATCHER!$M$5:$M$504&gt;D280)*(ROW(MATCHER!$A$5:$A$504)-ROW(MATCHER!$A$5)+1&gt;T280),0),0),""))</f>
        <v/>
      </c>
    </row>
    <row r="281" spans="1:32" ht="13">
      <c r="A281" s="42">
        <v>46361</v>
      </c>
      <c r="B281" s="43" t="s">
        <v>85</v>
      </c>
      <c r="C281" s="43" t="s">
        <v>94</v>
      </c>
      <c r="D281" s="44">
        <v>0.45833333333333298</v>
      </c>
      <c r="E281" s="44">
        <v>0.47916666666666702</v>
      </c>
      <c r="F281" s="45" t="str">
        <f>IF(R281="","",HOUR(INDEX(MATCHER!$C$5:$C$504,R281))&amp;":"&amp;IF(MINUTE(INDEX(MATCHER!$C$5:$C$504,R281))&lt;10,"0","")&amp;MINUTE(INDEX(MATCHER!$C$5:$C$504,R281))&amp;" "&amp;INDEX(MATCHER!$H$5:$H$504,R281)&amp;" – "&amp;INDEX(MATCHER!$I$5:$I$504,R281))&amp;IF(S281="",""," | "&amp;HOUR(INDEX(MATCHER!$C$5:$C$504,S281))&amp;":"&amp;IF(MINUTE(INDEX(MATCHER!$C$5:$C$504,S281))&lt;10,"0","")&amp;MINUTE(INDEX(MATCHER!$C$5:$C$504,S281))&amp;" "&amp;INDEX(MATCHER!$H$5:$H$504,S281)&amp;" – "&amp;INDEX(MATCHER!$I$5:$I$504,S281))&amp;IF(T281="",""," | "&amp;HOUR(INDEX(MATCHER!$C$5:$C$504,T281))&amp;":"&amp;IF(MINUTE(INDEX(MATCHER!$C$5:$C$504,T281))&lt;10,"0","")&amp;MINUTE(INDEX(MATCHER!$C$5:$C$504,T281))&amp;" "&amp;INDEX(MATCHER!$H$5:$H$504,T281)&amp;" – "&amp;INDEX(MATCHER!$I$5:$I$504,T281))&amp;IF(AF281="",""," | "&amp;HOUR(INDEX(MATCHER!$C$5:$C$504,AF281))&amp;":"&amp;IF(MINUTE(INDEX(MATCHER!$C$5:$C$504,AF281))&lt;10,"0","")&amp;MINUTE(INDEX(MATCHER!$C$5:$C$504,AF281))&amp;" "&amp;INDEX(MATCHER!$H$5:$H$504,AF281)&amp;" – "&amp;INDEX(MATCHER!$I$5:$I$504,AF281))</f>
        <v>10:20 AIK 2 – Uppsala HK 2</v>
      </c>
      <c r="G281" s="45" t="str">
        <f>MID(IF(R281="","",IF(OR(INDEX(MATCHER!$J$5:$J$504,R281)=""),""," / "&amp;INDEX(MATCHER!$J$5:$J$504,R281)))&amp;IF(S281="","",IF(OR(INDEX(MATCHER!$J$5:$J$504,S281)="",INDEX(MATCHER!$J$5:$J$504,S281)=IFERROR(INDEX(MATCHER!$J$5:$J$504,R281),"")),""," / "&amp;INDEX(MATCHER!$J$5:$J$504,S281)))&amp;IF(T281="","",IF(OR(INDEX(MATCHER!$J$5:$J$504,T281)="",INDEX(MATCHER!$J$5:$J$504,T281)=IFERROR(INDEX(MATCHER!$J$5:$J$504,R281),""),INDEX(MATCHER!$J$5:$J$504,T281)=IFERROR(INDEX(MATCHER!$J$5:$J$504,S281),"")),""," / "&amp;INDEX(MATCHER!$J$5:$J$504,T281)))&amp;IF(AF281="","",IF(OR(INDEX(MATCHER!$J$5:$J$504,AF281)="",INDEX(MATCHER!$J$5:$J$504,AF281)=IFERROR(INDEX(MATCHER!$J$5:$J$504,R281),""),INDEX(MATCHER!$J$5:$J$504,AF281)=IFERROR(INDEX(MATCHER!$J$5:$J$504,S281),""),INDEX(MATCHER!$J$5:$J$504,AF281)=IFERROR(INDEX(MATCHER!$J$5:$J$504,T281),"")),""," / "&amp;INDEX(MATCHER!$J$5:$J$504,AF281))),4,1000)</f>
        <v>F16 2</v>
      </c>
      <c r="H281" s="45" t="str">
        <f t="shared" si="69"/>
        <v>F16, P16, Dam</v>
      </c>
      <c r="I281" s="46" t="s">
        <v>90</v>
      </c>
      <c r="J281" s="47" t="s">
        <v>128</v>
      </c>
      <c r="K281" s="48"/>
      <c r="L281" s="49"/>
      <c r="M281" s="50" t="str">
        <f>IF(O281&lt;&gt;O280,MAX(1,MIN(AA281,ROUNDUP(SUMPRODUCT(($O$5:$O$546=O281)*($I$5:$I$546="Ja")*($E$5:$E$546-$D$5:$D$546))*24/REGLER!$B$8,0))),"")</f>
        <v/>
      </c>
      <c r="N281" s="50" t="str">
        <f t="shared" si="62"/>
        <v>Klar</v>
      </c>
      <c r="O281" s="15" t="s">
        <v>133</v>
      </c>
      <c r="P281" s="16">
        <v>0.39583333333333298</v>
      </c>
      <c r="Q281" s="16">
        <v>0.625</v>
      </c>
      <c r="R281" s="15">
        <f>IFERROR(MATCH(1,INDEX((MATCHER!$B$5:$B$504=A281)*(MATCHER!$D$5:$D$504=C281)*(MATCHER!$K$5:$K$504="Ja")*(MATCHER!$C$5:$C$504&lt;E281)*(MATCHER!$M$5:$M$504&gt;D281),0),0),"")</f>
        <v>100</v>
      </c>
      <c r="S281" s="15" t="str">
        <f>IF(R281="","",IFERROR(MATCH(1,INDEX((MATCHER!$B$5:$B$504=A281)*(MATCHER!$D$5:$D$504=C281)*(MATCHER!$K$5:$K$504="Ja")*(MATCHER!$C$5:$C$504&lt;E281)*(MATCHER!$M$5:$M$504&gt;D281)*(ROW(MATCHER!$A$5:$A$504)-ROW(MATCHER!$A$5)+1&gt;R281),0),0),""))</f>
        <v/>
      </c>
      <c r="T281" s="15" t="str">
        <f>IF(S281="","",IFERROR(MATCH(1,INDEX((MATCHER!$B$5:$B$504=A281)*(MATCHER!$D$5:$D$504=C281)*(MATCHER!$K$5:$K$504="Ja")*(MATCHER!$C$5:$C$504&lt;E281)*(MATCHER!$M$5:$M$504&gt;D281)*(ROW(MATCHER!$A$5:$A$504)-ROW(MATCHER!$A$5)+1&gt;S281),0),0),""))</f>
        <v/>
      </c>
      <c r="U281" s="15">
        <f t="shared" si="63"/>
        <v>0</v>
      </c>
      <c r="V281" s="15">
        <f>IF(OR(I281&lt;&gt;"Ja",J281=""),"",COUNTIFS($O$5:O281,O281,$U$5:U281,1))</f>
        <v>1</v>
      </c>
      <c r="W281" s="15" t="str">
        <f t="shared" si="64"/>
        <v>2026-12-05 | Råsta Park|1</v>
      </c>
      <c r="X281" s="16" t="str">
        <f t="shared" si="65"/>
        <v/>
      </c>
      <c r="Y281" s="15">
        <f>IF(OR(I281&lt;&gt;"Ja",J281=""),0,IF(COUNTIFS($O$5:O281,O281,$I$5:I281,"Ja",$J$5:J281,"&lt;&gt;")=1,1,0))</f>
        <v>0</v>
      </c>
      <c r="Z281" s="15">
        <f>IF(OR(I281&lt;&gt;"Ja",J281=""),0,IF(COUNTIFS(O281:$O$546,O281,I281:$I$546,"Ja",J281:$J$546,"&lt;&gt;")=1,1,0))</f>
        <v>0</v>
      </c>
      <c r="AA281" s="15">
        <f t="shared" si="70"/>
        <v>3</v>
      </c>
      <c r="AB281" s="15" t="str">
        <f>IF(U281&lt;&gt;1,"",COUNTIF($U$5:U281,1))</f>
        <v/>
      </c>
      <c r="AC281" s="15" t="str">
        <f t="shared" si="66"/>
        <v/>
      </c>
      <c r="AD281" s="15" t="str">
        <f t="shared" si="67"/>
        <v>Vanligt café</v>
      </c>
      <c r="AE281" s="15" t="str">
        <f t="shared" si="68"/>
        <v/>
      </c>
      <c r="AF281" t="str">
        <f>IF(T281="","",IFERROR(MATCH(1,INDEX((MATCHER!$B$5:$B$504=A281)*(MATCHER!$D$5:$D$504=C281)*(MATCHER!$K$5:$K$504="Ja")*(MATCHER!$C$5:$C$504&lt;E281)*(MATCHER!$M$5:$M$504&gt;D281)*(ROW(MATCHER!$A$5:$A$504)-ROW(MATCHER!$A$5)+1&gt;T281),0),0),""))</f>
        <v/>
      </c>
    </row>
    <row r="282" spans="1:32" ht="13">
      <c r="A282" s="42">
        <v>46361</v>
      </c>
      <c r="B282" s="43" t="s">
        <v>85</v>
      </c>
      <c r="C282" s="43" t="s">
        <v>94</v>
      </c>
      <c r="D282" s="44">
        <v>0.47916666666666702</v>
      </c>
      <c r="E282" s="44">
        <v>0.5</v>
      </c>
      <c r="F282" s="45" t="str">
        <f>IF(R282="","",HOUR(INDEX(MATCHER!$C$5:$C$504,R282))&amp;":"&amp;IF(MINUTE(INDEX(MATCHER!$C$5:$C$504,R282))&lt;10,"0","")&amp;MINUTE(INDEX(MATCHER!$C$5:$C$504,R282))&amp;" "&amp;INDEX(MATCHER!$H$5:$H$504,R282)&amp;" – "&amp;INDEX(MATCHER!$I$5:$I$504,R282))&amp;IF(S282="",""," | "&amp;HOUR(INDEX(MATCHER!$C$5:$C$504,S282))&amp;":"&amp;IF(MINUTE(INDEX(MATCHER!$C$5:$C$504,S282))&lt;10,"0","")&amp;MINUTE(INDEX(MATCHER!$C$5:$C$504,S282))&amp;" "&amp;INDEX(MATCHER!$H$5:$H$504,S282)&amp;" – "&amp;INDEX(MATCHER!$I$5:$I$504,S282))&amp;IF(T282="",""," | "&amp;HOUR(INDEX(MATCHER!$C$5:$C$504,T282))&amp;":"&amp;IF(MINUTE(INDEX(MATCHER!$C$5:$C$504,T282))&lt;10,"0","")&amp;MINUTE(INDEX(MATCHER!$C$5:$C$504,T282))&amp;" "&amp;INDEX(MATCHER!$H$5:$H$504,T282)&amp;" – "&amp;INDEX(MATCHER!$I$5:$I$504,T282))&amp;IF(AF282="",""," | "&amp;HOUR(INDEX(MATCHER!$C$5:$C$504,AF282))&amp;":"&amp;IF(MINUTE(INDEX(MATCHER!$C$5:$C$504,AF282))&lt;10,"0","")&amp;MINUTE(INDEX(MATCHER!$C$5:$C$504,AF282))&amp;" "&amp;INDEX(MATCHER!$H$5:$H$504,AF282)&amp;" – "&amp;INDEX(MATCHER!$I$5:$I$504,AF282))</f>
        <v>11:45 AIK 2 – Uppsala HK 2</v>
      </c>
      <c r="G282" s="45" t="str">
        <f>MID(IF(R282="","",IF(OR(INDEX(MATCHER!$J$5:$J$504,R282)=""),""," / "&amp;INDEX(MATCHER!$J$5:$J$504,R282)))&amp;IF(S282="","",IF(OR(INDEX(MATCHER!$J$5:$J$504,S282)="",INDEX(MATCHER!$J$5:$J$504,S282)=IFERROR(INDEX(MATCHER!$J$5:$J$504,R282),"")),""," / "&amp;INDEX(MATCHER!$J$5:$J$504,S282)))&amp;IF(T282="","",IF(OR(INDEX(MATCHER!$J$5:$J$504,T282)="",INDEX(MATCHER!$J$5:$J$504,T282)=IFERROR(INDEX(MATCHER!$J$5:$J$504,R282),""),INDEX(MATCHER!$J$5:$J$504,T282)=IFERROR(INDEX(MATCHER!$J$5:$J$504,S282),"")),""," / "&amp;INDEX(MATCHER!$J$5:$J$504,T282)))&amp;IF(AF282="","",IF(OR(INDEX(MATCHER!$J$5:$J$504,AF282)="",INDEX(MATCHER!$J$5:$J$504,AF282)=IFERROR(INDEX(MATCHER!$J$5:$J$504,R282),""),INDEX(MATCHER!$J$5:$J$504,AF282)=IFERROR(INDEX(MATCHER!$J$5:$J$504,S282),""),INDEX(MATCHER!$J$5:$J$504,AF282)=IFERROR(INDEX(MATCHER!$J$5:$J$504,T282),"")),""," / "&amp;INDEX(MATCHER!$J$5:$J$504,AF282))),4,1000)</f>
        <v>P16 2</v>
      </c>
      <c r="H282" s="45" t="str">
        <f t="shared" si="69"/>
        <v>F16, P16, Dam</v>
      </c>
      <c r="I282" s="46" t="s">
        <v>90</v>
      </c>
      <c r="J282" s="47" t="s">
        <v>128</v>
      </c>
      <c r="K282" s="48"/>
      <c r="L282" s="49"/>
      <c r="M282" s="50" t="str">
        <f>IF(O282&lt;&gt;O281,MAX(1,MIN(AA282,ROUNDUP(SUMPRODUCT(($O$5:$O$546=O282)*($I$5:$I$546="Ja")*($E$5:$E$546-$D$5:$D$546))*24/REGLER!$B$8,0))),"")</f>
        <v/>
      </c>
      <c r="N282" s="50" t="str">
        <f t="shared" si="62"/>
        <v>Klar</v>
      </c>
      <c r="O282" s="15" t="s">
        <v>133</v>
      </c>
      <c r="P282" s="16">
        <v>0.39583333333333298</v>
      </c>
      <c r="Q282" s="16">
        <v>0.625</v>
      </c>
      <c r="R282" s="15">
        <f>IFERROR(MATCH(1,INDEX((MATCHER!$B$5:$B$504=A282)*(MATCHER!$D$5:$D$504=C282)*(MATCHER!$K$5:$K$504="Ja")*(MATCHER!$C$5:$C$504&lt;E282)*(MATCHER!$M$5:$M$504&gt;D282),0),0),"")</f>
        <v>101</v>
      </c>
      <c r="S282" s="15" t="str">
        <f>IF(R282="","",IFERROR(MATCH(1,INDEX((MATCHER!$B$5:$B$504=A282)*(MATCHER!$D$5:$D$504=C282)*(MATCHER!$K$5:$K$504="Ja")*(MATCHER!$C$5:$C$504&lt;E282)*(MATCHER!$M$5:$M$504&gt;D282)*(ROW(MATCHER!$A$5:$A$504)-ROW(MATCHER!$A$5)+1&gt;R282),0),0),""))</f>
        <v/>
      </c>
      <c r="T282" s="15" t="str">
        <f>IF(S282="","",IFERROR(MATCH(1,INDEX((MATCHER!$B$5:$B$504=A282)*(MATCHER!$D$5:$D$504=C282)*(MATCHER!$K$5:$K$504="Ja")*(MATCHER!$C$5:$C$504&lt;E282)*(MATCHER!$M$5:$M$504&gt;D282)*(ROW(MATCHER!$A$5:$A$504)-ROW(MATCHER!$A$5)+1&gt;S282),0),0),""))</f>
        <v/>
      </c>
      <c r="U282" s="15">
        <f t="shared" si="63"/>
        <v>0</v>
      </c>
      <c r="V282" s="15">
        <f>IF(OR(I282&lt;&gt;"Ja",J282=""),"",COUNTIFS($O$5:O282,O282,$U$5:U282,1))</f>
        <v>1</v>
      </c>
      <c r="W282" s="15" t="str">
        <f t="shared" si="64"/>
        <v>2026-12-05 | Råsta Park|1</v>
      </c>
      <c r="X282" s="16" t="str">
        <f t="shared" si="65"/>
        <v/>
      </c>
      <c r="Y282" s="15">
        <f>IF(OR(I282&lt;&gt;"Ja",J282=""),0,IF(COUNTIFS($O$5:O282,O282,$I$5:I282,"Ja",$J$5:J282,"&lt;&gt;")=1,1,0))</f>
        <v>0</v>
      </c>
      <c r="Z282" s="15">
        <f>IF(OR(I282&lt;&gt;"Ja",J282=""),0,IF(COUNTIFS(O282:$O$546,O282,I282:$I$546,"Ja",J282:$J$546,"&lt;&gt;")=1,1,0))</f>
        <v>0</v>
      </c>
      <c r="AA282" s="15">
        <f t="shared" si="70"/>
        <v>3</v>
      </c>
      <c r="AB282" s="15" t="str">
        <f>IF(U282&lt;&gt;1,"",COUNTIF($U$5:U282,1))</f>
        <v/>
      </c>
      <c r="AC282" s="15" t="str">
        <f t="shared" si="66"/>
        <v/>
      </c>
      <c r="AD282" s="15" t="str">
        <f t="shared" si="67"/>
        <v>Vanligt café</v>
      </c>
      <c r="AE282" s="15" t="str">
        <f t="shared" si="68"/>
        <v/>
      </c>
      <c r="AF282" t="str">
        <f>IF(T282="","",IFERROR(MATCH(1,INDEX((MATCHER!$B$5:$B$504=A282)*(MATCHER!$D$5:$D$504=C282)*(MATCHER!$K$5:$K$504="Ja")*(MATCHER!$C$5:$C$504&lt;E282)*(MATCHER!$M$5:$M$504&gt;D282)*(ROW(MATCHER!$A$5:$A$504)-ROW(MATCHER!$A$5)+1&gt;T282),0),0),""))</f>
        <v/>
      </c>
    </row>
    <row r="283" spans="1:32" ht="13">
      <c r="A283" s="42">
        <v>46361</v>
      </c>
      <c r="B283" s="43" t="s">
        <v>85</v>
      </c>
      <c r="C283" s="43" t="s">
        <v>94</v>
      </c>
      <c r="D283" s="44">
        <v>0.5</v>
      </c>
      <c r="E283" s="44">
        <v>0.52083333333333304</v>
      </c>
      <c r="F283" s="45" t="str">
        <f>IF(R283="","",HOUR(INDEX(MATCHER!$C$5:$C$504,R283))&amp;":"&amp;IF(MINUTE(INDEX(MATCHER!$C$5:$C$504,R283))&lt;10,"0","")&amp;MINUTE(INDEX(MATCHER!$C$5:$C$504,R283))&amp;" "&amp;INDEX(MATCHER!$H$5:$H$504,R283)&amp;" – "&amp;INDEX(MATCHER!$I$5:$I$504,R283))&amp;IF(S283="",""," | "&amp;HOUR(INDEX(MATCHER!$C$5:$C$504,S283))&amp;":"&amp;IF(MINUTE(INDEX(MATCHER!$C$5:$C$504,S283))&lt;10,"0","")&amp;MINUTE(INDEX(MATCHER!$C$5:$C$504,S283))&amp;" "&amp;INDEX(MATCHER!$H$5:$H$504,S283)&amp;" – "&amp;INDEX(MATCHER!$I$5:$I$504,S283))&amp;IF(T283="",""," | "&amp;HOUR(INDEX(MATCHER!$C$5:$C$504,T283))&amp;":"&amp;IF(MINUTE(INDEX(MATCHER!$C$5:$C$504,T283))&lt;10,"0","")&amp;MINUTE(INDEX(MATCHER!$C$5:$C$504,T283))&amp;" "&amp;INDEX(MATCHER!$H$5:$H$504,T283)&amp;" – "&amp;INDEX(MATCHER!$I$5:$I$504,T283))&amp;IF(AF283="",""," | "&amp;HOUR(INDEX(MATCHER!$C$5:$C$504,AF283))&amp;":"&amp;IF(MINUTE(INDEX(MATCHER!$C$5:$C$504,AF283))&lt;10,"0","")&amp;MINUTE(INDEX(MATCHER!$C$5:$C$504,AF283))&amp;" "&amp;INDEX(MATCHER!$H$5:$H$504,AF283)&amp;" – "&amp;INDEX(MATCHER!$I$5:$I$504,AF283))</f>
        <v>11:45 AIK 2 – Uppsala HK 2</v>
      </c>
      <c r="G283" s="45" t="str">
        <f>MID(IF(R283="","",IF(OR(INDEX(MATCHER!$J$5:$J$504,R283)=""),""," / "&amp;INDEX(MATCHER!$J$5:$J$504,R283)))&amp;IF(S283="","",IF(OR(INDEX(MATCHER!$J$5:$J$504,S283)="",INDEX(MATCHER!$J$5:$J$504,S283)=IFERROR(INDEX(MATCHER!$J$5:$J$504,R283),"")),""," / "&amp;INDEX(MATCHER!$J$5:$J$504,S283)))&amp;IF(T283="","",IF(OR(INDEX(MATCHER!$J$5:$J$504,T283)="",INDEX(MATCHER!$J$5:$J$504,T283)=IFERROR(INDEX(MATCHER!$J$5:$J$504,R283),""),INDEX(MATCHER!$J$5:$J$504,T283)=IFERROR(INDEX(MATCHER!$J$5:$J$504,S283),"")),""," / "&amp;INDEX(MATCHER!$J$5:$J$504,T283)))&amp;IF(AF283="","",IF(OR(INDEX(MATCHER!$J$5:$J$504,AF283)="",INDEX(MATCHER!$J$5:$J$504,AF283)=IFERROR(INDEX(MATCHER!$J$5:$J$504,R283),""),INDEX(MATCHER!$J$5:$J$504,AF283)=IFERROR(INDEX(MATCHER!$J$5:$J$504,S283),""),INDEX(MATCHER!$J$5:$J$504,AF283)=IFERROR(INDEX(MATCHER!$J$5:$J$504,T283),"")),""," / "&amp;INDEX(MATCHER!$J$5:$J$504,AF283))),4,1000)</f>
        <v>P16 2</v>
      </c>
      <c r="H283" s="45" t="str">
        <f t="shared" si="69"/>
        <v>F16, P16, Dam</v>
      </c>
      <c r="I283" s="46" t="s">
        <v>90</v>
      </c>
      <c r="J283" s="47" t="s">
        <v>128</v>
      </c>
      <c r="K283" s="48"/>
      <c r="L283" s="49"/>
      <c r="M283" s="50" t="str">
        <f>IF(O283&lt;&gt;O282,MAX(1,MIN(AA283,ROUNDUP(SUMPRODUCT(($O$5:$O$546=O283)*($I$5:$I$546="Ja")*($E$5:$E$546-$D$5:$D$546))*24/REGLER!$B$8,0))),"")</f>
        <v/>
      </c>
      <c r="N283" s="50" t="str">
        <f t="shared" si="62"/>
        <v>Klar</v>
      </c>
      <c r="O283" s="15" t="s">
        <v>133</v>
      </c>
      <c r="P283" s="16">
        <v>0.39583333333333298</v>
      </c>
      <c r="Q283" s="16">
        <v>0.625</v>
      </c>
      <c r="R283" s="15">
        <f>IFERROR(MATCH(1,INDEX((MATCHER!$B$5:$B$504=A283)*(MATCHER!$D$5:$D$504=C283)*(MATCHER!$K$5:$K$504="Ja")*(MATCHER!$C$5:$C$504&lt;E283)*(MATCHER!$M$5:$M$504&gt;D283),0),0),"")</f>
        <v>101</v>
      </c>
      <c r="S283" s="15" t="str">
        <f>IF(R283="","",IFERROR(MATCH(1,INDEX((MATCHER!$B$5:$B$504=A283)*(MATCHER!$D$5:$D$504=C283)*(MATCHER!$K$5:$K$504="Ja")*(MATCHER!$C$5:$C$504&lt;E283)*(MATCHER!$M$5:$M$504&gt;D283)*(ROW(MATCHER!$A$5:$A$504)-ROW(MATCHER!$A$5)+1&gt;R283),0),0),""))</f>
        <v/>
      </c>
      <c r="T283" s="15" t="str">
        <f>IF(S283="","",IFERROR(MATCH(1,INDEX((MATCHER!$B$5:$B$504=A283)*(MATCHER!$D$5:$D$504=C283)*(MATCHER!$K$5:$K$504="Ja")*(MATCHER!$C$5:$C$504&lt;E283)*(MATCHER!$M$5:$M$504&gt;D283)*(ROW(MATCHER!$A$5:$A$504)-ROW(MATCHER!$A$5)+1&gt;S283),0),0),""))</f>
        <v/>
      </c>
      <c r="U283" s="15">
        <f t="shared" si="63"/>
        <v>0</v>
      </c>
      <c r="V283" s="15">
        <f>IF(OR(I283&lt;&gt;"Ja",J283=""),"",COUNTIFS($O$5:O283,O283,$U$5:U283,1))</f>
        <v>1</v>
      </c>
      <c r="W283" s="15" t="str">
        <f t="shared" si="64"/>
        <v>2026-12-05 | Råsta Park|1</v>
      </c>
      <c r="X283" s="16" t="str">
        <f t="shared" si="65"/>
        <v/>
      </c>
      <c r="Y283" s="15">
        <f>IF(OR(I283&lt;&gt;"Ja",J283=""),0,IF(COUNTIFS($O$5:O283,O283,$I$5:I283,"Ja",$J$5:J283,"&lt;&gt;")=1,1,0))</f>
        <v>0</v>
      </c>
      <c r="Z283" s="15">
        <f>IF(OR(I283&lt;&gt;"Ja",J283=""),0,IF(COUNTIFS(O283:$O$546,O283,I283:$I$546,"Ja",J283:$J$546,"&lt;&gt;")=1,1,0))</f>
        <v>0</v>
      </c>
      <c r="AA283" s="15">
        <f t="shared" si="70"/>
        <v>3</v>
      </c>
      <c r="AB283" s="15" t="str">
        <f>IF(U283&lt;&gt;1,"",COUNTIF($U$5:U283,1))</f>
        <v/>
      </c>
      <c r="AC283" s="15" t="str">
        <f t="shared" si="66"/>
        <v/>
      </c>
      <c r="AD283" s="15" t="str">
        <f t="shared" si="67"/>
        <v>Vanligt café</v>
      </c>
      <c r="AE283" s="15" t="str">
        <f t="shared" si="68"/>
        <v/>
      </c>
      <c r="AF283" t="str">
        <f>IF(T283="","",IFERROR(MATCH(1,INDEX((MATCHER!$B$5:$B$504=A283)*(MATCHER!$D$5:$D$504=C283)*(MATCHER!$K$5:$K$504="Ja")*(MATCHER!$C$5:$C$504&lt;E283)*(MATCHER!$M$5:$M$504&gt;D283)*(ROW(MATCHER!$A$5:$A$504)-ROW(MATCHER!$A$5)+1&gt;T283),0),0),""))</f>
        <v/>
      </c>
    </row>
    <row r="284" spans="1:32" ht="13">
      <c r="A284" s="42">
        <v>46361</v>
      </c>
      <c r="B284" s="43" t="s">
        <v>85</v>
      </c>
      <c r="C284" s="43" t="s">
        <v>94</v>
      </c>
      <c r="D284" s="44">
        <v>0.52083333333333304</v>
      </c>
      <c r="E284" s="44">
        <v>0.54166666666666696</v>
      </c>
      <c r="F284" s="45" t="str">
        <f>IF(R284="","",HOUR(INDEX(MATCHER!$C$5:$C$504,R284))&amp;":"&amp;IF(MINUTE(INDEX(MATCHER!$C$5:$C$504,R284))&lt;10,"0","")&amp;MINUTE(INDEX(MATCHER!$C$5:$C$504,R284))&amp;" "&amp;INDEX(MATCHER!$H$5:$H$504,R284)&amp;" – "&amp;INDEX(MATCHER!$I$5:$I$504,R284))&amp;IF(S284="",""," | "&amp;HOUR(INDEX(MATCHER!$C$5:$C$504,S284))&amp;":"&amp;IF(MINUTE(INDEX(MATCHER!$C$5:$C$504,S284))&lt;10,"0","")&amp;MINUTE(INDEX(MATCHER!$C$5:$C$504,S284))&amp;" "&amp;INDEX(MATCHER!$H$5:$H$504,S284)&amp;" – "&amp;INDEX(MATCHER!$I$5:$I$504,S284))&amp;IF(T284="",""," | "&amp;HOUR(INDEX(MATCHER!$C$5:$C$504,T284))&amp;":"&amp;IF(MINUTE(INDEX(MATCHER!$C$5:$C$504,T284))&lt;10,"0","")&amp;MINUTE(INDEX(MATCHER!$C$5:$C$504,T284))&amp;" "&amp;INDEX(MATCHER!$H$5:$H$504,T284)&amp;" – "&amp;INDEX(MATCHER!$I$5:$I$504,T284))&amp;IF(AF284="",""," | "&amp;HOUR(INDEX(MATCHER!$C$5:$C$504,AF284))&amp;":"&amp;IF(MINUTE(INDEX(MATCHER!$C$5:$C$504,AF284))&lt;10,"0","")&amp;MINUTE(INDEX(MATCHER!$C$5:$C$504,AF284))&amp;" "&amp;INDEX(MATCHER!$H$5:$H$504,AF284)&amp;" – "&amp;INDEX(MATCHER!$I$5:$I$504,AF284))</f>
        <v>11:45 AIK 2 – Uppsala HK 2</v>
      </c>
      <c r="G284" s="45" t="str">
        <f>MID(IF(R284="","",IF(OR(INDEX(MATCHER!$J$5:$J$504,R284)=""),""," / "&amp;INDEX(MATCHER!$J$5:$J$504,R284)))&amp;IF(S284="","",IF(OR(INDEX(MATCHER!$J$5:$J$504,S284)="",INDEX(MATCHER!$J$5:$J$504,S284)=IFERROR(INDEX(MATCHER!$J$5:$J$504,R284),"")),""," / "&amp;INDEX(MATCHER!$J$5:$J$504,S284)))&amp;IF(T284="","",IF(OR(INDEX(MATCHER!$J$5:$J$504,T284)="",INDEX(MATCHER!$J$5:$J$504,T284)=IFERROR(INDEX(MATCHER!$J$5:$J$504,R284),""),INDEX(MATCHER!$J$5:$J$504,T284)=IFERROR(INDEX(MATCHER!$J$5:$J$504,S284),"")),""," / "&amp;INDEX(MATCHER!$J$5:$J$504,T284)))&amp;IF(AF284="","",IF(OR(INDEX(MATCHER!$J$5:$J$504,AF284)="",INDEX(MATCHER!$J$5:$J$504,AF284)=IFERROR(INDEX(MATCHER!$J$5:$J$504,R284),""),INDEX(MATCHER!$J$5:$J$504,AF284)=IFERROR(INDEX(MATCHER!$J$5:$J$504,S284),""),INDEX(MATCHER!$J$5:$J$504,AF284)=IFERROR(INDEX(MATCHER!$J$5:$J$504,T284),"")),""," / "&amp;INDEX(MATCHER!$J$5:$J$504,AF284))),4,1000)</f>
        <v>P16 2</v>
      </c>
      <c r="H284" s="45" t="str">
        <f t="shared" si="69"/>
        <v>F16, P16, Dam</v>
      </c>
      <c r="I284" s="46" t="s">
        <v>90</v>
      </c>
      <c r="J284" s="47" t="s">
        <v>128</v>
      </c>
      <c r="K284" s="48"/>
      <c r="L284" s="49"/>
      <c r="M284" s="50" t="str">
        <f>IF(O284&lt;&gt;O283,MAX(1,MIN(AA284,ROUNDUP(SUMPRODUCT(($O$5:$O$546=O284)*($I$5:$I$546="Ja")*($E$5:$E$546-$D$5:$D$546))*24/REGLER!$B$8,0))),"")</f>
        <v/>
      </c>
      <c r="N284" s="50" t="str">
        <f t="shared" si="62"/>
        <v>Klar</v>
      </c>
      <c r="O284" s="15" t="s">
        <v>133</v>
      </c>
      <c r="P284" s="16">
        <v>0.39583333333333298</v>
      </c>
      <c r="Q284" s="16">
        <v>0.625</v>
      </c>
      <c r="R284" s="15">
        <f>IFERROR(MATCH(1,INDEX((MATCHER!$B$5:$B$504=A284)*(MATCHER!$D$5:$D$504=C284)*(MATCHER!$K$5:$K$504="Ja")*(MATCHER!$C$5:$C$504&lt;E284)*(MATCHER!$M$5:$M$504&gt;D284),0),0),"")</f>
        <v>101</v>
      </c>
      <c r="S284" s="15" t="str">
        <f>IF(R284="","",IFERROR(MATCH(1,INDEX((MATCHER!$B$5:$B$504=A284)*(MATCHER!$D$5:$D$504=C284)*(MATCHER!$K$5:$K$504="Ja")*(MATCHER!$C$5:$C$504&lt;E284)*(MATCHER!$M$5:$M$504&gt;D284)*(ROW(MATCHER!$A$5:$A$504)-ROW(MATCHER!$A$5)+1&gt;R284),0),0),""))</f>
        <v/>
      </c>
      <c r="T284" s="15" t="str">
        <f>IF(S284="","",IFERROR(MATCH(1,INDEX((MATCHER!$B$5:$B$504=A284)*(MATCHER!$D$5:$D$504=C284)*(MATCHER!$K$5:$K$504="Ja")*(MATCHER!$C$5:$C$504&lt;E284)*(MATCHER!$M$5:$M$504&gt;D284)*(ROW(MATCHER!$A$5:$A$504)-ROW(MATCHER!$A$5)+1&gt;S284),0),0),""))</f>
        <v/>
      </c>
      <c r="U284" s="15">
        <f t="shared" si="63"/>
        <v>0</v>
      </c>
      <c r="V284" s="15">
        <f>IF(OR(I284&lt;&gt;"Ja",J284=""),"",COUNTIFS($O$5:O284,O284,$U$5:U284,1))</f>
        <v>1</v>
      </c>
      <c r="W284" s="15" t="str">
        <f t="shared" si="64"/>
        <v>2026-12-05 | Råsta Park|1</v>
      </c>
      <c r="X284" s="16">
        <f t="shared" si="65"/>
        <v>0.54166666666666696</v>
      </c>
      <c r="Y284" s="15">
        <f>IF(OR(I284&lt;&gt;"Ja",J284=""),0,IF(COUNTIFS($O$5:O284,O284,$I$5:I284,"Ja",$J$5:J284,"&lt;&gt;")=1,1,0))</f>
        <v>0</v>
      </c>
      <c r="Z284" s="15">
        <f>IF(OR(I284&lt;&gt;"Ja",J284=""),0,IF(COUNTIFS(O284:$O$546,O284,I284:$I$546,"Ja",J284:$J$546,"&lt;&gt;")=1,1,0))</f>
        <v>1</v>
      </c>
      <c r="AA284" s="15">
        <f t="shared" si="70"/>
        <v>3</v>
      </c>
      <c r="AB284" s="15" t="str">
        <f>IF(U284&lt;&gt;1,"",COUNTIF($U$5:U284,1))</f>
        <v/>
      </c>
      <c r="AC284" s="15" t="str">
        <f t="shared" si="66"/>
        <v>2026-12-05 | Råsta Park|1</v>
      </c>
      <c r="AD284" s="15" t="str">
        <f t="shared" si="67"/>
        <v>Vanligt café</v>
      </c>
      <c r="AE284" s="15" t="str">
        <f t="shared" si="68"/>
        <v/>
      </c>
      <c r="AF284" t="str">
        <f>IF(T284="","",IFERROR(MATCH(1,INDEX((MATCHER!$B$5:$B$504=A284)*(MATCHER!$D$5:$D$504=C284)*(MATCHER!$K$5:$K$504="Ja")*(MATCHER!$C$5:$C$504&lt;E284)*(MATCHER!$M$5:$M$504&gt;D284)*(ROW(MATCHER!$A$5:$A$504)-ROW(MATCHER!$A$5)+1&gt;T284),0),0),""))</f>
        <v/>
      </c>
    </row>
    <row r="285" spans="1:32" ht="13">
      <c r="A285" s="42">
        <v>46361</v>
      </c>
      <c r="B285" s="43" t="s">
        <v>85</v>
      </c>
      <c r="C285" s="43" t="s">
        <v>94</v>
      </c>
      <c r="D285" s="44">
        <v>0.54166666666666696</v>
      </c>
      <c r="E285" s="44">
        <v>0.5625</v>
      </c>
      <c r="F285" s="45" t="str">
        <f>IF(R285="","",HOUR(INDEX(MATCHER!$C$5:$C$504,R285))&amp;":"&amp;IF(MINUTE(INDEX(MATCHER!$C$5:$C$504,R285))&lt;10,"0","")&amp;MINUTE(INDEX(MATCHER!$C$5:$C$504,R285))&amp;" "&amp;INDEX(MATCHER!$H$5:$H$504,R285)&amp;" – "&amp;INDEX(MATCHER!$I$5:$I$504,R285))&amp;IF(S285="",""," | "&amp;HOUR(INDEX(MATCHER!$C$5:$C$504,S285))&amp;":"&amp;IF(MINUTE(INDEX(MATCHER!$C$5:$C$504,S285))&lt;10,"0","")&amp;MINUTE(INDEX(MATCHER!$C$5:$C$504,S285))&amp;" "&amp;INDEX(MATCHER!$H$5:$H$504,S285)&amp;" – "&amp;INDEX(MATCHER!$I$5:$I$504,S285))&amp;IF(T285="",""," | "&amp;HOUR(INDEX(MATCHER!$C$5:$C$504,T285))&amp;":"&amp;IF(MINUTE(INDEX(MATCHER!$C$5:$C$504,T285))&lt;10,"0","")&amp;MINUTE(INDEX(MATCHER!$C$5:$C$504,T285))&amp;" "&amp;INDEX(MATCHER!$H$5:$H$504,T285)&amp;" – "&amp;INDEX(MATCHER!$I$5:$I$504,T285))&amp;IF(AF285="",""," | "&amp;HOUR(INDEX(MATCHER!$C$5:$C$504,AF285))&amp;":"&amp;IF(MINUTE(INDEX(MATCHER!$C$5:$C$504,AF285))&lt;10,"0","")&amp;MINUTE(INDEX(MATCHER!$C$5:$C$504,AF285))&amp;" "&amp;INDEX(MATCHER!$H$5:$H$504,AF285)&amp;" – "&amp;INDEX(MATCHER!$I$5:$I$504,AF285))</f>
        <v/>
      </c>
      <c r="G285" s="45" t="str">
        <f>MID(IF(R285="","",IF(OR(INDEX(MATCHER!$J$5:$J$504,R285)=""),""," / "&amp;INDEX(MATCHER!$J$5:$J$504,R285)))&amp;IF(S285="","",IF(OR(INDEX(MATCHER!$J$5:$J$504,S285)="",INDEX(MATCHER!$J$5:$J$504,S285)=IFERROR(INDEX(MATCHER!$J$5:$J$504,R285),"")),""," / "&amp;INDEX(MATCHER!$J$5:$J$504,S285)))&amp;IF(T285="","",IF(OR(INDEX(MATCHER!$J$5:$J$504,T285)="",INDEX(MATCHER!$J$5:$J$504,T285)=IFERROR(INDEX(MATCHER!$J$5:$J$504,R285),""),INDEX(MATCHER!$J$5:$J$504,T285)=IFERROR(INDEX(MATCHER!$J$5:$J$504,S285),"")),""," / "&amp;INDEX(MATCHER!$J$5:$J$504,T285)))&amp;IF(AF285="","",IF(OR(INDEX(MATCHER!$J$5:$J$504,AF285)="",INDEX(MATCHER!$J$5:$J$504,AF285)=IFERROR(INDEX(MATCHER!$J$5:$J$504,R285),""),INDEX(MATCHER!$J$5:$J$504,AF285)=IFERROR(INDEX(MATCHER!$J$5:$J$504,S285),""),INDEX(MATCHER!$J$5:$J$504,AF285)=IFERROR(INDEX(MATCHER!$J$5:$J$504,T285),"")),""," / "&amp;INDEX(MATCHER!$J$5:$J$504,AF285))),4,1000)</f>
        <v/>
      </c>
      <c r="H285" s="45" t="str">
        <f t="shared" si="69"/>
        <v>F16, P16, Dam</v>
      </c>
      <c r="I285" s="46" t="s">
        <v>87</v>
      </c>
      <c r="J285" s="47"/>
      <c r="K285" s="48"/>
      <c r="L285" s="49"/>
      <c r="M285" s="50" t="str">
        <f>IF(O285&lt;&gt;O284,MAX(1,MIN(AA285,ROUNDUP(SUMPRODUCT(($O$5:$O$546=O285)*($I$5:$I$546="Ja")*($E$5:$E$546-$D$5:$D$546))*24/REGLER!$B$8,0))),"")</f>
        <v/>
      </c>
      <c r="N285" s="50" t="str">
        <f t="shared" si="62"/>
        <v>Ej öppet</v>
      </c>
      <c r="O285" s="15" t="s">
        <v>133</v>
      </c>
      <c r="P285" s="16">
        <v>0.39583333333333298</v>
      </c>
      <c r="Q285" s="16">
        <v>0.625</v>
      </c>
      <c r="R285" s="15" t="str">
        <f>IFERROR(MATCH(1,INDEX((MATCHER!$B$5:$B$504=A285)*(MATCHER!$D$5:$D$504=C285)*(MATCHER!$K$5:$K$504="Ja")*(MATCHER!$C$5:$C$504&lt;E285)*(MATCHER!$M$5:$M$504&gt;D285),0),0),"")</f>
        <v/>
      </c>
      <c r="S285" s="15" t="str">
        <f>IF(R285="","",IFERROR(MATCH(1,INDEX((MATCHER!$B$5:$B$504=A285)*(MATCHER!$D$5:$D$504=C285)*(MATCHER!$K$5:$K$504="Ja")*(MATCHER!$C$5:$C$504&lt;E285)*(MATCHER!$M$5:$M$504&gt;D285)*(ROW(MATCHER!$A$5:$A$504)-ROW(MATCHER!$A$5)+1&gt;R285),0),0),""))</f>
        <v/>
      </c>
      <c r="T285" s="15" t="str">
        <f>IF(S285="","",IFERROR(MATCH(1,INDEX((MATCHER!$B$5:$B$504=A285)*(MATCHER!$D$5:$D$504=C285)*(MATCHER!$K$5:$K$504="Ja")*(MATCHER!$C$5:$C$504&lt;E285)*(MATCHER!$M$5:$M$504&gt;D285)*(ROW(MATCHER!$A$5:$A$504)-ROW(MATCHER!$A$5)+1&gt;S285),0),0),""))</f>
        <v/>
      </c>
      <c r="U285" s="15" t="str">
        <f t="shared" si="63"/>
        <v/>
      </c>
      <c r="V285" s="15" t="str">
        <f>IF(OR(I285&lt;&gt;"Ja",J285=""),"",COUNTIFS($O$5:O285,O285,$U$5:U285,1))</f>
        <v/>
      </c>
      <c r="W285" s="15" t="str">
        <f t="shared" si="64"/>
        <v/>
      </c>
      <c r="X285" s="16" t="str">
        <f t="shared" si="65"/>
        <v/>
      </c>
      <c r="Y285" s="15">
        <f>IF(OR(I285&lt;&gt;"Ja",J285=""),0,IF(COUNTIFS($O$5:O285,O285,$I$5:I285,"Ja",$J$5:J285,"&lt;&gt;")=1,1,0))</f>
        <v>0</v>
      </c>
      <c r="Z285" s="15">
        <f>IF(OR(I285&lt;&gt;"Ja",J285=""),0,IF(COUNTIFS(O285:$O$546,O285,I285:$I$546,"Ja",J285:$J$546,"&lt;&gt;")=1,1,0))</f>
        <v>0</v>
      </c>
      <c r="AA285" s="15">
        <f t="shared" si="70"/>
        <v>3</v>
      </c>
      <c r="AB285" s="15" t="str">
        <f>IF(U285&lt;&gt;1,"",COUNTIF($U$5:U285,1))</f>
        <v/>
      </c>
      <c r="AC285" s="15" t="str">
        <f t="shared" si="66"/>
        <v/>
      </c>
      <c r="AD285" s="15" t="str">
        <f t="shared" si="67"/>
        <v>Vanligt café</v>
      </c>
      <c r="AE285" s="15" t="str">
        <f t="shared" si="68"/>
        <v/>
      </c>
      <c r="AF285" t="str">
        <f>IF(T285="","",IFERROR(MATCH(1,INDEX((MATCHER!$B$5:$B$504=A285)*(MATCHER!$D$5:$D$504=C285)*(MATCHER!$K$5:$K$504="Ja")*(MATCHER!$C$5:$C$504&lt;E285)*(MATCHER!$M$5:$M$504&gt;D285)*(ROW(MATCHER!$A$5:$A$504)-ROW(MATCHER!$A$5)+1&gt;T285),0),0),""))</f>
        <v/>
      </c>
    </row>
    <row r="286" spans="1:32" ht="13">
      <c r="A286" s="42">
        <v>46361</v>
      </c>
      <c r="B286" s="43" t="s">
        <v>85</v>
      </c>
      <c r="C286" s="43" t="s">
        <v>94</v>
      </c>
      <c r="D286" s="44">
        <v>0.5625</v>
      </c>
      <c r="E286" s="44">
        <v>0.58333333333333304</v>
      </c>
      <c r="F286" s="45" t="str">
        <f>IF(R286="","",HOUR(INDEX(MATCHER!$C$5:$C$504,R286))&amp;":"&amp;IF(MINUTE(INDEX(MATCHER!$C$5:$C$504,R286))&lt;10,"0","")&amp;MINUTE(INDEX(MATCHER!$C$5:$C$504,R286))&amp;" "&amp;INDEX(MATCHER!$H$5:$H$504,R286)&amp;" – "&amp;INDEX(MATCHER!$I$5:$I$504,R286))&amp;IF(S286="",""," | "&amp;HOUR(INDEX(MATCHER!$C$5:$C$504,S286))&amp;":"&amp;IF(MINUTE(INDEX(MATCHER!$C$5:$C$504,S286))&lt;10,"0","")&amp;MINUTE(INDEX(MATCHER!$C$5:$C$504,S286))&amp;" "&amp;INDEX(MATCHER!$H$5:$H$504,S286)&amp;" – "&amp;INDEX(MATCHER!$I$5:$I$504,S286))&amp;IF(T286="",""," | "&amp;HOUR(INDEX(MATCHER!$C$5:$C$504,T286))&amp;":"&amp;IF(MINUTE(INDEX(MATCHER!$C$5:$C$504,T286))&lt;10,"0","")&amp;MINUTE(INDEX(MATCHER!$C$5:$C$504,T286))&amp;" "&amp;INDEX(MATCHER!$H$5:$H$504,T286)&amp;" – "&amp;INDEX(MATCHER!$I$5:$I$504,T286))&amp;IF(AF286="",""," | "&amp;HOUR(INDEX(MATCHER!$C$5:$C$504,AF286))&amp;":"&amp;IF(MINUTE(INDEX(MATCHER!$C$5:$C$504,AF286))&lt;10,"0","")&amp;MINUTE(INDEX(MATCHER!$C$5:$C$504,AF286))&amp;" "&amp;INDEX(MATCHER!$H$5:$H$504,AF286)&amp;" – "&amp;INDEX(MATCHER!$I$5:$I$504,AF286))</f>
        <v>13:30 AIK 2 – Åkersberga HK 2</v>
      </c>
      <c r="G286" s="45" t="str">
        <f>MID(IF(R286="","",IF(OR(INDEX(MATCHER!$J$5:$J$504,R286)=""),""," / "&amp;INDEX(MATCHER!$J$5:$J$504,R286)))&amp;IF(S286="","",IF(OR(INDEX(MATCHER!$J$5:$J$504,S286)="",INDEX(MATCHER!$J$5:$J$504,S286)=IFERROR(INDEX(MATCHER!$J$5:$J$504,R286),"")),""," / "&amp;INDEX(MATCHER!$J$5:$J$504,S286)))&amp;IF(T286="","",IF(OR(INDEX(MATCHER!$J$5:$J$504,T286)="",INDEX(MATCHER!$J$5:$J$504,T286)=IFERROR(INDEX(MATCHER!$J$5:$J$504,R286),""),INDEX(MATCHER!$J$5:$J$504,T286)=IFERROR(INDEX(MATCHER!$J$5:$J$504,S286),"")),""," / "&amp;INDEX(MATCHER!$J$5:$J$504,T286)))&amp;IF(AF286="","",IF(OR(INDEX(MATCHER!$J$5:$J$504,AF286)="",INDEX(MATCHER!$J$5:$J$504,AF286)=IFERROR(INDEX(MATCHER!$J$5:$J$504,R286),""),INDEX(MATCHER!$J$5:$J$504,AF286)=IFERROR(INDEX(MATCHER!$J$5:$J$504,S286),""),INDEX(MATCHER!$J$5:$J$504,AF286)=IFERROR(INDEX(MATCHER!$J$5:$J$504,T286),"")),""," / "&amp;INDEX(MATCHER!$J$5:$J$504,AF286))),4,1000)</f>
        <v>Dam 2</v>
      </c>
      <c r="H286" s="45" t="str">
        <f t="shared" si="69"/>
        <v>F16, P16, Dam</v>
      </c>
      <c r="I286" s="46" t="s">
        <v>87</v>
      </c>
      <c r="J286" s="47"/>
      <c r="K286" s="48"/>
      <c r="L286" s="49"/>
      <c r="M286" s="50" t="str">
        <f>IF(O286&lt;&gt;O285,MAX(1,MIN(AA286,ROUNDUP(SUMPRODUCT(($O$5:$O$546=O286)*($I$5:$I$546="Ja")*($E$5:$E$546-$D$5:$D$546))*24/REGLER!$B$8,0))),"")</f>
        <v/>
      </c>
      <c r="N286" s="50" t="str">
        <f t="shared" si="62"/>
        <v>Ej öppet</v>
      </c>
      <c r="O286" s="15" t="s">
        <v>133</v>
      </c>
      <c r="P286" s="16">
        <v>0.39583333333333298</v>
      </c>
      <c r="Q286" s="16">
        <v>0.625</v>
      </c>
      <c r="R286" s="15">
        <f>IFERROR(MATCH(1,INDEX((MATCHER!$B$5:$B$504=A286)*(MATCHER!$D$5:$D$504=C286)*(MATCHER!$K$5:$K$504="Ja")*(MATCHER!$C$5:$C$504&lt;E286)*(MATCHER!$M$5:$M$504&gt;D286),0),0),"")</f>
        <v>102</v>
      </c>
      <c r="S286" s="15" t="str">
        <f>IF(R286="","",IFERROR(MATCH(1,INDEX((MATCHER!$B$5:$B$504=A286)*(MATCHER!$D$5:$D$504=C286)*(MATCHER!$K$5:$K$504="Ja")*(MATCHER!$C$5:$C$504&lt;E286)*(MATCHER!$M$5:$M$504&gt;D286)*(ROW(MATCHER!$A$5:$A$504)-ROW(MATCHER!$A$5)+1&gt;R286),0),0),""))</f>
        <v/>
      </c>
      <c r="T286" s="15" t="str">
        <f>IF(S286="","",IFERROR(MATCH(1,INDEX((MATCHER!$B$5:$B$504=A286)*(MATCHER!$D$5:$D$504=C286)*(MATCHER!$K$5:$K$504="Ja")*(MATCHER!$C$5:$C$504&lt;E286)*(MATCHER!$M$5:$M$504&gt;D286)*(ROW(MATCHER!$A$5:$A$504)-ROW(MATCHER!$A$5)+1&gt;S286),0),0),""))</f>
        <v/>
      </c>
      <c r="U286" s="15" t="str">
        <f t="shared" si="63"/>
        <v/>
      </c>
      <c r="V286" s="15" t="str">
        <f>IF(OR(I286&lt;&gt;"Ja",J286=""),"",COUNTIFS($O$5:O286,O286,$U$5:U286,1))</f>
        <v/>
      </c>
      <c r="W286" s="15" t="str">
        <f t="shared" si="64"/>
        <v/>
      </c>
      <c r="X286" s="16" t="str">
        <f t="shared" si="65"/>
        <v/>
      </c>
      <c r="Y286" s="15">
        <f>IF(OR(I286&lt;&gt;"Ja",J286=""),0,IF(COUNTIFS($O$5:O286,O286,$I$5:I286,"Ja",$J$5:J286,"&lt;&gt;")=1,1,0))</f>
        <v>0</v>
      </c>
      <c r="Z286" s="15">
        <f>IF(OR(I286&lt;&gt;"Ja",J286=""),0,IF(COUNTIFS(O286:$O$546,O286,I286:$I$546,"Ja",J286:$J$546,"&lt;&gt;")=1,1,0))</f>
        <v>0</v>
      </c>
      <c r="AA286" s="15">
        <f t="shared" si="70"/>
        <v>3</v>
      </c>
      <c r="AB286" s="15" t="str">
        <f>IF(U286&lt;&gt;1,"",COUNTIF($U$5:U286,1))</f>
        <v/>
      </c>
      <c r="AC286" s="15" t="str">
        <f t="shared" si="66"/>
        <v/>
      </c>
      <c r="AD286" s="15" t="str">
        <f t="shared" si="67"/>
        <v>Vanligt café</v>
      </c>
      <c r="AE286" s="15" t="str">
        <f t="shared" si="68"/>
        <v/>
      </c>
      <c r="AF286" t="str">
        <f>IF(T286="","",IFERROR(MATCH(1,INDEX((MATCHER!$B$5:$B$504=A286)*(MATCHER!$D$5:$D$504=C286)*(MATCHER!$K$5:$K$504="Ja")*(MATCHER!$C$5:$C$504&lt;E286)*(MATCHER!$M$5:$M$504&gt;D286)*(ROW(MATCHER!$A$5:$A$504)-ROW(MATCHER!$A$5)+1&gt;T286),0),0),""))</f>
        <v/>
      </c>
    </row>
    <row r="287" spans="1:32" ht="13">
      <c r="A287" s="42">
        <v>46361</v>
      </c>
      <c r="B287" s="43" t="s">
        <v>85</v>
      </c>
      <c r="C287" s="43" t="s">
        <v>94</v>
      </c>
      <c r="D287" s="44">
        <v>0.58333333333333304</v>
      </c>
      <c r="E287" s="44">
        <v>0.60416666666666696</v>
      </c>
      <c r="F287" s="45" t="str">
        <f>IF(R287="","",HOUR(INDEX(MATCHER!$C$5:$C$504,R287))&amp;":"&amp;IF(MINUTE(INDEX(MATCHER!$C$5:$C$504,R287))&lt;10,"0","")&amp;MINUTE(INDEX(MATCHER!$C$5:$C$504,R287))&amp;" "&amp;INDEX(MATCHER!$H$5:$H$504,R287)&amp;" – "&amp;INDEX(MATCHER!$I$5:$I$504,R287))&amp;IF(S287="",""," | "&amp;HOUR(INDEX(MATCHER!$C$5:$C$504,S287))&amp;":"&amp;IF(MINUTE(INDEX(MATCHER!$C$5:$C$504,S287))&lt;10,"0","")&amp;MINUTE(INDEX(MATCHER!$C$5:$C$504,S287))&amp;" "&amp;INDEX(MATCHER!$H$5:$H$504,S287)&amp;" – "&amp;INDEX(MATCHER!$I$5:$I$504,S287))&amp;IF(T287="",""," | "&amp;HOUR(INDEX(MATCHER!$C$5:$C$504,T287))&amp;":"&amp;IF(MINUTE(INDEX(MATCHER!$C$5:$C$504,T287))&lt;10,"0","")&amp;MINUTE(INDEX(MATCHER!$C$5:$C$504,T287))&amp;" "&amp;INDEX(MATCHER!$H$5:$H$504,T287)&amp;" – "&amp;INDEX(MATCHER!$I$5:$I$504,T287))&amp;IF(AF287="",""," | "&amp;HOUR(INDEX(MATCHER!$C$5:$C$504,AF287))&amp;":"&amp;IF(MINUTE(INDEX(MATCHER!$C$5:$C$504,AF287))&lt;10,"0","")&amp;MINUTE(INDEX(MATCHER!$C$5:$C$504,AF287))&amp;" "&amp;INDEX(MATCHER!$H$5:$H$504,AF287)&amp;" – "&amp;INDEX(MATCHER!$I$5:$I$504,AF287))</f>
        <v>13:30 AIK 2 – Åkersberga HK 2</v>
      </c>
      <c r="G287" s="45" t="str">
        <f>MID(IF(R287="","",IF(OR(INDEX(MATCHER!$J$5:$J$504,R287)=""),""," / "&amp;INDEX(MATCHER!$J$5:$J$504,R287)))&amp;IF(S287="","",IF(OR(INDEX(MATCHER!$J$5:$J$504,S287)="",INDEX(MATCHER!$J$5:$J$504,S287)=IFERROR(INDEX(MATCHER!$J$5:$J$504,R287),"")),""," / "&amp;INDEX(MATCHER!$J$5:$J$504,S287)))&amp;IF(T287="","",IF(OR(INDEX(MATCHER!$J$5:$J$504,T287)="",INDEX(MATCHER!$J$5:$J$504,T287)=IFERROR(INDEX(MATCHER!$J$5:$J$504,R287),""),INDEX(MATCHER!$J$5:$J$504,T287)=IFERROR(INDEX(MATCHER!$J$5:$J$504,S287),"")),""," / "&amp;INDEX(MATCHER!$J$5:$J$504,T287)))&amp;IF(AF287="","",IF(OR(INDEX(MATCHER!$J$5:$J$504,AF287)="",INDEX(MATCHER!$J$5:$J$504,AF287)=IFERROR(INDEX(MATCHER!$J$5:$J$504,R287),""),INDEX(MATCHER!$J$5:$J$504,AF287)=IFERROR(INDEX(MATCHER!$J$5:$J$504,S287),""),INDEX(MATCHER!$J$5:$J$504,AF287)=IFERROR(INDEX(MATCHER!$J$5:$J$504,T287),"")),""," / "&amp;INDEX(MATCHER!$J$5:$J$504,AF287))),4,1000)</f>
        <v>Dam 2</v>
      </c>
      <c r="H287" s="45" t="str">
        <f t="shared" si="69"/>
        <v>F16, P16, Dam</v>
      </c>
      <c r="I287" s="46" t="s">
        <v>87</v>
      </c>
      <c r="J287" s="47"/>
      <c r="K287" s="48"/>
      <c r="L287" s="49"/>
      <c r="M287" s="50" t="str">
        <f>IF(O287&lt;&gt;O286,MAX(1,MIN(AA287,ROUNDUP(SUMPRODUCT(($O$5:$O$546=O287)*($I$5:$I$546="Ja")*($E$5:$E$546-$D$5:$D$546))*24/REGLER!$B$8,0))),"")</f>
        <v/>
      </c>
      <c r="N287" s="50" t="str">
        <f t="shared" si="62"/>
        <v>Ej öppet</v>
      </c>
      <c r="O287" s="15" t="s">
        <v>133</v>
      </c>
      <c r="P287" s="16">
        <v>0.39583333333333298</v>
      </c>
      <c r="Q287" s="16">
        <v>0.625</v>
      </c>
      <c r="R287" s="15">
        <f>IFERROR(MATCH(1,INDEX((MATCHER!$B$5:$B$504=A287)*(MATCHER!$D$5:$D$504=C287)*(MATCHER!$K$5:$K$504="Ja")*(MATCHER!$C$5:$C$504&lt;E287)*(MATCHER!$M$5:$M$504&gt;D287),0),0),"")</f>
        <v>102</v>
      </c>
      <c r="S287" s="15" t="str">
        <f>IF(R287="","",IFERROR(MATCH(1,INDEX((MATCHER!$B$5:$B$504=A287)*(MATCHER!$D$5:$D$504=C287)*(MATCHER!$K$5:$K$504="Ja")*(MATCHER!$C$5:$C$504&lt;E287)*(MATCHER!$M$5:$M$504&gt;D287)*(ROW(MATCHER!$A$5:$A$504)-ROW(MATCHER!$A$5)+1&gt;R287),0),0),""))</f>
        <v/>
      </c>
      <c r="T287" s="15" t="str">
        <f>IF(S287="","",IFERROR(MATCH(1,INDEX((MATCHER!$B$5:$B$504=A287)*(MATCHER!$D$5:$D$504=C287)*(MATCHER!$K$5:$K$504="Ja")*(MATCHER!$C$5:$C$504&lt;E287)*(MATCHER!$M$5:$M$504&gt;D287)*(ROW(MATCHER!$A$5:$A$504)-ROW(MATCHER!$A$5)+1&gt;S287),0),0),""))</f>
        <v/>
      </c>
      <c r="U287" s="15" t="str">
        <f t="shared" si="63"/>
        <v/>
      </c>
      <c r="V287" s="15" t="str">
        <f>IF(OR(I287&lt;&gt;"Ja",J287=""),"",COUNTIFS($O$5:O287,O287,$U$5:U287,1))</f>
        <v/>
      </c>
      <c r="W287" s="15" t="str">
        <f t="shared" si="64"/>
        <v/>
      </c>
      <c r="X287" s="16" t="str">
        <f t="shared" si="65"/>
        <v/>
      </c>
      <c r="Y287" s="15">
        <f>IF(OR(I287&lt;&gt;"Ja",J287=""),0,IF(COUNTIFS($O$5:O287,O287,$I$5:I287,"Ja",$J$5:J287,"&lt;&gt;")=1,1,0))</f>
        <v>0</v>
      </c>
      <c r="Z287" s="15">
        <f>IF(OR(I287&lt;&gt;"Ja",J287=""),0,IF(COUNTIFS(O287:$O$546,O287,I287:$I$546,"Ja",J287:$J$546,"&lt;&gt;")=1,1,0))</f>
        <v>0</v>
      </c>
      <c r="AA287" s="15">
        <f t="shared" si="70"/>
        <v>3</v>
      </c>
      <c r="AB287" s="15" t="str">
        <f>IF(U287&lt;&gt;1,"",COUNTIF($U$5:U287,1))</f>
        <v/>
      </c>
      <c r="AC287" s="15" t="str">
        <f t="shared" si="66"/>
        <v/>
      </c>
      <c r="AD287" s="15" t="str">
        <f t="shared" si="67"/>
        <v>Vanligt café</v>
      </c>
      <c r="AE287" s="15" t="str">
        <f t="shared" si="68"/>
        <v/>
      </c>
      <c r="AF287" t="str">
        <f>IF(T287="","",IFERROR(MATCH(1,INDEX((MATCHER!$B$5:$B$504=A287)*(MATCHER!$D$5:$D$504=C287)*(MATCHER!$K$5:$K$504="Ja")*(MATCHER!$C$5:$C$504&lt;E287)*(MATCHER!$M$5:$M$504&gt;D287)*(ROW(MATCHER!$A$5:$A$504)-ROW(MATCHER!$A$5)+1&gt;T287),0),0),""))</f>
        <v/>
      </c>
    </row>
    <row r="288" spans="1:32" ht="13">
      <c r="A288" s="42">
        <v>46361</v>
      </c>
      <c r="B288" s="43" t="s">
        <v>85</v>
      </c>
      <c r="C288" s="43" t="s">
        <v>94</v>
      </c>
      <c r="D288" s="44">
        <v>0.60416666666666696</v>
      </c>
      <c r="E288" s="44">
        <v>0.61111111111111105</v>
      </c>
      <c r="F288" s="45" t="str">
        <f>IF(R288="","",HOUR(INDEX(MATCHER!$C$5:$C$504,R288))&amp;":"&amp;IF(MINUTE(INDEX(MATCHER!$C$5:$C$504,R288))&lt;10,"0","")&amp;MINUTE(INDEX(MATCHER!$C$5:$C$504,R288))&amp;" "&amp;INDEX(MATCHER!$H$5:$H$504,R288)&amp;" – "&amp;INDEX(MATCHER!$I$5:$I$504,R288))&amp;IF(S288="",""," | "&amp;HOUR(INDEX(MATCHER!$C$5:$C$504,S288))&amp;":"&amp;IF(MINUTE(INDEX(MATCHER!$C$5:$C$504,S288))&lt;10,"0","")&amp;MINUTE(INDEX(MATCHER!$C$5:$C$504,S288))&amp;" "&amp;INDEX(MATCHER!$H$5:$H$504,S288)&amp;" – "&amp;INDEX(MATCHER!$I$5:$I$504,S288))&amp;IF(T288="",""," | "&amp;HOUR(INDEX(MATCHER!$C$5:$C$504,T288))&amp;":"&amp;IF(MINUTE(INDEX(MATCHER!$C$5:$C$504,T288))&lt;10,"0","")&amp;MINUTE(INDEX(MATCHER!$C$5:$C$504,T288))&amp;" "&amp;INDEX(MATCHER!$H$5:$H$504,T288)&amp;" – "&amp;INDEX(MATCHER!$I$5:$I$504,T288))&amp;IF(AF288="",""," | "&amp;HOUR(INDEX(MATCHER!$C$5:$C$504,AF288))&amp;":"&amp;IF(MINUTE(INDEX(MATCHER!$C$5:$C$504,AF288))&lt;10,"0","")&amp;MINUTE(INDEX(MATCHER!$C$5:$C$504,AF288))&amp;" "&amp;INDEX(MATCHER!$H$5:$H$504,AF288)&amp;" – "&amp;INDEX(MATCHER!$I$5:$I$504,AF288))</f>
        <v>13:30 AIK 2 – Åkersberga HK 2</v>
      </c>
      <c r="G288" s="45" t="str">
        <f>MID(IF(R288="","",IF(OR(INDEX(MATCHER!$J$5:$J$504,R288)=""),""," / "&amp;INDEX(MATCHER!$J$5:$J$504,R288)))&amp;IF(S288="","",IF(OR(INDEX(MATCHER!$J$5:$J$504,S288)="",INDEX(MATCHER!$J$5:$J$504,S288)=IFERROR(INDEX(MATCHER!$J$5:$J$504,R288),"")),""," / "&amp;INDEX(MATCHER!$J$5:$J$504,S288)))&amp;IF(T288="","",IF(OR(INDEX(MATCHER!$J$5:$J$504,T288)="",INDEX(MATCHER!$J$5:$J$504,T288)=IFERROR(INDEX(MATCHER!$J$5:$J$504,R288),""),INDEX(MATCHER!$J$5:$J$504,T288)=IFERROR(INDEX(MATCHER!$J$5:$J$504,S288),"")),""," / "&amp;INDEX(MATCHER!$J$5:$J$504,T288)))&amp;IF(AF288="","",IF(OR(INDEX(MATCHER!$J$5:$J$504,AF288)="",INDEX(MATCHER!$J$5:$J$504,AF288)=IFERROR(INDEX(MATCHER!$J$5:$J$504,R288),""),INDEX(MATCHER!$J$5:$J$504,AF288)=IFERROR(INDEX(MATCHER!$J$5:$J$504,S288),""),INDEX(MATCHER!$J$5:$J$504,AF288)=IFERROR(INDEX(MATCHER!$J$5:$J$504,T288),"")),""," / "&amp;INDEX(MATCHER!$J$5:$J$504,AF288))),4,1000)</f>
        <v>Dam 2</v>
      </c>
      <c r="H288" s="45" t="str">
        <f t="shared" si="69"/>
        <v>F16, P16, Dam</v>
      </c>
      <c r="I288" s="46" t="s">
        <v>87</v>
      </c>
      <c r="J288" s="47"/>
      <c r="K288" s="48"/>
      <c r="L288" s="49"/>
      <c r="M288" s="50" t="str">
        <f>IF(O288&lt;&gt;O287,MAX(1,MIN(AA288,ROUNDUP(SUMPRODUCT(($O$5:$O$546=O288)*($I$5:$I$546="Ja")*($E$5:$E$546-$D$5:$D$546))*24/REGLER!$B$8,0))),"")</f>
        <v/>
      </c>
      <c r="N288" s="50" t="str">
        <f t="shared" si="62"/>
        <v>Ej öppet</v>
      </c>
      <c r="O288" s="15" t="s">
        <v>133</v>
      </c>
      <c r="P288" s="16">
        <v>0.39583333333333298</v>
      </c>
      <c r="Q288" s="16">
        <v>0.625</v>
      </c>
      <c r="R288" s="15">
        <f>IFERROR(MATCH(1,INDEX((MATCHER!$B$5:$B$504=A288)*(MATCHER!$D$5:$D$504=C288)*(MATCHER!$K$5:$K$504="Ja")*(MATCHER!$C$5:$C$504&lt;E288)*(MATCHER!$M$5:$M$504&gt;D288),0),0),"")</f>
        <v>102</v>
      </c>
      <c r="S288" s="15" t="str">
        <f>IF(R288="","",IFERROR(MATCH(1,INDEX((MATCHER!$B$5:$B$504=A288)*(MATCHER!$D$5:$D$504=C288)*(MATCHER!$K$5:$K$504="Ja")*(MATCHER!$C$5:$C$504&lt;E288)*(MATCHER!$M$5:$M$504&gt;D288)*(ROW(MATCHER!$A$5:$A$504)-ROW(MATCHER!$A$5)+1&gt;R288),0),0),""))</f>
        <v/>
      </c>
      <c r="T288" s="15" t="str">
        <f>IF(S288="","",IFERROR(MATCH(1,INDEX((MATCHER!$B$5:$B$504=A288)*(MATCHER!$D$5:$D$504=C288)*(MATCHER!$K$5:$K$504="Ja")*(MATCHER!$C$5:$C$504&lt;E288)*(MATCHER!$M$5:$M$504&gt;D288)*(ROW(MATCHER!$A$5:$A$504)-ROW(MATCHER!$A$5)+1&gt;S288),0),0),""))</f>
        <v/>
      </c>
      <c r="U288" s="15" t="str">
        <f t="shared" si="63"/>
        <v/>
      </c>
      <c r="V288" s="15" t="str">
        <f>IF(OR(I288&lt;&gt;"Ja",J288=""),"",COUNTIFS($O$5:O288,O288,$U$5:U288,1))</f>
        <v/>
      </c>
      <c r="W288" s="15" t="str">
        <f t="shared" si="64"/>
        <v/>
      </c>
      <c r="X288" s="16" t="str">
        <f t="shared" si="65"/>
        <v/>
      </c>
      <c r="Y288" s="15">
        <f>IF(OR(I288&lt;&gt;"Ja",J288=""),0,IF(COUNTIFS($O$5:O288,O288,$I$5:I288,"Ja",$J$5:J288,"&lt;&gt;")=1,1,0))</f>
        <v>0</v>
      </c>
      <c r="Z288" s="15">
        <f>IF(OR(I288&lt;&gt;"Ja",J288=""),0,IF(COUNTIFS(O288:$O$546,O288,I288:$I$546,"Ja",J288:$J$546,"&lt;&gt;")=1,1,0))</f>
        <v>0</v>
      </c>
      <c r="AA288" s="15">
        <f t="shared" si="70"/>
        <v>3</v>
      </c>
      <c r="AB288" s="15" t="str">
        <f>IF(U288&lt;&gt;1,"",COUNTIF($U$5:U288,1))</f>
        <v/>
      </c>
      <c r="AC288" s="15" t="str">
        <f t="shared" si="66"/>
        <v/>
      </c>
      <c r="AD288" s="15" t="str">
        <f t="shared" si="67"/>
        <v>Vanligt café</v>
      </c>
      <c r="AE288" s="15" t="str">
        <f t="shared" si="68"/>
        <v/>
      </c>
      <c r="AF288" t="str">
        <f>IF(T288="","",IFERROR(MATCH(1,INDEX((MATCHER!$B$5:$B$504=A288)*(MATCHER!$D$5:$D$504=C288)*(MATCHER!$K$5:$K$504="Ja")*(MATCHER!$C$5:$C$504&lt;E288)*(MATCHER!$M$5:$M$504&gt;D288)*(ROW(MATCHER!$A$5:$A$504)-ROW(MATCHER!$A$5)+1&gt;T288),0),0),""))</f>
        <v/>
      </c>
    </row>
    <row r="289" spans="1:32" ht="13.5" thickBot="1">
      <c r="A289" s="52">
        <v>46361</v>
      </c>
      <c r="B289" s="53" t="s">
        <v>85</v>
      </c>
      <c r="C289" s="53" t="s">
        <v>94</v>
      </c>
      <c r="D289" s="54">
        <v>0.61111111111111105</v>
      </c>
      <c r="E289" s="54">
        <v>0.625</v>
      </c>
      <c r="F289" s="55" t="str">
        <f>IF(R289="","",HOUR(INDEX(MATCHER!$C$5:$C$504,R289))&amp;":"&amp;IF(MINUTE(INDEX(MATCHER!$C$5:$C$504,R289))&lt;10,"0","")&amp;MINUTE(INDEX(MATCHER!$C$5:$C$504,R289))&amp;" "&amp;INDEX(MATCHER!$H$5:$H$504,R289)&amp;" – "&amp;INDEX(MATCHER!$I$5:$I$504,R289))&amp;IF(S289="",""," | "&amp;HOUR(INDEX(MATCHER!$C$5:$C$504,S289))&amp;":"&amp;IF(MINUTE(INDEX(MATCHER!$C$5:$C$504,S289))&lt;10,"0","")&amp;MINUTE(INDEX(MATCHER!$C$5:$C$504,S289))&amp;" "&amp;INDEX(MATCHER!$H$5:$H$504,S289)&amp;" – "&amp;INDEX(MATCHER!$I$5:$I$504,S289))&amp;IF(T289="",""," | "&amp;HOUR(INDEX(MATCHER!$C$5:$C$504,T289))&amp;":"&amp;IF(MINUTE(INDEX(MATCHER!$C$5:$C$504,T289))&lt;10,"0","")&amp;MINUTE(INDEX(MATCHER!$C$5:$C$504,T289))&amp;" "&amp;INDEX(MATCHER!$H$5:$H$504,T289)&amp;" – "&amp;INDEX(MATCHER!$I$5:$I$504,T289))&amp;IF(AF289="",""," | "&amp;HOUR(INDEX(MATCHER!$C$5:$C$504,AF289))&amp;":"&amp;IF(MINUTE(INDEX(MATCHER!$C$5:$C$504,AF289))&lt;10,"0","")&amp;MINUTE(INDEX(MATCHER!$C$5:$C$504,AF289))&amp;" "&amp;INDEX(MATCHER!$H$5:$H$504,AF289)&amp;" – "&amp;INDEX(MATCHER!$I$5:$I$504,AF289))</f>
        <v/>
      </c>
      <c r="G289" s="55" t="str">
        <f>MID(IF(R289="","",IF(OR(INDEX(MATCHER!$J$5:$J$504,R289)=""),""," / "&amp;INDEX(MATCHER!$J$5:$J$504,R289)))&amp;IF(S289="","",IF(OR(INDEX(MATCHER!$J$5:$J$504,S289)="",INDEX(MATCHER!$J$5:$J$504,S289)=IFERROR(INDEX(MATCHER!$J$5:$J$504,R289),"")),""," / "&amp;INDEX(MATCHER!$J$5:$J$504,S289)))&amp;IF(T289="","",IF(OR(INDEX(MATCHER!$J$5:$J$504,T289)="",INDEX(MATCHER!$J$5:$J$504,T289)=IFERROR(INDEX(MATCHER!$J$5:$J$504,R289),""),INDEX(MATCHER!$J$5:$J$504,T289)=IFERROR(INDEX(MATCHER!$J$5:$J$504,S289),"")),""," / "&amp;INDEX(MATCHER!$J$5:$J$504,T289)))&amp;IF(AF289="","",IF(OR(INDEX(MATCHER!$J$5:$J$504,AF289)="",INDEX(MATCHER!$J$5:$J$504,AF289)=IFERROR(INDEX(MATCHER!$J$5:$J$504,R289),""),INDEX(MATCHER!$J$5:$J$504,AF289)=IFERROR(INDEX(MATCHER!$J$5:$J$504,S289),""),INDEX(MATCHER!$J$5:$J$504,AF289)=IFERROR(INDEX(MATCHER!$J$5:$J$504,T289),"")),""," / "&amp;INDEX(MATCHER!$J$5:$J$504,AF289))),4,1000)</f>
        <v/>
      </c>
      <c r="H289" s="55" t="str">
        <f t="shared" si="69"/>
        <v>F16, P16, Dam</v>
      </c>
      <c r="I289" s="56" t="s">
        <v>87</v>
      </c>
      <c r="J289" s="57"/>
      <c r="K289" s="58"/>
      <c r="L289" s="59"/>
      <c r="M289" s="60" t="str">
        <f>IF(O289&lt;&gt;O288,MAX(1,MIN(AA289,ROUNDUP(SUMPRODUCT(($O$5:$O$546=O289)*($I$5:$I$546="Ja")*($E$5:$E$546-$D$5:$D$546))*24/REGLER!$B$8,0))),"")</f>
        <v/>
      </c>
      <c r="N289" s="60" t="str">
        <f t="shared" si="62"/>
        <v>Ej öppet</v>
      </c>
      <c r="O289" s="15" t="s">
        <v>133</v>
      </c>
      <c r="P289" s="16">
        <v>0.39583333333333298</v>
      </c>
      <c r="Q289" s="16">
        <v>0.625</v>
      </c>
      <c r="R289" s="15" t="str">
        <f>IFERROR(MATCH(1,INDEX((MATCHER!$B$5:$B$504=A289)*(MATCHER!$D$5:$D$504=C289)*(MATCHER!$K$5:$K$504="Ja")*(MATCHER!$C$5:$C$504&lt;E289)*(MATCHER!$M$5:$M$504&gt;D289),0),0),"")</f>
        <v/>
      </c>
      <c r="S289" s="15" t="str">
        <f>IF(R289="","",IFERROR(MATCH(1,INDEX((MATCHER!$B$5:$B$504=A289)*(MATCHER!$D$5:$D$504=C289)*(MATCHER!$K$5:$K$504="Ja")*(MATCHER!$C$5:$C$504&lt;E289)*(MATCHER!$M$5:$M$504&gt;D289)*(ROW(MATCHER!$A$5:$A$504)-ROW(MATCHER!$A$5)+1&gt;R289),0),0),""))</f>
        <v/>
      </c>
      <c r="T289" s="15" t="str">
        <f>IF(S289="","",IFERROR(MATCH(1,INDEX((MATCHER!$B$5:$B$504=A289)*(MATCHER!$D$5:$D$504=C289)*(MATCHER!$K$5:$K$504="Ja")*(MATCHER!$C$5:$C$504&lt;E289)*(MATCHER!$M$5:$M$504&gt;D289)*(ROW(MATCHER!$A$5:$A$504)-ROW(MATCHER!$A$5)+1&gt;S289),0),0),""))</f>
        <v/>
      </c>
      <c r="U289" s="15" t="str">
        <f t="shared" si="63"/>
        <v/>
      </c>
      <c r="V289" s="15" t="str">
        <f>IF(OR(I289&lt;&gt;"Ja",J289=""),"",COUNTIFS($O$5:O289,O289,$U$5:U289,1))</f>
        <v/>
      </c>
      <c r="W289" s="15" t="str">
        <f t="shared" si="64"/>
        <v/>
      </c>
      <c r="X289" s="16" t="str">
        <f t="shared" si="65"/>
        <v/>
      </c>
      <c r="Y289" s="15">
        <f>IF(OR(I289&lt;&gt;"Ja",J289=""),0,IF(COUNTIFS($O$5:O289,O289,$I$5:I289,"Ja",$J$5:J289,"&lt;&gt;")=1,1,0))</f>
        <v>0</v>
      </c>
      <c r="Z289" s="15">
        <f>IF(OR(I289&lt;&gt;"Ja",J289=""),0,IF(COUNTIFS(O289:$O$546,O289,I289:$I$546,"Ja",J289:$J$546,"&lt;&gt;")=1,1,0))</f>
        <v>0</v>
      </c>
      <c r="AA289" s="15">
        <f t="shared" si="70"/>
        <v>3</v>
      </c>
      <c r="AB289" s="15" t="str">
        <f>IF(U289&lt;&gt;1,"",COUNTIF($U$5:U289,1))</f>
        <v/>
      </c>
      <c r="AC289" s="15" t="str">
        <f t="shared" si="66"/>
        <v/>
      </c>
      <c r="AD289" s="15" t="str">
        <f t="shared" si="67"/>
        <v>Vanligt café</v>
      </c>
      <c r="AE289" s="15" t="str">
        <f t="shared" si="68"/>
        <v/>
      </c>
      <c r="AF289" t="str">
        <f>IF(T289="","",IFERROR(MATCH(1,INDEX((MATCHER!$B$5:$B$504=A289)*(MATCHER!$D$5:$D$504=C289)*(MATCHER!$K$5:$K$504="Ja")*(MATCHER!$C$5:$C$504&lt;E289)*(MATCHER!$M$5:$M$504&gt;D289)*(ROW(MATCHER!$A$5:$A$504)-ROW(MATCHER!$A$5)+1&gt;T289),0),0),""))</f>
        <v/>
      </c>
    </row>
    <row r="290" spans="1:32" ht="26">
      <c r="A290" s="42">
        <v>46361</v>
      </c>
      <c r="B290" s="43" t="s">
        <v>85</v>
      </c>
      <c r="C290" s="43" t="s">
        <v>86</v>
      </c>
      <c r="D290" s="44">
        <v>0.33333333333333298</v>
      </c>
      <c r="E290" s="44">
        <v>0.35416666666666702</v>
      </c>
      <c r="F290" s="45" t="str">
        <f>IF(R290="","",HOUR(INDEX(MATCHER!$C$5:$C$504,R290))&amp;":"&amp;IF(MINUTE(INDEX(MATCHER!$C$5:$C$504,R290))&lt;10,"0","")&amp;MINUTE(INDEX(MATCHER!$C$5:$C$504,R290))&amp;" "&amp;INDEX(MATCHER!$H$5:$H$504,R290)&amp;" – "&amp;INDEX(MATCHER!$I$5:$I$504,R290))&amp;IF(S290="",""," | "&amp;HOUR(INDEX(MATCHER!$C$5:$C$504,S290))&amp;":"&amp;IF(MINUTE(INDEX(MATCHER!$C$5:$C$504,S290))&lt;10,"0","")&amp;MINUTE(INDEX(MATCHER!$C$5:$C$504,S290))&amp;" "&amp;INDEX(MATCHER!$H$5:$H$504,S290)&amp;" – "&amp;INDEX(MATCHER!$I$5:$I$504,S290))&amp;IF(T290="",""," | "&amp;HOUR(INDEX(MATCHER!$C$5:$C$504,T290))&amp;":"&amp;IF(MINUTE(INDEX(MATCHER!$C$5:$C$504,T290))&lt;10,"0","")&amp;MINUTE(INDEX(MATCHER!$C$5:$C$504,T290))&amp;" "&amp;INDEX(MATCHER!$H$5:$H$504,T290)&amp;" – "&amp;INDEX(MATCHER!$I$5:$I$504,T290))&amp;IF(AF290="",""," | "&amp;HOUR(INDEX(MATCHER!$C$5:$C$504,AF290))&amp;":"&amp;IF(MINUTE(INDEX(MATCHER!$C$5:$C$504,AF290))&lt;10,"0","")&amp;MINUTE(INDEX(MATCHER!$C$5:$C$504,AF290))&amp;" "&amp;INDEX(MATCHER!$H$5:$H$504,AF290)&amp;" – "&amp;INDEX(MATCHER!$I$5:$I$504,AF290))</f>
        <v/>
      </c>
      <c r="G290" s="45" t="str">
        <f>MID(IF(R290="","",IF(OR(INDEX(MATCHER!$J$5:$J$504,R290)=""),""," / "&amp;INDEX(MATCHER!$J$5:$J$504,R290)))&amp;IF(S290="","",IF(OR(INDEX(MATCHER!$J$5:$J$504,S290)="",INDEX(MATCHER!$J$5:$J$504,S290)=IFERROR(INDEX(MATCHER!$J$5:$J$504,R290),"")),""," / "&amp;INDEX(MATCHER!$J$5:$J$504,S290)))&amp;IF(T290="","",IF(OR(INDEX(MATCHER!$J$5:$J$504,T290)="",INDEX(MATCHER!$J$5:$J$504,T290)=IFERROR(INDEX(MATCHER!$J$5:$J$504,R290),""),INDEX(MATCHER!$J$5:$J$504,T290)=IFERROR(INDEX(MATCHER!$J$5:$J$504,S290),"")),""," / "&amp;INDEX(MATCHER!$J$5:$J$504,T290)))&amp;IF(AF290="","",IF(OR(INDEX(MATCHER!$J$5:$J$504,AF290)="",INDEX(MATCHER!$J$5:$J$504,AF290)=IFERROR(INDEX(MATCHER!$J$5:$J$504,R290),""),INDEX(MATCHER!$J$5:$J$504,AF290)=IFERROR(INDEX(MATCHER!$J$5:$J$504,S290),""),INDEX(MATCHER!$J$5:$J$504,AF290)=IFERROR(INDEX(MATCHER!$J$5:$J$504,T290),"")),""," / "&amp;INDEX(MATCHER!$J$5:$J$504,AF290))),4,1000)</f>
        <v/>
      </c>
      <c r="H290" s="45" t="str">
        <f>MID(IF(COUNTIFS(MATCHER!$B$5:$B$504,A290,MATCHER!$D$5:$D$504,C290,MATCHER!$J$5:$J$504,REGLER!$I$6,MATCHER!$K$5:$K$504,"Ja")+COUNTIFS(MATCHER!$B$5:$B$504,A290,MATCHER!$D$5:$D$504,C290,MATCHER!$J$5:$J$504,REGLER!$I$6&amp;" 2",MATCHER!$K$5:$K$504,"Ja")&gt;0,", "&amp;REGLER!$I$6,"")&amp;IF(COUNTIFS(MATCHER!$B$5:$B$504,A290,MATCHER!$D$5:$D$504,C290,MATCHER!$J$5:$J$504,REGLER!$I$7,MATCHER!$K$5:$K$504,"Ja")+COUNTIFS(MATCHER!$B$5:$B$504,A290,MATCHER!$D$5:$D$504,C290,MATCHER!$J$5:$J$504,REGLER!$I$7&amp;" 2",MATCHER!$K$5:$K$504,"Ja")&gt;0,", "&amp;REGLER!$I$7,"")&amp;IF(COUNTIFS(MATCHER!$B$5:$B$504,A290,MATCHER!$D$5:$D$504,C290,MATCHER!$J$5:$J$504,REGLER!$I$8,MATCHER!$K$5:$K$504,"Ja")+COUNTIFS(MATCHER!$B$5:$B$504,A290,MATCHER!$D$5:$D$504,C290,MATCHER!$J$5:$J$504,REGLER!$I$8&amp;" 2",MATCHER!$K$5:$K$504,"Ja")&gt;0,", "&amp;REGLER!$I$8,"")&amp;IF(COUNTIFS(MATCHER!$B$5:$B$504,A290,MATCHER!$D$5:$D$504,C290,MATCHER!$J$5:$J$504,REGLER!$I$9,MATCHER!$K$5:$K$504,"Ja")+COUNTIFS(MATCHER!$B$5:$B$504,A290,MATCHER!$D$5:$D$504,C290,MATCHER!$J$5:$J$504,REGLER!$I$9&amp;" 2",MATCHER!$K$5:$K$504,"Ja")&gt;0,", "&amp;REGLER!$I$9,"")&amp;IF(COUNTIFS(MATCHER!$B$5:$B$504,A290,MATCHER!$D$5:$D$504,C290,MATCHER!$J$5:$J$504,REGLER!$I$10,MATCHER!$K$5:$K$504,"Ja")+COUNTIFS(MATCHER!$B$5:$B$504,A290,MATCHER!$D$5:$D$504,C290,MATCHER!$J$5:$J$504,REGLER!$I$10&amp;" 2",MATCHER!$K$5:$K$504,"Ja")&gt;0,", "&amp;REGLER!$I$10,"")&amp;IF(COUNTIFS(MATCHER!$B$5:$B$504,A290,MATCHER!$D$5:$D$504,C290,MATCHER!$J$5:$J$504,REGLER!$I$11,MATCHER!$K$5:$K$504,"Ja")+COUNTIFS(MATCHER!$B$5:$B$504,A290,MATCHER!$D$5:$D$504,C290,MATCHER!$J$5:$J$504,REGLER!$I$11&amp;" 2",MATCHER!$K$5:$K$504,"Ja")&gt;0,", "&amp;REGLER!$I$11,"")&amp;IF(COUNTIFS(MATCHER!$B$5:$B$504,A290,MATCHER!$D$5:$D$504,C290,MATCHER!$J$5:$J$504,REGLER!$I$12,MATCHER!$K$5:$K$504,"Ja")+COUNTIFS(MATCHER!$B$5:$B$504,A290,MATCHER!$D$5:$D$504,C290,MATCHER!$J$5:$J$504,REGLER!$I$12&amp;" 2",MATCHER!$K$5:$K$504,"Ja")&gt;0,", "&amp;REGLER!$I$12,"")&amp;IF(COUNTIFS(MATCHER!$B$5:$B$504,A290,MATCHER!$D$5:$D$504,C290,MATCHER!$J$5:$J$504,REGLER!$I$13,MATCHER!$K$5:$K$504,"Ja")+COUNTIFS(MATCHER!$B$5:$B$504,A290,MATCHER!$D$5:$D$504,C290,MATCHER!$J$5:$J$504,REGLER!$I$13&amp;" 2",MATCHER!$K$5:$K$504,"Ja")&gt;0,", "&amp;REGLER!$I$13,"")&amp;IF(COUNTIFS(MATCHER!$B$5:$B$504,A290,MATCHER!$D$5:$D$504,C290,MATCHER!$J$5:$J$504,REGLER!$I$14,MATCHER!$K$5:$K$504,"Ja")+COUNTIFS(MATCHER!$B$5:$B$504,A290,MATCHER!$D$5:$D$504,C290,MATCHER!$J$5:$J$504,REGLER!$I$14&amp;" 2",MATCHER!$K$5:$K$504,"Ja")&gt;0,", "&amp;REGLER!$I$14,"")&amp;IF(COUNTIFS(MATCHER!$B$5:$B$504,A290,MATCHER!$D$5:$D$504,C290,MATCHER!$J$5:$J$504,REGLER!$I$15,MATCHER!$K$5:$K$504,"Ja")+COUNTIFS(MATCHER!$B$5:$B$504,A290,MATCHER!$D$5:$D$504,C290,MATCHER!$J$5:$J$504,REGLER!$I$15&amp;" 2",MATCHER!$K$5:$K$504,"Ja")&gt;0,", "&amp;REGLER!$I$15,"")&amp;IF(COUNTIFS(MATCHER!$B$5:$B$504,A290,MATCHER!$D$5:$D$504,C290,MATCHER!$J$5:$J$504,REGLER!$I$16,MATCHER!$K$5:$K$504,"Ja")+COUNTIFS(MATCHER!$B$5:$B$504,A290,MATCHER!$D$5:$D$504,C290,MATCHER!$J$5:$J$504,REGLER!$I$16&amp;" 2",MATCHER!$K$5:$K$504,"Ja")&gt;0,", "&amp;REGLER!$I$16,"")&amp;IF(COUNTIFS(MATCHER!$B$5:$B$504,A290,MATCHER!$D$5:$D$504,C290,MATCHER!$J$5:$J$504,REGLER!$I$17,MATCHER!$K$5:$K$504,"Ja")+COUNTIFS(MATCHER!$B$5:$B$504,A290,MATCHER!$D$5:$D$504,C290,MATCHER!$J$5:$J$504,REGLER!$I$17&amp;" 2",MATCHER!$K$5:$K$504,"Ja")&gt;0,", "&amp;REGLER!$I$17,"")&amp;IF(COUNTIFS(MATCHER!$B$5:$B$504,A290,MATCHER!$D$5:$D$504,C290,MATCHER!$J$5:$J$504,REGLER!$I$18,MATCHER!$K$5:$K$504,"Ja")+COUNTIFS(MATCHER!$B$5:$B$504,A290,MATCHER!$D$5:$D$504,C290,MATCHER!$J$5:$J$504,REGLER!$I$18&amp;" 2",MATCHER!$K$5:$K$504,"Ja")&gt;0,", "&amp;REGLER!$I$18,"")&amp;IF(COUNTIFS(MATCHER!$B$5:$B$504,A290,MATCHER!$D$5:$D$504,C290,MATCHER!$J$5:$J$504,REGLER!$I$19,MATCHER!$K$5:$K$504,"Ja")+COUNTIFS(MATCHER!$B$5:$B$504,A290,MATCHER!$D$5:$D$504,C290,MATCHER!$J$5:$J$504,REGLER!$I$19&amp;" 2",MATCHER!$K$5:$K$504,"Ja")&gt;0,", "&amp;REGLER!$I$19,"")&amp;IF(COUNTIFS(MATCHER!$B$5:$B$504,A290,MATCHER!$D$5:$D$504,C290,MATCHER!$J$5:$J$504,REGLER!$I$20,MATCHER!$K$5:$K$504,"Ja")+COUNTIFS(MATCHER!$B$5:$B$504,A290,MATCHER!$D$5:$D$504,C290,MATCHER!$J$5:$J$504,REGLER!$I$20&amp;" 2",MATCHER!$K$5:$K$504,"Ja")&gt;0,", "&amp;REGLER!$I$20,"")&amp;IF(COUNTIFS(MATCHER!$B$5:$B$504,A290,MATCHER!$D$5:$D$504,C290,MATCHER!$J$5:$J$504,REGLER!$I$21,MATCHER!$K$5:$K$504,"Ja")+COUNTIFS(MATCHER!$B$5:$B$504,A290,MATCHER!$D$5:$D$504,C290,MATCHER!$J$5:$J$504,REGLER!$I$21&amp;" 2",MATCHER!$K$5:$K$504,"Ja")&gt;0,", "&amp;REGLER!$I$21,"")&amp;IF(COUNTIFS(MATCHER!$B$5:$B$504,A290,MATCHER!$D$5:$D$504,C290,MATCHER!$J$5:$J$504,REGLER!$I$22,MATCHER!$K$5:$K$504,"Ja")+COUNTIFS(MATCHER!$B$5:$B$504,A290,MATCHER!$D$5:$D$504,C290,MATCHER!$J$5:$J$504,REGLER!$I$22&amp;" 2",MATCHER!$K$5:$K$504,"Ja")&gt;0,", "&amp;REGLER!$I$22,"")&amp;IF(COUNTIFS(MATCHER!$B$5:$B$504,A290,MATCHER!$D$5:$D$504,C290,MATCHER!$J$5:$J$504,REGLER!$I$23,MATCHER!$K$5:$K$504,"Ja")+COUNTIFS(MATCHER!$B$5:$B$504,A290,MATCHER!$D$5:$D$504,C290,MATCHER!$J$5:$J$504,REGLER!$I$23&amp;" 2",MATCHER!$K$5:$K$504,"Ja")&gt;0,", "&amp;REGLER!$I$23,"")&amp;IF(COUNTIFS(MATCHER!$B$5:$B$504,A290,MATCHER!$D$5:$D$504,C290,MATCHER!$J$5:$J$504,REGLER!$I$24,MATCHER!$K$5:$K$504,"Ja")+COUNTIFS(MATCHER!$B$5:$B$504,A290,MATCHER!$D$5:$D$504,C290,MATCHER!$J$5:$J$504,REGLER!$I$24&amp;" 2",MATCHER!$K$5:$K$504,"Ja")&gt;0,", "&amp;REGLER!$I$24,"")&amp;IF(COUNTIFS(MATCHER!$B$5:$B$504,A290,MATCHER!$D$5:$D$504,C290,MATCHER!$J$5:$J$504,REGLER!$I$25,MATCHER!$K$5:$K$504,"Ja")+COUNTIFS(MATCHER!$B$5:$B$504,A290,MATCHER!$D$5:$D$504,C290,MATCHER!$J$5:$J$504,REGLER!$I$25&amp;" 2",MATCHER!$K$5:$K$504,"Ja")&gt;0,", "&amp;REGLER!$I$25,"")&amp;IF(COUNTIFS(MATCHER!$B$5:$B$504,A290,MATCHER!$D$5:$D$504,C290,MATCHER!$J$5:$J$504,REGLER!$I$26,MATCHER!$K$5:$K$504,"Ja")+COUNTIFS(MATCHER!$B$5:$B$504,A290,MATCHER!$D$5:$D$504,C290,MATCHER!$J$5:$J$504,REGLER!$I$26&amp;" 2",MATCHER!$K$5:$K$504,"Ja")&gt;0,", "&amp;REGLER!$I$26,""),3,1000)</f>
        <v>F10, F13</v>
      </c>
      <c r="I290" s="46" t="s">
        <v>90</v>
      </c>
      <c r="J290" s="47" t="s">
        <v>434</v>
      </c>
      <c r="K290" s="48" t="s">
        <v>88</v>
      </c>
      <c r="L290" s="157" t="s">
        <v>860</v>
      </c>
      <c r="M290" s="50">
        <f>IF(O290&lt;&gt;O289,MAX(1,MIN(AA290,ROUNDUP(SUMPRODUCT(($O$5:$O$546=O290)*($I$5:$I$546="Ja")*($E$5:$E$546-$D$5:$D$546))*24/REGLER!$B$8,0))),"")</f>
        <v>2</v>
      </c>
      <c r="N290" s="50" t="str">
        <f t="shared" si="62"/>
        <v>Klar</v>
      </c>
      <c r="O290" s="15" t="s">
        <v>134</v>
      </c>
      <c r="P290" s="16">
        <v>0.33333333333333298</v>
      </c>
      <c r="Q290" s="16">
        <v>0.70833333333333304</v>
      </c>
      <c r="R290" s="15" t="str">
        <f>IFERROR(MATCH(1,INDEX((MATCHER!$B$5:$B$504=A290)*(MATCHER!$D$5:$D$504=C290)*(MATCHER!$K$5:$K$504="Ja")*(MATCHER!$C$5:$C$504&lt;E290)*(MATCHER!$M$5:$M$504&gt;D290),0),0),"")</f>
        <v/>
      </c>
      <c r="S290" s="15" t="str">
        <f>IF(R290="","",IFERROR(MATCH(1,INDEX((MATCHER!$B$5:$B$504=A290)*(MATCHER!$D$5:$D$504=C290)*(MATCHER!$K$5:$K$504="Ja")*(MATCHER!$C$5:$C$504&lt;E290)*(MATCHER!$M$5:$M$504&gt;D290)*(ROW(MATCHER!$A$5:$A$504)-ROW(MATCHER!$A$5)+1&gt;R290),0),0),""))</f>
        <v/>
      </c>
      <c r="T290" s="15" t="str">
        <f>IF(S290="","",IFERROR(MATCH(1,INDEX((MATCHER!$B$5:$B$504=A290)*(MATCHER!$D$5:$D$504=C290)*(MATCHER!$K$5:$K$504="Ja")*(MATCHER!$C$5:$C$504&lt;E290)*(MATCHER!$M$5:$M$504&gt;D290)*(ROW(MATCHER!$A$5:$A$504)-ROW(MATCHER!$A$5)+1&gt;S290),0),0),""))</f>
        <v/>
      </c>
      <c r="U290" s="15">
        <f t="shared" si="63"/>
        <v>1</v>
      </c>
      <c r="V290" s="15">
        <f>IF(OR(I290&lt;&gt;"Ja",J290=""),"",COUNTIFS($O$5:O290,O290,$U$5:U290,1))</f>
        <v>1</v>
      </c>
      <c r="W290" s="15" t="str">
        <f t="shared" si="64"/>
        <v>2026-12-05 | Ulriksdalshallen|1</v>
      </c>
      <c r="X290" s="16" t="str">
        <f t="shared" si="65"/>
        <v/>
      </c>
      <c r="Y290" s="15">
        <f>IF(OR(I290&lt;&gt;"Ja",J290=""),0,IF(COUNTIFS($O$5:O290,O290,$I$5:I290,"Ja",$J$5:J290,"&lt;&gt;")=1,1,0))</f>
        <v>1</v>
      </c>
      <c r="Z290" s="15">
        <f>IF(OR(I290&lt;&gt;"Ja",J290=""),0,IF(COUNTIFS(O290:$O$546,O290,I290:$I$546,"Ja",J290:$J$546,"&lt;&gt;")=1,1,0))</f>
        <v>0</v>
      </c>
      <c r="AA290" s="15">
        <f>IF(COUNTIFS(MATCHER!$B$5:$B$504,A290,MATCHER!$D$5:$D$504,C290,MATCHER!$J$5:$J$504,REGLER!$I$6,MATCHER!$K$5:$K$504,"Ja")+COUNTIFS(MATCHER!$B$5:$B$504,A290,MATCHER!$D$5:$D$504,C290,MATCHER!$J$5:$J$504,REGLER!$I$6&amp;" 2",MATCHER!$K$5:$K$504,"Ja")&gt;0,1,0)+IF(COUNTIFS(MATCHER!$B$5:$B$504,A290,MATCHER!$D$5:$D$504,C290,MATCHER!$J$5:$J$504,REGLER!$I$7,MATCHER!$K$5:$K$504,"Ja")+COUNTIFS(MATCHER!$B$5:$B$504,A290,MATCHER!$D$5:$D$504,C290,MATCHER!$J$5:$J$504,REGLER!$I$7&amp;" 2",MATCHER!$K$5:$K$504,"Ja")&gt;0,1,0)+IF(COUNTIFS(MATCHER!$B$5:$B$504,A290,MATCHER!$D$5:$D$504,C290,MATCHER!$J$5:$J$504,REGLER!$I$8,MATCHER!$K$5:$K$504,"Ja")+COUNTIFS(MATCHER!$B$5:$B$504,A290,MATCHER!$D$5:$D$504,C290,MATCHER!$J$5:$J$504,REGLER!$I$8&amp;" 2",MATCHER!$K$5:$K$504,"Ja")&gt;0,1,0)+IF(COUNTIFS(MATCHER!$B$5:$B$504,A290,MATCHER!$D$5:$D$504,C290,MATCHER!$J$5:$J$504,REGLER!$I$9,MATCHER!$K$5:$K$504,"Ja")+COUNTIFS(MATCHER!$B$5:$B$504,A290,MATCHER!$D$5:$D$504,C290,MATCHER!$J$5:$J$504,REGLER!$I$9&amp;" 2",MATCHER!$K$5:$K$504,"Ja")&gt;0,1,0)+IF(COUNTIFS(MATCHER!$B$5:$B$504,A290,MATCHER!$D$5:$D$504,C290,MATCHER!$J$5:$J$504,REGLER!$I$10,MATCHER!$K$5:$K$504,"Ja")+COUNTIFS(MATCHER!$B$5:$B$504,A290,MATCHER!$D$5:$D$504,C290,MATCHER!$J$5:$J$504,REGLER!$I$10&amp;" 2",MATCHER!$K$5:$K$504,"Ja")&gt;0,1,0)+IF(COUNTIFS(MATCHER!$B$5:$B$504,A290,MATCHER!$D$5:$D$504,C290,MATCHER!$J$5:$J$504,REGLER!$I$11,MATCHER!$K$5:$K$504,"Ja")+COUNTIFS(MATCHER!$B$5:$B$504,A290,MATCHER!$D$5:$D$504,C290,MATCHER!$J$5:$J$504,REGLER!$I$11&amp;" 2",MATCHER!$K$5:$K$504,"Ja")&gt;0,1,0)+IF(COUNTIFS(MATCHER!$B$5:$B$504,A290,MATCHER!$D$5:$D$504,C290,MATCHER!$J$5:$J$504,REGLER!$I$12,MATCHER!$K$5:$K$504,"Ja")+COUNTIFS(MATCHER!$B$5:$B$504,A290,MATCHER!$D$5:$D$504,C290,MATCHER!$J$5:$J$504,REGLER!$I$12&amp;" 2",MATCHER!$K$5:$K$504,"Ja")&gt;0,1,0)+IF(COUNTIFS(MATCHER!$B$5:$B$504,A290,MATCHER!$D$5:$D$504,C290,MATCHER!$J$5:$J$504,REGLER!$I$13,MATCHER!$K$5:$K$504,"Ja")+COUNTIFS(MATCHER!$B$5:$B$504,A290,MATCHER!$D$5:$D$504,C290,MATCHER!$J$5:$J$504,REGLER!$I$13&amp;" 2",MATCHER!$K$5:$K$504,"Ja")&gt;0,1,0)+IF(COUNTIFS(MATCHER!$B$5:$B$504,A290,MATCHER!$D$5:$D$504,C290,MATCHER!$J$5:$J$504,REGLER!$I$14,MATCHER!$K$5:$K$504,"Ja")+COUNTIFS(MATCHER!$B$5:$B$504,A290,MATCHER!$D$5:$D$504,C290,MATCHER!$J$5:$J$504,REGLER!$I$14&amp;" 2",MATCHER!$K$5:$K$504,"Ja")&gt;0,1,0)+IF(COUNTIFS(MATCHER!$B$5:$B$504,A290,MATCHER!$D$5:$D$504,C290,MATCHER!$J$5:$J$504,REGLER!$I$15,MATCHER!$K$5:$K$504,"Ja")+COUNTIFS(MATCHER!$B$5:$B$504,A290,MATCHER!$D$5:$D$504,C290,MATCHER!$J$5:$J$504,REGLER!$I$15&amp;" 2",MATCHER!$K$5:$K$504,"Ja")&gt;0,1,0)+IF(COUNTIFS(MATCHER!$B$5:$B$504,A290,MATCHER!$D$5:$D$504,C290,MATCHER!$J$5:$J$504,REGLER!$I$16,MATCHER!$K$5:$K$504,"Ja")+COUNTIFS(MATCHER!$B$5:$B$504,A290,MATCHER!$D$5:$D$504,C290,MATCHER!$J$5:$J$504,REGLER!$I$16&amp;" 2",MATCHER!$K$5:$K$504,"Ja")&gt;0,1,0)+IF(COUNTIFS(MATCHER!$B$5:$B$504,A290,MATCHER!$D$5:$D$504,C290,MATCHER!$J$5:$J$504,REGLER!$I$17,MATCHER!$K$5:$K$504,"Ja")+COUNTIFS(MATCHER!$B$5:$B$504,A290,MATCHER!$D$5:$D$504,C290,MATCHER!$J$5:$J$504,REGLER!$I$17&amp;" 2",MATCHER!$K$5:$K$504,"Ja")&gt;0,1,0)+IF(COUNTIFS(MATCHER!$B$5:$B$504,A290,MATCHER!$D$5:$D$504,C290,MATCHER!$J$5:$J$504,REGLER!$I$18,MATCHER!$K$5:$K$504,"Ja")+COUNTIFS(MATCHER!$B$5:$B$504,A290,MATCHER!$D$5:$D$504,C290,MATCHER!$J$5:$J$504,REGLER!$I$18&amp;" 2",MATCHER!$K$5:$K$504,"Ja")&gt;0,1,0)+IF(COUNTIFS(MATCHER!$B$5:$B$504,A290,MATCHER!$D$5:$D$504,C290,MATCHER!$J$5:$J$504,REGLER!$I$19,MATCHER!$K$5:$K$504,"Ja")+COUNTIFS(MATCHER!$B$5:$B$504,A290,MATCHER!$D$5:$D$504,C290,MATCHER!$J$5:$J$504,REGLER!$I$19&amp;" 2",MATCHER!$K$5:$K$504,"Ja")&gt;0,1,0)+IF(COUNTIFS(MATCHER!$B$5:$B$504,A290,MATCHER!$D$5:$D$504,C290,MATCHER!$J$5:$J$504,REGLER!$I$20,MATCHER!$K$5:$K$504,"Ja")+COUNTIFS(MATCHER!$B$5:$B$504,A290,MATCHER!$D$5:$D$504,C290,MATCHER!$J$5:$J$504,REGLER!$I$20&amp;" 2",MATCHER!$K$5:$K$504,"Ja")&gt;0,1,0)+IF(COUNTIFS(MATCHER!$B$5:$B$504,A290,MATCHER!$D$5:$D$504,C290,MATCHER!$J$5:$J$504,REGLER!$I$21,MATCHER!$K$5:$K$504,"Ja")+COUNTIFS(MATCHER!$B$5:$B$504,A290,MATCHER!$D$5:$D$504,C290,MATCHER!$J$5:$J$504,REGLER!$I$21&amp;" 2",MATCHER!$K$5:$K$504,"Ja")&gt;0,1,0)+IF(COUNTIFS(MATCHER!$B$5:$B$504,A290,MATCHER!$D$5:$D$504,C290,MATCHER!$J$5:$J$504,REGLER!$I$22,MATCHER!$K$5:$K$504,"Ja")+COUNTIFS(MATCHER!$B$5:$B$504,A290,MATCHER!$D$5:$D$504,C290,MATCHER!$J$5:$J$504,REGLER!$I$22&amp;" 2",MATCHER!$K$5:$K$504,"Ja")&gt;0,1,0)+IF(COUNTIFS(MATCHER!$B$5:$B$504,A290,MATCHER!$D$5:$D$504,C290,MATCHER!$J$5:$J$504,REGLER!$I$23,MATCHER!$K$5:$K$504,"Ja")+COUNTIFS(MATCHER!$B$5:$B$504,A290,MATCHER!$D$5:$D$504,C290,MATCHER!$J$5:$J$504,REGLER!$I$23&amp;" 2",MATCHER!$K$5:$K$504,"Ja")&gt;0,1,0)+IF(COUNTIFS(MATCHER!$B$5:$B$504,A290,MATCHER!$D$5:$D$504,C290,MATCHER!$J$5:$J$504,REGLER!$I$24,MATCHER!$K$5:$K$504,"Ja")+COUNTIFS(MATCHER!$B$5:$B$504,A290,MATCHER!$D$5:$D$504,C290,MATCHER!$J$5:$J$504,REGLER!$I$24&amp;" 2",MATCHER!$K$5:$K$504,"Ja")&gt;0,1,0)+IF(COUNTIFS(MATCHER!$B$5:$B$504,A290,MATCHER!$D$5:$D$504,C290,MATCHER!$J$5:$J$504,REGLER!$I$25,MATCHER!$K$5:$K$504,"Ja")+COUNTIFS(MATCHER!$B$5:$B$504,A290,MATCHER!$D$5:$D$504,C290,MATCHER!$J$5:$J$504,REGLER!$I$25&amp;" 2",MATCHER!$K$5:$K$504,"Ja")&gt;0,1,0)+IF(COUNTIFS(MATCHER!$B$5:$B$504,A290,MATCHER!$D$5:$D$504,C290,MATCHER!$J$5:$J$504,REGLER!$I$26,MATCHER!$K$5:$K$504,"Ja")+COUNTIFS(MATCHER!$B$5:$B$504,A290,MATCHER!$D$5:$D$504,C290,MATCHER!$J$5:$J$504,REGLER!$I$26&amp;" 2",MATCHER!$K$5:$K$504,"Ja")&gt;0,1,0)</f>
        <v>2</v>
      </c>
      <c r="AB290" s="15">
        <f>IF(U290&lt;&gt;1,"",COUNTIF($U$5:U290,1))</f>
        <v>33</v>
      </c>
      <c r="AC290" s="15" t="str">
        <f t="shared" si="66"/>
        <v/>
      </c>
      <c r="AD290" s="15" t="str">
        <f t="shared" si="67"/>
        <v>Vanligt café</v>
      </c>
      <c r="AE290" s="15">
        <f t="shared" si="68"/>
        <v>5.000000000000016</v>
      </c>
      <c r="AF290" t="str">
        <f>IF(T290="","",IFERROR(MATCH(1,INDEX((MATCHER!$B$5:$B$504=A290)*(MATCHER!$D$5:$D$504=C290)*(MATCHER!$K$5:$K$504="Ja")*(MATCHER!$C$5:$C$504&lt;E290)*(MATCHER!$M$5:$M$504&gt;D290)*(ROW(MATCHER!$A$5:$A$504)-ROW(MATCHER!$A$5)+1&gt;T290),0),0),""))</f>
        <v/>
      </c>
    </row>
    <row r="291" spans="1:32" ht="26">
      <c r="A291" s="42">
        <v>46361</v>
      </c>
      <c r="B291" s="43" t="s">
        <v>85</v>
      </c>
      <c r="C291" s="43" t="s">
        <v>86</v>
      </c>
      <c r="D291" s="44">
        <v>0.35416666666666702</v>
      </c>
      <c r="E291" s="44">
        <v>0.375</v>
      </c>
      <c r="F291" s="45" t="str">
        <f>IF(R291="","",HOUR(INDEX(MATCHER!$C$5:$C$504,R291))&amp;":"&amp;IF(MINUTE(INDEX(MATCHER!$C$5:$C$504,R291))&lt;10,"0","")&amp;MINUTE(INDEX(MATCHER!$C$5:$C$504,R291))&amp;" "&amp;INDEX(MATCHER!$H$5:$H$504,R291)&amp;" – "&amp;INDEX(MATCHER!$I$5:$I$504,R291))&amp;IF(S291="",""," | "&amp;HOUR(INDEX(MATCHER!$C$5:$C$504,S291))&amp;":"&amp;IF(MINUTE(INDEX(MATCHER!$C$5:$C$504,S291))&lt;10,"0","")&amp;MINUTE(INDEX(MATCHER!$C$5:$C$504,S291))&amp;" "&amp;INDEX(MATCHER!$H$5:$H$504,S291)&amp;" – "&amp;INDEX(MATCHER!$I$5:$I$504,S291))&amp;IF(T291="",""," | "&amp;HOUR(INDEX(MATCHER!$C$5:$C$504,T291))&amp;":"&amp;IF(MINUTE(INDEX(MATCHER!$C$5:$C$504,T291))&lt;10,"0","")&amp;MINUTE(INDEX(MATCHER!$C$5:$C$504,T291))&amp;" "&amp;INDEX(MATCHER!$H$5:$H$504,T291)&amp;" – "&amp;INDEX(MATCHER!$I$5:$I$504,T291))&amp;IF(AF291="",""," | "&amp;HOUR(INDEX(MATCHER!$C$5:$C$504,AF291))&amp;":"&amp;IF(MINUTE(INDEX(MATCHER!$C$5:$C$504,AF291))&lt;10,"0","")&amp;MINUTE(INDEX(MATCHER!$C$5:$C$504,AF291))&amp;" "&amp;INDEX(MATCHER!$H$5:$H$504,AF291)&amp;" – "&amp;INDEX(MATCHER!$I$5:$I$504,AF291))</f>
        <v/>
      </c>
      <c r="G291" s="45" t="str">
        <f>MID(IF(R291="","",IF(OR(INDEX(MATCHER!$J$5:$J$504,R291)=""),""," / "&amp;INDEX(MATCHER!$J$5:$J$504,R291)))&amp;IF(S291="","",IF(OR(INDEX(MATCHER!$J$5:$J$504,S291)="",INDEX(MATCHER!$J$5:$J$504,S291)=IFERROR(INDEX(MATCHER!$J$5:$J$504,R291),"")),""," / "&amp;INDEX(MATCHER!$J$5:$J$504,S291)))&amp;IF(T291="","",IF(OR(INDEX(MATCHER!$J$5:$J$504,T291)="",INDEX(MATCHER!$J$5:$J$504,T291)=IFERROR(INDEX(MATCHER!$J$5:$J$504,R291),""),INDEX(MATCHER!$J$5:$J$504,T291)=IFERROR(INDEX(MATCHER!$J$5:$J$504,S291),"")),""," / "&amp;INDEX(MATCHER!$J$5:$J$504,T291)))&amp;IF(AF291="","",IF(OR(INDEX(MATCHER!$J$5:$J$504,AF291)="",INDEX(MATCHER!$J$5:$J$504,AF291)=IFERROR(INDEX(MATCHER!$J$5:$J$504,R291),""),INDEX(MATCHER!$J$5:$J$504,AF291)=IFERROR(INDEX(MATCHER!$J$5:$J$504,S291),""),INDEX(MATCHER!$J$5:$J$504,AF291)=IFERROR(INDEX(MATCHER!$J$5:$J$504,T291),"")),""," / "&amp;INDEX(MATCHER!$J$5:$J$504,AF291))),4,1000)</f>
        <v/>
      </c>
      <c r="H291" s="45" t="str">
        <f t="shared" ref="H291:H307" si="71">H290</f>
        <v>F10, F13</v>
      </c>
      <c r="I291" s="46" t="s">
        <v>90</v>
      </c>
      <c r="J291" s="47" t="s">
        <v>434</v>
      </c>
      <c r="K291" s="48"/>
      <c r="L291" s="49"/>
      <c r="M291" s="50" t="str">
        <f>IF(O291&lt;&gt;O290,MAX(1,MIN(AA291,ROUNDUP(SUMPRODUCT(($O$5:$O$546=O291)*($I$5:$I$546="Ja")*($E$5:$E$546-$D$5:$D$546))*24/REGLER!$B$8,0))),"")</f>
        <v/>
      </c>
      <c r="N291" s="50" t="str">
        <f t="shared" si="62"/>
        <v>Klar</v>
      </c>
      <c r="O291" s="15" t="s">
        <v>134</v>
      </c>
      <c r="P291" s="16">
        <v>0.33333333333333298</v>
      </c>
      <c r="Q291" s="16">
        <v>0.70833333333333304</v>
      </c>
      <c r="R291" s="15" t="str">
        <f>IFERROR(MATCH(1,INDEX((MATCHER!$B$5:$B$504=A291)*(MATCHER!$D$5:$D$504=C291)*(MATCHER!$K$5:$K$504="Ja")*(MATCHER!$C$5:$C$504&lt;E291)*(MATCHER!$M$5:$M$504&gt;D291),0),0),"")</f>
        <v/>
      </c>
      <c r="S291" s="15" t="str">
        <f>IF(R291="","",IFERROR(MATCH(1,INDEX((MATCHER!$B$5:$B$504=A291)*(MATCHER!$D$5:$D$504=C291)*(MATCHER!$K$5:$K$504="Ja")*(MATCHER!$C$5:$C$504&lt;E291)*(MATCHER!$M$5:$M$504&gt;D291)*(ROW(MATCHER!$A$5:$A$504)-ROW(MATCHER!$A$5)+1&gt;R291),0),0),""))</f>
        <v/>
      </c>
      <c r="T291" s="15" t="str">
        <f>IF(S291="","",IFERROR(MATCH(1,INDEX((MATCHER!$B$5:$B$504=A291)*(MATCHER!$D$5:$D$504=C291)*(MATCHER!$K$5:$K$504="Ja")*(MATCHER!$C$5:$C$504&lt;E291)*(MATCHER!$M$5:$M$504&gt;D291)*(ROW(MATCHER!$A$5:$A$504)-ROW(MATCHER!$A$5)+1&gt;S291),0),0),""))</f>
        <v/>
      </c>
      <c r="U291" s="15">
        <f t="shared" si="63"/>
        <v>0</v>
      </c>
      <c r="V291" s="15">
        <f>IF(OR(I291&lt;&gt;"Ja",J291=""),"",COUNTIFS($O$5:O291,O291,$U$5:U291,1))</f>
        <v>1</v>
      </c>
      <c r="W291" s="15" t="str">
        <f t="shared" si="64"/>
        <v>2026-12-05 | Ulriksdalshallen|1</v>
      </c>
      <c r="X291" s="16" t="str">
        <f t="shared" si="65"/>
        <v/>
      </c>
      <c r="Y291" s="15">
        <f>IF(OR(I291&lt;&gt;"Ja",J291=""),0,IF(COUNTIFS($O$5:O291,O291,$I$5:I291,"Ja",$J$5:J291,"&lt;&gt;")=1,1,0))</f>
        <v>0</v>
      </c>
      <c r="Z291" s="15">
        <f>IF(OR(I291&lt;&gt;"Ja",J291=""),0,IF(COUNTIFS(O291:$O$546,O291,I291:$I$546,"Ja",J291:$J$546,"&lt;&gt;")=1,1,0))</f>
        <v>0</v>
      </c>
      <c r="AA291" s="15">
        <f t="shared" ref="AA291:AA307" si="72">AA290</f>
        <v>2</v>
      </c>
      <c r="AB291" s="15" t="str">
        <f>IF(U291&lt;&gt;1,"",COUNTIF($U$5:U291,1))</f>
        <v/>
      </c>
      <c r="AC291" s="15" t="str">
        <f t="shared" si="66"/>
        <v/>
      </c>
      <c r="AD291" s="15" t="str">
        <f t="shared" si="67"/>
        <v>Vanligt café</v>
      </c>
      <c r="AE291" s="15" t="str">
        <f t="shared" si="68"/>
        <v/>
      </c>
      <c r="AF291" t="str">
        <f>IF(T291="","",IFERROR(MATCH(1,INDEX((MATCHER!$B$5:$B$504=A291)*(MATCHER!$D$5:$D$504=C291)*(MATCHER!$K$5:$K$504="Ja")*(MATCHER!$C$5:$C$504&lt;E291)*(MATCHER!$M$5:$M$504&gt;D291)*(ROW(MATCHER!$A$5:$A$504)-ROW(MATCHER!$A$5)+1&gt;T291),0),0),""))</f>
        <v/>
      </c>
    </row>
    <row r="292" spans="1:32" ht="26">
      <c r="A292" s="42">
        <v>46361</v>
      </c>
      <c r="B292" s="43" t="s">
        <v>85</v>
      </c>
      <c r="C292" s="43" t="s">
        <v>86</v>
      </c>
      <c r="D292" s="44">
        <v>0.375</v>
      </c>
      <c r="E292" s="44">
        <v>0.39583333333333298</v>
      </c>
      <c r="F292" s="45" t="str">
        <f>IF(R292="","",HOUR(INDEX(MATCHER!$C$5:$C$504,R292))&amp;":"&amp;IF(MINUTE(INDEX(MATCHER!$C$5:$C$504,R292))&lt;10,"0","")&amp;MINUTE(INDEX(MATCHER!$C$5:$C$504,R292))&amp;" "&amp;INDEX(MATCHER!$H$5:$H$504,R292)&amp;" – "&amp;INDEX(MATCHER!$I$5:$I$504,R292))&amp;IF(S292="",""," | "&amp;HOUR(INDEX(MATCHER!$C$5:$C$504,S292))&amp;":"&amp;IF(MINUTE(INDEX(MATCHER!$C$5:$C$504,S292))&lt;10,"0","")&amp;MINUTE(INDEX(MATCHER!$C$5:$C$504,S292))&amp;" "&amp;INDEX(MATCHER!$H$5:$H$504,S292)&amp;" – "&amp;INDEX(MATCHER!$I$5:$I$504,S292))&amp;IF(T292="",""," | "&amp;HOUR(INDEX(MATCHER!$C$5:$C$504,T292))&amp;":"&amp;IF(MINUTE(INDEX(MATCHER!$C$5:$C$504,T292))&lt;10,"0","")&amp;MINUTE(INDEX(MATCHER!$C$5:$C$504,T292))&amp;" "&amp;INDEX(MATCHER!$H$5:$H$504,T292)&amp;" – "&amp;INDEX(MATCHER!$I$5:$I$504,T292))&amp;IF(AF292="",""," | "&amp;HOUR(INDEX(MATCHER!$C$5:$C$504,AF292))&amp;":"&amp;IF(MINUTE(INDEX(MATCHER!$C$5:$C$504,AF292))&lt;10,"0","")&amp;MINUTE(INDEX(MATCHER!$C$5:$C$504,AF292))&amp;" "&amp;INDEX(MATCHER!$H$5:$H$504,AF292)&amp;" – "&amp;INDEX(MATCHER!$I$5:$I$504,AF292))</f>
        <v>9:00 AIK – HK Cliff Blå</v>
      </c>
      <c r="G292" s="45" t="str">
        <f>MID(IF(R292="","",IF(OR(INDEX(MATCHER!$J$5:$J$504,R292)=""),""," / "&amp;INDEX(MATCHER!$J$5:$J$504,R292)))&amp;IF(S292="","",IF(OR(INDEX(MATCHER!$J$5:$J$504,S292)="",INDEX(MATCHER!$J$5:$J$504,S292)=IFERROR(INDEX(MATCHER!$J$5:$J$504,R292),"")),""," / "&amp;INDEX(MATCHER!$J$5:$J$504,S292)))&amp;IF(T292="","",IF(OR(INDEX(MATCHER!$J$5:$J$504,T292)="",INDEX(MATCHER!$J$5:$J$504,T292)=IFERROR(INDEX(MATCHER!$J$5:$J$504,R292),""),INDEX(MATCHER!$J$5:$J$504,T292)=IFERROR(INDEX(MATCHER!$J$5:$J$504,S292),"")),""," / "&amp;INDEX(MATCHER!$J$5:$J$504,T292)))&amp;IF(AF292="","",IF(OR(INDEX(MATCHER!$J$5:$J$504,AF292)="",INDEX(MATCHER!$J$5:$J$504,AF292)=IFERROR(INDEX(MATCHER!$J$5:$J$504,R292),""),INDEX(MATCHER!$J$5:$J$504,AF292)=IFERROR(INDEX(MATCHER!$J$5:$J$504,S292),""),INDEX(MATCHER!$J$5:$J$504,AF292)=IFERROR(INDEX(MATCHER!$J$5:$J$504,T292),"")),""," / "&amp;INDEX(MATCHER!$J$5:$J$504,AF292))),4,1000)</f>
        <v>F10</v>
      </c>
      <c r="H292" s="45" t="str">
        <f t="shared" si="71"/>
        <v>F10, F13</v>
      </c>
      <c r="I292" s="46" t="s">
        <v>90</v>
      </c>
      <c r="J292" s="47" t="s">
        <v>434</v>
      </c>
      <c r="K292" s="48"/>
      <c r="L292" s="49"/>
      <c r="M292" s="50" t="str">
        <f>IF(O292&lt;&gt;O291,MAX(1,MIN(AA292,ROUNDUP(SUMPRODUCT(($O$5:$O$546=O292)*($I$5:$I$546="Ja")*($E$5:$E$546-$D$5:$D$546))*24/REGLER!$B$8,0))),"")</f>
        <v/>
      </c>
      <c r="N292" s="50" t="str">
        <f t="shared" si="62"/>
        <v>Klar</v>
      </c>
      <c r="O292" s="15" t="s">
        <v>134</v>
      </c>
      <c r="P292" s="16">
        <v>0.33333333333333298</v>
      </c>
      <c r="Q292" s="16">
        <v>0.70833333333333304</v>
      </c>
      <c r="R292" s="15">
        <f>IFERROR(MATCH(1,INDEX((MATCHER!$B$5:$B$504=A292)*(MATCHER!$D$5:$D$504=C292)*(MATCHER!$K$5:$K$504="Ja")*(MATCHER!$C$5:$C$504&lt;E292)*(MATCHER!$M$5:$M$504&gt;D292),0),0),"")</f>
        <v>103</v>
      </c>
      <c r="S292" s="15" t="str">
        <f>IF(R292="","",IFERROR(MATCH(1,INDEX((MATCHER!$B$5:$B$504=A292)*(MATCHER!$D$5:$D$504=C292)*(MATCHER!$K$5:$K$504="Ja")*(MATCHER!$C$5:$C$504&lt;E292)*(MATCHER!$M$5:$M$504&gt;D292)*(ROW(MATCHER!$A$5:$A$504)-ROW(MATCHER!$A$5)+1&gt;R292),0),0),""))</f>
        <v/>
      </c>
      <c r="T292" s="15" t="str">
        <f>IF(S292="","",IFERROR(MATCH(1,INDEX((MATCHER!$B$5:$B$504=A292)*(MATCHER!$D$5:$D$504=C292)*(MATCHER!$K$5:$K$504="Ja")*(MATCHER!$C$5:$C$504&lt;E292)*(MATCHER!$M$5:$M$504&gt;D292)*(ROW(MATCHER!$A$5:$A$504)-ROW(MATCHER!$A$5)+1&gt;S292),0),0),""))</f>
        <v/>
      </c>
      <c r="U292" s="15">
        <f t="shared" si="63"/>
        <v>0</v>
      </c>
      <c r="V292" s="15">
        <f>IF(OR(I292&lt;&gt;"Ja",J292=""),"",COUNTIFS($O$5:O292,O292,$U$5:U292,1))</f>
        <v>1</v>
      </c>
      <c r="W292" s="15" t="str">
        <f t="shared" si="64"/>
        <v>2026-12-05 | Ulriksdalshallen|1</v>
      </c>
      <c r="X292" s="16" t="str">
        <f t="shared" si="65"/>
        <v/>
      </c>
      <c r="Y292" s="15">
        <f>IF(OR(I292&lt;&gt;"Ja",J292=""),0,IF(COUNTIFS($O$5:O292,O292,$I$5:I292,"Ja",$J$5:J292,"&lt;&gt;")=1,1,0))</f>
        <v>0</v>
      </c>
      <c r="Z292" s="15">
        <f>IF(OR(I292&lt;&gt;"Ja",J292=""),0,IF(COUNTIFS(O292:$O$546,O292,I292:$I$546,"Ja",J292:$J$546,"&lt;&gt;")=1,1,0))</f>
        <v>0</v>
      </c>
      <c r="AA292" s="15">
        <f t="shared" si="72"/>
        <v>2</v>
      </c>
      <c r="AB292" s="15" t="str">
        <f>IF(U292&lt;&gt;1,"",COUNTIF($U$5:U292,1))</f>
        <v/>
      </c>
      <c r="AC292" s="15" t="str">
        <f t="shared" si="66"/>
        <v/>
      </c>
      <c r="AD292" s="15" t="str">
        <f t="shared" si="67"/>
        <v>Vanligt café</v>
      </c>
      <c r="AE292" s="15" t="str">
        <f t="shared" si="68"/>
        <v/>
      </c>
      <c r="AF292" t="str">
        <f>IF(T292="","",IFERROR(MATCH(1,INDEX((MATCHER!$B$5:$B$504=A292)*(MATCHER!$D$5:$D$504=C292)*(MATCHER!$K$5:$K$504="Ja")*(MATCHER!$C$5:$C$504&lt;E292)*(MATCHER!$M$5:$M$504&gt;D292)*(ROW(MATCHER!$A$5:$A$504)-ROW(MATCHER!$A$5)+1&gt;T292),0),0),""))</f>
        <v/>
      </c>
    </row>
    <row r="293" spans="1:32" ht="26">
      <c r="A293" s="42">
        <v>46361</v>
      </c>
      <c r="B293" s="43" t="s">
        <v>85</v>
      </c>
      <c r="C293" s="43" t="s">
        <v>86</v>
      </c>
      <c r="D293" s="44">
        <v>0.39583333333333298</v>
      </c>
      <c r="E293" s="44">
        <v>0.41666666666666702</v>
      </c>
      <c r="F293" s="45" t="str">
        <f>IF(R293="","",HOUR(INDEX(MATCHER!$C$5:$C$504,R293))&amp;":"&amp;IF(MINUTE(INDEX(MATCHER!$C$5:$C$504,R293))&lt;10,"0","")&amp;MINUTE(INDEX(MATCHER!$C$5:$C$504,R293))&amp;" "&amp;INDEX(MATCHER!$H$5:$H$504,R293)&amp;" – "&amp;INDEX(MATCHER!$I$5:$I$504,R293))&amp;IF(S293="",""," | "&amp;HOUR(INDEX(MATCHER!$C$5:$C$504,S293))&amp;":"&amp;IF(MINUTE(INDEX(MATCHER!$C$5:$C$504,S293))&lt;10,"0","")&amp;MINUTE(INDEX(MATCHER!$C$5:$C$504,S293))&amp;" "&amp;INDEX(MATCHER!$H$5:$H$504,S293)&amp;" – "&amp;INDEX(MATCHER!$I$5:$I$504,S293))&amp;IF(T293="",""," | "&amp;HOUR(INDEX(MATCHER!$C$5:$C$504,T293))&amp;":"&amp;IF(MINUTE(INDEX(MATCHER!$C$5:$C$504,T293))&lt;10,"0","")&amp;MINUTE(INDEX(MATCHER!$C$5:$C$504,T293))&amp;" "&amp;INDEX(MATCHER!$H$5:$H$504,T293)&amp;" – "&amp;INDEX(MATCHER!$I$5:$I$504,T293))&amp;IF(AF293="",""," | "&amp;HOUR(INDEX(MATCHER!$C$5:$C$504,AF293))&amp;":"&amp;IF(MINUTE(INDEX(MATCHER!$C$5:$C$504,AF293))&lt;10,"0","")&amp;MINUTE(INDEX(MATCHER!$C$5:$C$504,AF293))&amp;" "&amp;INDEX(MATCHER!$H$5:$H$504,AF293)&amp;" – "&amp;INDEX(MATCHER!$I$5:$I$504,AF293))</f>
        <v>9:45 Åkersberga HK Röd – HK Cliff Gul</v>
      </c>
      <c r="G293" s="45" t="str">
        <f>MID(IF(R293="","",IF(OR(INDEX(MATCHER!$J$5:$J$504,R293)=""),""," / "&amp;INDEX(MATCHER!$J$5:$J$504,R293)))&amp;IF(S293="","",IF(OR(INDEX(MATCHER!$J$5:$J$504,S293)="",INDEX(MATCHER!$J$5:$J$504,S293)=IFERROR(INDEX(MATCHER!$J$5:$J$504,R293),"")),""," / "&amp;INDEX(MATCHER!$J$5:$J$504,S293)))&amp;IF(T293="","",IF(OR(INDEX(MATCHER!$J$5:$J$504,T293)="",INDEX(MATCHER!$J$5:$J$504,T293)=IFERROR(INDEX(MATCHER!$J$5:$J$504,R293),""),INDEX(MATCHER!$J$5:$J$504,T293)=IFERROR(INDEX(MATCHER!$J$5:$J$504,S293),"")),""," / "&amp;INDEX(MATCHER!$J$5:$J$504,T293)))&amp;IF(AF293="","",IF(OR(INDEX(MATCHER!$J$5:$J$504,AF293)="",INDEX(MATCHER!$J$5:$J$504,AF293)=IFERROR(INDEX(MATCHER!$J$5:$J$504,R293),""),INDEX(MATCHER!$J$5:$J$504,AF293)=IFERROR(INDEX(MATCHER!$J$5:$J$504,S293),""),INDEX(MATCHER!$J$5:$J$504,AF293)=IFERROR(INDEX(MATCHER!$J$5:$J$504,T293),"")),""," / "&amp;INDEX(MATCHER!$J$5:$J$504,AF293))),4,1000)</f>
        <v/>
      </c>
      <c r="H293" s="45" t="str">
        <f t="shared" si="71"/>
        <v>F10, F13</v>
      </c>
      <c r="I293" s="46" t="s">
        <v>90</v>
      </c>
      <c r="J293" s="47" t="s">
        <v>434</v>
      </c>
      <c r="K293" s="48"/>
      <c r="L293" s="49"/>
      <c r="M293" s="50" t="str">
        <f>IF(O293&lt;&gt;O292,MAX(1,MIN(AA293,ROUNDUP(SUMPRODUCT(($O$5:$O$546=O293)*($I$5:$I$546="Ja")*($E$5:$E$546-$D$5:$D$546))*24/REGLER!$B$8,0))),"")</f>
        <v/>
      </c>
      <c r="N293" s="50" t="str">
        <f t="shared" si="62"/>
        <v>Klar</v>
      </c>
      <c r="O293" s="15" t="s">
        <v>134</v>
      </c>
      <c r="P293" s="16">
        <v>0.33333333333333298</v>
      </c>
      <c r="Q293" s="16">
        <v>0.70833333333333304</v>
      </c>
      <c r="R293" s="15">
        <f>IFERROR(MATCH(1,INDEX((MATCHER!$B$5:$B$504=A293)*(MATCHER!$D$5:$D$504=C293)*(MATCHER!$K$5:$K$504="Ja")*(MATCHER!$C$5:$C$504&lt;E293)*(MATCHER!$M$5:$M$504&gt;D293),0),0),"")</f>
        <v>104</v>
      </c>
      <c r="S293" s="15" t="str">
        <f>IF(R293="","",IFERROR(MATCH(1,INDEX((MATCHER!$B$5:$B$504=A293)*(MATCHER!$D$5:$D$504=C293)*(MATCHER!$K$5:$K$504="Ja")*(MATCHER!$C$5:$C$504&lt;E293)*(MATCHER!$M$5:$M$504&gt;D293)*(ROW(MATCHER!$A$5:$A$504)-ROW(MATCHER!$A$5)+1&gt;R293),0),0),""))</f>
        <v/>
      </c>
      <c r="T293" s="15" t="str">
        <f>IF(S293="","",IFERROR(MATCH(1,INDEX((MATCHER!$B$5:$B$504=A293)*(MATCHER!$D$5:$D$504=C293)*(MATCHER!$K$5:$K$504="Ja")*(MATCHER!$C$5:$C$504&lt;E293)*(MATCHER!$M$5:$M$504&gt;D293)*(ROW(MATCHER!$A$5:$A$504)-ROW(MATCHER!$A$5)+1&gt;S293),0),0),""))</f>
        <v/>
      </c>
      <c r="U293" s="15">
        <f t="shared" si="63"/>
        <v>0</v>
      </c>
      <c r="V293" s="15">
        <f>IF(OR(I293&lt;&gt;"Ja",J293=""),"",COUNTIFS($O$5:O293,O293,$U$5:U293,1))</f>
        <v>1</v>
      </c>
      <c r="W293" s="15" t="str">
        <f t="shared" si="64"/>
        <v>2026-12-05 | Ulriksdalshallen|1</v>
      </c>
      <c r="X293" s="16" t="str">
        <f t="shared" si="65"/>
        <v/>
      </c>
      <c r="Y293" s="15">
        <f>IF(OR(I293&lt;&gt;"Ja",J293=""),0,IF(COUNTIFS($O$5:O293,O293,$I$5:I293,"Ja",$J$5:J293,"&lt;&gt;")=1,1,0))</f>
        <v>0</v>
      </c>
      <c r="Z293" s="15">
        <f>IF(OR(I293&lt;&gt;"Ja",J293=""),0,IF(COUNTIFS(O293:$O$546,O293,I293:$I$546,"Ja",J293:$J$546,"&lt;&gt;")=1,1,0))</f>
        <v>0</v>
      </c>
      <c r="AA293" s="15">
        <f t="shared" si="72"/>
        <v>2</v>
      </c>
      <c r="AB293" s="15" t="str">
        <f>IF(U293&lt;&gt;1,"",COUNTIF($U$5:U293,1))</f>
        <v/>
      </c>
      <c r="AC293" s="15" t="str">
        <f t="shared" si="66"/>
        <v/>
      </c>
      <c r="AD293" s="15" t="str">
        <f t="shared" si="67"/>
        <v>Vanligt café</v>
      </c>
      <c r="AE293" s="15" t="str">
        <f t="shared" si="68"/>
        <v/>
      </c>
      <c r="AF293" t="str">
        <f>IF(T293="","",IFERROR(MATCH(1,INDEX((MATCHER!$B$5:$B$504=A293)*(MATCHER!$D$5:$D$504=C293)*(MATCHER!$K$5:$K$504="Ja")*(MATCHER!$C$5:$C$504&lt;E293)*(MATCHER!$M$5:$M$504&gt;D293)*(ROW(MATCHER!$A$5:$A$504)-ROW(MATCHER!$A$5)+1&gt;T293),0),0),""))</f>
        <v/>
      </c>
    </row>
    <row r="294" spans="1:32" ht="26">
      <c r="A294" s="42">
        <v>46361</v>
      </c>
      <c r="B294" s="43" t="s">
        <v>85</v>
      </c>
      <c r="C294" s="43" t="s">
        <v>86</v>
      </c>
      <c r="D294" s="44">
        <v>0.41666666666666702</v>
      </c>
      <c r="E294" s="44">
        <v>0.4375</v>
      </c>
      <c r="F294" s="45" t="str">
        <f>IF(R294="","",HOUR(INDEX(MATCHER!$C$5:$C$504,R294))&amp;":"&amp;IF(MINUTE(INDEX(MATCHER!$C$5:$C$504,R294))&lt;10,"0","")&amp;MINUTE(INDEX(MATCHER!$C$5:$C$504,R294))&amp;" "&amp;INDEX(MATCHER!$H$5:$H$504,R294)&amp;" – "&amp;INDEX(MATCHER!$I$5:$I$504,R294))&amp;IF(S294="",""," | "&amp;HOUR(INDEX(MATCHER!$C$5:$C$504,S294))&amp;":"&amp;IF(MINUTE(INDEX(MATCHER!$C$5:$C$504,S294))&lt;10,"0","")&amp;MINUTE(INDEX(MATCHER!$C$5:$C$504,S294))&amp;" "&amp;INDEX(MATCHER!$H$5:$H$504,S294)&amp;" – "&amp;INDEX(MATCHER!$I$5:$I$504,S294))&amp;IF(T294="",""," | "&amp;HOUR(INDEX(MATCHER!$C$5:$C$504,T294))&amp;":"&amp;IF(MINUTE(INDEX(MATCHER!$C$5:$C$504,T294))&lt;10,"0","")&amp;MINUTE(INDEX(MATCHER!$C$5:$C$504,T294))&amp;" "&amp;INDEX(MATCHER!$H$5:$H$504,T294)&amp;" – "&amp;INDEX(MATCHER!$I$5:$I$504,T294))&amp;IF(AF294="",""," | "&amp;HOUR(INDEX(MATCHER!$C$5:$C$504,AF294))&amp;":"&amp;IF(MINUTE(INDEX(MATCHER!$C$5:$C$504,AF294))&lt;10,"0","")&amp;MINUTE(INDEX(MATCHER!$C$5:$C$504,AF294))&amp;" "&amp;INDEX(MATCHER!$H$5:$H$504,AF294)&amp;" – "&amp;INDEX(MATCHER!$I$5:$I$504,AF294))</f>
        <v>9:45 Åkersberga HK Röd – HK Cliff Gul</v>
      </c>
      <c r="G294" s="45" t="str">
        <f>MID(IF(R294="","",IF(OR(INDEX(MATCHER!$J$5:$J$504,R294)=""),""," / "&amp;INDEX(MATCHER!$J$5:$J$504,R294)))&amp;IF(S294="","",IF(OR(INDEX(MATCHER!$J$5:$J$504,S294)="",INDEX(MATCHER!$J$5:$J$504,S294)=IFERROR(INDEX(MATCHER!$J$5:$J$504,R294),"")),""," / "&amp;INDEX(MATCHER!$J$5:$J$504,S294)))&amp;IF(T294="","",IF(OR(INDEX(MATCHER!$J$5:$J$504,T294)="",INDEX(MATCHER!$J$5:$J$504,T294)=IFERROR(INDEX(MATCHER!$J$5:$J$504,R294),""),INDEX(MATCHER!$J$5:$J$504,T294)=IFERROR(INDEX(MATCHER!$J$5:$J$504,S294),"")),""," / "&amp;INDEX(MATCHER!$J$5:$J$504,T294)))&amp;IF(AF294="","",IF(OR(INDEX(MATCHER!$J$5:$J$504,AF294)="",INDEX(MATCHER!$J$5:$J$504,AF294)=IFERROR(INDEX(MATCHER!$J$5:$J$504,R294),""),INDEX(MATCHER!$J$5:$J$504,AF294)=IFERROR(INDEX(MATCHER!$J$5:$J$504,S294),""),INDEX(MATCHER!$J$5:$J$504,AF294)=IFERROR(INDEX(MATCHER!$J$5:$J$504,T294),"")),""," / "&amp;INDEX(MATCHER!$J$5:$J$504,AF294))),4,1000)</f>
        <v/>
      </c>
      <c r="H294" s="45" t="str">
        <f t="shared" si="71"/>
        <v>F10, F13</v>
      </c>
      <c r="I294" s="46" t="s">
        <v>90</v>
      </c>
      <c r="J294" s="47" t="s">
        <v>434</v>
      </c>
      <c r="K294" s="48"/>
      <c r="L294" s="49"/>
      <c r="M294" s="50" t="str">
        <f>IF(O294&lt;&gt;O293,MAX(1,MIN(AA294,ROUNDUP(SUMPRODUCT(($O$5:$O$546=O294)*($I$5:$I$546="Ja")*($E$5:$E$546-$D$5:$D$546))*24/REGLER!$B$8,0))),"")</f>
        <v/>
      </c>
      <c r="N294" s="50" t="str">
        <f t="shared" si="62"/>
        <v>Klar</v>
      </c>
      <c r="O294" s="15" t="s">
        <v>134</v>
      </c>
      <c r="P294" s="16">
        <v>0.33333333333333298</v>
      </c>
      <c r="Q294" s="16">
        <v>0.70833333333333304</v>
      </c>
      <c r="R294" s="15">
        <f>IFERROR(MATCH(1,INDEX((MATCHER!$B$5:$B$504=A294)*(MATCHER!$D$5:$D$504=C294)*(MATCHER!$K$5:$K$504="Ja")*(MATCHER!$C$5:$C$504&lt;E294)*(MATCHER!$M$5:$M$504&gt;D294),0),0),"")</f>
        <v>104</v>
      </c>
      <c r="S294" s="15" t="str">
        <f>IF(R294="","",IFERROR(MATCH(1,INDEX((MATCHER!$B$5:$B$504=A294)*(MATCHER!$D$5:$D$504=C294)*(MATCHER!$K$5:$K$504="Ja")*(MATCHER!$C$5:$C$504&lt;E294)*(MATCHER!$M$5:$M$504&gt;D294)*(ROW(MATCHER!$A$5:$A$504)-ROW(MATCHER!$A$5)+1&gt;R294),0),0),""))</f>
        <v/>
      </c>
      <c r="T294" s="15" t="str">
        <f>IF(S294="","",IFERROR(MATCH(1,INDEX((MATCHER!$B$5:$B$504=A294)*(MATCHER!$D$5:$D$504=C294)*(MATCHER!$K$5:$K$504="Ja")*(MATCHER!$C$5:$C$504&lt;E294)*(MATCHER!$M$5:$M$504&gt;D294)*(ROW(MATCHER!$A$5:$A$504)-ROW(MATCHER!$A$5)+1&gt;S294),0),0),""))</f>
        <v/>
      </c>
      <c r="U294" s="15">
        <f t="shared" si="63"/>
        <v>0</v>
      </c>
      <c r="V294" s="15">
        <f>IF(OR(I294&lt;&gt;"Ja",J294=""),"",COUNTIFS($O$5:O294,O294,$U$5:U294,1))</f>
        <v>1</v>
      </c>
      <c r="W294" s="15" t="str">
        <f t="shared" si="64"/>
        <v>2026-12-05 | Ulriksdalshallen|1</v>
      </c>
      <c r="X294" s="16" t="str">
        <f t="shared" si="65"/>
        <v/>
      </c>
      <c r="Y294" s="15">
        <f>IF(OR(I294&lt;&gt;"Ja",J294=""),0,IF(COUNTIFS($O$5:O294,O294,$I$5:I294,"Ja",$J$5:J294,"&lt;&gt;")=1,1,0))</f>
        <v>0</v>
      </c>
      <c r="Z294" s="15">
        <f>IF(OR(I294&lt;&gt;"Ja",J294=""),0,IF(COUNTIFS(O294:$O$546,O294,I294:$I$546,"Ja",J294:$J$546,"&lt;&gt;")=1,1,0))</f>
        <v>0</v>
      </c>
      <c r="AA294" s="15">
        <f t="shared" si="72"/>
        <v>2</v>
      </c>
      <c r="AB294" s="15" t="str">
        <f>IF(U294&lt;&gt;1,"",COUNTIF($U$5:U294,1))</f>
        <v/>
      </c>
      <c r="AC294" s="15" t="str">
        <f t="shared" si="66"/>
        <v/>
      </c>
      <c r="AD294" s="15" t="str">
        <f t="shared" si="67"/>
        <v>Vanligt café</v>
      </c>
      <c r="AE294" s="15" t="str">
        <f t="shared" si="68"/>
        <v/>
      </c>
      <c r="AF294" t="str">
        <f>IF(T294="","",IFERROR(MATCH(1,INDEX((MATCHER!$B$5:$B$504=A294)*(MATCHER!$D$5:$D$504=C294)*(MATCHER!$K$5:$K$504="Ja")*(MATCHER!$C$5:$C$504&lt;E294)*(MATCHER!$M$5:$M$504&gt;D294)*(ROW(MATCHER!$A$5:$A$504)-ROW(MATCHER!$A$5)+1&gt;T294),0),0),""))</f>
        <v/>
      </c>
    </row>
    <row r="295" spans="1:32" ht="26">
      <c r="A295" s="42">
        <v>46361</v>
      </c>
      <c r="B295" s="43" t="s">
        <v>85</v>
      </c>
      <c r="C295" s="43" t="s">
        <v>86</v>
      </c>
      <c r="D295" s="44">
        <v>0.4375</v>
      </c>
      <c r="E295" s="44">
        <v>0.45833333333333298</v>
      </c>
      <c r="F295" s="45" t="str">
        <f>IF(R295="","",HOUR(INDEX(MATCHER!$C$5:$C$504,R295))&amp;":"&amp;IF(MINUTE(INDEX(MATCHER!$C$5:$C$504,R295))&lt;10,"0","")&amp;MINUTE(INDEX(MATCHER!$C$5:$C$504,R295))&amp;" "&amp;INDEX(MATCHER!$H$5:$H$504,R295)&amp;" – "&amp;INDEX(MATCHER!$I$5:$I$504,R295))&amp;IF(S295="",""," | "&amp;HOUR(INDEX(MATCHER!$C$5:$C$504,S295))&amp;":"&amp;IF(MINUTE(INDEX(MATCHER!$C$5:$C$504,S295))&lt;10,"0","")&amp;MINUTE(INDEX(MATCHER!$C$5:$C$504,S295))&amp;" "&amp;INDEX(MATCHER!$H$5:$H$504,S295)&amp;" – "&amp;INDEX(MATCHER!$I$5:$I$504,S295))&amp;IF(T295="",""," | "&amp;HOUR(INDEX(MATCHER!$C$5:$C$504,T295))&amp;":"&amp;IF(MINUTE(INDEX(MATCHER!$C$5:$C$504,T295))&lt;10,"0","")&amp;MINUTE(INDEX(MATCHER!$C$5:$C$504,T295))&amp;" "&amp;INDEX(MATCHER!$H$5:$H$504,T295)&amp;" – "&amp;INDEX(MATCHER!$I$5:$I$504,T295))&amp;IF(AF295="",""," | "&amp;HOUR(INDEX(MATCHER!$C$5:$C$504,AF295))&amp;":"&amp;IF(MINUTE(INDEX(MATCHER!$C$5:$C$504,AF295))&lt;10,"0","")&amp;MINUTE(INDEX(MATCHER!$C$5:$C$504,AF295))&amp;" "&amp;INDEX(MATCHER!$H$5:$H$504,AF295)&amp;" – "&amp;INDEX(MATCHER!$I$5:$I$504,AF295))</f>
        <v>10:30 Åkersberga HK - Svart – HK Cliff Blå</v>
      </c>
      <c r="G295" s="45" t="str">
        <f>MID(IF(R295="","",IF(OR(INDEX(MATCHER!$J$5:$J$504,R295)=""),""," / "&amp;INDEX(MATCHER!$J$5:$J$504,R295)))&amp;IF(S295="","",IF(OR(INDEX(MATCHER!$J$5:$J$504,S295)="",INDEX(MATCHER!$J$5:$J$504,S295)=IFERROR(INDEX(MATCHER!$J$5:$J$504,R295),"")),""," / "&amp;INDEX(MATCHER!$J$5:$J$504,S295)))&amp;IF(T295="","",IF(OR(INDEX(MATCHER!$J$5:$J$504,T295)="",INDEX(MATCHER!$J$5:$J$504,T295)=IFERROR(INDEX(MATCHER!$J$5:$J$504,R295),""),INDEX(MATCHER!$J$5:$J$504,T295)=IFERROR(INDEX(MATCHER!$J$5:$J$504,S295),"")),""," / "&amp;INDEX(MATCHER!$J$5:$J$504,T295)))&amp;IF(AF295="","",IF(OR(INDEX(MATCHER!$J$5:$J$504,AF295)="",INDEX(MATCHER!$J$5:$J$504,AF295)=IFERROR(INDEX(MATCHER!$J$5:$J$504,R295),""),INDEX(MATCHER!$J$5:$J$504,AF295)=IFERROR(INDEX(MATCHER!$J$5:$J$504,S295),""),INDEX(MATCHER!$J$5:$J$504,AF295)=IFERROR(INDEX(MATCHER!$J$5:$J$504,T295),"")),""," / "&amp;INDEX(MATCHER!$J$5:$J$504,AF295))),4,1000)</f>
        <v/>
      </c>
      <c r="H295" s="45" t="str">
        <f t="shared" si="71"/>
        <v>F10, F13</v>
      </c>
      <c r="I295" s="46" t="s">
        <v>90</v>
      </c>
      <c r="J295" s="47" t="s">
        <v>434</v>
      </c>
      <c r="K295" s="48"/>
      <c r="L295" s="49"/>
      <c r="M295" s="50" t="str">
        <f>IF(O295&lt;&gt;O294,MAX(1,MIN(AA295,ROUNDUP(SUMPRODUCT(($O$5:$O$546=O295)*($I$5:$I$546="Ja")*($E$5:$E$546-$D$5:$D$546))*24/REGLER!$B$8,0))),"")</f>
        <v/>
      </c>
      <c r="N295" s="50" t="str">
        <f t="shared" si="62"/>
        <v>Klar</v>
      </c>
      <c r="O295" s="15" t="s">
        <v>134</v>
      </c>
      <c r="P295" s="16">
        <v>0.33333333333333298</v>
      </c>
      <c r="Q295" s="16">
        <v>0.70833333333333304</v>
      </c>
      <c r="R295" s="15">
        <f>IFERROR(MATCH(1,INDEX((MATCHER!$B$5:$B$504=A295)*(MATCHER!$D$5:$D$504=C295)*(MATCHER!$K$5:$K$504="Ja")*(MATCHER!$C$5:$C$504&lt;E295)*(MATCHER!$M$5:$M$504&gt;D295),0),0),"")</f>
        <v>105</v>
      </c>
      <c r="S295" s="15" t="str">
        <f>IF(R295="","",IFERROR(MATCH(1,INDEX((MATCHER!$B$5:$B$504=A295)*(MATCHER!$D$5:$D$504=C295)*(MATCHER!$K$5:$K$504="Ja")*(MATCHER!$C$5:$C$504&lt;E295)*(MATCHER!$M$5:$M$504&gt;D295)*(ROW(MATCHER!$A$5:$A$504)-ROW(MATCHER!$A$5)+1&gt;R295),0),0),""))</f>
        <v/>
      </c>
      <c r="T295" s="15" t="str">
        <f>IF(S295="","",IFERROR(MATCH(1,INDEX((MATCHER!$B$5:$B$504=A295)*(MATCHER!$D$5:$D$504=C295)*(MATCHER!$K$5:$K$504="Ja")*(MATCHER!$C$5:$C$504&lt;E295)*(MATCHER!$M$5:$M$504&gt;D295)*(ROW(MATCHER!$A$5:$A$504)-ROW(MATCHER!$A$5)+1&gt;S295),0),0),""))</f>
        <v/>
      </c>
      <c r="U295" s="15">
        <f t="shared" si="63"/>
        <v>0</v>
      </c>
      <c r="V295" s="15">
        <f>IF(OR(I295&lt;&gt;"Ja",J295=""),"",COUNTIFS($O$5:O295,O295,$U$5:U295,1))</f>
        <v>1</v>
      </c>
      <c r="W295" s="15" t="str">
        <f t="shared" si="64"/>
        <v>2026-12-05 | Ulriksdalshallen|1</v>
      </c>
      <c r="X295" s="16" t="str">
        <f t="shared" si="65"/>
        <v/>
      </c>
      <c r="Y295" s="15">
        <f>IF(OR(I295&lt;&gt;"Ja",J295=""),0,IF(COUNTIFS($O$5:O295,O295,$I$5:I295,"Ja",$J$5:J295,"&lt;&gt;")=1,1,0))</f>
        <v>0</v>
      </c>
      <c r="Z295" s="15">
        <f>IF(OR(I295&lt;&gt;"Ja",J295=""),0,IF(COUNTIFS(O295:$O$546,O295,I295:$I$546,"Ja",J295:$J$546,"&lt;&gt;")=1,1,0))</f>
        <v>0</v>
      </c>
      <c r="AA295" s="15">
        <f t="shared" si="72"/>
        <v>2</v>
      </c>
      <c r="AB295" s="15" t="str">
        <f>IF(U295&lt;&gt;1,"",COUNTIF($U$5:U295,1))</f>
        <v/>
      </c>
      <c r="AC295" s="15" t="str">
        <f t="shared" si="66"/>
        <v/>
      </c>
      <c r="AD295" s="15" t="str">
        <f t="shared" si="67"/>
        <v>Vanligt café</v>
      </c>
      <c r="AE295" s="15" t="str">
        <f t="shared" si="68"/>
        <v/>
      </c>
      <c r="AF295" t="str">
        <f>IF(T295="","",IFERROR(MATCH(1,INDEX((MATCHER!$B$5:$B$504=A295)*(MATCHER!$D$5:$D$504=C295)*(MATCHER!$K$5:$K$504="Ja")*(MATCHER!$C$5:$C$504&lt;E295)*(MATCHER!$M$5:$M$504&gt;D295)*(ROW(MATCHER!$A$5:$A$504)-ROW(MATCHER!$A$5)+1&gt;T295),0),0),""))</f>
        <v/>
      </c>
    </row>
    <row r="296" spans="1:32" ht="26">
      <c r="A296" s="42">
        <v>46361</v>
      </c>
      <c r="B296" s="43" t="s">
        <v>85</v>
      </c>
      <c r="C296" s="43" t="s">
        <v>86</v>
      </c>
      <c r="D296" s="44">
        <v>0.45833333333333298</v>
      </c>
      <c r="E296" s="44">
        <v>0.47916666666666702</v>
      </c>
      <c r="F296" s="45" t="str">
        <f>IF(R296="","",HOUR(INDEX(MATCHER!$C$5:$C$504,R296))&amp;":"&amp;IF(MINUTE(INDEX(MATCHER!$C$5:$C$504,R296))&lt;10,"0","")&amp;MINUTE(INDEX(MATCHER!$C$5:$C$504,R296))&amp;" "&amp;INDEX(MATCHER!$H$5:$H$504,R296)&amp;" – "&amp;INDEX(MATCHER!$I$5:$I$504,R296))&amp;IF(S296="",""," | "&amp;HOUR(INDEX(MATCHER!$C$5:$C$504,S296))&amp;":"&amp;IF(MINUTE(INDEX(MATCHER!$C$5:$C$504,S296))&lt;10,"0","")&amp;MINUTE(INDEX(MATCHER!$C$5:$C$504,S296))&amp;" "&amp;INDEX(MATCHER!$H$5:$H$504,S296)&amp;" – "&amp;INDEX(MATCHER!$I$5:$I$504,S296))&amp;IF(T296="",""," | "&amp;HOUR(INDEX(MATCHER!$C$5:$C$504,T296))&amp;":"&amp;IF(MINUTE(INDEX(MATCHER!$C$5:$C$504,T296))&lt;10,"0","")&amp;MINUTE(INDEX(MATCHER!$C$5:$C$504,T296))&amp;" "&amp;INDEX(MATCHER!$H$5:$H$504,T296)&amp;" – "&amp;INDEX(MATCHER!$I$5:$I$504,T296))&amp;IF(AF296="",""," | "&amp;HOUR(INDEX(MATCHER!$C$5:$C$504,AF296))&amp;":"&amp;IF(MINUTE(INDEX(MATCHER!$C$5:$C$504,AF296))&lt;10,"0","")&amp;MINUTE(INDEX(MATCHER!$C$5:$C$504,AF296))&amp;" "&amp;INDEX(MATCHER!$H$5:$H$504,AF296)&amp;" – "&amp;INDEX(MATCHER!$I$5:$I$504,AF296))</f>
        <v>11:15 Åkersberga HK Röd – AIK</v>
      </c>
      <c r="G296" s="45" t="str">
        <f>MID(IF(R296="","",IF(OR(INDEX(MATCHER!$J$5:$J$504,R296)=""),""," / "&amp;INDEX(MATCHER!$J$5:$J$504,R296)))&amp;IF(S296="","",IF(OR(INDEX(MATCHER!$J$5:$J$504,S296)="",INDEX(MATCHER!$J$5:$J$504,S296)=IFERROR(INDEX(MATCHER!$J$5:$J$504,R296),"")),""," / "&amp;INDEX(MATCHER!$J$5:$J$504,S296)))&amp;IF(T296="","",IF(OR(INDEX(MATCHER!$J$5:$J$504,T296)="",INDEX(MATCHER!$J$5:$J$504,T296)=IFERROR(INDEX(MATCHER!$J$5:$J$504,R296),""),INDEX(MATCHER!$J$5:$J$504,T296)=IFERROR(INDEX(MATCHER!$J$5:$J$504,S296),"")),""," / "&amp;INDEX(MATCHER!$J$5:$J$504,T296)))&amp;IF(AF296="","",IF(OR(INDEX(MATCHER!$J$5:$J$504,AF296)="",INDEX(MATCHER!$J$5:$J$504,AF296)=IFERROR(INDEX(MATCHER!$J$5:$J$504,R296),""),INDEX(MATCHER!$J$5:$J$504,AF296)=IFERROR(INDEX(MATCHER!$J$5:$J$504,S296),""),INDEX(MATCHER!$J$5:$J$504,AF296)=IFERROR(INDEX(MATCHER!$J$5:$J$504,T296),"")),""," / "&amp;INDEX(MATCHER!$J$5:$J$504,AF296))),4,1000)</f>
        <v>F10</v>
      </c>
      <c r="H296" s="45" t="str">
        <f t="shared" si="71"/>
        <v>F10, F13</v>
      </c>
      <c r="I296" s="46" t="s">
        <v>90</v>
      </c>
      <c r="J296" s="47" t="s">
        <v>434</v>
      </c>
      <c r="K296" s="48"/>
      <c r="L296" s="49"/>
      <c r="M296" s="50" t="str">
        <f>IF(O296&lt;&gt;O295,MAX(1,MIN(AA296,ROUNDUP(SUMPRODUCT(($O$5:$O$546=O296)*($I$5:$I$546="Ja")*($E$5:$E$546-$D$5:$D$546))*24/REGLER!$B$8,0))),"")</f>
        <v/>
      </c>
      <c r="N296" s="50" t="str">
        <f t="shared" si="62"/>
        <v>Klar</v>
      </c>
      <c r="O296" s="15" t="s">
        <v>134</v>
      </c>
      <c r="P296" s="16">
        <v>0.33333333333333298</v>
      </c>
      <c r="Q296" s="16">
        <v>0.70833333333333304</v>
      </c>
      <c r="R296" s="15">
        <f>IFERROR(MATCH(1,INDEX((MATCHER!$B$5:$B$504=A296)*(MATCHER!$D$5:$D$504=C296)*(MATCHER!$K$5:$K$504="Ja")*(MATCHER!$C$5:$C$504&lt;E296)*(MATCHER!$M$5:$M$504&gt;D296),0),0),"")</f>
        <v>106</v>
      </c>
      <c r="S296" s="15" t="str">
        <f>IF(R296="","",IFERROR(MATCH(1,INDEX((MATCHER!$B$5:$B$504=A296)*(MATCHER!$D$5:$D$504=C296)*(MATCHER!$K$5:$K$504="Ja")*(MATCHER!$C$5:$C$504&lt;E296)*(MATCHER!$M$5:$M$504&gt;D296)*(ROW(MATCHER!$A$5:$A$504)-ROW(MATCHER!$A$5)+1&gt;R296),0),0),""))</f>
        <v/>
      </c>
      <c r="T296" s="15" t="str">
        <f>IF(S296="","",IFERROR(MATCH(1,INDEX((MATCHER!$B$5:$B$504=A296)*(MATCHER!$D$5:$D$504=C296)*(MATCHER!$K$5:$K$504="Ja")*(MATCHER!$C$5:$C$504&lt;E296)*(MATCHER!$M$5:$M$504&gt;D296)*(ROW(MATCHER!$A$5:$A$504)-ROW(MATCHER!$A$5)+1&gt;S296),0),0),""))</f>
        <v/>
      </c>
      <c r="U296" s="15">
        <f t="shared" si="63"/>
        <v>0</v>
      </c>
      <c r="V296" s="15">
        <f>IF(OR(I296&lt;&gt;"Ja",J296=""),"",COUNTIFS($O$5:O296,O296,$U$5:U296,1))</f>
        <v>1</v>
      </c>
      <c r="W296" s="15" t="str">
        <f t="shared" si="64"/>
        <v>2026-12-05 | Ulriksdalshallen|1</v>
      </c>
      <c r="X296" s="16" t="str">
        <f t="shared" si="65"/>
        <v/>
      </c>
      <c r="Y296" s="15">
        <f>IF(OR(I296&lt;&gt;"Ja",J296=""),0,IF(COUNTIFS($O$5:O296,O296,$I$5:I296,"Ja",$J$5:J296,"&lt;&gt;")=1,1,0))</f>
        <v>0</v>
      </c>
      <c r="Z296" s="15">
        <f>IF(OR(I296&lt;&gt;"Ja",J296=""),0,IF(COUNTIFS(O296:$O$546,O296,I296:$I$546,"Ja",J296:$J$546,"&lt;&gt;")=1,1,0))</f>
        <v>0</v>
      </c>
      <c r="AA296" s="15">
        <f t="shared" si="72"/>
        <v>2</v>
      </c>
      <c r="AB296" s="15" t="str">
        <f>IF(U296&lt;&gt;1,"",COUNTIF($U$5:U296,1))</f>
        <v/>
      </c>
      <c r="AC296" s="15" t="str">
        <f t="shared" si="66"/>
        <v/>
      </c>
      <c r="AD296" s="15" t="str">
        <f t="shared" si="67"/>
        <v>Vanligt café</v>
      </c>
      <c r="AE296" s="15" t="str">
        <f t="shared" si="68"/>
        <v/>
      </c>
      <c r="AF296" t="str">
        <f>IF(T296="","",IFERROR(MATCH(1,INDEX((MATCHER!$B$5:$B$504=A296)*(MATCHER!$D$5:$D$504=C296)*(MATCHER!$K$5:$K$504="Ja")*(MATCHER!$C$5:$C$504&lt;E296)*(MATCHER!$M$5:$M$504&gt;D296)*(ROW(MATCHER!$A$5:$A$504)-ROW(MATCHER!$A$5)+1&gt;T296),0),0),""))</f>
        <v/>
      </c>
    </row>
    <row r="297" spans="1:32" ht="26">
      <c r="A297" s="42">
        <v>46361</v>
      </c>
      <c r="B297" s="43" t="s">
        <v>85</v>
      </c>
      <c r="C297" s="43" t="s">
        <v>86</v>
      </c>
      <c r="D297" s="44">
        <v>0.47916666666666702</v>
      </c>
      <c r="E297" s="44">
        <v>0.5</v>
      </c>
      <c r="F297" s="45" t="str">
        <f>IF(R297="","",HOUR(INDEX(MATCHER!$C$5:$C$504,R297))&amp;":"&amp;IF(MINUTE(INDEX(MATCHER!$C$5:$C$504,R297))&lt;10,"0","")&amp;MINUTE(INDEX(MATCHER!$C$5:$C$504,R297))&amp;" "&amp;INDEX(MATCHER!$H$5:$H$504,R297)&amp;" – "&amp;INDEX(MATCHER!$I$5:$I$504,R297))&amp;IF(S297="",""," | "&amp;HOUR(INDEX(MATCHER!$C$5:$C$504,S297))&amp;":"&amp;IF(MINUTE(INDEX(MATCHER!$C$5:$C$504,S297))&lt;10,"0","")&amp;MINUTE(INDEX(MATCHER!$C$5:$C$504,S297))&amp;" "&amp;INDEX(MATCHER!$H$5:$H$504,S297)&amp;" – "&amp;INDEX(MATCHER!$I$5:$I$504,S297))&amp;IF(T297="",""," | "&amp;HOUR(INDEX(MATCHER!$C$5:$C$504,T297))&amp;":"&amp;IF(MINUTE(INDEX(MATCHER!$C$5:$C$504,T297))&lt;10,"0","")&amp;MINUTE(INDEX(MATCHER!$C$5:$C$504,T297))&amp;" "&amp;INDEX(MATCHER!$H$5:$H$504,T297)&amp;" – "&amp;INDEX(MATCHER!$I$5:$I$504,T297))&amp;IF(AF297="",""," | "&amp;HOUR(INDEX(MATCHER!$C$5:$C$504,AF297))&amp;":"&amp;IF(MINUTE(INDEX(MATCHER!$C$5:$C$504,AF297))&lt;10,"0","")&amp;MINUTE(INDEX(MATCHER!$C$5:$C$504,AF297))&amp;" "&amp;INDEX(MATCHER!$H$5:$H$504,AF297)&amp;" – "&amp;INDEX(MATCHER!$I$5:$I$504,AF297))</f>
        <v>11:15 Åkersberga HK Röd – AIK</v>
      </c>
      <c r="G297" s="45" t="str">
        <f>MID(IF(R297="","",IF(OR(INDEX(MATCHER!$J$5:$J$504,R297)=""),""," / "&amp;INDEX(MATCHER!$J$5:$J$504,R297)))&amp;IF(S297="","",IF(OR(INDEX(MATCHER!$J$5:$J$504,S297)="",INDEX(MATCHER!$J$5:$J$504,S297)=IFERROR(INDEX(MATCHER!$J$5:$J$504,R297),"")),""," / "&amp;INDEX(MATCHER!$J$5:$J$504,S297)))&amp;IF(T297="","",IF(OR(INDEX(MATCHER!$J$5:$J$504,T297)="",INDEX(MATCHER!$J$5:$J$504,T297)=IFERROR(INDEX(MATCHER!$J$5:$J$504,R297),""),INDEX(MATCHER!$J$5:$J$504,T297)=IFERROR(INDEX(MATCHER!$J$5:$J$504,S297),"")),""," / "&amp;INDEX(MATCHER!$J$5:$J$504,T297)))&amp;IF(AF297="","",IF(OR(INDEX(MATCHER!$J$5:$J$504,AF297)="",INDEX(MATCHER!$J$5:$J$504,AF297)=IFERROR(INDEX(MATCHER!$J$5:$J$504,R297),""),INDEX(MATCHER!$J$5:$J$504,AF297)=IFERROR(INDEX(MATCHER!$J$5:$J$504,S297),""),INDEX(MATCHER!$J$5:$J$504,AF297)=IFERROR(INDEX(MATCHER!$J$5:$J$504,T297),"")),""," / "&amp;INDEX(MATCHER!$J$5:$J$504,AF297))),4,1000)</f>
        <v>F10</v>
      </c>
      <c r="H297" s="45" t="str">
        <f t="shared" si="71"/>
        <v>F10, F13</v>
      </c>
      <c r="I297" s="46" t="s">
        <v>90</v>
      </c>
      <c r="J297" s="47" t="s">
        <v>434</v>
      </c>
      <c r="K297" s="48"/>
      <c r="L297" s="49"/>
      <c r="M297" s="50" t="str">
        <f>IF(O297&lt;&gt;O296,MAX(1,MIN(AA297,ROUNDUP(SUMPRODUCT(($O$5:$O$546=O297)*($I$5:$I$546="Ja")*($E$5:$E$546-$D$5:$D$546))*24/REGLER!$B$8,0))),"")</f>
        <v/>
      </c>
      <c r="N297" s="50" t="str">
        <f t="shared" si="62"/>
        <v>Klar</v>
      </c>
      <c r="O297" s="15" t="s">
        <v>134</v>
      </c>
      <c r="P297" s="16">
        <v>0.33333333333333298</v>
      </c>
      <c r="Q297" s="16">
        <v>0.70833333333333304</v>
      </c>
      <c r="R297" s="15">
        <f>IFERROR(MATCH(1,INDEX((MATCHER!$B$5:$B$504=A297)*(MATCHER!$D$5:$D$504=C297)*(MATCHER!$K$5:$K$504="Ja")*(MATCHER!$C$5:$C$504&lt;E297)*(MATCHER!$M$5:$M$504&gt;D297),0),0),"")</f>
        <v>106</v>
      </c>
      <c r="S297" s="15" t="str">
        <f>IF(R297="","",IFERROR(MATCH(1,INDEX((MATCHER!$B$5:$B$504=A297)*(MATCHER!$D$5:$D$504=C297)*(MATCHER!$K$5:$K$504="Ja")*(MATCHER!$C$5:$C$504&lt;E297)*(MATCHER!$M$5:$M$504&gt;D297)*(ROW(MATCHER!$A$5:$A$504)-ROW(MATCHER!$A$5)+1&gt;R297),0),0),""))</f>
        <v/>
      </c>
      <c r="T297" s="15" t="str">
        <f>IF(S297="","",IFERROR(MATCH(1,INDEX((MATCHER!$B$5:$B$504=A297)*(MATCHER!$D$5:$D$504=C297)*(MATCHER!$K$5:$K$504="Ja")*(MATCHER!$C$5:$C$504&lt;E297)*(MATCHER!$M$5:$M$504&gt;D297)*(ROW(MATCHER!$A$5:$A$504)-ROW(MATCHER!$A$5)+1&gt;S297),0),0),""))</f>
        <v/>
      </c>
      <c r="U297" s="15">
        <f t="shared" si="63"/>
        <v>0</v>
      </c>
      <c r="V297" s="15">
        <f>IF(OR(I297&lt;&gt;"Ja",J297=""),"",COUNTIFS($O$5:O297,O297,$U$5:U297,1))</f>
        <v>1</v>
      </c>
      <c r="W297" s="15" t="str">
        <f t="shared" si="64"/>
        <v>2026-12-05 | Ulriksdalshallen|1</v>
      </c>
      <c r="X297" s="16" t="str">
        <f t="shared" si="65"/>
        <v/>
      </c>
      <c r="Y297" s="15">
        <f>IF(OR(I297&lt;&gt;"Ja",J297=""),0,IF(COUNTIFS($O$5:O297,O297,$I$5:I297,"Ja",$J$5:J297,"&lt;&gt;")=1,1,0))</f>
        <v>0</v>
      </c>
      <c r="Z297" s="15">
        <f>IF(OR(I297&lt;&gt;"Ja",J297=""),0,IF(COUNTIFS(O297:$O$546,O297,I297:$I$546,"Ja",J297:$J$546,"&lt;&gt;")=1,1,0))</f>
        <v>0</v>
      </c>
      <c r="AA297" s="15">
        <f t="shared" si="72"/>
        <v>2</v>
      </c>
      <c r="AB297" s="15" t="str">
        <f>IF(U297&lt;&gt;1,"",COUNTIF($U$5:U297,1))</f>
        <v/>
      </c>
      <c r="AC297" s="15" t="str">
        <f t="shared" si="66"/>
        <v/>
      </c>
      <c r="AD297" s="15" t="str">
        <f t="shared" si="67"/>
        <v>Vanligt café</v>
      </c>
      <c r="AE297" s="15" t="str">
        <f t="shared" si="68"/>
        <v/>
      </c>
      <c r="AF297" t="str">
        <f>IF(T297="","",IFERROR(MATCH(1,INDEX((MATCHER!$B$5:$B$504=A297)*(MATCHER!$D$5:$D$504=C297)*(MATCHER!$K$5:$K$504="Ja")*(MATCHER!$C$5:$C$504&lt;E297)*(MATCHER!$M$5:$M$504&gt;D297)*(ROW(MATCHER!$A$5:$A$504)-ROW(MATCHER!$A$5)+1&gt;T297),0),0),""))</f>
        <v/>
      </c>
    </row>
    <row r="298" spans="1:32" ht="26">
      <c r="A298" s="42">
        <v>46361</v>
      </c>
      <c r="B298" s="43" t="s">
        <v>85</v>
      </c>
      <c r="C298" s="43" t="s">
        <v>86</v>
      </c>
      <c r="D298" s="44">
        <v>0.5</v>
      </c>
      <c r="E298" s="44">
        <v>0.52083333333333304</v>
      </c>
      <c r="F298" s="45" t="str">
        <f>IF(R298="","",HOUR(INDEX(MATCHER!$C$5:$C$504,R298))&amp;":"&amp;IF(MINUTE(INDEX(MATCHER!$C$5:$C$504,R298))&lt;10,"0","")&amp;MINUTE(INDEX(MATCHER!$C$5:$C$504,R298))&amp;" "&amp;INDEX(MATCHER!$H$5:$H$504,R298)&amp;" – "&amp;INDEX(MATCHER!$I$5:$I$504,R298))&amp;IF(S298="",""," | "&amp;HOUR(INDEX(MATCHER!$C$5:$C$504,S298))&amp;":"&amp;IF(MINUTE(INDEX(MATCHER!$C$5:$C$504,S298))&lt;10,"0","")&amp;MINUTE(INDEX(MATCHER!$C$5:$C$504,S298))&amp;" "&amp;INDEX(MATCHER!$H$5:$H$504,S298)&amp;" – "&amp;INDEX(MATCHER!$I$5:$I$504,S298))&amp;IF(T298="",""," | "&amp;HOUR(INDEX(MATCHER!$C$5:$C$504,T298))&amp;":"&amp;IF(MINUTE(INDEX(MATCHER!$C$5:$C$504,T298))&lt;10,"0","")&amp;MINUTE(INDEX(MATCHER!$C$5:$C$504,T298))&amp;" "&amp;INDEX(MATCHER!$H$5:$H$504,T298)&amp;" – "&amp;INDEX(MATCHER!$I$5:$I$504,T298))&amp;IF(AF298="",""," | "&amp;HOUR(INDEX(MATCHER!$C$5:$C$504,AF298))&amp;":"&amp;IF(MINUTE(INDEX(MATCHER!$C$5:$C$504,AF298))&lt;10,"0","")&amp;MINUTE(INDEX(MATCHER!$C$5:$C$504,AF298))&amp;" "&amp;INDEX(MATCHER!$H$5:$H$504,AF298)&amp;" – "&amp;INDEX(MATCHER!$I$5:$I$504,AF298))</f>
        <v>12:00 Åkersberga HK - Svart – HK Cliff Gul</v>
      </c>
      <c r="G298" s="45" t="str">
        <f>MID(IF(R298="","",IF(OR(INDEX(MATCHER!$J$5:$J$504,R298)=""),""," / "&amp;INDEX(MATCHER!$J$5:$J$504,R298)))&amp;IF(S298="","",IF(OR(INDEX(MATCHER!$J$5:$J$504,S298)="",INDEX(MATCHER!$J$5:$J$504,S298)=IFERROR(INDEX(MATCHER!$J$5:$J$504,R298),"")),""," / "&amp;INDEX(MATCHER!$J$5:$J$504,S298)))&amp;IF(T298="","",IF(OR(INDEX(MATCHER!$J$5:$J$504,T298)="",INDEX(MATCHER!$J$5:$J$504,T298)=IFERROR(INDEX(MATCHER!$J$5:$J$504,R298),""),INDEX(MATCHER!$J$5:$J$504,T298)=IFERROR(INDEX(MATCHER!$J$5:$J$504,S298),"")),""," / "&amp;INDEX(MATCHER!$J$5:$J$504,T298)))&amp;IF(AF298="","",IF(OR(INDEX(MATCHER!$J$5:$J$504,AF298)="",INDEX(MATCHER!$J$5:$J$504,AF298)=IFERROR(INDEX(MATCHER!$J$5:$J$504,R298),""),INDEX(MATCHER!$J$5:$J$504,AF298)=IFERROR(INDEX(MATCHER!$J$5:$J$504,S298),""),INDEX(MATCHER!$J$5:$J$504,AF298)=IFERROR(INDEX(MATCHER!$J$5:$J$504,T298),"")),""," / "&amp;INDEX(MATCHER!$J$5:$J$504,AF298))),4,1000)</f>
        <v/>
      </c>
      <c r="H298" s="45" t="str">
        <f t="shared" si="71"/>
        <v>F10, F13</v>
      </c>
      <c r="I298" s="46" t="s">
        <v>90</v>
      </c>
      <c r="J298" s="47" t="s">
        <v>434</v>
      </c>
      <c r="K298" s="48"/>
      <c r="L298" s="49"/>
      <c r="M298" s="50" t="str">
        <f>IF(O298&lt;&gt;O297,MAX(1,MIN(AA298,ROUNDUP(SUMPRODUCT(($O$5:$O$546=O298)*($I$5:$I$546="Ja")*($E$5:$E$546-$D$5:$D$546))*24/REGLER!$B$8,0))),"")</f>
        <v/>
      </c>
      <c r="N298" s="50" t="str">
        <f t="shared" si="62"/>
        <v>Klar</v>
      </c>
      <c r="O298" s="15" t="s">
        <v>134</v>
      </c>
      <c r="P298" s="16">
        <v>0.33333333333333298</v>
      </c>
      <c r="Q298" s="16">
        <v>0.70833333333333304</v>
      </c>
      <c r="R298" s="15">
        <f>IFERROR(MATCH(1,INDEX((MATCHER!$B$5:$B$504=A298)*(MATCHER!$D$5:$D$504=C298)*(MATCHER!$K$5:$K$504="Ja")*(MATCHER!$C$5:$C$504&lt;E298)*(MATCHER!$M$5:$M$504&gt;D298),0),0),"")</f>
        <v>107</v>
      </c>
      <c r="S298" s="15" t="str">
        <f>IF(R298="","",IFERROR(MATCH(1,INDEX((MATCHER!$B$5:$B$504=A298)*(MATCHER!$D$5:$D$504=C298)*(MATCHER!$K$5:$K$504="Ja")*(MATCHER!$C$5:$C$504&lt;E298)*(MATCHER!$M$5:$M$504&gt;D298)*(ROW(MATCHER!$A$5:$A$504)-ROW(MATCHER!$A$5)+1&gt;R298),0),0),""))</f>
        <v/>
      </c>
      <c r="T298" s="15" t="str">
        <f>IF(S298="","",IFERROR(MATCH(1,INDEX((MATCHER!$B$5:$B$504=A298)*(MATCHER!$D$5:$D$504=C298)*(MATCHER!$K$5:$K$504="Ja")*(MATCHER!$C$5:$C$504&lt;E298)*(MATCHER!$M$5:$M$504&gt;D298)*(ROW(MATCHER!$A$5:$A$504)-ROW(MATCHER!$A$5)+1&gt;S298),0),0),""))</f>
        <v/>
      </c>
      <c r="U298" s="15">
        <f t="shared" si="63"/>
        <v>0</v>
      </c>
      <c r="V298" s="15">
        <f>IF(OR(I298&lt;&gt;"Ja",J298=""),"",COUNTIFS($O$5:O298,O298,$U$5:U298,1))</f>
        <v>1</v>
      </c>
      <c r="W298" s="15" t="str">
        <f t="shared" si="64"/>
        <v>2026-12-05 | Ulriksdalshallen|1</v>
      </c>
      <c r="X298" s="16" t="str">
        <f t="shared" si="65"/>
        <v/>
      </c>
      <c r="Y298" s="15">
        <f>IF(OR(I298&lt;&gt;"Ja",J298=""),0,IF(COUNTIFS($O$5:O298,O298,$I$5:I298,"Ja",$J$5:J298,"&lt;&gt;")=1,1,0))</f>
        <v>0</v>
      </c>
      <c r="Z298" s="15">
        <f>IF(OR(I298&lt;&gt;"Ja",J298=""),0,IF(COUNTIFS(O298:$O$546,O298,I298:$I$546,"Ja",J298:$J$546,"&lt;&gt;")=1,1,0))</f>
        <v>0</v>
      </c>
      <c r="AA298" s="15">
        <f t="shared" si="72"/>
        <v>2</v>
      </c>
      <c r="AB298" s="15" t="str">
        <f>IF(U298&lt;&gt;1,"",COUNTIF($U$5:U298,1))</f>
        <v/>
      </c>
      <c r="AC298" s="15" t="str">
        <f t="shared" si="66"/>
        <v/>
      </c>
      <c r="AD298" s="15" t="str">
        <f t="shared" si="67"/>
        <v>Vanligt café</v>
      </c>
      <c r="AE298" s="15" t="str">
        <f t="shared" si="68"/>
        <v/>
      </c>
      <c r="AF298" t="str">
        <f>IF(T298="","",IFERROR(MATCH(1,INDEX((MATCHER!$B$5:$B$504=A298)*(MATCHER!$D$5:$D$504=C298)*(MATCHER!$K$5:$K$504="Ja")*(MATCHER!$C$5:$C$504&lt;E298)*(MATCHER!$M$5:$M$504&gt;D298)*(ROW(MATCHER!$A$5:$A$504)-ROW(MATCHER!$A$5)+1&gt;T298),0),0),""))</f>
        <v/>
      </c>
    </row>
    <row r="299" spans="1:32" ht="26">
      <c r="A299" s="42">
        <v>46361</v>
      </c>
      <c r="B299" s="43" t="s">
        <v>85</v>
      </c>
      <c r="C299" s="43" t="s">
        <v>86</v>
      </c>
      <c r="D299" s="44">
        <v>0.52083333333333304</v>
      </c>
      <c r="E299" s="44">
        <v>0.54166666666666696</v>
      </c>
      <c r="F299" s="45" t="str">
        <f>IF(R299="","",HOUR(INDEX(MATCHER!$C$5:$C$504,R299))&amp;":"&amp;IF(MINUTE(INDEX(MATCHER!$C$5:$C$504,R299))&lt;10,"0","")&amp;MINUTE(INDEX(MATCHER!$C$5:$C$504,R299))&amp;" "&amp;INDEX(MATCHER!$H$5:$H$504,R299)&amp;" – "&amp;INDEX(MATCHER!$I$5:$I$504,R299))&amp;IF(S299="",""," | "&amp;HOUR(INDEX(MATCHER!$C$5:$C$504,S299))&amp;":"&amp;IF(MINUTE(INDEX(MATCHER!$C$5:$C$504,S299))&lt;10,"0","")&amp;MINUTE(INDEX(MATCHER!$C$5:$C$504,S299))&amp;" "&amp;INDEX(MATCHER!$H$5:$H$504,S299)&amp;" – "&amp;INDEX(MATCHER!$I$5:$I$504,S299))&amp;IF(T299="",""," | "&amp;HOUR(INDEX(MATCHER!$C$5:$C$504,T299))&amp;":"&amp;IF(MINUTE(INDEX(MATCHER!$C$5:$C$504,T299))&lt;10,"0","")&amp;MINUTE(INDEX(MATCHER!$C$5:$C$504,T299))&amp;" "&amp;INDEX(MATCHER!$H$5:$H$504,T299)&amp;" – "&amp;INDEX(MATCHER!$I$5:$I$504,T299))&amp;IF(AF299="",""," | "&amp;HOUR(INDEX(MATCHER!$C$5:$C$504,AF299))&amp;":"&amp;IF(MINUTE(INDEX(MATCHER!$C$5:$C$504,AF299))&lt;10,"0","")&amp;MINUTE(INDEX(MATCHER!$C$5:$C$504,AF299))&amp;" "&amp;INDEX(MATCHER!$H$5:$H$504,AF299)&amp;" – "&amp;INDEX(MATCHER!$I$5:$I$504,AF299))</f>
        <v/>
      </c>
      <c r="G299" s="45" t="str">
        <f>MID(IF(R299="","",IF(OR(INDEX(MATCHER!$J$5:$J$504,R299)=""),""," / "&amp;INDEX(MATCHER!$J$5:$J$504,R299)))&amp;IF(S299="","",IF(OR(INDEX(MATCHER!$J$5:$J$504,S299)="",INDEX(MATCHER!$J$5:$J$504,S299)=IFERROR(INDEX(MATCHER!$J$5:$J$504,R299),"")),""," / "&amp;INDEX(MATCHER!$J$5:$J$504,S299)))&amp;IF(T299="","",IF(OR(INDEX(MATCHER!$J$5:$J$504,T299)="",INDEX(MATCHER!$J$5:$J$504,T299)=IFERROR(INDEX(MATCHER!$J$5:$J$504,R299),""),INDEX(MATCHER!$J$5:$J$504,T299)=IFERROR(INDEX(MATCHER!$J$5:$J$504,S299),"")),""," / "&amp;INDEX(MATCHER!$J$5:$J$504,T299)))&amp;IF(AF299="","",IF(OR(INDEX(MATCHER!$J$5:$J$504,AF299)="",INDEX(MATCHER!$J$5:$J$504,AF299)=IFERROR(INDEX(MATCHER!$J$5:$J$504,R299),""),INDEX(MATCHER!$J$5:$J$504,AF299)=IFERROR(INDEX(MATCHER!$J$5:$J$504,S299),""),INDEX(MATCHER!$J$5:$J$504,AF299)=IFERROR(INDEX(MATCHER!$J$5:$J$504,T299),"")),""," / "&amp;INDEX(MATCHER!$J$5:$J$504,AF299))),4,1000)</f>
        <v/>
      </c>
      <c r="H299" s="45" t="str">
        <f t="shared" si="71"/>
        <v>F10, F13</v>
      </c>
      <c r="I299" s="46" t="s">
        <v>90</v>
      </c>
      <c r="J299" s="47" t="s">
        <v>434</v>
      </c>
      <c r="K299" s="48"/>
      <c r="L299" s="49"/>
      <c r="M299" s="50" t="str">
        <f>IF(O299&lt;&gt;O298,MAX(1,MIN(AA299,ROUNDUP(SUMPRODUCT(($O$5:$O$546=O299)*($I$5:$I$546="Ja")*($E$5:$E$546-$D$5:$D$546))*24/REGLER!$B$8,0))),"")</f>
        <v/>
      </c>
      <c r="N299" s="50" t="str">
        <f t="shared" si="62"/>
        <v>Klar</v>
      </c>
      <c r="O299" s="15" t="s">
        <v>134</v>
      </c>
      <c r="P299" s="16">
        <v>0.33333333333333298</v>
      </c>
      <c r="Q299" s="16">
        <v>0.70833333333333304</v>
      </c>
      <c r="R299" s="15" t="str">
        <f>IFERROR(MATCH(1,INDEX((MATCHER!$B$5:$B$504=A299)*(MATCHER!$D$5:$D$504=C299)*(MATCHER!$K$5:$K$504="Ja")*(MATCHER!$C$5:$C$504&lt;E299)*(MATCHER!$M$5:$M$504&gt;D299),0),0),"")</f>
        <v/>
      </c>
      <c r="S299" s="15" t="str">
        <f>IF(R299="","",IFERROR(MATCH(1,INDEX((MATCHER!$B$5:$B$504=A299)*(MATCHER!$D$5:$D$504=C299)*(MATCHER!$K$5:$K$504="Ja")*(MATCHER!$C$5:$C$504&lt;E299)*(MATCHER!$M$5:$M$504&gt;D299)*(ROW(MATCHER!$A$5:$A$504)-ROW(MATCHER!$A$5)+1&gt;R299),0),0),""))</f>
        <v/>
      </c>
      <c r="T299" s="15" t="str">
        <f>IF(S299="","",IFERROR(MATCH(1,INDEX((MATCHER!$B$5:$B$504=A299)*(MATCHER!$D$5:$D$504=C299)*(MATCHER!$K$5:$K$504="Ja")*(MATCHER!$C$5:$C$504&lt;E299)*(MATCHER!$M$5:$M$504&gt;D299)*(ROW(MATCHER!$A$5:$A$504)-ROW(MATCHER!$A$5)+1&gt;S299),0),0),""))</f>
        <v/>
      </c>
      <c r="U299" s="15">
        <f t="shared" si="63"/>
        <v>0</v>
      </c>
      <c r="V299" s="15">
        <f>IF(OR(I299&lt;&gt;"Ja",J299=""),"",COUNTIFS($O$5:O299,O299,$U$5:U299,1))</f>
        <v>1</v>
      </c>
      <c r="W299" s="15" t="str">
        <f t="shared" si="64"/>
        <v>2026-12-05 | Ulriksdalshallen|1</v>
      </c>
      <c r="X299" s="16">
        <f t="shared" si="65"/>
        <v>0.54166666666666696</v>
      </c>
      <c r="Y299" s="15">
        <f>IF(OR(I299&lt;&gt;"Ja",J299=""),0,IF(COUNTIFS($O$5:O299,O299,$I$5:I299,"Ja",$J$5:J299,"&lt;&gt;")=1,1,0))</f>
        <v>0</v>
      </c>
      <c r="Z299" s="15">
        <f>IF(OR(I299&lt;&gt;"Ja",J299=""),0,IF(COUNTIFS(O299:$O$546,O299,I299:$I$546,"Ja",J299:$J$546,"&lt;&gt;")=1,1,0))</f>
        <v>0</v>
      </c>
      <c r="AA299" s="15">
        <f t="shared" si="72"/>
        <v>2</v>
      </c>
      <c r="AB299" s="15" t="str">
        <f>IF(U299&lt;&gt;1,"",COUNTIF($U$5:U299,1))</f>
        <v/>
      </c>
      <c r="AC299" s="15" t="str">
        <f t="shared" si="66"/>
        <v>2026-12-05 | Ulriksdalshallen|1</v>
      </c>
      <c r="AD299" s="15" t="str">
        <f t="shared" si="67"/>
        <v>Vanligt café</v>
      </c>
      <c r="AE299" s="15" t="str">
        <f t="shared" si="68"/>
        <v/>
      </c>
      <c r="AF299" t="str">
        <f>IF(T299="","",IFERROR(MATCH(1,INDEX((MATCHER!$B$5:$B$504=A299)*(MATCHER!$D$5:$D$504=C299)*(MATCHER!$K$5:$K$504="Ja")*(MATCHER!$C$5:$C$504&lt;E299)*(MATCHER!$M$5:$M$504&gt;D299)*(ROW(MATCHER!$A$5:$A$504)-ROW(MATCHER!$A$5)+1&gt;T299),0),0),""))</f>
        <v/>
      </c>
    </row>
    <row r="300" spans="1:32" ht="26">
      <c r="A300" s="42">
        <v>46361</v>
      </c>
      <c r="B300" s="43" t="s">
        <v>85</v>
      </c>
      <c r="C300" s="43" t="s">
        <v>86</v>
      </c>
      <c r="D300" s="44">
        <v>0.54166666666666696</v>
      </c>
      <c r="E300" s="44">
        <v>0.5625</v>
      </c>
      <c r="F300" s="45" t="str">
        <f>IF(R300="","",HOUR(INDEX(MATCHER!$C$5:$C$504,R300))&amp;":"&amp;IF(MINUTE(INDEX(MATCHER!$C$5:$C$504,R300))&lt;10,"0","")&amp;MINUTE(INDEX(MATCHER!$C$5:$C$504,R300))&amp;" "&amp;INDEX(MATCHER!$H$5:$H$504,R300)&amp;" – "&amp;INDEX(MATCHER!$I$5:$I$504,R300))&amp;IF(S300="",""," | "&amp;HOUR(INDEX(MATCHER!$C$5:$C$504,S300))&amp;":"&amp;IF(MINUTE(INDEX(MATCHER!$C$5:$C$504,S300))&lt;10,"0","")&amp;MINUTE(INDEX(MATCHER!$C$5:$C$504,S300))&amp;" "&amp;INDEX(MATCHER!$H$5:$H$504,S300)&amp;" – "&amp;INDEX(MATCHER!$I$5:$I$504,S300))&amp;IF(T300="",""," | "&amp;HOUR(INDEX(MATCHER!$C$5:$C$504,T300))&amp;":"&amp;IF(MINUTE(INDEX(MATCHER!$C$5:$C$504,T300))&lt;10,"0","")&amp;MINUTE(INDEX(MATCHER!$C$5:$C$504,T300))&amp;" "&amp;INDEX(MATCHER!$H$5:$H$504,T300)&amp;" – "&amp;INDEX(MATCHER!$I$5:$I$504,T300))&amp;IF(AF300="",""," | "&amp;HOUR(INDEX(MATCHER!$C$5:$C$504,AF300))&amp;":"&amp;IF(MINUTE(INDEX(MATCHER!$C$5:$C$504,AF300))&lt;10,"0","")&amp;MINUTE(INDEX(MATCHER!$C$5:$C$504,AF300))&amp;" "&amp;INDEX(MATCHER!$H$5:$H$504,AF300)&amp;" – "&amp;INDEX(MATCHER!$I$5:$I$504,AF300))</f>
        <v/>
      </c>
      <c r="G300" s="45" t="str">
        <f>MID(IF(R300="","",IF(OR(INDEX(MATCHER!$J$5:$J$504,R300)=""),""," / "&amp;INDEX(MATCHER!$J$5:$J$504,R300)))&amp;IF(S300="","",IF(OR(INDEX(MATCHER!$J$5:$J$504,S300)="",INDEX(MATCHER!$J$5:$J$504,S300)=IFERROR(INDEX(MATCHER!$J$5:$J$504,R300),"")),""," / "&amp;INDEX(MATCHER!$J$5:$J$504,S300)))&amp;IF(T300="","",IF(OR(INDEX(MATCHER!$J$5:$J$504,T300)="",INDEX(MATCHER!$J$5:$J$504,T300)=IFERROR(INDEX(MATCHER!$J$5:$J$504,R300),""),INDEX(MATCHER!$J$5:$J$504,T300)=IFERROR(INDEX(MATCHER!$J$5:$J$504,S300),"")),""," / "&amp;INDEX(MATCHER!$J$5:$J$504,T300)))&amp;IF(AF300="","",IF(OR(INDEX(MATCHER!$J$5:$J$504,AF300)="",INDEX(MATCHER!$J$5:$J$504,AF300)=IFERROR(INDEX(MATCHER!$J$5:$J$504,R300),""),INDEX(MATCHER!$J$5:$J$504,AF300)=IFERROR(INDEX(MATCHER!$J$5:$J$504,S300),""),INDEX(MATCHER!$J$5:$J$504,AF300)=IFERROR(INDEX(MATCHER!$J$5:$J$504,T300),"")),""," / "&amp;INDEX(MATCHER!$J$5:$J$504,AF300))),4,1000)</f>
        <v/>
      </c>
      <c r="H300" s="45" t="str">
        <f t="shared" si="71"/>
        <v>F10, F13</v>
      </c>
      <c r="I300" s="46" t="s">
        <v>87</v>
      </c>
      <c r="J300" s="47"/>
      <c r="K300" s="48"/>
      <c r="L300" s="49"/>
      <c r="M300" s="50" t="str">
        <f>IF(O300&lt;&gt;O299,MAX(1,MIN(AA300,ROUNDUP(SUMPRODUCT(($O$5:$O$546=O300)*($I$5:$I$546="Ja")*($E$5:$E$546-$D$5:$D$546))*24/REGLER!$B$8,0))),"")</f>
        <v/>
      </c>
      <c r="N300" s="50" t="str">
        <f t="shared" si="62"/>
        <v>Ej öppet</v>
      </c>
      <c r="O300" s="15" t="s">
        <v>134</v>
      </c>
      <c r="P300" s="16">
        <v>0.33333333333333298</v>
      </c>
      <c r="Q300" s="16">
        <v>0.70833333333333304</v>
      </c>
      <c r="R300" s="15" t="str">
        <f>IFERROR(MATCH(1,INDEX((MATCHER!$B$5:$B$504=A300)*(MATCHER!$D$5:$D$504=C300)*(MATCHER!$K$5:$K$504="Ja")*(MATCHER!$C$5:$C$504&lt;E300)*(MATCHER!$M$5:$M$504&gt;D300),0),0),"")</f>
        <v/>
      </c>
      <c r="S300" s="15" t="str">
        <f>IF(R300="","",IFERROR(MATCH(1,INDEX((MATCHER!$B$5:$B$504=A300)*(MATCHER!$D$5:$D$504=C300)*(MATCHER!$K$5:$K$504="Ja")*(MATCHER!$C$5:$C$504&lt;E300)*(MATCHER!$M$5:$M$504&gt;D300)*(ROW(MATCHER!$A$5:$A$504)-ROW(MATCHER!$A$5)+1&gt;R300),0),0),""))</f>
        <v/>
      </c>
      <c r="T300" s="15" t="str">
        <f>IF(S300="","",IFERROR(MATCH(1,INDEX((MATCHER!$B$5:$B$504=A300)*(MATCHER!$D$5:$D$504=C300)*(MATCHER!$K$5:$K$504="Ja")*(MATCHER!$C$5:$C$504&lt;E300)*(MATCHER!$M$5:$M$504&gt;D300)*(ROW(MATCHER!$A$5:$A$504)-ROW(MATCHER!$A$5)+1&gt;S300),0),0),""))</f>
        <v/>
      </c>
      <c r="U300" s="15" t="str">
        <f t="shared" si="63"/>
        <v/>
      </c>
      <c r="V300" s="15" t="str">
        <f>IF(OR(I300&lt;&gt;"Ja",J300=""),"",COUNTIFS($O$5:O300,O300,$U$5:U300,1))</f>
        <v/>
      </c>
      <c r="W300" s="15" t="str">
        <f t="shared" si="64"/>
        <v/>
      </c>
      <c r="X300" s="16" t="str">
        <f t="shared" si="65"/>
        <v/>
      </c>
      <c r="Y300" s="15">
        <f>IF(OR(I300&lt;&gt;"Ja",J300=""),0,IF(COUNTIFS($O$5:O300,O300,$I$5:I300,"Ja",$J$5:J300,"&lt;&gt;")=1,1,0))</f>
        <v>0</v>
      </c>
      <c r="Z300" s="15">
        <f>IF(OR(I300&lt;&gt;"Ja",J300=""),0,IF(COUNTIFS(O300:$O$546,O300,I300:$I$546,"Ja",J300:$J$546,"&lt;&gt;")=1,1,0))</f>
        <v>0</v>
      </c>
      <c r="AA300" s="15">
        <f t="shared" si="72"/>
        <v>2</v>
      </c>
      <c r="AB300" s="15" t="str">
        <f>IF(U300&lt;&gt;1,"",COUNTIF($U$5:U300,1))</f>
        <v/>
      </c>
      <c r="AC300" s="15" t="str">
        <f t="shared" si="66"/>
        <v/>
      </c>
      <c r="AD300" s="15" t="str">
        <f t="shared" si="67"/>
        <v>Vanligt café</v>
      </c>
      <c r="AE300" s="15" t="str">
        <f t="shared" si="68"/>
        <v/>
      </c>
      <c r="AF300" t="str">
        <f>IF(T300="","",IFERROR(MATCH(1,INDEX((MATCHER!$B$5:$B$504=A300)*(MATCHER!$D$5:$D$504=C300)*(MATCHER!$K$5:$K$504="Ja")*(MATCHER!$C$5:$C$504&lt;E300)*(MATCHER!$M$5:$M$504&gt;D300)*(ROW(MATCHER!$A$5:$A$504)-ROW(MATCHER!$A$5)+1&gt;T300),0),0),""))</f>
        <v/>
      </c>
    </row>
    <row r="301" spans="1:32" ht="26">
      <c r="A301" s="42">
        <v>46361</v>
      </c>
      <c r="B301" s="43" t="s">
        <v>85</v>
      </c>
      <c r="C301" s="43" t="s">
        <v>86</v>
      </c>
      <c r="D301" s="44">
        <v>0.5625</v>
      </c>
      <c r="E301" s="44">
        <v>0.58333333333333304</v>
      </c>
      <c r="F301" s="45" t="str">
        <f>IF(R301="","",HOUR(INDEX(MATCHER!$C$5:$C$504,R301))&amp;":"&amp;IF(MINUTE(INDEX(MATCHER!$C$5:$C$504,R301))&lt;10,"0","")&amp;MINUTE(INDEX(MATCHER!$C$5:$C$504,R301))&amp;" "&amp;INDEX(MATCHER!$H$5:$H$504,R301)&amp;" – "&amp;INDEX(MATCHER!$I$5:$I$504,R301))&amp;IF(S301="",""," | "&amp;HOUR(INDEX(MATCHER!$C$5:$C$504,S301))&amp;":"&amp;IF(MINUTE(INDEX(MATCHER!$C$5:$C$504,S301))&lt;10,"0","")&amp;MINUTE(INDEX(MATCHER!$C$5:$C$504,S301))&amp;" "&amp;INDEX(MATCHER!$H$5:$H$504,S301)&amp;" – "&amp;INDEX(MATCHER!$I$5:$I$504,S301))&amp;IF(T301="",""," | "&amp;HOUR(INDEX(MATCHER!$C$5:$C$504,T301))&amp;":"&amp;IF(MINUTE(INDEX(MATCHER!$C$5:$C$504,T301))&lt;10,"0","")&amp;MINUTE(INDEX(MATCHER!$C$5:$C$504,T301))&amp;" "&amp;INDEX(MATCHER!$H$5:$H$504,T301)&amp;" – "&amp;INDEX(MATCHER!$I$5:$I$504,T301))&amp;IF(AF301="",""," | "&amp;HOUR(INDEX(MATCHER!$C$5:$C$504,AF301))&amp;":"&amp;IF(MINUTE(INDEX(MATCHER!$C$5:$C$504,AF301))&lt;10,"0","")&amp;MINUTE(INDEX(MATCHER!$C$5:$C$504,AF301))&amp;" "&amp;INDEX(MATCHER!$H$5:$H$504,AF301)&amp;" – "&amp;INDEX(MATCHER!$I$5:$I$504,AF301))</f>
        <v/>
      </c>
      <c r="G301" s="45" t="str">
        <f>MID(IF(R301="","",IF(OR(INDEX(MATCHER!$J$5:$J$504,R301)=""),""," / "&amp;INDEX(MATCHER!$J$5:$J$504,R301)))&amp;IF(S301="","",IF(OR(INDEX(MATCHER!$J$5:$J$504,S301)="",INDEX(MATCHER!$J$5:$J$504,S301)=IFERROR(INDEX(MATCHER!$J$5:$J$504,R301),"")),""," / "&amp;INDEX(MATCHER!$J$5:$J$504,S301)))&amp;IF(T301="","",IF(OR(INDEX(MATCHER!$J$5:$J$504,T301)="",INDEX(MATCHER!$J$5:$J$504,T301)=IFERROR(INDEX(MATCHER!$J$5:$J$504,R301),""),INDEX(MATCHER!$J$5:$J$504,T301)=IFERROR(INDEX(MATCHER!$J$5:$J$504,S301),"")),""," / "&amp;INDEX(MATCHER!$J$5:$J$504,T301)))&amp;IF(AF301="","",IF(OR(INDEX(MATCHER!$J$5:$J$504,AF301)="",INDEX(MATCHER!$J$5:$J$504,AF301)=IFERROR(INDEX(MATCHER!$J$5:$J$504,R301),""),INDEX(MATCHER!$J$5:$J$504,AF301)=IFERROR(INDEX(MATCHER!$J$5:$J$504,S301),""),INDEX(MATCHER!$J$5:$J$504,AF301)=IFERROR(INDEX(MATCHER!$J$5:$J$504,T301),"")),""," / "&amp;INDEX(MATCHER!$J$5:$J$504,AF301))),4,1000)</f>
        <v/>
      </c>
      <c r="H301" s="45" t="str">
        <f t="shared" si="71"/>
        <v>F10, F13</v>
      </c>
      <c r="I301" s="46" t="s">
        <v>87</v>
      </c>
      <c r="J301" s="47"/>
      <c r="K301" s="48"/>
      <c r="L301" s="49"/>
      <c r="M301" s="50" t="str">
        <f>IF(O301&lt;&gt;O300,MAX(1,MIN(AA301,ROUNDUP(SUMPRODUCT(($O$5:$O$546=O301)*($I$5:$I$546="Ja")*($E$5:$E$546-$D$5:$D$546))*24/REGLER!$B$8,0))),"")</f>
        <v/>
      </c>
      <c r="N301" s="50" t="str">
        <f t="shared" si="62"/>
        <v>Ej öppet</v>
      </c>
      <c r="O301" s="15" t="s">
        <v>134</v>
      </c>
      <c r="P301" s="16">
        <v>0.33333333333333298</v>
      </c>
      <c r="Q301" s="16">
        <v>0.70833333333333304</v>
      </c>
      <c r="R301" s="15" t="str">
        <f>IFERROR(MATCH(1,INDEX((MATCHER!$B$5:$B$504=A301)*(MATCHER!$D$5:$D$504=C301)*(MATCHER!$K$5:$K$504="Ja")*(MATCHER!$C$5:$C$504&lt;E301)*(MATCHER!$M$5:$M$504&gt;D301),0),0),"")</f>
        <v/>
      </c>
      <c r="S301" s="15" t="str">
        <f>IF(R301="","",IFERROR(MATCH(1,INDEX((MATCHER!$B$5:$B$504=A301)*(MATCHER!$D$5:$D$504=C301)*(MATCHER!$K$5:$K$504="Ja")*(MATCHER!$C$5:$C$504&lt;E301)*(MATCHER!$M$5:$M$504&gt;D301)*(ROW(MATCHER!$A$5:$A$504)-ROW(MATCHER!$A$5)+1&gt;R301),0),0),""))</f>
        <v/>
      </c>
      <c r="T301" s="15" t="str">
        <f>IF(S301="","",IFERROR(MATCH(1,INDEX((MATCHER!$B$5:$B$504=A301)*(MATCHER!$D$5:$D$504=C301)*(MATCHER!$K$5:$K$504="Ja")*(MATCHER!$C$5:$C$504&lt;E301)*(MATCHER!$M$5:$M$504&gt;D301)*(ROW(MATCHER!$A$5:$A$504)-ROW(MATCHER!$A$5)+1&gt;S301),0),0),""))</f>
        <v/>
      </c>
      <c r="U301" s="15" t="str">
        <f t="shared" si="63"/>
        <v/>
      </c>
      <c r="V301" s="15" t="str">
        <f>IF(OR(I301&lt;&gt;"Ja",J301=""),"",COUNTIFS($O$5:O301,O301,$U$5:U301,1))</f>
        <v/>
      </c>
      <c r="W301" s="15" t="str">
        <f t="shared" si="64"/>
        <v/>
      </c>
      <c r="X301" s="16" t="str">
        <f t="shared" si="65"/>
        <v/>
      </c>
      <c r="Y301" s="15">
        <f>IF(OR(I301&lt;&gt;"Ja",J301=""),0,IF(COUNTIFS($O$5:O301,O301,$I$5:I301,"Ja",$J$5:J301,"&lt;&gt;")=1,1,0))</f>
        <v>0</v>
      </c>
      <c r="Z301" s="15">
        <f>IF(OR(I301&lt;&gt;"Ja",J301=""),0,IF(COUNTIFS(O301:$O$546,O301,I301:$I$546,"Ja",J301:$J$546,"&lt;&gt;")=1,1,0))</f>
        <v>0</v>
      </c>
      <c r="AA301" s="15">
        <f t="shared" si="72"/>
        <v>2</v>
      </c>
      <c r="AB301" s="15" t="str">
        <f>IF(U301&lt;&gt;1,"",COUNTIF($U$5:U301,1))</f>
        <v/>
      </c>
      <c r="AC301" s="15" t="str">
        <f t="shared" si="66"/>
        <v/>
      </c>
      <c r="AD301" s="15" t="str">
        <f t="shared" si="67"/>
        <v>Vanligt café</v>
      </c>
      <c r="AE301" s="15" t="str">
        <f t="shared" si="68"/>
        <v/>
      </c>
      <c r="AF301" t="str">
        <f>IF(T301="","",IFERROR(MATCH(1,INDEX((MATCHER!$B$5:$B$504=A301)*(MATCHER!$D$5:$D$504=C301)*(MATCHER!$K$5:$K$504="Ja")*(MATCHER!$C$5:$C$504&lt;E301)*(MATCHER!$M$5:$M$504&gt;D301)*(ROW(MATCHER!$A$5:$A$504)-ROW(MATCHER!$A$5)+1&gt;T301),0),0),""))</f>
        <v/>
      </c>
    </row>
    <row r="302" spans="1:32" ht="26">
      <c r="A302" s="42">
        <v>46361</v>
      </c>
      <c r="B302" s="43" t="s">
        <v>85</v>
      </c>
      <c r="C302" s="43" t="s">
        <v>86</v>
      </c>
      <c r="D302" s="44">
        <v>0.58333333333333304</v>
      </c>
      <c r="E302" s="44">
        <v>0.60416666666666696</v>
      </c>
      <c r="F302" s="45" t="str">
        <f>IF(R302="","",HOUR(INDEX(MATCHER!$C$5:$C$504,R302))&amp;":"&amp;IF(MINUTE(INDEX(MATCHER!$C$5:$C$504,R302))&lt;10,"0","")&amp;MINUTE(INDEX(MATCHER!$C$5:$C$504,R302))&amp;" "&amp;INDEX(MATCHER!$H$5:$H$504,R302)&amp;" – "&amp;INDEX(MATCHER!$I$5:$I$504,R302))&amp;IF(S302="",""," | "&amp;HOUR(INDEX(MATCHER!$C$5:$C$504,S302))&amp;":"&amp;IF(MINUTE(INDEX(MATCHER!$C$5:$C$504,S302))&lt;10,"0","")&amp;MINUTE(INDEX(MATCHER!$C$5:$C$504,S302))&amp;" "&amp;INDEX(MATCHER!$H$5:$H$504,S302)&amp;" – "&amp;INDEX(MATCHER!$I$5:$I$504,S302))&amp;IF(T302="",""," | "&amp;HOUR(INDEX(MATCHER!$C$5:$C$504,T302))&amp;":"&amp;IF(MINUTE(INDEX(MATCHER!$C$5:$C$504,T302))&lt;10,"0","")&amp;MINUTE(INDEX(MATCHER!$C$5:$C$504,T302))&amp;" "&amp;INDEX(MATCHER!$H$5:$H$504,T302)&amp;" – "&amp;INDEX(MATCHER!$I$5:$I$504,T302))&amp;IF(AF302="",""," | "&amp;HOUR(INDEX(MATCHER!$C$5:$C$504,AF302))&amp;":"&amp;IF(MINUTE(INDEX(MATCHER!$C$5:$C$504,AF302))&lt;10,"0","")&amp;MINUTE(INDEX(MATCHER!$C$5:$C$504,AF302))&amp;" "&amp;INDEX(MATCHER!$H$5:$H$504,AF302)&amp;" – "&amp;INDEX(MATCHER!$I$5:$I$504,AF302))</f>
        <v/>
      </c>
      <c r="G302" s="45" t="str">
        <f>MID(IF(R302="","",IF(OR(INDEX(MATCHER!$J$5:$J$504,R302)=""),""," / "&amp;INDEX(MATCHER!$J$5:$J$504,R302)))&amp;IF(S302="","",IF(OR(INDEX(MATCHER!$J$5:$J$504,S302)="",INDEX(MATCHER!$J$5:$J$504,S302)=IFERROR(INDEX(MATCHER!$J$5:$J$504,R302),"")),""," / "&amp;INDEX(MATCHER!$J$5:$J$504,S302)))&amp;IF(T302="","",IF(OR(INDEX(MATCHER!$J$5:$J$504,T302)="",INDEX(MATCHER!$J$5:$J$504,T302)=IFERROR(INDEX(MATCHER!$J$5:$J$504,R302),""),INDEX(MATCHER!$J$5:$J$504,T302)=IFERROR(INDEX(MATCHER!$J$5:$J$504,S302),"")),""," / "&amp;INDEX(MATCHER!$J$5:$J$504,T302)))&amp;IF(AF302="","",IF(OR(INDEX(MATCHER!$J$5:$J$504,AF302)="",INDEX(MATCHER!$J$5:$J$504,AF302)=IFERROR(INDEX(MATCHER!$J$5:$J$504,R302),""),INDEX(MATCHER!$J$5:$J$504,AF302)=IFERROR(INDEX(MATCHER!$J$5:$J$504,S302),""),INDEX(MATCHER!$J$5:$J$504,AF302)=IFERROR(INDEX(MATCHER!$J$5:$J$504,T302),"")),""," / "&amp;INDEX(MATCHER!$J$5:$J$504,AF302))),4,1000)</f>
        <v/>
      </c>
      <c r="H302" s="45" t="str">
        <f t="shared" si="71"/>
        <v>F10, F13</v>
      </c>
      <c r="I302" s="46" t="s">
        <v>87</v>
      </c>
      <c r="J302" s="47"/>
      <c r="K302" s="48"/>
      <c r="L302" s="49"/>
      <c r="M302" s="50" t="str">
        <f>IF(O302&lt;&gt;O301,MAX(1,MIN(AA302,ROUNDUP(SUMPRODUCT(($O$5:$O$546=O302)*($I$5:$I$546="Ja")*($E$5:$E$546-$D$5:$D$546))*24/REGLER!$B$8,0))),"")</f>
        <v/>
      </c>
      <c r="N302" s="50" t="str">
        <f t="shared" si="62"/>
        <v>Ej öppet</v>
      </c>
      <c r="O302" s="15" t="s">
        <v>134</v>
      </c>
      <c r="P302" s="16">
        <v>0.33333333333333298</v>
      </c>
      <c r="Q302" s="16">
        <v>0.70833333333333304</v>
      </c>
      <c r="R302" s="15" t="str">
        <f>IFERROR(MATCH(1,INDEX((MATCHER!$B$5:$B$504=A302)*(MATCHER!$D$5:$D$504=C302)*(MATCHER!$K$5:$K$504="Ja")*(MATCHER!$C$5:$C$504&lt;E302)*(MATCHER!$M$5:$M$504&gt;D302),0),0),"")</f>
        <v/>
      </c>
      <c r="S302" s="15" t="str">
        <f>IF(R302="","",IFERROR(MATCH(1,INDEX((MATCHER!$B$5:$B$504=A302)*(MATCHER!$D$5:$D$504=C302)*(MATCHER!$K$5:$K$504="Ja")*(MATCHER!$C$5:$C$504&lt;E302)*(MATCHER!$M$5:$M$504&gt;D302)*(ROW(MATCHER!$A$5:$A$504)-ROW(MATCHER!$A$5)+1&gt;R302),0),0),""))</f>
        <v/>
      </c>
      <c r="T302" s="15" t="str">
        <f>IF(S302="","",IFERROR(MATCH(1,INDEX((MATCHER!$B$5:$B$504=A302)*(MATCHER!$D$5:$D$504=C302)*(MATCHER!$K$5:$K$504="Ja")*(MATCHER!$C$5:$C$504&lt;E302)*(MATCHER!$M$5:$M$504&gt;D302)*(ROW(MATCHER!$A$5:$A$504)-ROW(MATCHER!$A$5)+1&gt;S302),0),0),""))</f>
        <v/>
      </c>
      <c r="U302" s="15" t="str">
        <f t="shared" si="63"/>
        <v/>
      </c>
      <c r="V302" s="15" t="str">
        <f>IF(OR(I302&lt;&gt;"Ja",J302=""),"",COUNTIFS($O$5:O302,O302,$U$5:U302,1))</f>
        <v/>
      </c>
      <c r="W302" s="15" t="str">
        <f t="shared" si="64"/>
        <v/>
      </c>
      <c r="X302" s="16" t="str">
        <f t="shared" si="65"/>
        <v/>
      </c>
      <c r="Y302" s="15">
        <f>IF(OR(I302&lt;&gt;"Ja",J302=""),0,IF(COUNTIFS($O$5:O302,O302,$I$5:I302,"Ja",$J$5:J302,"&lt;&gt;")=1,1,0))</f>
        <v>0</v>
      </c>
      <c r="Z302" s="15">
        <f>IF(OR(I302&lt;&gt;"Ja",J302=""),0,IF(COUNTIFS(O302:$O$546,O302,I302:$I$546,"Ja",J302:$J$546,"&lt;&gt;")=1,1,0))</f>
        <v>0</v>
      </c>
      <c r="AA302" s="15">
        <f t="shared" si="72"/>
        <v>2</v>
      </c>
      <c r="AB302" s="15" t="str">
        <f>IF(U302&lt;&gt;1,"",COUNTIF($U$5:U302,1))</f>
        <v/>
      </c>
      <c r="AC302" s="15" t="str">
        <f t="shared" si="66"/>
        <v/>
      </c>
      <c r="AD302" s="15" t="str">
        <f t="shared" si="67"/>
        <v>Vanligt café</v>
      </c>
      <c r="AE302" s="15" t="str">
        <f t="shared" si="68"/>
        <v/>
      </c>
      <c r="AF302" t="str">
        <f>IF(T302="","",IFERROR(MATCH(1,INDEX((MATCHER!$B$5:$B$504=A302)*(MATCHER!$D$5:$D$504=C302)*(MATCHER!$K$5:$K$504="Ja")*(MATCHER!$C$5:$C$504&lt;E302)*(MATCHER!$M$5:$M$504&gt;D302)*(ROW(MATCHER!$A$5:$A$504)-ROW(MATCHER!$A$5)+1&gt;T302),0),0),""))</f>
        <v/>
      </c>
    </row>
    <row r="303" spans="1:32" ht="26">
      <c r="A303" s="42">
        <v>46361</v>
      </c>
      <c r="B303" s="43" t="s">
        <v>85</v>
      </c>
      <c r="C303" s="43" t="s">
        <v>86</v>
      </c>
      <c r="D303" s="44">
        <v>0.60416666666666696</v>
      </c>
      <c r="E303" s="44">
        <v>0.625</v>
      </c>
      <c r="F303" s="45" t="str">
        <f>IF(R303="","",HOUR(INDEX(MATCHER!$C$5:$C$504,R303))&amp;":"&amp;IF(MINUTE(INDEX(MATCHER!$C$5:$C$504,R303))&lt;10,"0","")&amp;MINUTE(INDEX(MATCHER!$C$5:$C$504,R303))&amp;" "&amp;INDEX(MATCHER!$H$5:$H$504,R303)&amp;" – "&amp;INDEX(MATCHER!$I$5:$I$504,R303))&amp;IF(S303="",""," | "&amp;HOUR(INDEX(MATCHER!$C$5:$C$504,S303))&amp;":"&amp;IF(MINUTE(INDEX(MATCHER!$C$5:$C$504,S303))&lt;10,"0","")&amp;MINUTE(INDEX(MATCHER!$C$5:$C$504,S303))&amp;" "&amp;INDEX(MATCHER!$H$5:$H$504,S303)&amp;" – "&amp;INDEX(MATCHER!$I$5:$I$504,S303))&amp;IF(T303="",""," | "&amp;HOUR(INDEX(MATCHER!$C$5:$C$504,T303))&amp;":"&amp;IF(MINUTE(INDEX(MATCHER!$C$5:$C$504,T303))&lt;10,"0","")&amp;MINUTE(INDEX(MATCHER!$C$5:$C$504,T303))&amp;" "&amp;INDEX(MATCHER!$H$5:$H$504,T303)&amp;" – "&amp;INDEX(MATCHER!$I$5:$I$504,T303))&amp;IF(AF303="",""," | "&amp;HOUR(INDEX(MATCHER!$C$5:$C$504,AF303))&amp;":"&amp;IF(MINUTE(INDEX(MATCHER!$C$5:$C$504,AF303))&lt;10,"0","")&amp;MINUTE(INDEX(MATCHER!$C$5:$C$504,AF303))&amp;" "&amp;INDEX(MATCHER!$H$5:$H$504,AF303)&amp;" – "&amp;INDEX(MATCHER!$I$5:$I$504,AF303))</f>
        <v/>
      </c>
      <c r="G303" s="45" t="str">
        <f>MID(IF(R303="","",IF(OR(INDEX(MATCHER!$J$5:$J$504,R303)=""),""," / "&amp;INDEX(MATCHER!$J$5:$J$504,R303)))&amp;IF(S303="","",IF(OR(INDEX(MATCHER!$J$5:$J$504,S303)="",INDEX(MATCHER!$J$5:$J$504,S303)=IFERROR(INDEX(MATCHER!$J$5:$J$504,R303),"")),""," / "&amp;INDEX(MATCHER!$J$5:$J$504,S303)))&amp;IF(T303="","",IF(OR(INDEX(MATCHER!$J$5:$J$504,T303)="",INDEX(MATCHER!$J$5:$J$504,T303)=IFERROR(INDEX(MATCHER!$J$5:$J$504,R303),""),INDEX(MATCHER!$J$5:$J$504,T303)=IFERROR(INDEX(MATCHER!$J$5:$J$504,S303),"")),""," / "&amp;INDEX(MATCHER!$J$5:$J$504,T303)))&amp;IF(AF303="","",IF(OR(INDEX(MATCHER!$J$5:$J$504,AF303)="",INDEX(MATCHER!$J$5:$J$504,AF303)=IFERROR(INDEX(MATCHER!$J$5:$J$504,R303),""),INDEX(MATCHER!$J$5:$J$504,AF303)=IFERROR(INDEX(MATCHER!$J$5:$J$504,S303),""),INDEX(MATCHER!$J$5:$J$504,AF303)=IFERROR(INDEX(MATCHER!$J$5:$J$504,T303),"")),""," / "&amp;INDEX(MATCHER!$J$5:$J$504,AF303))),4,1000)</f>
        <v/>
      </c>
      <c r="H303" s="45" t="str">
        <f t="shared" si="71"/>
        <v>F10, F13</v>
      </c>
      <c r="I303" s="46" t="s">
        <v>87</v>
      </c>
      <c r="J303" s="47"/>
      <c r="K303" s="48"/>
      <c r="L303" s="49"/>
      <c r="M303" s="50" t="str">
        <f>IF(O303&lt;&gt;O302,MAX(1,MIN(AA303,ROUNDUP(SUMPRODUCT(($O$5:$O$546=O303)*($I$5:$I$546="Ja")*($E$5:$E$546-$D$5:$D$546))*24/REGLER!$B$8,0))),"")</f>
        <v/>
      </c>
      <c r="N303" s="50" t="str">
        <f t="shared" si="62"/>
        <v>Ej öppet</v>
      </c>
      <c r="O303" s="15" t="s">
        <v>134</v>
      </c>
      <c r="P303" s="16">
        <v>0.33333333333333298</v>
      </c>
      <c r="Q303" s="16">
        <v>0.70833333333333304</v>
      </c>
      <c r="R303" s="15" t="str">
        <f>IFERROR(MATCH(1,INDEX((MATCHER!$B$5:$B$504=A303)*(MATCHER!$D$5:$D$504=C303)*(MATCHER!$K$5:$K$504="Ja")*(MATCHER!$C$5:$C$504&lt;E303)*(MATCHER!$M$5:$M$504&gt;D303),0),0),"")</f>
        <v/>
      </c>
      <c r="S303" s="15" t="str">
        <f>IF(R303="","",IFERROR(MATCH(1,INDEX((MATCHER!$B$5:$B$504=A303)*(MATCHER!$D$5:$D$504=C303)*(MATCHER!$K$5:$K$504="Ja")*(MATCHER!$C$5:$C$504&lt;E303)*(MATCHER!$M$5:$M$504&gt;D303)*(ROW(MATCHER!$A$5:$A$504)-ROW(MATCHER!$A$5)+1&gt;R303),0),0),""))</f>
        <v/>
      </c>
      <c r="T303" s="15" t="str">
        <f>IF(S303="","",IFERROR(MATCH(1,INDEX((MATCHER!$B$5:$B$504=A303)*(MATCHER!$D$5:$D$504=C303)*(MATCHER!$K$5:$K$504="Ja")*(MATCHER!$C$5:$C$504&lt;E303)*(MATCHER!$M$5:$M$504&gt;D303)*(ROW(MATCHER!$A$5:$A$504)-ROW(MATCHER!$A$5)+1&gt;S303),0),0),""))</f>
        <v/>
      </c>
      <c r="U303" s="15" t="str">
        <f t="shared" si="63"/>
        <v/>
      </c>
      <c r="V303" s="15" t="str">
        <f>IF(OR(I303&lt;&gt;"Ja",J303=""),"",COUNTIFS($O$5:O303,O303,$U$5:U303,1))</f>
        <v/>
      </c>
      <c r="W303" s="15" t="str">
        <f t="shared" si="64"/>
        <v/>
      </c>
      <c r="X303" s="16" t="str">
        <f t="shared" si="65"/>
        <v/>
      </c>
      <c r="Y303" s="15">
        <f>IF(OR(I303&lt;&gt;"Ja",J303=""),0,IF(COUNTIFS($O$5:O303,O303,$I$5:I303,"Ja",$J$5:J303,"&lt;&gt;")=1,1,0))</f>
        <v>0</v>
      </c>
      <c r="Z303" s="15">
        <f>IF(OR(I303&lt;&gt;"Ja",J303=""),0,IF(COUNTIFS(O303:$O$546,O303,I303:$I$546,"Ja",J303:$J$546,"&lt;&gt;")=1,1,0))</f>
        <v>0</v>
      </c>
      <c r="AA303" s="15">
        <f t="shared" si="72"/>
        <v>2</v>
      </c>
      <c r="AB303" s="15" t="str">
        <f>IF(U303&lt;&gt;1,"",COUNTIF($U$5:U303,1))</f>
        <v/>
      </c>
      <c r="AC303" s="15" t="str">
        <f t="shared" si="66"/>
        <v/>
      </c>
      <c r="AD303" s="15" t="str">
        <f t="shared" si="67"/>
        <v>Vanligt café</v>
      </c>
      <c r="AE303" s="15" t="str">
        <f t="shared" si="68"/>
        <v/>
      </c>
      <c r="AF303" t="str">
        <f>IF(T303="","",IFERROR(MATCH(1,INDEX((MATCHER!$B$5:$B$504=A303)*(MATCHER!$D$5:$D$504=C303)*(MATCHER!$K$5:$K$504="Ja")*(MATCHER!$C$5:$C$504&lt;E303)*(MATCHER!$M$5:$M$504&gt;D303)*(ROW(MATCHER!$A$5:$A$504)-ROW(MATCHER!$A$5)+1&gt;T303),0),0),""))</f>
        <v/>
      </c>
    </row>
    <row r="304" spans="1:32" ht="26">
      <c r="A304" s="42">
        <v>46361</v>
      </c>
      <c r="B304" s="43" t="s">
        <v>85</v>
      </c>
      <c r="C304" s="43" t="s">
        <v>86</v>
      </c>
      <c r="D304" s="44">
        <v>0.625</v>
      </c>
      <c r="E304" s="44">
        <v>0.64583333333333304</v>
      </c>
      <c r="F304" s="45" t="str">
        <f>IF(R304="","",HOUR(INDEX(MATCHER!$C$5:$C$504,R304))&amp;":"&amp;IF(MINUTE(INDEX(MATCHER!$C$5:$C$504,R304))&lt;10,"0","")&amp;MINUTE(INDEX(MATCHER!$C$5:$C$504,R304))&amp;" "&amp;INDEX(MATCHER!$H$5:$H$504,R304)&amp;" – "&amp;INDEX(MATCHER!$I$5:$I$504,R304))&amp;IF(S304="",""," | "&amp;HOUR(INDEX(MATCHER!$C$5:$C$504,S304))&amp;":"&amp;IF(MINUTE(INDEX(MATCHER!$C$5:$C$504,S304))&lt;10,"0","")&amp;MINUTE(INDEX(MATCHER!$C$5:$C$504,S304))&amp;" "&amp;INDEX(MATCHER!$H$5:$H$504,S304)&amp;" – "&amp;INDEX(MATCHER!$I$5:$I$504,S304))&amp;IF(T304="",""," | "&amp;HOUR(INDEX(MATCHER!$C$5:$C$504,T304))&amp;":"&amp;IF(MINUTE(INDEX(MATCHER!$C$5:$C$504,T304))&lt;10,"0","")&amp;MINUTE(INDEX(MATCHER!$C$5:$C$504,T304))&amp;" "&amp;INDEX(MATCHER!$H$5:$H$504,T304)&amp;" – "&amp;INDEX(MATCHER!$I$5:$I$504,T304))&amp;IF(AF304="",""," | "&amp;HOUR(INDEX(MATCHER!$C$5:$C$504,AF304))&amp;":"&amp;IF(MINUTE(INDEX(MATCHER!$C$5:$C$504,AF304))&lt;10,"0","")&amp;MINUTE(INDEX(MATCHER!$C$5:$C$504,AF304))&amp;" "&amp;INDEX(MATCHER!$H$5:$H$504,AF304)&amp;" – "&amp;INDEX(MATCHER!$I$5:$I$504,AF304))</f>
        <v/>
      </c>
      <c r="G304" s="45" t="str">
        <f>MID(IF(R304="","",IF(OR(INDEX(MATCHER!$J$5:$J$504,R304)=""),""," / "&amp;INDEX(MATCHER!$J$5:$J$504,R304)))&amp;IF(S304="","",IF(OR(INDEX(MATCHER!$J$5:$J$504,S304)="",INDEX(MATCHER!$J$5:$J$504,S304)=IFERROR(INDEX(MATCHER!$J$5:$J$504,R304),"")),""," / "&amp;INDEX(MATCHER!$J$5:$J$504,S304)))&amp;IF(T304="","",IF(OR(INDEX(MATCHER!$J$5:$J$504,T304)="",INDEX(MATCHER!$J$5:$J$504,T304)=IFERROR(INDEX(MATCHER!$J$5:$J$504,R304),""),INDEX(MATCHER!$J$5:$J$504,T304)=IFERROR(INDEX(MATCHER!$J$5:$J$504,S304),"")),""," / "&amp;INDEX(MATCHER!$J$5:$J$504,T304)))&amp;IF(AF304="","",IF(OR(INDEX(MATCHER!$J$5:$J$504,AF304)="",INDEX(MATCHER!$J$5:$J$504,AF304)=IFERROR(INDEX(MATCHER!$J$5:$J$504,R304),""),INDEX(MATCHER!$J$5:$J$504,AF304)=IFERROR(INDEX(MATCHER!$J$5:$J$504,S304),""),INDEX(MATCHER!$J$5:$J$504,AF304)=IFERROR(INDEX(MATCHER!$J$5:$J$504,T304),"")),""," / "&amp;INDEX(MATCHER!$J$5:$J$504,AF304))),4,1000)</f>
        <v/>
      </c>
      <c r="H304" s="45" t="str">
        <f t="shared" si="71"/>
        <v>F10, F13</v>
      </c>
      <c r="I304" s="46" t="s">
        <v>87</v>
      </c>
      <c r="J304" s="47"/>
      <c r="K304" s="48"/>
      <c r="L304" s="49"/>
      <c r="M304" s="50" t="str">
        <f>IF(O304&lt;&gt;O303,MAX(1,MIN(AA304,ROUNDUP(SUMPRODUCT(($O$5:$O$546=O304)*($I$5:$I$546="Ja")*($E$5:$E$546-$D$5:$D$546))*24/REGLER!$B$8,0))),"")</f>
        <v/>
      </c>
      <c r="N304" s="50" t="str">
        <f t="shared" si="62"/>
        <v>Ej öppet</v>
      </c>
      <c r="O304" s="15" t="s">
        <v>134</v>
      </c>
      <c r="P304" s="16">
        <v>0.33333333333333298</v>
      </c>
      <c r="Q304" s="16">
        <v>0.70833333333333304</v>
      </c>
      <c r="R304" s="15" t="str">
        <f>IFERROR(MATCH(1,INDEX((MATCHER!$B$5:$B$504=A304)*(MATCHER!$D$5:$D$504=C304)*(MATCHER!$K$5:$K$504="Ja")*(MATCHER!$C$5:$C$504&lt;E304)*(MATCHER!$M$5:$M$504&gt;D304),0),0),"")</f>
        <v/>
      </c>
      <c r="S304" s="15" t="str">
        <f>IF(R304="","",IFERROR(MATCH(1,INDEX((MATCHER!$B$5:$B$504=A304)*(MATCHER!$D$5:$D$504=C304)*(MATCHER!$K$5:$K$504="Ja")*(MATCHER!$C$5:$C$504&lt;E304)*(MATCHER!$M$5:$M$504&gt;D304)*(ROW(MATCHER!$A$5:$A$504)-ROW(MATCHER!$A$5)+1&gt;R304),0),0),""))</f>
        <v/>
      </c>
      <c r="T304" s="15" t="str">
        <f>IF(S304="","",IFERROR(MATCH(1,INDEX((MATCHER!$B$5:$B$504=A304)*(MATCHER!$D$5:$D$504=C304)*(MATCHER!$K$5:$K$504="Ja")*(MATCHER!$C$5:$C$504&lt;E304)*(MATCHER!$M$5:$M$504&gt;D304)*(ROW(MATCHER!$A$5:$A$504)-ROW(MATCHER!$A$5)+1&gt;S304),0),0),""))</f>
        <v/>
      </c>
      <c r="U304" s="15" t="str">
        <f t="shared" si="63"/>
        <v/>
      </c>
      <c r="V304" s="15" t="str">
        <f>IF(OR(I304&lt;&gt;"Ja",J304=""),"",COUNTIFS($O$5:O304,O304,$U$5:U304,1))</f>
        <v/>
      </c>
      <c r="W304" s="15" t="str">
        <f t="shared" si="64"/>
        <v/>
      </c>
      <c r="X304" s="16" t="str">
        <f t="shared" si="65"/>
        <v/>
      </c>
      <c r="Y304" s="15">
        <f>IF(OR(I304&lt;&gt;"Ja",J304=""),0,IF(COUNTIFS($O$5:O304,O304,$I$5:I304,"Ja",$J$5:J304,"&lt;&gt;")=1,1,0))</f>
        <v>0</v>
      </c>
      <c r="Z304" s="15">
        <f>IF(OR(I304&lt;&gt;"Ja",J304=""),0,IF(COUNTIFS(O304:$O$546,O304,I304:$I$546,"Ja",J304:$J$546,"&lt;&gt;")=1,1,0))</f>
        <v>0</v>
      </c>
      <c r="AA304" s="15">
        <f t="shared" si="72"/>
        <v>2</v>
      </c>
      <c r="AB304" s="15" t="str">
        <f>IF(U304&lt;&gt;1,"",COUNTIF($U$5:U304,1))</f>
        <v/>
      </c>
      <c r="AC304" s="15" t="str">
        <f t="shared" si="66"/>
        <v/>
      </c>
      <c r="AD304" s="15" t="str">
        <f t="shared" si="67"/>
        <v>Vanligt café</v>
      </c>
      <c r="AE304" s="15" t="str">
        <f t="shared" si="68"/>
        <v/>
      </c>
      <c r="AF304" t="str">
        <f>IF(T304="","",IFERROR(MATCH(1,INDEX((MATCHER!$B$5:$B$504=A304)*(MATCHER!$D$5:$D$504=C304)*(MATCHER!$K$5:$K$504="Ja")*(MATCHER!$C$5:$C$504&lt;E304)*(MATCHER!$M$5:$M$504&gt;D304)*(ROW(MATCHER!$A$5:$A$504)-ROW(MATCHER!$A$5)+1&gt;T304),0),0),""))</f>
        <v/>
      </c>
    </row>
    <row r="305" spans="1:32" ht="26">
      <c r="A305" s="42">
        <v>46361</v>
      </c>
      <c r="B305" s="43" t="s">
        <v>85</v>
      </c>
      <c r="C305" s="43" t="s">
        <v>86</v>
      </c>
      <c r="D305" s="44">
        <v>0.64583333333333304</v>
      </c>
      <c r="E305" s="44">
        <v>0.66666666666666696</v>
      </c>
      <c r="F305" s="45" t="str">
        <f>IF(R305="","",HOUR(INDEX(MATCHER!$C$5:$C$504,R305))&amp;":"&amp;IF(MINUTE(INDEX(MATCHER!$C$5:$C$504,R305))&lt;10,"0","")&amp;MINUTE(INDEX(MATCHER!$C$5:$C$504,R305))&amp;" "&amp;INDEX(MATCHER!$H$5:$H$504,R305)&amp;" – "&amp;INDEX(MATCHER!$I$5:$I$504,R305))&amp;IF(S305="",""," | "&amp;HOUR(INDEX(MATCHER!$C$5:$C$504,S305))&amp;":"&amp;IF(MINUTE(INDEX(MATCHER!$C$5:$C$504,S305))&lt;10,"0","")&amp;MINUTE(INDEX(MATCHER!$C$5:$C$504,S305))&amp;" "&amp;INDEX(MATCHER!$H$5:$H$504,S305)&amp;" – "&amp;INDEX(MATCHER!$I$5:$I$504,S305))&amp;IF(T305="",""," | "&amp;HOUR(INDEX(MATCHER!$C$5:$C$504,T305))&amp;":"&amp;IF(MINUTE(INDEX(MATCHER!$C$5:$C$504,T305))&lt;10,"0","")&amp;MINUTE(INDEX(MATCHER!$C$5:$C$504,T305))&amp;" "&amp;INDEX(MATCHER!$H$5:$H$504,T305)&amp;" – "&amp;INDEX(MATCHER!$I$5:$I$504,T305))&amp;IF(AF305="",""," | "&amp;HOUR(INDEX(MATCHER!$C$5:$C$504,AF305))&amp;":"&amp;IF(MINUTE(INDEX(MATCHER!$C$5:$C$504,AF305))&lt;10,"0","")&amp;MINUTE(INDEX(MATCHER!$C$5:$C$504,AF305))&amp;" "&amp;INDEX(MATCHER!$H$5:$H$504,AF305)&amp;" – "&amp;INDEX(MATCHER!$I$5:$I$504,AF305))</f>
        <v/>
      </c>
      <c r="G305" s="45" t="str">
        <f>MID(IF(R305="","",IF(OR(INDEX(MATCHER!$J$5:$J$504,R305)=""),""," / "&amp;INDEX(MATCHER!$J$5:$J$504,R305)))&amp;IF(S305="","",IF(OR(INDEX(MATCHER!$J$5:$J$504,S305)="",INDEX(MATCHER!$J$5:$J$504,S305)=IFERROR(INDEX(MATCHER!$J$5:$J$504,R305),"")),""," / "&amp;INDEX(MATCHER!$J$5:$J$504,S305)))&amp;IF(T305="","",IF(OR(INDEX(MATCHER!$J$5:$J$504,T305)="",INDEX(MATCHER!$J$5:$J$504,T305)=IFERROR(INDEX(MATCHER!$J$5:$J$504,R305),""),INDEX(MATCHER!$J$5:$J$504,T305)=IFERROR(INDEX(MATCHER!$J$5:$J$504,S305),"")),""," / "&amp;INDEX(MATCHER!$J$5:$J$504,T305)))&amp;IF(AF305="","",IF(OR(INDEX(MATCHER!$J$5:$J$504,AF305)="",INDEX(MATCHER!$J$5:$J$504,AF305)=IFERROR(INDEX(MATCHER!$J$5:$J$504,R305),""),INDEX(MATCHER!$J$5:$J$504,AF305)=IFERROR(INDEX(MATCHER!$J$5:$J$504,S305),""),INDEX(MATCHER!$J$5:$J$504,AF305)=IFERROR(INDEX(MATCHER!$J$5:$J$504,T305),"")),""," / "&amp;INDEX(MATCHER!$J$5:$J$504,AF305))),4,1000)</f>
        <v/>
      </c>
      <c r="H305" s="45" t="str">
        <f t="shared" si="71"/>
        <v>F10, F13</v>
      </c>
      <c r="I305" s="46" t="s">
        <v>90</v>
      </c>
      <c r="J305" s="47" t="s">
        <v>97</v>
      </c>
      <c r="K305" s="48" t="s">
        <v>98</v>
      </c>
      <c r="L305" s="157" t="s">
        <v>862</v>
      </c>
      <c r="M305" s="50" t="str">
        <f>IF(O305&lt;&gt;O304,MAX(1,MIN(AA305,ROUNDUP(SUMPRODUCT(($O$5:$O$546=O305)*($I$5:$I$546="Ja")*($E$5:$E$546-$D$5:$D$546))*24/REGLER!$B$8,0))),"")</f>
        <v/>
      </c>
      <c r="N305" s="50" t="str">
        <f t="shared" si="62"/>
        <v>Klar</v>
      </c>
      <c r="O305" s="15" t="s">
        <v>134</v>
      </c>
      <c r="P305" s="16">
        <v>0.33333333333333298</v>
      </c>
      <c r="Q305" s="16">
        <v>0.70833333333333304</v>
      </c>
      <c r="R305" s="15" t="str">
        <f>IFERROR(MATCH(1,INDEX((MATCHER!$B$5:$B$504=A305)*(MATCHER!$D$5:$D$504=C305)*(MATCHER!$K$5:$K$504="Ja")*(MATCHER!$C$5:$C$504&lt;E305)*(MATCHER!$M$5:$M$504&gt;D305),0),0),"")</f>
        <v/>
      </c>
      <c r="S305" s="15" t="str">
        <f>IF(R305="","",IFERROR(MATCH(1,INDEX((MATCHER!$B$5:$B$504=A305)*(MATCHER!$D$5:$D$504=C305)*(MATCHER!$K$5:$K$504="Ja")*(MATCHER!$C$5:$C$504&lt;E305)*(MATCHER!$M$5:$M$504&gt;D305)*(ROW(MATCHER!$A$5:$A$504)-ROW(MATCHER!$A$5)+1&gt;R305),0),0),""))</f>
        <v/>
      </c>
      <c r="T305" s="15" t="str">
        <f>IF(S305="","",IFERROR(MATCH(1,INDEX((MATCHER!$B$5:$B$504=A305)*(MATCHER!$D$5:$D$504=C305)*(MATCHER!$K$5:$K$504="Ja")*(MATCHER!$C$5:$C$504&lt;E305)*(MATCHER!$M$5:$M$504&gt;D305)*(ROW(MATCHER!$A$5:$A$504)-ROW(MATCHER!$A$5)+1&gt;S305),0),0),""))</f>
        <v/>
      </c>
      <c r="U305" s="15">
        <f t="shared" si="63"/>
        <v>1</v>
      </c>
      <c r="V305" s="15">
        <f>IF(OR(I305&lt;&gt;"Ja",J305=""),"",COUNTIFS($O$5:O305,O305,$U$5:U305,1))</f>
        <v>2</v>
      </c>
      <c r="W305" s="15" t="str">
        <f t="shared" si="64"/>
        <v>2026-12-05 | Ulriksdalshallen|2</v>
      </c>
      <c r="X305" s="16" t="str">
        <f t="shared" si="65"/>
        <v/>
      </c>
      <c r="Y305" s="15">
        <f>IF(OR(I305&lt;&gt;"Ja",J305=""),0,IF(COUNTIFS($O$5:O305,O305,$I$5:I305,"Ja",$J$5:J305,"&lt;&gt;")=1,1,0))</f>
        <v>0</v>
      </c>
      <c r="Z305" s="15">
        <f>IF(OR(I305&lt;&gt;"Ja",J305=""),0,IF(COUNTIFS(O305:$O$546,O305,I305:$I$546,"Ja",J305:$J$546,"&lt;&gt;")=1,1,0))</f>
        <v>0</v>
      </c>
      <c r="AA305" s="15">
        <f t="shared" si="72"/>
        <v>2</v>
      </c>
      <c r="AB305" s="15">
        <f>IF(U305&lt;&gt;1,"",COUNTIF($U$5:U305,1))</f>
        <v>34</v>
      </c>
      <c r="AC305" s="15" t="str">
        <f t="shared" si="66"/>
        <v/>
      </c>
      <c r="AD305" s="15" t="str">
        <f t="shared" si="67"/>
        <v>Vanligt café</v>
      </c>
      <c r="AE305" s="15">
        <f t="shared" si="68"/>
        <v>1.5</v>
      </c>
      <c r="AF305" t="str">
        <f>IF(T305="","",IFERROR(MATCH(1,INDEX((MATCHER!$B$5:$B$504=A305)*(MATCHER!$D$5:$D$504=C305)*(MATCHER!$K$5:$K$504="Ja")*(MATCHER!$C$5:$C$504&lt;E305)*(MATCHER!$M$5:$M$504&gt;D305)*(ROW(MATCHER!$A$5:$A$504)-ROW(MATCHER!$A$5)+1&gt;T305),0),0),""))</f>
        <v/>
      </c>
    </row>
    <row r="306" spans="1:32" ht="26">
      <c r="A306" s="42">
        <v>46361</v>
      </c>
      <c r="B306" s="43" t="s">
        <v>85</v>
      </c>
      <c r="C306" s="43" t="s">
        <v>86</v>
      </c>
      <c r="D306" s="44">
        <v>0.66666666666666696</v>
      </c>
      <c r="E306" s="44">
        <v>0.6875</v>
      </c>
      <c r="F306" s="45" t="str">
        <f>IF(R306="","",HOUR(INDEX(MATCHER!$C$5:$C$504,R306))&amp;":"&amp;IF(MINUTE(INDEX(MATCHER!$C$5:$C$504,R306))&lt;10,"0","")&amp;MINUTE(INDEX(MATCHER!$C$5:$C$504,R306))&amp;" "&amp;INDEX(MATCHER!$H$5:$H$504,R306)&amp;" – "&amp;INDEX(MATCHER!$I$5:$I$504,R306))&amp;IF(S306="",""," | "&amp;HOUR(INDEX(MATCHER!$C$5:$C$504,S306))&amp;":"&amp;IF(MINUTE(INDEX(MATCHER!$C$5:$C$504,S306))&lt;10,"0","")&amp;MINUTE(INDEX(MATCHER!$C$5:$C$504,S306))&amp;" "&amp;INDEX(MATCHER!$H$5:$H$504,S306)&amp;" – "&amp;INDEX(MATCHER!$I$5:$I$504,S306))&amp;IF(T306="",""," | "&amp;HOUR(INDEX(MATCHER!$C$5:$C$504,T306))&amp;":"&amp;IF(MINUTE(INDEX(MATCHER!$C$5:$C$504,T306))&lt;10,"0","")&amp;MINUTE(INDEX(MATCHER!$C$5:$C$504,T306))&amp;" "&amp;INDEX(MATCHER!$H$5:$H$504,T306)&amp;" – "&amp;INDEX(MATCHER!$I$5:$I$504,T306))&amp;IF(AF306="",""," | "&amp;HOUR(INDEX(MATCHER!$C$5:$C$504,AF306))&amp;":"&amp;IF(MINUTE(INDEX(MATCHER!$C$5:$C$504,AF306))&lt;10,"0","")&amp;MINUTE(INDEX(MATCHER!$C$5:$C$504,AF306))&amp;" "&amp;INDEX(MATCHER!$H$5:$H$504,AF306)&amp;" – "&amp;INDEX(MATCHER!$I$5:$I$504,AF306))</f>
        <v>16:00 AIK 2 – Kungsängens Sportklubb 2</v>
      </c>
      <c r="G306" s="45" t="str">
        <f>MID(IF(R306="","",IF(OR(INDEX(MATCHER!$J$5:$J$504,R306)=""),""," / "&amp;INDEX(MATCHER!$J$5:$J$504,R306)))&amp;IF(S306="","",IF(OR(INDEX(MATCHER!$J$5:$J$504,S306)="",INDEX(MATCHER!$J$5:$J$504,S306)=IFERROR(INDEX(MATCHER!$J$5:$J$504,R306),"")),""," / "&amp;INDEX(MATCHER!$J$5:$J$504,S306)))&amp;IF(T306="","",IF(OR(INDEX(MATCHER!$J$5:$J$504,T306)="",INDEX(MATCHER!$J$5:$J$504,T306)=IFERROR(INDEX(MATCHER!$J$5:$J$504,R306),""),INDEX(MATCHER!$J$5:$J$504,T306)=IFERROR(INDEX(MATCHER!$J$5:$J$504,S306),"")),""," / "&amp;INDEX(MATCHER!$J$5:$J$504,T306)))&amp;IF(AF306="","",IF(OR(INDEX(MATCHER!$J$5:$J$504,AF306)="",INDEX(MATCHER!$J$5:$J$504,AF306)=IFERROR(INDEX(MATCHER!$J$5:$J$504,R306),""),INDEX(MATCHER!$J$5:$J$504,AF306)=IFERROR(INDEX(MATCHER!$J$5:$J$504,S306),""),INDEX(MATCHER!$J$5:$J$504,AF306)=IFERROR(INDEX(MATCHER!$J$5:$J$504,T306),"")),""," / "&amp;INDEX(MATCHER!$J$5:$J$504,AF306))),4,1000)</f>
        <v>F13 2</v>
      </c>
      <c r="H306" s="45" t="str">
        <f t="shared" si="71"/>
        <v>F10, F13</v>
      </c>
      <c r="I306" s="46" t="s">
        <v>90</v>
      </c>
      <c r="J306" s="47" t="s">
        <v>97</v>
      </c>
      <c r="K306" s="48"/>
      <c r="L306" s="49"/>
      <c r="M306" s="50" t="str">
        <f>IF(O306&lt;&gt;O305,MAX(1,MIN(AA306,ROUNDUP(SUMPRODUCT(($O$5:$O$546=O306)*($I$5:$I$546="Ja")*($E$5:$E$546-$D$5:$D$546))*24/REGLER!$B$8,0))),"")</f>
        <v/>
      </c>
      <c r="N306" s="50" t="str">
        <f t="shared" si="62"/>
        <v>Klar</v>
      </c>
      <c r="O306" s="15" t="s">
        <v>134</v>
      </c>
      <c r="P306" s="16">
        <v>0.33333333333333298</v>
      </c>
      <c r="Q306" s="16">
        <v>0.70833333333333304</v>
      </c>
      <c r="R306" s="15">
        <f>IFERROR(MATCH(1,INDEX((MATCHER!$B$5:$B$504=A306)*(MATCHER!$D$5:$D$504=C306)*(MATCHER!$K$5:$K$504="Ja")*(MATCHER!$C$5:$C$504&lt;E306)*(MATCHER!$M$5:$M$504&gt;D306),0),0),"")</f>
        <v>108</v>
      </c>
      <c r="S306" s="15" t="str">
        <f>IF(R306="","",IFERROR(MATCH(1,INDEX((MATCHER!$B$5:$B$504=A306)*(MATCHER!$D$5:$D$504=C306)*(MATCHER!$K$5:$K$504="Ja")*(MATCHER!$C$5:$C$504&lt;E306)*(MATCHER!$M$5:$M$504&gt;D306)*(ROW(MATCHER!$A$5:$A$504)-ROW(MATCHER!$A$5)+1&gt;R306),0),0),""))</f>
        <v/>
      </c>
      <c r="T306" s="15" t="str">
        <f>IF(S306="","",IFERROR(MATCH(1,INDEX((MATCHER!$B$5:$B$504=A306)*(MATCHER!$D$5:$D$504=C306)*(MATCHER!$K$5:$K$504="Ja")*(MATCHER!$C$5:$C$504&lt;E306)*(MATCHER!$M$5:$M$504&gt;D306)*(ROW(MATCHER!$A$5:$A$504)-ROW(MATCHER!$A$5)+1&gt;S306),0),0),""))</f>
        <v/>
      </c>
      <c r="U306" s="15">
        <f t="shared" si="63"/>
        <v>0</v>
      </c>
      <c r="V306" s="15">
        <f>IF(OR(I306&lt;&gt;"Ja",J306=""),"",COUNTIFS($O$5:O306,O306,$U$5:U306,1))</f>
        <v>2</v>
      </c>
      <c r="W306" s="15" t="str">
        <f t="shared" si="64"/>
        <v>2026-12-05 | Ulriksdalshallen|2</v>
      </c>
      <c r="X306" s="16" t="str">
        <f t="shared" si="65"/>
        <v/>
      </c>
      <c r="Y306" s="15">
        <f>IF(OR(I306&lt;&gt;"Ja",J306=""),0,IF(COUNTIFS($O$5:O306,O306,$I$5:I306,"Ja",$J$5:J306,"&lt;&gt;")=1,1,0))</f>
        <v>0</v>
      </c>
      <c r="Z306" s="15">
        <f>IF(OR(I306&lt;&gt;"Ja",J306=""),0,IF(COUNTIFS(O306:$O$546,O306,I306:$I$546,"Ja",J306:$J$546,"&lt;&gt;")=1,1,0))</f>
        <v>0</v>
      </c>
      <c r="AA306" s="15">
        <f t="shared" si="72"/>
        <v>2</v>
      </c>
      <c r="AB306" s="15" t="str">
        <f>IF(U306&lt;&gt;1,"",COUNTIF($U$5:U306,1))</f>
        <v/>
      </c>
      <c r="AC306" s="15" t="str">
        <f t="shared" si="66"/>
        <v/>
      </c>
      <c r="AD306" s="15" t="str">
        <f t="shared" si="67"/>
        <v>Vanligt café</v>
      </c>
      <c r="AE306" s="15" t="str">
        <f t="shared" si="68"/>
        <v/>
      </c>
      <c r="AF306" t="str">
        <f>IF(T306="","",IFERROR(MATCH(1,INDEX((MATCHER!$B$5:$B$504=A306)*(MATCHER!$D$5:$D$504=C306)*(MATCHER!$K$5:$K$504="Ja")*(MATCHER!$C$5:$C$504&lt;E306)*(MATCHER!$M$5:$M$504&gt;D306)*(ROW(MATCHER!$A$5:$A$504)-ROW(MATCHER!$A$5)+1&gt;T306),0),0),""))</f>
        <v/>
      </c>
    </row>
    <row r="307" spans="1:32" ht="26.5" thickBot="1">
      <c r="A307" s="52">
        <v>46361</v>
      </c>
      <c r="B307" s="53" t="s">
        <v>85</v>
      </c>
      <c r="C307" s="53" t="s">
        <v>86</v>
      </c>
      <c r="D307" s="54">
        <v>0.6875</v>
      </c>
      <c r="E307" s="54">
        <v>0.70833333333333304</v>
      </c>
      <c r="F307" s="55" t="str">
        <f>IF(R307="","",HOUR(INDEX(MATCHER!$C$5:$C$504,R307))&amp;":"&amp;IF(MINUTE(INDEX(MATCHER!$C$5:$C$504,R307))&lt;10,"0","")&amp;MINUTE(INDEX(MATCHER!$C$5:$C$504,R307))&amp;" "&amp;INDEX(MATCHER!$H$5:$H$504,R307)&amp;" – "&amp;INDEX(MATCHER!$I$5:$I$504,R307))&amp;IF(S307="",""," | "&amp;HOUR(INDEX(MATCHER!$C$5:$C$504,S307))&amp;":"&amp;IF(MINUTE(INDEX(MATCHER!$C$5:$C$504,S307))&lt;10,"0","")&amp;MINUTE(INDEX(MATCHER!$C$5:$C$504,S307))&amp;" "&amp;INDEX(MATCHER!$H$5:$H$504,S307)&amp;" – "&amp;INDEX(MATCHER!$I$5:$I$504,S307))&amp;IF(T307="",""," | "&amp;HOUR(INDEX(MATCHER!$C$5:$C$504,T307))&amp;":"&amp;IF(MINUTE(INDEX(MATCHER!$C$5:$C$504,T307))&lt;10,"0","")&amp;MINUTE(INDEX(MATCHER!$C$5:$C$504,T307))&amp;" "&amp;INDEX(MATCHER!$H$5:$H$504,T307)&amp;" – "&amp;INDEX(MATCHER!$I$5:$I$504,T307))&amp;IF(AF307="",""," | "&amp;HOUR(INDEX(MATCHER!$C$5:$C$504,AF307))&amp;":"&amp;IF(MINUTE(INDEX(MATCHER!$C$5:$C$504,AF307))&lt;10,"0","")&amp;MINUTE(INDEX(MATCHER!$C$5:$C$504,AF307))&amp;" "&amp;INDEX(MATCHER!$H$5:$H$504,AF307)&amp;" – "&amp;INDEX(MATCHER!$I$5:$I$504,AF307))</f>
        <v>16:00 AIK 2 – Kungsängens Sportklubb 2</v>
      </c>
      <c r="G307" s="55" t="str">
        <f>MID(IF(R307="","",IF(OR(INDEX(MATCHER!$J$5:$J$504,R307)=""),""," / "&amp;INDEX(MATCHER!$J$5:$J$504,R307)))&amp;IF(S307="","",IF(OR(INDEX(MATCHER!$J$5:$J$504,S307)="",INDEX(MATCHER!$J$5:$J$504,S307)=IFERROR(INDEX(MATCHER!$J$5:$J$504,R307),"")),""," / "&amp;INDEX(MATCHER!$J$5:$J$504,S307)))&amp;IF(T307="","",IF(OR(INDEX(MATCHER!$J$5:$J$504,T307)="",INDEX(MATCHER!$J$5:$J$504,T307)=IFERROR(INDEX(MATCHER!$J$5:$J$504,R307),""),INDEX(MATCHER!$J$5:$J$504,T307)=IFERROR(INDEX(MATCHER!$J$5:$J$504,S307),"")),""," / "&amp;INDEX(MATCHER!$J$5:$J$504,T307)))&amp;IF(AF307="","",IF(OR(INDEX(MATCHER!$J$5:$J$504,AF307)="",INDEX(MATCHER!$J$5:$J$504,AF307)=IFERROR(INDEX(MATCHER!$J$5:$J$504,R307),""),INDEX(MATCHER!$J$5:$J$504,AF307)=IFERROR(INDEX(MATCHER!$J$5:$J$504,S307),""),INDEX(MATCHER!$J$5:$J$504,AF307)=IFERROR(INDEX(MATCHER!$J$5:$J$504,T307),"")),""," / "&amp;INDEX(MATCHER!$J$5:$J$504,AF307))),4,1000)</f>
        <v>F13 2</v>
      </c>
      <c r="H307" s="55" t="str">
        <f t="shared" si="71"/>
        <v>F10, F13</v>
      </c>
      <c r="I307" s="56" t="s">
        <v>90</v>
      </c>
      <c r="J307" s="57" t="s">
        <v>97</v>
      </c>
      <c r="K307" s="58"/>
      <c r="L307" s="59"/>
      <c r="M307" s="60" t="str">
        <f>IF(O307&lt;&gt;O306,MAX(1,MIN(AA307,ROUNDUP(SUMPRODUCT(($O$5:$O$546=O307)*($I$5:$I$546="Ja")*($E$5:$E$546-$D$5:$D$546))*24/REGLER!$B$8,0))),"")</f>
        <v/>
      </c>
      <c r="N307" s="60" t="str">
        <f t="shared" si="62"/>
        <v>Klar</v>
      </c>
      <c r="O307" s="15" t="s">
        <v>134</v>
      </c>
      <c r="P307" s="16">
        <v>0.33333333333333298</v>
      </c>
      <c r="Q307" s="16">
        <v>0.70833333333333304</v>
      </c>
      <c r="R307" s="15">
        <f>IFERROR(MATCH(1,INDEX((MATCHER!$B$5:$B$504=A307)*(MATCHER!$D$5:$D$504=C307)*(MATCHER!$K$5:$K$504="Ja")*(MATCHER!$C$5:$C$504&lt;E307)*(MATCHER!$M$5:$M$504&gt;D307),0),0),"")</f>
        <v>108</v>
      </c>
      <c r="S307" s="15" t="str">
        <f>IF(R307="","",IFERROR(MATCH(1,INDEX((MATCHER!$B$5:$B$504=A307)*(MATCHER!$D$5:$D$504=C307)*(MATCHER!$K$5:$K$504="Ja")*(MATCHER!$C$5:$C$504&lt;E307)*(MATCHER!$M$5:$M$504&gt;D307)*(ROW(MATCHER!$A$5:$A$504)-ROW(MATCHER!$A$5)+1&gt;R307),0),0),""))</f>
        <v/>
      </c>
      <c r="T307" s="15" t="str">
        <f>IF(S307="","",IFERROR(MATCH(1,INDEX((MATCHER!$B$5:$B$504=A307)*(MATCHER!$D$5:$D$504=C307)*(MATCHER!$K$5:$K$504="Ja")*(MATCHER!$C$5:$C$504&lt;E307)*(MATCHER!$M$5:$M$504&gt;D307)*(ROW(MATCHER!$A$5:$A$504)-ROW(MATCHER!$A$5)+1&gt;S307),0),0),""))</f>
        <v/>
      </c>
      <c r="U307" s="15">
        <f t="shared" si="63"/>
        <v>0</v>
      </c>
      <c r="V307" s="15">
        <f>IF(OR(I307&lt;&gt;"Ja",J307=""),"",COUNTIFS($O$5:O307,O307,$U$5:U307,1))</f>
        <v>2</v>
      </c>
      <c r="W307" s="15" t="str">
        <f t="shared" si="64"/>
        <v>2026-12-05 | Ulriksdalshallen|2</v>
      </c>
      <c r="X307" s="16">
        <f t="shared" si="65"/>
        <v>0.70833333333333304</v>
      </c>
      <c r="Y307" s="15">
        <f>IF(OR(I307&lt;&gt;"Ja",J307=""),0,IF(COUNTIFS($O$5:O307,O307,$I$5:I307,"Ja",$J$5:J307,"&lt;&gt;")=1,1,0))</f>
        <v>0</v>
      </c>
      <c r="Z307" s="15">
        <f>IF(OR(I307&lt;&gt;"Ja",J307=""),0,IF(COUNTIFS(O307:$O$546,O307,I307:$I$546,"Ja",J307:$J$546,"&lt;&gt;")=1,1,0))</f>
        <v>1</v>
      </c>
      <c r="AA307" s="15">
        <f t="shared" si="72"/>
        <v>2</v>
      </c>
      <c r="AB307" s="15" t="str">
        <f>IF(U307&lt;&gt;1,"",COUNTIF($U$5:U307,1))</f>
        <v/>
      </c>
      <c r="AC307" s="15" t="str">
        <f t="shared" si="66"/>
        <v>2026-12-05 | Ulriksdalshallen|2</v>
      </c>
      <c r="AD307" s="15" t="str">
        <f t="shared" si="67"/>
        <v>Vanligt café</v>
      </c>
      <c r="AE307" s="15" t="str">
        <f t="shared" si="68"/>
        <v/>
      </c>
      <c r="AF307" t="str">
        <f>IF(T307="","",IFERROR(MATCH(1,INDEX((MATCHER!$B$5:$B$504=A307)*(MATCHER!$D$5:$D$504=C307)*(MATCHER!$K$5:$K$504="Ja")*(MATCHER!$C$5:$C$504&lt;E307)*(MATCHER!$M$5:$M$504&gt;D307)*(ROW(MATCHER!$A$5:$A$504)-ROW(MATCHER!$A$5)+1&gt;T307),0),0),""))</f>
        <v/>
      </c>
    </row>
    <row r="308" spans="1:32" ht="26">
      <c r="A308" s="61">
        <v>46368</v>
      </c>
      <c r="B308" s="62" t="s">
        <v>85</v>
      </c>
      <c r="C308" s="62" t="s">
        <v>110</v>
      </c>
      <c r="D308" s="63">
        <v>0.33333333333333298</v>
      </c>
      <c r="E308" s="63">
        <v>0.35416666666666702</v>
      </c>
      <c r="F308" s="64" t="str">
        <f>IF(R308="","",HOUR(INDEX(MATCHER!$C$5:$C$504,R308))&amp;":"&amp;IF(MINUTE(INDEX(MATCHER!$C$5:$C$504,R308))&lt;10,"0","")&amp;MINUTE(INDEX(MATCHER!$C$5:$C$504,R308))&amp;" "&amp;INDEX(MATCHER!$H$5:$H$504,R308)&amp;" – "&amp;INDEX(MATCHER!$I$5:$I$504,R308))&amp;IF(S308="",""," | "&amp;HOUR(INDEX(MATCHER!$C$5:$C$504,S308))&amp;":"&amp;IF(MINUTE(INDEX(MATCHER!$C$5:$C$504,S308))&lt;10,"0","")&amp;MINUTE(INDEX(MATCHER!$C$5:$C$504,S308))&amp;" "&amp;INDEX(MATCHER!$H$5:$H$504,S308)&amp;" – "&amp;INDEX(MATCHER!$I$5:$I$504,S308))&amp;IF(T308="",""," | "&amp;HOUR(INDEX(MATCHER!$C$5:$C$504,T308))&amp;":"&amp;IF(MINUTE(INDEX(MATCHER!$C$5:$C$504,T308))&lt;10,"0","")&amp;MINUTE(INDEX(MATCHER!$C$5:$C$504,T308))&amp;" "&amp;INDEX(MATCHER!$H$5:$H$504,T308)&amp;" – "&amp;INDEX(MATCHER!$I$5:$I$504,T308))&amp;IF(AF308="",""," | "&amp;HOUR(INDEX(MATCHER!$C$5:$C$504,AF308))&amp;":"&amp;IF(MINUTE(INDEX(MATCHER!$C$5:$C$504,AF308))&lt;10,"0","")&amp;MINUTE(INDEX(MATCHER!$C$5:$C$504,AF308))&amp;" "&amp;INDEX(MATCHER!$H$5:$H$504,AF308)&amp;" – "&amp;INDEX(MATCHER!$I$5:$I$504,AF308))</f>
        <v/>
      </c>
      <c r="G308" s="64" t="str">
        <f>MID(IF(R308="","",IF(OR(INDEX(MATCHER!$J$5:$J$504,R308)=""),""," / "&amp;INDEX(MATCHER!$J$5:$J$504,R308)))&amp;IF(S308="","",IF(OR(INDEX(MATCHER!$J$5:$J$504,S308)="",INDEX(MATCHER!$J$5:$J$504,S308)=IFERROR(INDEX(MATCHER!$J$5:$J$504,R308),"")),""," / "&amp;INDEX(MATCHER!$J$5:$J$504,S308)))&amp;IF(T308="","",IF(OR(INDEX(MATCHER!$J$5:$J$504,T308)="",INDEX(MATCHER!$J$5:$J$504,T308)=IFERROR(INDEX(MATCHER!$J$5:$J$504,R308),""),INDEX(MATCHER!$J$5:$J$504,T308)=IFERROR(INDEX(MATCHER!$J$5:$J$504,S308),"")),""," / "&amp;INDEX(MATCHER!$J$5:$J$504,T308)))&amp;IF(AF308="","",IF(OR(INDEX(MATCHER!$J$5:$J$504,AF308)="",INDEX(MATCHER!$J$5:$J$504,AF308)=IFERROR(INDEX(MATCHER!$J$5:$J$504,R308),""),INDEX(MATCHER!$J$5:$J$504,AF308)=IFERROR(INDEX(MATCHER!$J$5:$J$504,S308),""),INDEX(MATCHER!$J$5:$J$504,AF308)=IFERROR(INDEX(MATCHER!$J$5:$J$504,T308),"")),""," / "&amp;INDEX(MATCHER!$J$5:$J$504,AF308))),4,1000)</f>
        <v/>
      </c>
      <c r="H308" s="64" t="str">
        <f>MID(IF(COUNTIFS(MATCHER!$B$5:$B$504,A308,MATCHER!$D$5:$D$504,C308,MATCHER!$J$5:$J$504,REGLER!$I$6,MATCHER!$K$5:$K$504,"Ja")+COUNTIFS(MATCHER!$B$5:$B$504,A308,MATCHER!$D$5:$D$504,C308,MATCHER!$J$5:$J$504,REGLER!$I$6&amp;" 2",MATCHER!$K$5:$K$504,"Ja")&gt;0,", "&amp;REGLER!$I$6,"")&amp;IF(COUNTIFS(MATCHER!$B$5:$B$504,A308,MATCHER!$D$5:$D$504,C308,MATCHER!$J$5:$J$504,REGLER!$I$7,MATCHER!$K$5:$K$504,"Ja")+COUNTIFS(MATCHER!$B$5:$B$504,A308,MATCHER!$D$5:$D$504,C308,MATCHER!$J$5:$J$504,REGLER!$I$7&amp;" 2",MATCHER!$K$5:$K$504,"Ja")&gt;0,", "&amp;REGLER!$I$7,"")&amp;IF(COUNTIFS(MATCHER!$B$5:$B$504,A308,MATCHER!$D$5:$D$504,C308,MATCHER!$J$5:$J$504,REGLER!$I$8,MATCHER!$K$5:$K$504,"Ja")+COUNTIFS(MATCHER!$B$5:$B$504,A308,MATCHER!$D$5:$D$504,C308,MATCHER!$J$5:$J$504,REGLER!$I$8&amp;" 2",MATCHER!$K$5:$K$504,"Ja")&gt;0,", "&amp;REGLER!$I$8,"")&amp;IF(COUNTIFS(MATCHER!$B$5:$B$504,A308,MATCHER!$D$5:$D$504,C308,MATCHER!$J$5:$J$504,REGLER!$I$9,MATCHER!$K$5:$K$504,"Ja")+COUNTIFS(MATCHER!$B$5:$B$504,A308,MATCHER!$D$5:$D$504,C308,MATCHER!$J$5:$J$504,REGLER!$I$9&amp;" 2",MATCHER!$K$5:$K$504,"Ja")&gt;0,", "&amp;REGLER!$I$9,"")&amp;IF(COUNTIFS(MATCHER!$B$5:$B$504,A308,MATCHER!$D$5:$D$504,C308,MATCHER!$J$5:$J$504,REGLER!$I$10,MATCHER!$K$5:$K$504,"Ja")+COUNTIFS(MATCHER!$B$5:$B$504,A308,MATCHER!$D$5:$D$504,C308,MATCHER!$J$5:$J$504,REGLER!$I$10&amp;" 2",MATCHER!$K$5:$K$504,"Ja")&gt;0,", "&amp;REGLER!$I$10,"")&amp;IF(COUNTIFS(MATCHER!$B$5:$B$504,A308,MATCHER!$D$5:$D$504,C308,MATCHER!$J$5:$J$504,REGLER!$I$11,MATCHER!$K$5:$K$504,"Ja")+COUNTIFS(MATCHER!$B$5:$B$504,A308,MATCHER!$D$5:$D$504,C308,MATCHER!$J$5:$J$504,REGLER!$I$11&amp;" 2",MATCHER!$K$5:$K$504,"Ja")&gt;0,", "&amp;REGLER!$I$11,"")&amp;IF(COUNTIFS(MATCHER!$B$5:$B$504,A308,MATCHER!$D$5:$D$504,C308,MATCHER!$J$5:$J$504,REGLER!$I$12,MATCHER!$K$5:$K$504,"Ja")+COUNTIFS(MATCHER!$B$5:$B$504,A308,MATCHER!$D$5:$D$504,C308,MATCHER!$J$5:$J$504,REGLER!$I$12&amp;" 2",MATCHER!$K$5:$K$504,"Ja")&gt;0,", "&amp;REGLER!$I$12,"")&amp;IF(COUNTIFS(MATCHER!$B$5:$B$504,A308,MATCHER!$D$5:$D$504,C308,MATCHER!$J$5:$J$504,REGLER!$I$13,MATCHER!$K$5:$K$504,"Ja")+COUNTIFS(MATCHER!$B$5:$B$504,A308,MATCHER!$D$5:$D$504,C308,MATCHER!$J$5:$J$504,REGLER!$I$13&amp;" 2",MATCHER!$K$5:$K$504,"Ja")&gt;0,", "&amp;REGLER!$I$13,"")&amp;IF(COUNTIFS(MATCHER!$B$5:$B$504,A308,MATCHER!$D$5:$D$504,C308,MATCHER!$J$5:$J$504,REGLER!$I$14,MATCHER!$K$5:$K$504,"Ja")+COUNTIFS(MATCHER!$B$5:$B$504,A308,MATCHER!$D$5:$D$504,C308,MATCHER!$J$5:$J$504,REGLER!$I$14&amp;" 2",MATCHER!$K$5:$K$504,"Ja")&gt;0,", "&amp;REGLER!$I$14,"")&amp;IF(COUNTIFS(MATCHER!$B$5:$B$504,A308,MATCHER!$D$5:$D$504,C308,MATCHER!$J$5:$J$504,REGLER!$I$15,MATCHER!$K$5:$K$504,"Ja")+COUNTIFS(MATCHER!$B$5:$B$504,A308,MATCHER!$D$5:$D$504,C308,MATCHER!$J$5:$J$504,REGLER!$I$15&amp;" 2",MATCHER!$K$5:$K$504,"Ja")&gt;0,", "&amp;REGLER!$I$15,"")&amp;IF(COUNTIFS(MATCHER!$B$5:$B$504,A308,MATCHER!$D$5:$D$504,C308,MATCHER!$J$5:$J$504,REGLER!$I$16,MATCHER!$K$5:$K$504,"Ja")+COUNTIFS(MATCHER!$B$5:$B$504,A308,MATCHER!$D$5:$D$504,C308,MATCHER!$J$5:$J$504,REGLER!$I$16&amp;" 2",MATCHER!$K$5:$K$504,"Ja")&gt;0,", "&amp;REGLER!$I$16,"")&amp;IF(COUNTIFS(MATCHER!$B$5:$B$504,A308,MATCHER!$D$5:$D$504,C308,MATCHER!$J$5:$J$504,REGLER!$I$17,MATCHER!$K$5:$K$504,"Ja")+COUNTIFS(MATCHER!$B$5:$B$504,A308,MATCHER!$D$5:$D$504,C308,MATCHER!$J$5:$J$504,REGLER!$I$17&amp;" 2",MATCHER!$K$5:$K$504,"Ja")&gt;0,", "&amp;REGLER!$I$17,"")&amp;IF(COUNTIFS(MATCHER!$B$5:$B$504,A308,MATCHER!$D$5:$D$504,C308,MATCHER!$J$5:$J$504,REGLER!$I$18,MATCHER!$K$5:$K$504,"Ja")+COUNTIFS(MATCHER!$B$5:$B$504,A308,MATCHER!$D$5:$D$504,C308,MATCHER!$J$5:$J$504,REGLER!$I$18&amp;" 2",MATCHER!$K$5:$K$504,"Ja")&gt;0,", "&amp;REGLER!$I$18,"")&amp;IF(COUNTIFS(MATCHER!$B$5:$B$504,A308,MATCHER!$D$5:$D$504,C308,MATCHER!$J$5:$J$504,REGLER!$I$19,MATCHER!$K$5:$K$504,"Ja")+COUNTIFS(MATCHER!$B$5:$B$504,A308,MATCHER!$D$5:$D$504,C308,MATCHER!$J$5:$J$504,REGLER!$I$19&amp;" 2",MATCHER!$K$5:$K$504,"Ja")&gt;0,", "&amp;REGLER!$I$19,"")&amp;IF(COUNTIFS(MATCHER!$B$5:$B$504,A308,MATCHER!$D$5:$D$504,C308,MATCHER!$J$5:$J$504,REGLER!$I$20,MATCHER!$K$5:$K$504,"Ja")+COUNTIFS(MATCHER!$B$5:$B$504,A308,MATCHER!$D$5:$D$504,C308,MATCHER!$J$5:$J$504,REGLER!$I$20&amp;" 2",MATCHER!$K$5:$K$504,"Ja")&gt;0,", "&amp;REGLER!$I$20,"")&amp;IF(COUNTIFS(MATCHER!$B$5:$B$504,A308,MATCHER!$D$5:$D$504,C308,MATCHER!$J$5:$J$504,REGLER!$I$21,MATCHER!$K$5:$K$504,"Ja")+COUNTIFS(MATCHER!$B$5:$B$504,A308,MATCHER!$D$5:$D$504,C308,MATCHER!$J$5:$J$504,REGLER!$I$21&amp;" 2",MATCHER!$K$5:$K$504,"Ja")&gt;0,", "&amp;REGLER!$I$21,"")&amp;IF(COUNTIFS(MATCHER!$B$5:$B$504,A308,MATCHER!$D$5:$D$504,C308,MATCHER!$J$5:$J$504,REGLER!$I$22,MATCHER!$K$5:$K$504,"Ja")+COUNTIFS(MATCHER!$B$5:$B$504,A308,MATCHER!$D$5:$D$504,C308,MATCHER!$J$5:$J$504,REGLER!$I$22&amp;" 2",MATCHER!$K$5:$K$504,"Ja")&gt;0,", "&amp;REGLER!$I$22,"")&amp;IF(COUNTIFS(MATCHER!$B$5:$B$504,A308,MATCHER!$D$5:$D$504,C308,MATCHER!$J$5:$J$504,REGLER!$I$23,MATCHER!$K$5:$K$504,"Ja")+COUNTIFS(MATCHER!$B$5:$B$504,A308,MATCHER!$D$5:$D$504,C308,MATCHER!$J$5:$J$504,REGLER!$I$23&amp;" 2",MATCHER!$K$5:$K$504,"Ja")&gt;0,", "&amp;REGLER!$I$23,"")&amp;IF(COUNTIFS(MATCHER!$B$5:$B$504,A308,MATCHER!$D$5:$D$504,C308,MATCHER!$J$5:$J$504,REGLER!$I$24,MATCHER!$K$5:$K$504,"Ja")+COUNTIFS(MATCHER!$B$5:$B$504,A308,MATCHER!$D$5:$D$504,C308,MATCHER!$J$5:$J$504,REGLER!$I$24&amp;" 2",MATCHER!$K$5:$K$504,"Ja")&gt;0,", "&amp;REGLER!$I$24,"")&amp;IF(COUNTIFS(MATCHER!$B$5:$B$504,A308,MATCHER!$D$5:$D$504,C308,MATCHER!$J$5:$J$504,REGLER!$I$25,MATCHER!$K$5:$K$504,"Ja")+COUNTIFS(MATCHER!$B$5:$B$504,A308,MATCHER!$D$5:$D$504,C308,MATCHER!$J$5:$J$504,REGLER!$I$25&amp;" 2",MATCHER!$K$5:$K$504,"Ja")&gt;0,", "&amp;REGLER!$I$25,"")&amp;IF(COUNTIFS(MATCHER!$B$5:$B$504,A308,MATCHER!$D$5:$D$504,C308,MATCHER!$J$5:$J$504,REGLER!$I$26,MATCHER!$K$5:$K$504,"Ja")+COUNTIFS(MATCHER!$B$5:$B$504,A308,MATCHER!$D$5:$D$504,C308,MATCHER!$J$5:$J$504,REGLER!$I$26&amp;" 2",MATCHER!$K$5:$K$504,"Ja")&gt;0,", "&amp;REGLER!$I$26,""),3,1000)</f>
        <v>F9, F13</v>
      </c>
      <c r="I308" s="65" t="s">
        <v>90</v>
      </c>
      <c r="J308" s="66" t="s">
        <v>135</v>
      </c>
      <c r="K308" s="67" t="s">
        <v>88</v>
      </c>
      <c r="L308" s="68"/>
      <c r="M308" s="69">
        <f>IF(O308&lt;&gt;O307,MAX(1,MIN(AA308,ROUNDUP(SUMPRODUCT(($O$5:$O$546=O308)*($I$5:$I$546="Ja")*($E$5:$E$546-$D$5:$D$546))*24/REGLER!$B$8,0))),"")</f>
        <v>2</v>
      </c>
      <c r="N308" s="70" t="str">
        <f t="shared" si="62"/>
        <v>Klar</v>
      </c>
      <c r="O308" s="15" t="s">
        <v>136</v>
      </c>
      <c r="P308" s="16">
        <v>0.33333333333333298</v>
      </c>
      <c r="Q308" s="16">
        <v>0.58333333333333304</v>
      </c>
      <c r="R308" s="15" t="str">
        <f>IFERROR(MATCH(1,INDEX((MATCHER!$B$5:$B$504=A308)*(MATCHER!$D$5:$D$504=C308)*(MATCHER!$K$5:$K$504="Ja")*(MATCHER!$C$5:$C$504&lt;E308)*(MATCHER!$M$5:$M$504&gt;D308),0),0),"")</f>
        <v/>
      </c>
      <c r="S308" s="15" t="str">
        <f>IF(R308="","",IFERROR(MATCH(1,INDEX((MATCHER!$B$5:$B$504=A308)*(MATCHER!$D$5:$D$504=C308)*(MATCHER!$K$5:$K$504="Ja")*(MATCHER!$C$5:$C$504&lt;E308)*(MATCHER!$M$5:$M$504&gt;D308)*(ROW(MATCHER!$A$5:$A$504)-ROW(MATCHER!$A$5)+1&gt;R308),0),0),""))</f>
        <v/>
      </c>
      <c r="T308" s="15" t="str">
        <f>IF(S308="","",IFERROR(MATCH(1,INDEX((MATCHER!$B$5:$B$504=A308)*(MATCHER!$D$5:$D$504=C308)*(MATCHER!$K$5:$K$504="Ja")*(MATCHER!$C$5:$C$504&lt;E308)*(MATCHER!$M$5:$M$504&gt;D308)*(ROW(MATCHER!$A$5:$A$504)-ROW(MATCHER!$A$5)+1&gt;S308),0),0),""))</f>
        <v/>
      </c>
      <c r="U308" s="15">
        <f t="shared" si="63"/>
        <v>1</v>
      </c>
      <c r="V308" s="15">
        <f>IF(OR(I308&lt;&gt;"Ja",J308=""),"",COUNTIFS($O$5:O308,O308,$U$5:U308,1))</f>
        <v>1</v>
      </c>
      <c r="W308" s="15" t="str">
        <f t="shared" si="64"/>
        <v>2026-12-12 | Tallbackaskolan|1</v>
      </c>
      <c r="X308" s="16" t="str">
        <f t="shared" si="65"/>
        <v/>
      </c>
      <c r="Y308" s="15">
        <f>IF(OR(I308&lt;&gt;"Ja",J308=""),0,IF(COUNTIFS($O$5:O308,O308,$I$5:I308,"Ja",$J$5:J308,"&lt;&gt;")=1,1,0))</f>
        <v>1</v>
      </c>
      <c r="Z308" s="15">
        <f>IF(OR(I308&lt;&gt;"Ja",J308=""),0,IF(COUNTIFS(O308:$O$546,O308,I308:$I$546,"Ja",J308:$J$546,"&lt;&gt;")=1,1,0))</f>
        <v>0</v>
      </c>
      <c r="AA308" s="15">
        <f>IF(COUNTIFS(MATCHER!$B$5:$B$504,A308,MATCHER!$D$5:$D$504,C308,MATCHER!$J$5:$J$504,REGLER!$I$6,MATCHER!$K$5:$K$504,"Ja")+COUNTIFS(MATCHER!$B$5:$B$504,A308,MATCHER!$D$5:$D$504,C308,MATCHER!$J$5:$J$504,REGLER!$I$6&amp;" 2",MATCHER!$K$5:$K$504,"Ja")&gt;0,1,0)+IF(COUNTIFS(MATCHER!$B$5:$B$504,A308,MATCHER!$D$5:$D$504,C308,MATCHER!$J$5:$J$504,REGLER!$I$7,MATCHER!$K$5:$K$504,"Ja")+COUNTIFS(MATCHER!$B$5:$B$504,A308,MATCHER!$D$5:$D$504,C308,MATCHER!$J$5:$J$504,REGLER!$I$7&amp;" 2",MATCHER!$K$5:$K$504,"Ja")&gt;0,1,0)+IF(COUNTIFS(MATCHER!$B$5:$B$504,A308,MATCHER!$D$5:$D$504,C308,MATCHER!$J$5:$J$504,REGLER!$I$8,MATCHER!$K$5:$K$504,"Ja")+COUNTIFS(MATCHER!$B$5:$B$504,A308,MATCHER!$D$5:$D$504,C308,MATCHER!$J$5:$J$504,REGLER!$I$8&amp;" 2",MATCHER!$K$5:$K$504,"Ja")&gt;0,1,0)+IF(COUNTIFS(MATCHER!$B$5:$B$504,A308,MATCHER!$D$5:$D$504,C308,MATCHER!$J$5:$J$504,REGLER!$I$9,MATCHER!$K$5:$K$504,"Ja")+COUNTIFS(MATCHER!$B$5:$B$504,A308,MATCHER!$D$5:$D$504,C308,MATCHER!$J$5:$J$504,REGLER!$I$9&amp;" 2",MATCHER!$K$5:$K$504,"Ja")&gt;0,1,0)+IF(COUNTIFS(MATCHER!$B$5:$B$504,A308,MATCHER!$D$5:$D$504,C308,MATCHER!$J$5:$J$504,REGLER!$I$10,MATCHER!$K$5:$K$504,"Ja")+COUNTIFS(MATCHER!$B$5:$B$504,A308,MATCHER!$D$5:$D$504,C308,MATCHER!$J$5:$J$504,REGLER!$I$10&amp;" 2",MATCHER!$K$5:$K$504,"Ja")&gt;0,1,0)+IF(COUNTIFS(MATCHER!$B$5:$B$504,A308,MATCHER!$D$5:$D$504,C308,MATCHER!$J$5:$J$504,REGLER!$I$11,MATCHER!$K$5:$K$504,"Ja")+COUNTIFS(MATCHER!$B$5:$B$504,A308,MATCHER!$D$5:$D$504,C308,MATCHER!$J$5:$J$504,REGLER!$I$11&amp;" 2",MATCHER!$K$5:$K$504,"Ja")&gt;0,1,0)+IF(COUNTIFS(MATCHER!$B$5:$B$504,A308,MATCHER!$D$5:$D$504,C308,MATCHER!$J$5:$J$504,REGLER!$I$12,MATCHER!$K$5:$K$504,"Ja")+COUNTIFS(MATCHER!$B$5:$B$504,A308,MATCHER!$D$5:$D$504,C308,MATCHER!$J$5:$J$504,REGLER!$I$12&amp;" 2",MATCHER!$K$5:$K$504,"Ja")&gt;0,1,0)+IF(COUNTIFS(MATCHER!$B$5:$B$504,A308,MATCHER!$D$5:$D$504,C308,MATCHER!$J$5:$J$504,REGLER!$I$13,MATCHER!$K$5:$K$504,"Ja")+COUNTIFS(MATCHER!$B$5:$B$504,A308,MATCHER!$D$5:$D$504,C308,MATCHER!$J$5:$J$504,REGLER!$I$13&amp;" 2",MATCHER!$K$5:$K$504,"Ja")&gt;0,1,0)+IF(COUNTIFS(MATCHER!$B$5:$B$504,A308,MATCHER!$D$5:$D$504,C308,MATCHER!$J$5:$J$504,REGLER!$I$14,MATCHER!$K$5:$K$504,"Ja")+COUNTIFS(MATCHER!$B$5:$B$504,A308,MATCHER!$D$5:$D$504,C308,MATCHER!$J$5:$J$504,REGLER!$I$14&amp;" 2",MATCHER!$K$5:$K$504,"Ja")&gt;0,1,0)+IF(COUNTIFS(MATCHER!$B$5:$B$504,A308,MATCHER!$D$5:$D$504,C308,MATCHER!$J$5:$J$504,REGLER!$I$15,MATCHER!$K$5:$K$504,"Ja")+COUNTIFS(MATCHER!$B$5:$B$504,A308,MATCHER!$D$5:$D$504,C308,MATCHER!$J$5:$J$504,REGLER!$I$15&amp;" 2",MATCHER!$K$5:$K$504,"Ja")&gt;0,1,0)+IF(COUNTIFS(MATCHER!$B$5:$B$504,A308,MATCHER!$D$5:$D$504,C308,MATCHER!$J$5:$J$504,REGLER!$I$16,MATCHER!$K$5:$K$504,"Ja")+COUNTIFS(MATCHER!$B$5:$B$504,A308,MATCHER!$D$5:$D$504,C308,MATCHER!$J$5:$J$504,REGLER!$I$16&amp;" 2",MATCHER!$K$5:$K$504,"Ja")&gt;0,1,0)+IF(COUNTIFS(MATCHER!$B$5:$B$504,A308,MATCHER!$D$5:$D$504,C308,MATCHER!$J$5:$J$504,REGLER!$I$17,MATCHER!$K$5:$K$504,"Ja")+COUNTIFS(MATCHER!$B$5:$B$504,A308,MATCHER!$D$5:$D$504,C308,MATCHER!$J$5:$J$504,REGLER!$I$17&amp;" 2",MATCHER!$K$5:$K$504,"Ja")&gt;0,1,0)+IF(COUNTIFS(MATCHER!$B$5:$B$504,A308,MATCHER!$D$5:$D$504,C308,MATCHER!$J$5:$J$504,REGLER!$I$18,MATCHER!$K$5:$K$504,"Ja")+COUNTIFS(MATCHER!$B$5:$B$504,A308,MATCHER!$D$5:$D$504,C308,MATCHER!$J$5:$J$504,REGLER!$I$18&amp;" 2",MATCHER!$K$5:$K$504,"Ja")&gt;0,1,0)+IF(COUNTIFS(MATCHER!$B$5:$B$504,A308,MATCHER!$D$5:$D$504,C308,MATCHER!$J$5:$J$504,REGLER!$I$19,MATCHER!$K$5:$K$504,"Ja")+COUNTIFS(MATCHER!$B$5:$B$504,A308,MATCHER!$D$5:$D$504,C308,MATCHER!$J$5:$J$504,REGLER!$I$19&amp;" 2",MATCHER!$K$5:$K$504,"Ja")&gt;0,1,0)+IF(COUNTIFS(MATCHER!$B$5:$B$504,A308,MATCHER!$D$5:$D$504,C308,MATCHER!$J$5:$J$504,REGLER!$I$20,MATCHER!$K$5:$K$504,"Ja")+COUNTIFS(MATCHER!$B$5:$B$504,A308,MATCHER!$D$5:$D$504,C308,MATCHER!$J$5:$J$504,REGLER!$I$20&amp;" 2",MATCHER!$K$5:$K$504,"Ja")&gt;0,1,0)+IF(COUNTIFS(MATCHER!$B$5:$B$504,A308,MATCHER!$D$5:$D$504,C308,MATCHER!$J$5:$J$504,REGLER!$I$21,MATCHER!$K$5:$K$504,"Ja")+COUNTIFS(MATCHER!$B$5:$B$504,A308,MATCHER!$D$5:$D$504,C308,MATCHER!$J$5:$J$504,REGLER!$I$21&amp;" 2",MATCHER!$K$5:$K$504,"Ja")&gt;0,1,0)+IF(COUNTIFS(MATCHER!$B$5:$B$504,A308,MATCHER!$D$5:$D$504,C308,MATCHER!$J$5:$J$504,REGLER!$I$22,MATCHER!$K$5:$K$504,"Ja")+COUNTIFS(MATCHER!$B$5:$B$504,A308,MATCHER!$D$5:$D$504,C308,MATCHER!$J$5:$J$504,REGLER!$I$22&amp;" 2",MATCHER!$K$5:$K$504,"Ja")&gt;0,1,0)+IF(COUNTIFS(MATCHER!$B$5:$B$504,A308,MATCHER!$D$5:$D$504,C308,MATCHER!$J$5:$J$504,REGLER!$I$23,MATCHER!$K$5:$K$504,"Ja")+COUNTIFS(MATCHER!$B$5:$B$504,A308,MATCHER!$D$5:$D$504,C308,MATCHER!$J$5:$J$504,REGLER!$I$23&amp;" 2",MATCHER!$K$5:$K$504,"Ja")&gt;0,1,0)+IF(COUNTIFS(MATCHER!$B$5:$B$504,A308,MATCHER!$D$5:$D$504,C308,MATCHER!$J$5:$J$504,REGLER!$I$24,MATCHER!$K$5:$K$504,"Ja")+COUNTIFS(MATCHER!$B$5:$B$504,A308,MATCHER!$D$5:$D$504,C308,MATCHER!$J$5:$J$504,REGLER!$I$24&amp;" 2",MATCHER!$K$5:$K$504,"Ja")&gt;0,1,0)+IF(COUNTIFS(MATCHER!$B$5:$B$504,A308,MATCHER!$D$5:$D$504,C308,MATCHER!$J$5:$J$504,REGLER!$I$25,MATCHER!$K$5:$K$504,"Ja")+COUNTIFS(MATCHER!$B$5:$B$504,A308,MATCHER!$D$5:$D$504,C308,MATCHER!$J$5:$J$504,REGLER!$I$25&amp;" 2",MATCHER!$K$5:$K$504,"Ja")&gt;0,1,0)+IF(COUNTIFS(MATCHER!$B$5:$B$504,A308,MATCHER!$D$5:$D$504,C308,MATCHER!$J$5:$J$504,REGLER!$I$26,MATCHER!$K$5:$K$504,"Ja")+COUNTIFS(MATCHER!$B$5:$B$504,A308,MATCHER!$D$5:$D$504,C308,MATCHER!$J$5:$J$504,REGLER!$I$26&amp;" 2",MATCHER!$K$5:$K$504,"Ja")&gt;0,1,0)</f>
        <v>2</v>
      </c>
      <c r="AB308" s="15">
        <f>IF(U308&lt;&gt;1,"",COUNTIF($U$5:U308,1))</f>
        <v>35</v>
      </c>
      <c r="AC308" s="15" t="str">
        <f t="shared" si="66"/>
        <v/>
      </c>
      <c r="AD308" s="15" t="str">
        <f t="shared" si="67"/>
        <v>Vanligt café</v>
      </c>
      <c r="AE308" s="15">
        <f t="shared" si="68"/>
        <v>4.0000000000000089</v>
      </c>
      <c r="AF308" t="str">
        <f>IF(T308="","",IFERROR(MATCH(1,INDEX((MATCHER!$B$5:$B$504=A308)*(MATCHER!$D$5:$D$504=C308)*(MATCHER!$K$5:$K$504="Ja")*(MATCHER!$C$5:$C$504&lt;E308)*(MATCHER!$M$5:$M$504&gt;D308)*(ROW(MATCHER!$A$5:$A$504)-ROW(MATCHER!$A$5)+1&gt;T308),0),0),""))</f>
        <v/>
      </c>
    </row>
    <row r="309" spans="1:32" ht="26">
      <c r="A309" s="42">
        <v>46368</v>
      </c>
      <c r="B309" s="43" t="s">
        <v>85</v>
      </c>
      <c r="C309" s="43" t="s">
        <v>110</v>
      </c>
      <c r="D309" s="44">
        <v>0.35416666666666702</v>
      </c>
      <c r="E309" s="44">
        <v>0.375</v>
      </c>
      <c r="F309" s="45" t="str">
        <f>IF(R309="","",HOUR(INDEX(MATCHER!$C$5:$C$504,R309))&amp;":"&amp;IF(MINUTE(INDEX(MATCHER!$C$5:$C$504,R309))&lt;10,"0","")&amp;MINUTE(INDEX(MATCHER!$C$5:$C$504,R309))&amp;" "&amp;INDEX(MATCHER!$H$5:$H$504,R309)&amp;" – "&amp;INDEX(MATCHER!$I$5:$I$504,R309))&amp;IF(S309="",""," | "&amp;HOUR(INDEX(MATCHER!$C$5:$C$504,S309))&amp;":"&amp;IF(MINUTE(INDEX(MATCHER!$C$5:$C$504,S309))&lt;10,"0","")&amp;MINUTE(INDEX(MATCHER!$C$5:$C$504,S309))&amp;" "&amp;INDEX(MATCHER!$H$5:$H$504,S309)&amp;" – "&amp;INDEX(MATCHER!$I$5:$I$504,S309))&amp;IF(T309="",""," | "&amp;HOUR(INDEX(MATCHER!$C$5:$C$504,T309))&amp;":"&amp;IF(MINUTE(INDEX(MATCHER!$C$5:$C$504,T309))&lt;10,"0","")&amp;MINUTE(INDEX(MATCHER!$C$5:$C$504,T309))&amp;" "&amp;INDEX(MATCHER!$H$5:$H$504,T309)&amp;" – "&amp;INDEX(MATCHER!$I$5:$I$504,T309))&amp;IF(AF309="",""," | "&amp;HOUR(INDEX(MATCHER!$C$5:$C$504,AF309))&amp;":"&amp;IF(MINUTE(INDEX(MATCHER!$C$5:$C$504,AF309))&lt;10,"0","")&amp;MINUTE(INDEX(MATCHER!$C$5:$C$504,AF309))&amp;" "&amp;INDEX(MATCHER!$H$5:$H$504,AF309)&amp;" – "&amp;INDEX(MATCHER!$I$5:$I$504,AF309))</f>
        <v/>
      </c>
      <c r="G309" s="45" t="str">
        <f>MID(IF(R309="","",IF(OR(INDEX(MATCHER!$J$5:$J$504,R309)=""),""," / "&amp;INDEX(MATCHER!$J$5:$J$504,R309)))&amp;IF(S309="","",IF(OR(INDEX(MATCHER!$J$5:$J$504,S309)="",INDEX(MATCHER!$J$5:$J$504,S309)=IFERROR(INDEX(MATCHER!$J$5:$J$504,R309),"")),""," / "&amp;INDEX(MATCHER!$J$5:$J$504,S309)))&amp;IF(T309="","",IF(OR(INDEX(MATCHER!$J$5:$J$504,T309)="",INDEX(MATCHER!$J$5:$J$504,T309)=IFERROR(INDEX(MATCHER!$J$5:$J$504,R309),""),INDEX(MATCHER!$J$5:$J$504,T309)=IFERROR(INDEX(MATCHER!$J$5:$J$504,S309),"")),""," / "&amp;INDEX(MATCHER!$J$5:$J$504,T309)))&amp;IF(AF309="","",IF(OR(INDEX(MATCHER!$J$5:$J$504,AF309)="",INDEX(MATCHER!$J$5:$J$504,AF309)=IFERROR(INDEX(MATCHER!$J$5:$J$504,R309),""),INDEX(MATCHER!$J$5:$J$504,AF309)=IFERROR(INDEX(MATCHER!$J$5:$J$504,S309),""),INDEX(MATCHER!$J$5:$J$504,AF309)=IFERROR(INDEX(MATCHER!$J$5:$J$504,T309),"")),""," / "&amp;INDEX(MATCHER!$J$5:$J$504,AF309))),4,1000)</f>
        <v/>
      </c>
      <c r="H309" s="45" t="str">
        <f t="shared" ref="H309:H319" si="73">H308</f>
        <v>F9, F13</v>
      </c>
      <c r="I309" s="46" t="s">
        <v>90</v>
      </c>
      <c r="J309" s="47" t="s">
        <v>135</v>
      </c>
      <c r="K309" s="48"/>
      <c r="L309" s="49"/>
      <c r="M309" s="50" t="str">
        <f>IF(O309&lt;&gt;O308,MAX(1,MIN(AA309,ROUNDUP(SUMPRODUCT(($O$5:$O$546=O309)*($I$5:$I$546="Ja")*($E$5:$E$546-$D$5:$D$546))*24/REGLER!$B$8,0))),"")</f>
        <v/>
      </c>
      <c r="N309" s="50" t="str">
        <f t="shared" si="62"/>
        <v>Klar</v>
      </c>
      <c r="O309" s="15" t="s">
        <v>136</v>
      </c>
      <c r="P309" s="16">
        <v>0.33333333333333298</v>
      </c>
      <c r="Q309" s="16">
        <v>0.58333333333333304</v>
      </c>
      <c r="R309" s="15" t="str">
        <f>IFERROR(MATCH(1,INDEX((MATCHER!$B$5:$B$504=A309)*(MATCHER!$D$5:$D$504=C309)*(MATCHER!$K$5:$K$504="Ja")*(MATCHER!$C$5:$C$504&lt;E309)*(MATCHER!$M$5:$M$504&gt;D309),0),0),"")</f>
        <v/>
      </c>
      <c r="S309" s="15" t="str">
        <f>IF(R309="","",IFERROR(MATCH(1,INDEX((MATCHER!$B$5:$B$504=A309)*(MATCHER!$D$5:$D$504=C309)*(MATCHER!$K$5:$K$504="Ja")*(MATCHER!$C$5:$C$504&lt;E309)*(MATCHER!$M$5:$M$504&gt;D309)*(ROW(MATCHER!$A$5:$A$504)-ROW(MATCHER!$A$5)+1&gt;R309),0),0),""))</f>
        <v/>
      </c>
      <c r="T309" s="15" t="str">
        <f>IF(S309="","",IFERROR(MATCH(1,INDEX((MATCHER!$B$5:$B$504=A309)*(MATCHER!$D$5:$D$504=C309)*(MATCHER!$K$5:$K$504="Ja")*(MATCHER!$C$5:$C$504&lt;E309)*(MATCHER!$M$5:$M$504&gt;D309)*(ROW(MATCHER!$A$5:$A$504)-ROW(MATCHER!$A$5)+1&gt;S309),0),0),""))</f>
        <v/>
      </c>
      <c r="U309" s="15">
        <f t="shared" si="63"/>
        <v>0</v>
      </c>
      <c r="V309" s="15">
        <f>IF(OR(I309&lt;&gt;"Ja",J309=""),"",COUNTIFS($O$5:O309,O309,$U$5:U309,1))</f>
        <v>1</v>
      </c>
      <c r="W309" s="15" t="str">
        <f t="shared" si="64"/>
        <v>2026-12-12 | Tallbackaskolan|1</v>
      </c>
      <c r="X309" s="16" t="str">
        <f t="shared" si="65"/>
        <v/>
      </c>
      <c r="Y309" s="15">
        <f>IF(OR(I309&lt;&gt;"Ja",J309=""),0,IF(COUNTIFS($O$5:O309,O309,$I$5:I309,"Ja",$J$5:J309,"&lt;&gt;")=1,1,0))</f>
        <v>0</v>
      </c>
      <c r="Z309" s="15">
        <f>IF(OR(I309&lt;&gt;"Ja",J309=""),0,IF(COUNTIFS(O309:$O$546,O309,I309:$I$546,"Ja",J309:$J$546,"&lt;&gt;")=1,1,0))</f>
        <v>0</v>
      </c>
      <c r="AA309" s="15">
        <f t="shared" ref="AA309:AA319" si="74">AA308</f>
        <v>2</v>
      </c>
      <c r="AB309" s="15" t="str">
        <f>IF(U309&lt;&gt;1,"",COUNTIF($U$5:U309,1))</f>
        <v/>
      </c>
      <c r="AC309" s="15" t="str">
        <f t="shared" si="66"/>
        <v/>
      </c>
      <c r="AD309" s="15" t="str">
        <f t="shared" si="67"/>
        <v>Vanligt café</v>
      </c>
      <c r="AE309" s="15" t="str">
        <f t="shared" si="68"/>
        <v/>
      </c>
      <c r="AF309" t="str">
        <f>IF(T309="","",IFERROR(MATCH(1,INDEX((MATCHER!$B$5:$B$504=A309)*(MATCHER!$D$5:$D$504=C309)*(MATCHER!$K$5:$K$504="Ja")*(MATCHER!$C$5:$C$504&lt;E309)*(MATCHER!$M$5:$M$504&gt;D309)*(ROW(MATCHER!$A$5:$A$504)-ROW(MATCHER!$A$5)+1&gt;T309),0),0),""))</f>
        <v/>
      </c>
    </row>
    <row r="310" spans="1:32" ht="26">
      <c r="A310" s="42">
        <v>46368</v>
      </c>
      <c r="B310" s="43" t="s">
        <v>85</v>
      </c>
      <c r="C310" s="43" t="s">
        <v>110</v>
      </c>
      <c r="D310" s="44">
        <v>0.375</v>
      </c>
      <c r="E310" s="44">
        <v>0.39583333333333298</v>
      </c>
      <c r="F310" s="45" t="str">
        <f>IF(R310="","",HOUR(INDEX(MATCHER!$C$5:$C$504,R310))&amp;":"&amp;IF(MINUTE(INDEX(MATCHER!$C$5:$C$504,R310))&lt;10,"0","")&amp;MINUTE(INDEX(MATCHER!$C$5:$C$504,R310))&amp;" "&amp;INDEX(MATCHER!$H$5:$H$504,R310)&amp;" – "&amp;INDEX(MATCHER!$I$5:$I$504,R310))&amp;IF(S310="",""," | "&amp;HOUR(INDEX(MATCHER!$C$5:$C$504,S310))&amp;":"&amp;IF(MINUTE(INDEX(MATCHER!$C$5:$C$504,S310))&lt;10,"0","")&amp;MINUTE(INDEX(MATCHER!$C$5:$C$504,S310))&amp;" "&amp;INDEX(MATCHER!$H$5:$H$504,S310)&amp;" – "&amp;INDEX(MATCHER!$I$5:$I$504,S310))&amp;IF(T310="",""," | "&amp;HOUR(INDEX(MATCHER!$C$5:$C$504,T310))&amp;":"&amp;IF(MINUTE(INDEX(MATCHER!$C$5:$C$504,T310))&lt;10,"0","")&amp;MINUTE(INDEX(MATCHER!$C$5:$C$504,T310))&amp;" "&amp;INDEX(MATCHER!$H$5:$H$504,T310)&amp;" – "&amp;INDEX(MATCHER!$I$5:$I$504,T310))&amp;IF(AF310="",""," | "&amp;HOUR(INDEX(MATCHER!$C$5:$C$504,AF310))&amp;":"&amp;IF(MINUTE(INDEX(MATCHER!$C$5:$C$504,AF310))&lt;10,"0","")&amp;MINUTE(INDEX(MATCHER!$C$5:$C$504,AF310))&amp;" "&amp;INDEX(MATCHER!$H$5:$H$504,AF310)&amp;" – "&amp;INDEX(MATCHER!$I$5:$I$504,AF310))</f>
        <v>9:00 AIK – Sannadals SK Röd | 9:00 Sannadals SK Gul – Spånga HK 1</v>
      </c>
      <c r="G310" s="45" t="str">
        <f>MID(IF(R310="","",IF(OR(INDEX(MATCHER!$J$5:$J$504,R310)=""),""," / "&amp;INDEX(MATCHER!$J$5:$J$504,R310)))&amp;IF(S310="","",IF(OR(INDEX(MATCHER!$J$5:$J$504,S310)="",INDEX(MATCHER!$J$5:$J$504,S310)=IFERROR(INDEX(MATCHER!$J$5:$J$504,R310),"")),""," / "&amp;INDEX(MATCHER!$J$5:$J$504,S310)))&amp;IF(T310="","",IF(OR(INDEX(MATCHER!$J$5:$J$504,T310)="",INDEX(MATCHER!$J$5:$J$504,T310)=IFERROR(INDEX(MATCHER!$J$5:$J$504,R310),""),INDEX(MATCHER!$J$5:$J$504,T310)=IFERROR(INDEX(MATCHER!$J$5:$J$504,S310),"")),""," / "&amp;INDEX(MATCHER!$J$5:$J$504,T310)))&amp;IF(AF310="","",IF(OR(INDEX(MATCHER!$J$5:$J$504,AF310)="",INDEX(MATCHER!$J$5:$J$504,AF310)=IFERROR(INDEX(MATCHER!$J$5:$J$504,R310),""),INDEX(MATCHER!$J$5:$J$504,AF310)=IFERROR(INDEX(MATCHER!$J$5:$J$504,S310),""),INDEX(MATCHER!$J$5:$J$504,AF310)=IFERROR(INDEX(MATCHER!$J$5:$J$504,T310),"")),""," / "&amp;INDEX(MATCHER!$J$5:$J$504,AF310))),4,1000)</f>
        <v>F9</v>
      </c>
      <c r="H310" s="45" t="str">
        <f t="shared" si="73"/>
        <v>F9, F13</v>
      </c>
      <c r="I310" s="46" t="s">
        <v>90</v>
      </c>
      <c r="J310" s="47" t="s">
        <v>135</v>
      </c>
      <c r="K310" s="48"/>
      <c r="L310" s="49"/>
      <c r="M310" s="50" t="str">
        <f>IF(O310&lt;&gt;O309,MAX(1,MIN(AA310,ROUNDUP(SUMPRODUCT(($O$5:$O$546=O310)*($I$5:$I$546="Ja")*($E$5:$E$546-$D$5:$D$546))*24/REGLER!$B$8,0))),"")</f>
        <v/>
      </c>
      <c r="N310" s="50" t="str">
        <f t="shared" si="62"/>
        <v>Klar</v>
      </c>
      <c r="O310" s="15" t="s">
        <v>136</v>
      </c>
      <c r="P310" s="16">
        <v>0.33333333333333298</v>
      </c>
      <c r="Q310" s="16">
        <v>0.58333333333333304</v>
      </c>
      <c r="R310" s="15">
        <f>IFERROR(MATCH(1,INDEX((MATCHER!$B$5:$B$504=A310)*(MATCHER!$D$5:$D$504=C310)*(MATCHER!$K$5:$K$504="Ja")*(MATCHER!$C$5:$C$504&lt;E310)*(MATCHER!$M$5:$M$504&gt;D310),0),0),"")</f>
        <v>111</v>
      </c>
      <c r="S310" s="15">
        <f>IF(R310="","",IFERROR(MATCH(1,INDEX((MATCHER!$B$5:$B$504=A310)*(MATCHER!$D$5:$D$504=C310)*(MATCHER!$K$5:$K$504="Ja")*(MATCHER!$C$5:$C$504&lt;E310)*(MATCHER!$M$5:$M$504&gt;D310)*(ROW(MATCHER!$A$5:$A$504)-ROW(MATCHER!$A$5)+1&gt;R310),0),0),""))</f>
        <v>112</v>
      </c>
      <c r="T310" s="15" t="str">
        <f>IF(S310="","",IFERROR(MATCH(1,INDEX((MATCHER!$B$5:$B$504=A310)*(MATCHER!$D$5:$D$504=C310)*(MATCHER!$K$5:$K$504="Ja")*(MATCHER!$C$5:$C$504&lt;E310)*(MATCHER!$M$5:$M$504&gt;D310)*(ROW(MATCHER!$A$5:$A$504)-ROW(MATCHER!$A$5)+1&gt;S310),0),0),""))</f>
        <v/>
      </c>
      <c r="U310" s="15">
        <f t="shared" si="63"/>
        <v>0</v>
      </c>
      <c r="V310" s="15">
        <f>IF(OR(I310&lt;&gt;"Ja",J310=""),"",COUNTIFS($O$5:O310,O310,$U$5:U310,1))</f>
        <v>1</v>
      </c>
      <c r="W310" s="15" t="str">
        <f t="shared" si="64"/>
        <v>2026-12-12 | Tallbackaskolan|1</v>
      </c>
      <c r="X310" s="16" t="str">
        <f t="shared" si="65"/>
        <v/>
      </c>
      <c r="Y310" s="15">
        <f>IF(OR(I310&lt;&gt;"Ja",J310=""),0,IF(COUNTIFS($O$5:O310,O310,$I$5:I310,"Ja",$J$5:J310,"&lt;&gt;")=1,1,0))</f>
        <v>0</v>
      </c>
      <c r="Z310" s="15">
        <f>IF(OR(I310&lt;&gt;"Ja",J310=""),0,IF(COUNTIFS(O310:$O$546,O310,I310:$I$546,"Ja",J310:$J$546,"&lt;&gt;")=1,1,0))</f>
        <v>0</v>
      </c>
      <c r="AA310" s="15">
        <f t="shared" si="74"/>
        <v>2</v>
      </c>
      <c r="AB310" s="15" t="str">
        <f>IF(U310&lt;&gt;1,"",COUNTIF($U$5:U310,1))</f>
        <v/>
      </c>
      <c r="AC310" s="15" t="str">
        <f t="shared" si="66"/>
        <v/>
      </c>
      <c r="AD310" s="15" t="str">
        <f t="shared" si="67"/>
        <v>Vanligt café</v>
      </c>
      <c r="AE310" s="15" t="str">
        <f t="shared" si="68"/>
        <v/>
      </c>
      <c r="AF310" t="str">
        <f>IF(T310="","",IFERROR(MATCH(1,INDEX((MATCHER!$B$5:$B$504=A310)*(MATCHER!$D$5:$D$504=C310)*(MATCHER!$K$5:$K$504="Ja")*(MATCHER!$C$5:$C$504&lt;E310)*(MATCHER!$M$5:$M$504&gt;D310)*(ROW(MATCHER!$A$5:$A$504)-ROW(MATCHER!$A$5)+1&gt;T310),0),0),""))</f>
        <v/>
      </c>
    </row>
    <row r="311" spans="1:32" ht="26">
      <c r="A311" s="42">
        <v>46368</v>
      </c>
      <c r="B311" s="43" t="s">
        <v>85</v>
      </c>
      <c r="C311" s="43" t="s">
        <v>110</v>
      </c>
      <c r="D311" s="44">
        <v>0.39583333333333298</v>
      </c>
      <c r="E311" s="44">
        <v>0.41666666666666702</v>
      </c>
      <c r="F311" s="45" t="str">
        <f>IF(R311="","",HOUR(INDEX(MATCHER!$C$5:$C$504,R311))&amp;":"&amp;IF(MINUTE(INDEX(MATCHER!$C$5:$C$504,R311))&lt;10,"0","")&amp;MINUTE(INDEX(MATCHER!$C$5:$C$504,R311))&amp;" "&amp;INDEX(MATCHER!$H$5:$H$504,R311)&amp;" – "&amp;INDEX(MATCHER!$I$5:$I$504,R311))&amp;IF(S311="",""," | "&amp;HOUR(INDEX(MATCHER!$C$5:$C$504,S311))&amp;":"&amp;IF(MINUTE(INDEX(MATCHER!$C$5:$C$504,S311))&lt;10,"0","")&amp;MINUTE(INDEX(MATCHER!$C$5:$C$504,S311))&amp;" "&amp;INDEX(MATCHER!$H$5:$H$504,S311)&amp;" – "&amp;INDEX(MATCHER!$I$5:$I$504,S311))&amp;IF(T311="",""," | "&amp;HOUR(INDEX(MATCHER!$C$5:$C$504,T311))&amp;":"&amp;IF(MINUTE(INDEX(MATCHER!$C$5:$C$504,T311))&lt;10,"0","")&amp;MINUTE(INDEX(MATCHER!$C$5:$C$504,T311))&amp;" "&amp;INDEX(MATCHER!$H$5:$H$504,T311)&amp;" – "&amp;INDEX(MATCHER!$I$5:$I$504,T311))&amp;IF(AF311="",""," | "&amp;HOUR(INDEX(MATCHER!$C$5:$C$504,AF311))&amp;":"&amp;IF(MINUTE(INDEX(MATCHER!$C$5:$C$504,AF311))&lt;10,"0","")&amp;MINUTE(INDEX(MATCHER!$C$5:$C$504,AF311))&amp;" "&amp;INDEX(MATCHER!$H$5:$H$504,AF311)&amp;" – "&amp;INDEX(MATCHER!$I$5:$I$504,AF311))</f>
        <v>9:30 Bollstanäs SK F9 – Assyriska Botkyrka SK | 9:30 Sannadals SK Vit – Spånga HK 2</v>
      </c>
      <c r="G311" s="45" t="str">
        <f>MID(IF(R311="","",IF(OR(INDEX(MATCHER!$J$5:$J$504,R311)=""),""," / "&amp;INDEX(MATCHER!$J$5:$J$504,R311)))&amp;IF(S311="","",IF(OR(INDEX(MATCHER!$J$5:$J$504,S311)="",INDEX(MATCHER!$J$5:$J$504,S311)=IFERROR(INDEX(MATCHER!$J$5:$J$504,R311),"")),""," / "&amp;INDEX(MATCHER!$J$5:$J$504,S311)))&amp;IF(T311="","",IF(OR(INDEX(MATCHER!$J$5:$J$504,T311)="",INDEX(MATCHER!$J$5:$J$504,T311)=IFERROR(INDEX(MATCHER!$J$5:$J$504,R311),""),INDEX(MATCHER!$J$5:$J$504,T311)=IFERROR(INDEX(MATCHER!$J$5:$J$504,S311),"")),""," / "&amp;INDEX(MATCHER!$J$5:$J$504,T311)))&amp;IF(AF311="","",IF(OR(INDEX(MATCHER!$J$5:$J$504,AF311)="",INDEX(MATCHER!$J$5:$J$504,AF311)=IFERROR(INDEX(MATCHER!$J$5:$J$504,R311),""),INDEX(MATCHER!$J$5:$J$504,AF311)=IFERROR(INDEX(MATCHER!$J$5:$J$504,S311),""),INDEX(MATCHER!$J$5:$J$504,AF311)=IFERROR(INDEX(MATCHER!$J$5:$J$504,T311),"")),""," / "&amp;INDEX(MATCHER!$J$5:$J$504,AF311))),4,1000)</f>
        <v/>
      </c>
      <c r="H311" s="45" t="str">
        <f t="shared" si="73"/>
        <v>F9, F13</v>
      </c>
      <c r="I311" s="46" t="s">
        <v>90</v>
      </c>
      <c r="J311" s="47" t="s">
        <v>135</v>
      </c>
      <c r="K311" s="48"/>
      <c r="L311" s="49"/>
      <c r="M311" s="50" t="str">
        <f>IF(O311&lt;&gt;O310,MAX(1,MIN(AA311,ROUNDUP(SUMPRODUCT(($O$5:$O$546=O311)*($I$5:$I$546="Ja")*($E$5:$E$546-$D$5:$D$546))*24/REGLER!$B$8,0))),"")</f>
        <v/>
      </c>
      <c r="N311" s="50" t="str">
        <f t="shared" si="62"/>
        <v>Klar</v>
      </c>
      <c r="O311" s="15" t="s">
        <v>136</v>
      </c>
      <c r="P311" s="16">
        <v>0.33333333333333298</v>
      </c>
      <c r="Q311" s="16">
        <v>0.58333333333333304</v>
      </c>
      <c r="R311" s="15">
        <f>IFERROR(MATCH(1,INDEX((MATCHER!$B$5:$B$504=A311)*(MATCHER!$D$5:$D$504=C311)*(MATCHER!$K$5:$K$504="Ja")*(MATCHER!$C$5:$C$504&lt;E311)*(MATCHER!$M$5:$M$504&gt;D311),0),0),"")</f>
        <v>113</v>
      </c>
      <c r="S311" s="15">
        <f>IF(R311="","",IFERROR(MATCH(1,INDEX((MATCHER!$B$5:$B$504=A311)*(MATCHER!$D$5:$D$504=C311)*(MATCHER!$K$5:$K$504="Ja")*(MATCHER!$C$5:$C$504&lt;E311)*(MATCHER!$M$5:$M$504&gt;D311)*(ROW(MATCHER!$A$5:$A$504)-ROW(MATCHER!$A$5)+1&gt;R311),0),0),""))</f>
        <v>114</v>
      </c>
      <c r="T311" s="15" t="str">
        <f>IF(S311="","",IFERROR(MATCH(1,INDEX((MATCHER!$B$5:$B$504=A311)*(MATCHER!$D$5:$D$504=C311)*(MATCHER!$K$5:$K$504="Ja")*(MATCHER!$C$5:$C$504&lt;E311)*(MATCHER!$M$5:$M$504&gt;D311)*(ROW(MATCHER!$A$5:$A$504)-ROW(MATCHER!$A$5)+1&gt;S311),0),0),""))</f>
        <v/>
      </c>
      <c r="U311" s="15">
        <f t="shared" si="63"/>
        <v>0</v>
      </c>
      <c r="V311" s="15">
        <f>IF(OR(I311&lt;&gt;"Ja",J311=""),"",COUNTIFS($O$5:O311,O311,$U$5:U311,1))</f>
        <v>1</v>
      </c>
      <c r="W311" s="15" t="str">
        <f t="shared" si="64"/>
        <v>2026-12-12 | Tallbackaskolan|1</v>
      </c>
      <c r="X311" s="16" t="str">
        <f t="shared" si="65"/>
        <v/>
      </c>
      <c r="Y311" s="15">
        <f>IF(OR(I311&lt;&gt;"Ja",J311=""),0,IF(COUNTIFS($O$5:O311,O311,$I$5:I311,"Ja",$J$5:J311,"&lt;&gt;")=1,1,0))</f>
        <v>0</v>
      </c>
      <c r="Z311" s="15">
        <f>IF(OR(I311&lt;&gt;"Ja",J311=""),0,IF(COUNTIFS(O311:$O$546,O311,I311:$I$546,"Ja",J311:$J$546,"&lt;&gt;")=1,1,0))</f>
        <v>0</v>
      </c>
      <c r="AA311" s="15">
        <f t="shared" si="74"/>
        <v>2</v>
      </c>
      <c r="AB311" s="15" t="str">
        <f>IF(U311&lt;&gt;1,"",COUNTIF($U$5:U311,1))</f>
        <v/>
      </c>
      <c r="AC311" s="15" t="str">
        <f t="shared" si="66"/>
        <v/>
      </c>
      <c r="AD311" s="15" t="str">
        <f t="shared" si="67"/>
        <v>Vanligt café</v>
      </c>
      <c r="AE311" s="15" t="str">
        <f t="shared" si="68"/>
        <v/>
      </c>
      <c r="AF311" t="str">
        <f>IF(T311="","",IFERROR(MATCH(1,INDEX((MATCHER!$B$5:$B$504=A311)*(MATCHER!$D$5:$D$504=C311)*(MATCHER!$K$5:$K$504="Ja")*(MATCHER!$C$5:$C$504&lt;E311)*(MATCHER!$M$5:$M$504&gt;D311)*(ROW(MATCHER!$A$5:$A$504)-ROW(MATCHER!$A$5)+1&gt;T311),0),0),""))</f>
        <v/>
      </c>
    </row>
    <row r="312" spans="1:32" ht="26">
      <c r="A312" s="42">
        <v>46368</v>
      </c>
      <c r="B312" s="43" t="s">
        <v>85</v>
      </c>
      <c r="C312" s="43" t="s">
        <v>110</v>
      </c>
      <c r="D312" s="44">
        <v>0.41666666666666702</v>
      </c>
      <c r="E312" s="44">
        <v>0.4375</v>
      </c>
      <c r="F312" s="45" t="str">
        <f>IF(R312="","",HOUR(INDEX(MATCHER!$C$5:$C$504,R312))&amp;":"&amp;IF(MINUTE(INDEX(MATCHER!$C$5:$C$504,R312))&lt;10,"0","")&amp;MINUTE(INDEX(MATCHER!$C$5:$C$504,R312))&amp;" "&amp;INDEX(MATCHER!$H$5:$H$504,R312)&amp;" – "&amp;INDEX(MATCHER!$I$5:$I$504,R312))&amp;IF(S312="",""," | "&amp;HOUR(INDEX(MATCHER!$C$5:$C$504,S312))&amp;":"&amp;IF(MINUTE(INDEX(MATCHER!$C$5:$C$504,S312))&lt;10,"0","")&amp;MINUTE(INDEX(MATCHER!$C$5:$C$504,S312))&amp;" "&amp;INDEX(MATCHER!$H$5:$H$504,S312)&amp;" – "&amp;INDEX(MATCHER!$I$5:$I$504,S312))&amp;IF(T312="",""," | "&amp;HOUR(INDEX(MATCHER!$C$5:$C$504,T312))&amp;":"&amp;IF(MINUTE(INDEX(MATCHER!$C$5:$C$504,T312))&lt;10,"0","")&amp;MINUTE(INDEX(MATCHER!$C$5:$C$504,T312))&amp;" "&amp;INDEX(MATCHER!$H$5:$H$504,T312)&amp;" – "&amp;INDEX(MATCHER!$I$5:$I$504,T312))&amp;IF(AF312="",""," | "&amp;HOUR(INDEX(MATCHER!$C$5:$C$504,AF312))&amp;":"&amp;IF(MINUTE(INDEX(MATCHER!$C$5:$C$504,AF312))&lt;10,"0","")&amp;MINUTE(INDEX(MATCHER!$C$5:$C$504,AF312))&amp;" "&amp;INDEX(MATCHER!$H$5:$H$504,AF312)&amp;" – "&amp;INDEX(MATCHER!$I$5:$I$504,AF312))</f>
        <v>10:00 AIK – Sannadals SK Gul | 10:00 Sannadals SK Röd – Spånga HK 1</v>
      </c>
      <c r="G312" s="45" t="str">
        <f>MID(IF(R312="","",IF(OR(INDEX(MATCHER!$J$5:$J$504,R312)=""),""," / "&amp;INDEX(MATCHER!$J$5:$J$504,R312)))&amp;IF(S312="","",IF(OR(INDEX(MATCHER!$J$5:$J$504,S312)="",INDEX(MATCHER!$J$5:$J$504,S312)=IFERROR(INDEX(MATCHER!$J$5:$J$504,R312),"")),""," / "&amp;INDEX(MATCHER!$J$5:$J$504,S312)))&amp;IF(T312="","",IF(OR(INDEX(MATCHER!$J$5:$J$504,T312)="",INDEX(MATCHER!$J$5:$J$504,T312)=IFERROR(INDEX(MATCHER!$J$5:$J$504,R312),""),INDEX(MATCHER!$J$5:$J$504,T312)=IFERROR(INDEX(MATCHER!$J$5:$J$504,S312),"")),""," / "&amp;INDEX(MATCHER!$J$5:$J$504,T312)))&amp;IF(AF312="","",IF(OR(INDEX(MATCHER!$J$5:$J$504,AF312)="",INDEX(MATCHER!$J$5:$J$504,AF312)=IFERROR(INDEX(MATCHER!$J$5:$J$504,R312),""),INDEX(MATCHER!$J$5:$J$504,AF312)=IFERROR(INDEX(MATCHER!$J$5:$J$504,S312),""),INDEX(MATCHER!$J$5:$J$504,AF312)=IFERROR(INDEX(MATCHER!$J$5:$J$504,T312),"")),""," / "&amp;INDEX(MATCHER!$J$5:$J$504,AF312))),4,1000)</f>
        <v>F9</v>
      </c>
      <c r="H312" s="45" t="str">
        <f t="shared" si="73"/>
        <v>F9, F13</v>
      </c>
      <c r="I312" s="46" t="s">
        <v>90</v>
      </c>
      <c r="J312" s="47" t="s">
        <v>135</v>
      </c>
      <c r="K312" s="48"/>
      <c r="L312" s="49"/>
      <c r="M312" s="50" t="str">
        <f>IF(O312&lt;&gt;O311,MAX(1,MIN(AA312,ROUNDUP(SUMPRODUCT(($O$5:$O$546=O312)*($I$5:$I$546="Ja")*($E$5:$E$546-$D$5:$D$546))*24/REGLER!$B$8,0))),"")</f>
        <v/>
      </c>
      <c r="N312" s="50" t="str">
        <f t="shared" si="62"/>
        <v>Klar</v>
      </c>
      <c r="O312" s="15" t="s">
        <v>136</v>
      </c>
      <c r="P312" s="16">
        <v>0.33333333333333298</v>
      </c>
      <c r="Q312" s="16">
        <v>0.58333333333333304</v>
      </c>
      <c r="R312" s="15">
        <f>IFERROR(MATCH(1,INDEX((MATCHER!$B$5:$B$504=A312)*(MATCHER!$D$5:$D$504=C312)*(MATCHER!$K$5:$K$504="Ja")*(MATCHER!$C$5:$C$504&lt;E312)*(MATCHER!$M$5:$M$504&gt;D312),0),0),"")</f>
        <v>115</v>
      </c>
      <c r="S312" s="15">
        <f>IF(R312="","",IFERROR(MATCH(1,INDEX((MATCHER!$B$5:$B$504=A312)*(MATCHER!$D$5:$D$504=C312)*(MATCHER!$K$5:$K$504="Ja")*(MATCHER!$C$5:$C$504&lt;E312)*(MATCHER!$M$5:$M$504&gt;D312)*(ROW(MATCHER!$A$5:$A$504)-ROW(MATCHER!$A$5)+1&gt;R312),0),0),""))</f>
        <v>116</v>
      </c>
      <c r="T312" s="15" t="str">
        <f>IF(S312="","",IFERROR(MATCH(1,INDEX((MATCHER!$B$5:$B$504=A312)*(MATCHER!$D$5:$D$504=C312)*(MATCHER!$K$5:$K$504="Ja")*(MATCHER!$C$5:$C$504&lt;E312)*(MATCHER!$M$5:$M$504&gt;D312)*(ROW(MATCHER!$A$5:$A$504)-ROW(MATCHER!$A$5)+1&gt;S312),0),0),""))</f>
        <v/>
      </c>
      <c r="U312" s="15">
        <f t="shared" si="63"/>
        <v>0</v>
      </c>
      <c r="V312" s="15">
        <f>IF(OR(I312&lt;&gt;"Ja",J312=""),"",COUNTIFS($O$5:O312,O312,$U$5:U312,1))</f>
        <v>1</v>
      </c>
      <c r="W312" s="15" t="str">
        <f t="shared" si="64"/>
        <v>2026-12-12 | Tallbackaskolan|1</v>
      </c>
      <c r="X312" s="16" t="str">
        <f t="shared" si="65"/>
        <v/>
      </c>
      <c r="Y312" s="15">
        <f>IF(OR(I312&lt;&gt;"Ja",J312=""),0,IF(COUNTIFS($O$5:O312,O312,$I$5:I312,"Ja",$J$5:J312,"&lt;&gt;")=1,1,0))</f>
        <v>0</v>
      </c>
      <c r="Z312" s="15">
        <f>IF(OR(I312&lt;&gt;"Ja",J312=""),0,IF(COUNTIFS(O312:$O$546,O312,I312:$I$546,"Ja",J312:$J$546,"&lt;&gt;")=1,1,0))</f>
        <v>0</v>
      </c>
      <c r="AA312" s="15">
        <f t="shared" si="74"/>
        <v>2</v>
      </c>
      <c r="AB312" s="15" t="str">
        <f>IF(U312&lt;&gt;1,"",COUNTIF($U$5:U312,1))</f>
        <v/>
      </c>
      <c r="AC312" s="15" t="str">
        <f t="shared" si="66"/>
        <v/>
      </c>
      <c r="AD312" s="15" t="str">
        <f t="shared" si="67"/>
        <v>Vanligt café</v>
      </c>
      <c r="AE312" s="15" t="str">
        <f t="shared" si="68"/>
        <v/>
      </c>
      <c r="AF312" t="str">
        <f>IF(T312="","",IFERROR(MATCH(1,INDEX((MATCHER!$B$5:$B$504=A312)*(MATCHER!$D$5:$D$504=C312)*(MATCHER!$K$5:$K$504="Ja")*(MATCHER!$C$5:$C$504&lt;E312)*(MATCHER!$M$5:$M$504&gt;D312)*(ROW(MATCHER!$A$5:$A$504)-ROW(MATCHER!$A$5)+1&gt;T312),0),0),""))</f>
        <v/>
      </c>
    </row>
    <row r="313" spans="1:32" ht="26">
      <c r="A313" s="42">
        <v>46368</v>
      </c>
      <c r="B313" s="43" t="s">
        <v>85</v>
      </c>
      <c r="C313" s="43" t="s">
        <v>110</v>
      </c>
      <c r="D313" s="44">
        <v>0.4375</v>
      </c>
      <c r="E313" s="44">
        <v>0.45833333333333298</v>
      </c>
      <c r="F313" s="45" t="str">
        <f>IF(R313="","",HOUR(INDEX(MATCHER!$C$5:$C$504,R313))&amp;":"&amp;IF(MINUTE(INDEX(MATCHER!$C$5:$C$504,R313))&lt;10,"0","")&amp;MINUTE(INDEX(MATCHER!$C$5:$C$504,R313))&amp;" "&amp;INDEX(MATCHER!$H$5:$H$504,R313)&amp;" – "&amp;INDEX(MATCHER!$I$5:$I$504,R313))&amp;IF(S313="",""," | "&amp;HOUR(INDEX(MATCHER!$C$5:$C$504,S313))&amp;":"&amp;IF(MINUTE(INDEX(MATCHER!$C$5:$C$504,S313))&lt;10,"0","")&amp;MINUTE(INDEX(MATCHER!$C$5:$C$504,S313))&amp;" "&amp;INDEX(MATCHER!$H$5:$H$504,S313)&amp;" – "&amp;INDEX(MATCHER!$I$5:$I$504,S313))&amp;IF(T313="",""," | "&amp;HOUR(INDEX(MATCHER!$C$5:$C$504,T313))&amp;":"&amp;IF(MINUTE(INDEX(MATCHER!$C$5:$C$504,T313))&lt;10,"0","")&amp;MINUTE(INDEX(MATCHER!$C$5:$C$504,T313))&amp;" "&amp;INDEX(MATCHER!$H$5:$H$504,T313)&amp;" – "&amp;INDEX(MATCHER!$I$5:$I$504,T313))&amp;IF(AF313="",""," | "&amp;HOUR(INDEX(MATCHER!$C$5:$C$504,AF313))&amp;":"&amp;IF(MINUTE(INDEX(MATCHER!$C$5:$C$504,AF313))&lt;10,"0","")&amp;MINUTE(INDEX(MATCHER!$C$5:$C$504,AF313))&amp;" "&amp;INDEX(MATCHER!$H$5:$H$504,AF313)&amp;" – "&amp;INDEX(MATCHER!$I$5:$I$504,AF313))</f>
        <v>10:30 Bollstanäs SK F9 – Sannadals SK Vit | 10:30 Assyriska Botkyrka SK – Spånga HK 2</v>
      </c>
      <c r="G313" s="45" t="str">
        <f>MID(IF(R313="","",IF(OR(INDEX(MATCHER!$J$5:$J$504,R313)=""),""," / "&amp;INDEX(MATCHER!$J$5:$J$504,R313)))&amp;IF(S313="","",IF(OR(INDEX(MATCHER!$J$5:$J$504,S313)="",INDEX(MATCHER!$J$5:$J$504,S313)=IFERROR(INDEX(MATCHER!$J$5:$J$504,R313),"")),""," / "&amp;INDEX(MATCHER!$J$5:$J$504,S313)))&amp;IF(T313="","",IF(OR(INDEX(MATCHER!$J$5:$J$504,T313)="",INDEX(MATCHER!$J$5:$J$504,T313)=IFERROR(INDEX(MATCHER!$J$5:$J$504,R313),""),INDEX(MATCHER!$J$5:$J$504,T313)=IFERROR(INDEX(MATCHER!$J$5:$J$504,S313),"")),""," / "&amp;INDEX(MATCHER!$J$5:$J$504,T313)))&amp;IF(AF313="","",IF(OR(INDEX(MATCHER!$J$5:$J$504,AF313)="",INDEX(MATCHER!$J$5:$J$504,AF313)=IFERROR(INDEX(MATCHER!$J$5:$J$504,R313),""),INDEX(MATCHER!$J$5:$J$504,AF313)=IFERROR(INDEX(MATCHER!$J$5:$J$504,S313),""),INDEX(MATCHER!$J$5:$J$504,AF313)=IFERROR(INDEX(MATCHER!$J$5:$J$504,T313),"")),""," / "&amp;INDEX(MATCHER!$J$5:$J$504,AF313))),4,1000)</f>
        <v/>
      </c>
      <c r="H313" s="45" t="str">
        <f t="shared" si="73"/>
        <v>F9, F13</v>
      </c>
      <c r="I313" s="46" t="s">
        <v>90</v>
      </c>
      <c r="J313" s="47" t="s">
        <v>135</v>
      </c>
      <c r="K313" s="48"/>
      <c r="L313" s="49"/>
      <c r="M313" s="50" t="str">
        <f>IF(O313&lt;&gt;O312,MAX(1,MIN(AA313,ROUNDUP(SUMPRODUCT(($O$5:$O$546=O313)*($I$5:$I$546="Ja")*($E$5:$E$546-$D$5:$D$546))*24/REGLER!$B$8,0))),"")</f>
        <v/>
      </c>
      <c r="N313" s="50" t="str">
        <f t="shared" si="62"/>
        <v>Klar</v>
      </c>
      <c r="O313" s="15" t="s">
        <v>136</v>
      </c>
      <c r="P313" s="16">
        <v>0.33333333333333298</v>
      </c>
      <c r="Q313" s="16">
        <v>0.58333333333333304</v>
      </c>
      <c r="R313" s="15">
        <f>IFERROR(MATCH(1,INDEX((MATCHER!$B$5:$B$504=A313)*(MATCHER!$D$5:$D$504=C313)*(MATCHER!$K$5:$K$504="Ja")*(MATCHER!$C$5:$C$504&lt;E313)*(MATCHER!$M$5:$M$504&gt;D313),0),0),"")</f>
        <v>117</v>
      </c>
      <c r="S313" s="15">
        <f>IF(R313="","",IFERROR(MATCH(1,INDEX((MATCHER!$B$5:$B$504=A313)*(MATCHER!$D$5:$D$504=C313)*(MATCHER!$K$5:$K$504="Ja")*(MATCHER!$C$5:$C$504&lt;E313)*(MATCHER!$M$5:$M$504&gt;D313)*(ROW(MATCHER!$A$5:$A$504)-ROW(MATCHER!$A$5)+1&gt;R313),0),0),""))</f>
        <v>118</v>
      </c>
      <c r="T313" s="15" t="str">
        <f>IF(S313="","",IFERROR(MATCH(1,INDEX((MATCHER!$B$5:$B$504=A313)*(MATCHER!$D$5:$D$504=C313)*(MATCHER!$K$5:$K$504="Ja")*(MATCHER!$C$5:$C$504&lt;E313)*(MATCHER!$M$5:$M$504&gt;D313)*(ROW(MATCHER!$A$5:$A$504)-ROW(MATCHER!$A$5)+1&gt;S313),0),0),""))</f>
        <v/>
      </c>
      <c r="U313" s="15">
        <f t="shared" si="63"/>
        <v>0</v>
      </c>
      <c r="V313" s="15">
        <f>IF(OR(I313&lt;&gt;"Ja",J313=""),"",COUNTIFS($O$5:O313,O313,$U$5:U313,1))</f>
        <v>1</v>
      </c>
      <c r="W313" s="15" t="str">
        <f t="shared" si="64"/>
        <v>2026-12-12 | Tallbackaskolan|1</v>
      </c>
      <c r="X313" s="16" t="str">
        <f t="shared" si="65"/>
        <v/>
      </c>
      <c r="Y313" s="15">
        <f>IF(OR(I313&lt;&gt;"Ja",J313=""),0,IF(COUNTIFS($O$5:O313,O313,$I$5:I313,"Ja",$J$5:J313,"&lt;&gt;")=1,1,0))</f>
        <v>0</v>
      </c>
      <c r="Z313" s="15">
        <f>IF(OR(I313&lt;&gt;"Ja",J313=""),0,IF(COUNTIFS(O313:$O$546,O313,I313:$I$546,"Ja",J313:$J$546,"&lt;&gt;")=1,1,0))</f>
        <v>0</v>
      </c>
      <c r="AA313" s="15">
        <f t="shared" si="74"/>
        <v>2</v>
      </c>
      <c r="AB313" s="15" t="str">
        <f>IF(U313&lt;&gt;1,"",COUNTIF($U$5:U313,1))</f>
        <v/>
      </c>
      <c r="AC313" s="15" t="str">
        <f t="shared" si="66"/>
        <v/>
      </c>
      <c r="AD313" s="15" t="str">
        <f t="shared" si="67"/>
        <v>Vanligt café</v>
      </c>
      <c r="AE313" s="15" t="str">
        <f t="shared" si="68"/>
        <v/>
      </c>
      <c r="AF313" t="str">
        <f>IF(T313="","",IFERROR(MATCH(1,INDEX((MATCHER!$B$5:$B$504=A313)*(MATCHER!$D$5:$D$504=C313)*(MATCHER!$K$5:$K$504="Ja")*(MATCHER!$C$5:$C$504&lt;E313)*(MATCHER!$M$5:$M$504&gt;D313)*(ROW(MATCHER!$A$5:$A$504)-ROW(MATCHER!$A$5)+1&gt;T313),0),0),""))</f>
        <v/>
      </c>
    </row>
    <row r="314" spans="1:32" ht="26">
      <c r="A314" s="42">
        <v>46368</v>
      </c>
      <c r="B314" s="43" t="s">
        <v>85</v>
      </c>
      <c r="C314" s="43" t="s">
        <v>110</v>
      </c>
      <c r="D314" s="44">
        <v>0.45833333333333298</v>
      </c>
      <c r="E314" s="44">
        <v>0.47916666666666702</v>
      </c>
      <c r="F314" s="45" t="str">
        <f>IF(R314="","",HOUR(INDEX(MATCHER!$C$5:$C$504,R314))&amp;":"&amp;IF(MINUTE(INDEX(MATCHER!$C$5:$C$504,R314))&lt;10,"0","")&amp;MINUTE(INDEX(MATCHER!$C$5:$C$504,R314))&amp;" "&amp;INDEX(MATCHER!$H$5:$H$504,R314)&amp;" – "&amp;INDEX(MATCHER!$I$5:$I$504,R314))&amp;IF(S314="",""," | "&amp;HOUR(INDEX(MATCHER!$C$5:$C$504,S314))&amp;":"&amp;IF(MINUTE(INDEX(MATCHER!$C$5:$C$504,S314))&lt;10,"0","")&amp;MINUTE(INDEX(MATCHER!$C$5:$C$504,S314))&amp;" "&amp;INDEX(MATCHER!$H$5:$H$504,S314)&amp;" – "&amp;INDEX(MATCHER!$I$5:$I$504,S314))&amp;IF(T314="",""," | "&amp;HOUR(INDEX(MATCHER!$C$5:$C$504,T314))&amp;":"&amp;IF(MINUTE(INDEX(MATCHER!$C$5:$C$504,T314))&lt;10,"0","")&amp;MINUTE(INDEX(MATCHER!$C$5:$C$504,T314))&amp;" "&amp;INDEX(MATCHER!$H$5:$H$504,T314)&amp;" – "&amp;INDEX(MATCHER!$I$5:$I$504,T314))&amp;IF(AF314="",""," | "&amp;HOUR(INDEX(MATCHER!$C$5:$C$504,AF314))&amp;":"&amp;IF(MINUTE(INDEX(MATCHER!$C$5:$C$504,AF314))&lt;10,"0","")&amp;MINUTE(INDEX(MATCHER!$C$5:$C$504,AF314))&amp;" "&amp;INDEX(MATCHER!$H$5:$H$504,AF314)&amp;" – "&amp;INDEX(MATCHER!$I$5:$I$504,AF314))</f>
        <v>11:00 AIK – Spånga HK 1 | 11:00 Sannadals SK Röd – Sannadals SK Gul</v>
      </c>
      <c r="G314" s="45" t="str">
        <f>MID(IF(R314="","",IF(OR(INDEX(MATCHER!$J$5:$J$504,R314)=""),""," / "&amp;INDEX(MATCHER!$J$5:$J$504,R314)))&amp;IF(S314="","",IF(OR(INDEX(MATCHER!$J$5:$J$504,S314)="",INDEX(MATCHER!$J$5:$J$504,S314)=IFERROR(INDEX(MATCHER!$J$5:$J$504,R314),"")),""," / "&amp;INDEX(MATCHER!$J$5:$J$504,S314)))&amp;IF(T314="","",IF(OR(INDEX(MATCHER!$J$5:$J$504,T314)="",INDEX(MATCHER!$J$5:$J$504,T314)=IFERROR(INDEX(MATCHER!$J$5:$J$504,R314),""),INDEX(MATCHER!$J$5:$J$504,T314)=IFERROR(INDEX(MATCHER!$J$5:$J$504,S314),"")),""," / "&amp;INDEX(MATCHER!$J$5:$J$504,T314)))&amp;IF(AF314="","",IF(OR(INDEX(MATCHER!$J$5:$J$504,AF314)="",INDEX(MATCHER!$J$5:$J$504,AF314)=IFERROR(INDEX(MATCHER!$J$5:$J$504,R314),""),INDEX(MATCHER!$J$5:$J$504,AF314)=IFERROR(INDEX(MATCHER!$J$5:$J$504,S314),""),INDEX(MATCHER!$J$5:$J$504,AF314)=IFERROR(INDEX(MATCHER!$J$5:$J$504,T314),"")),""," / "&amp;INDEX(MATCHER!$J$5:$J$504,AF314))),4,1000)</f>
        <v>F9</v>
      </c>
      <c r="H314" s="45" t="str">
        <f t="shared" si="73"/>
        <v>F9, F13</v>
      </c>
      <c r="I314" s="46" t="s">
        <v>90</v>
      </c>
      <c r="J314" s="47" t="s">
        <v>135</v>
      </c>
      <c r="K314" s="48"/>
      <c r="L314" s="49"/>
      <c r="M314" s="50" t="str">
        <f>IF(O314&lt;&gt;O313,MAX(1,MIN(AA314,ROUNDUP(SUMPRODUCT(($O$5:$O$546=O314)*($I$5:$I$546="Ja")*($E$5:$E$546-$D$5:$D$546))*24/REGLER!$B$8,0))),"")</f>
        <v/>
      </c>
      <c r="N314" s="50" t="str">
        <f t="shared" si="62"/>
        <v>Klar</v>
      </c>
      <c r="O314" s="15" t="s">
        <v>136</v>
      </c>
      <c r="P314" s="16">
        <v>0.33333333333333298</v>
      </c>
      <c r="Q314" s="16">
        <v>0.58333333333333304</v>
      </c>
      <c r="R314" s="15">
        <f>IFERROR(MATCH(1,INDEX((MATCHER!$B$5:$B$504=A314)*(MATCHER!$D$5:$D$504=C314)*(MATCHER!$K$5:$K$504="Ja")*(MATCHER!$C$5:$C$504&lt;E314)*(MATCHER!$M$5:$M$504&gt;D314),0),0),"")</f>
        <v>119</v>
      </c>
      <c r="S314" s="15">
        <f>IF(R314="","",IFERROR(MATCH(1,INDEX((MATCHER!$B$5:$B$504=A314)*(MATCHER!$D$5:$D$504=C314)*(MATCHER!$K$5:$K$504="Ja")*(MATCHER!$C$5:$C$504&lt;E314)*(MATCHER!$M$5:$M$504&gt;D314)*(ROW(MATCHER!$A$5:$A$504)-ROW(MATCHER!$A$5)+1&gt;R314),0),0),""))</f>
        <v>120</v>
      </c>
      <c r="T314" s="15" t="str">
        <f>IF(S314="","",IFERROR(MATCH(1,INDEX((MATCHER!$B$5:$B$504=A314)*(MATCHER!$D$5:$D$504=C314)*(MATCHER!$K$5:$K$504="Ja")*(MATCHER!$C$5:$C$504&lt;E314)*(MATCHER!$M$5:$M$504&gt;D314)*(ROW(MATCHER!$A$5:$A$504)-ROW(MATCHER!$A$5)+1&gt;S314),0),0),""))</f>
        <v/>
      </c>
      <c r="U314" s="15">
        <f t="shared" si="63"/>
        <v>0</v>
      </c>
      <c r="V314" s="15">
        <f>IF(OR(I314&lt;&gt;"Ja",J314=""),"",COUNTIFS($O$5:O314,O314,$U$5:U314,1))</f>
        <v>1</v>
      </c>
      <c r="W314" s="15" t="str">
        <f t="shared" si="64"/>
        <v>2026-12-12 | Tallbackaskolan|1</v>
      </c>
      <c r="X314" s="16" t="str">
        <f t="shared" si="65"/>
        <v/>
      </c>
      <c r="Y314" s="15">
        <f>IF(OR(I314&lt;&gt;"Ja",J314=""),0,IF(COUNTIFS($O$5:O314,O314,$I$5:I314,"Ja",$J$5:J314,"&lt;&gt;")=1,1,0))</f>
        <v>0</v>
      </c>
      <c r="Z314" s="15">
        <f>IF(OR(I314&lt;&gt;"Ja",J314=""),0,IF(COUNTIFS(O314:$O$546,O314,I314:$I$546,"Ja",J314:$J$546,"&lt;&gt;")=1,1,0))</f>
        <v>0</v>
      </c>
      <c r="AA314" s="15">
        <f t="shared" si="74"/>
        <v>2</v>
      </c>
      <c r="AB314" s="15" t="str">
        <f>IF(U314&lt;&gt;1,"",COUNTIF($U$5:U314,1))</f>
        <v/>
      </c>
      <c r="AC314" s="15" t="str">
        <f t="shared" si="66"/>
        <v/>
      </c>
      <c r="AD314" s="15" t="str">
        <f t="shared" si="67"/>
        <v>Vanligt café</v>
      </c>
      <c r="AE314" s="15" t="str">
        <f t="shared" si="68"/>
        <v/>
      </c>
      <c r="AF314" t="str">
        <f>IF(T314="","",IFERROR(MATCH(1,INDEX((MATCHER!$B$5:$B$504=A314)*(MATCHER!$D$5:$D$504=C314)*(MATCHER!$K$5:$K$504="Ja")*(MATCHER!$C$5:$C$504&lt;E314)*(MATCHER!$M$5:$M$504&gt;D314)*(ROW(MATCHER!$A$5:$A$504)-ROW(MATCHER!$A$5)+1&gt;T314),0),0),""))</f>
        <v/>
      </c>
    </row>
    <row r="315" spans="1:32" ht="26">
      <c r="A315" s="42">
        <v>46368</v>
      </c>
      <c r="B315" s="43" t="s">
        <v>85</v>
      </c>
      <c r="C315" s="43" t="s">
        <v>110</v>
      </c>
      <c r="D315" s="44">
        <v>0.47916666666666702</v>
      </c>
      <c r="E315" s="44">
        <v>0.5</v>
      </c>
      <c r="F315" s="45" t="str">
        <f>IF(R315="","",HOUR(INDEX(MATCHER!$C$5:$C$504,R315))&amp;":"&amp;IF(MINUTE(INDEX(MATCHER!$C$5:$C$504,R315))&lt;10,"0","")&amp;MINUTE(INDEX(MATCHER!$C$5:$C$504,R315))&amp;" "&amp;INDEX(MATCHER!$H$5:$H$504,R315)&amp;" – "&amp;INDEX(MATCHER!$I$5:$I$504,R315))&amp;IF(S315="",""," | "&amp;HOUR(INDEX(MATCHER!$C$5:$C$504,S315))&amp;":"&amp;IF(MINUTE(INDEX(MATCHER!$C$5:$C$504,S315))&lt;10,"0","")&amp;MINUTE(INDEX(MATCHER!$C$5:$C$504,S315))&amp;" "&amp;INDEX(MATCHER!$H$5:$H$504,S315)&amp;" – "&amp;INDEX(MATCHER!$I$5:$I$504,S315))&amp;IF(T315="",""," | "&amp;HOUR(INDEX(MATCHER!$C$5:$C$504,T315))&amp;":"&amp;IF(MINUTE(INDEX(MATCHER!$C$5:$C$504,T315))&lt;10,"0","")&amp;MINUTE(INDEX(MATCHER!$C$5:$C$504,T315))&amp;" "&amp;INDEX(MATCHER!$H$5:$H$504,T315)&amp;" – "&amp;INDEX(MATCHER!$I$5:$I$504,T315))&amp;IF(AF315="",""," | "&amp;HOUR(INDEX(MATCHER!$C$5:$C$504,AF315))&amp;":"&amp;IF(MINUTE(INDEX(MATCHER!$C$5:$C$504,AF315))&lt;10,"0","")&amp;MINUTE(INDEX(MATCHER!$C$5:$C$504,AF315))&amp;" "&amp;INDEX(MATCHER!$H$5:$H$504,AF315)&amp;" – "&amp;INDEX(MATCHER!$I$5:$I$504,AF315))</f>
        <v>11:30 Bollstanäs SK F9 – Spånga HK 2 | 11:30 Assyriska Botkyrka SK – Sannadals SK Vit</v>
      </c>
      <c r="G315" s="45" t="str">
        <f>MID(IF(R315="","",IF(OR(INDEX(MATCHER!$J$5:$J$504,R315)=""),""," / "&amp;INDEX(MATCHER!$J$5:$J$504,R315)))&amp;IF(S315="","",IF(OR(INDEX(MATCHER!$J$5:$J$504,S315)="",INDEX(MATCHER!$J$5:$J$504,S315)=IFERROR(INDEX(MATCHER!$J$5:$J$504,R315),"")),""," / "&amp;INDEX(MATCHER!$J$5:$J$504,S315)))&amp;IF(T315="","",IF(OR(INDEX(MATCHER!$J$5:$J$504,T315)="",INDEX(MATCHER!$J$5:$J$504,T315)=IFERROR(INDEX(MATCHER!$J$5:$J$504,R315),""),INDEX(MATCHER!$J$5:$J$504,T315)=IFERROR(INDEX(MATCHER!$J$5:$J$504,S315),"")),""," / "&amp;INDEX(MATCHER!$J$5:$J$504,T315)))&amp;IF(AF315="","",IF(OR(INDEX(MATCHER!$J$5:$J$504,AF315)="",INDEX(MATCHER!$J$5:$J$504,AF315)=IFERROR(INDEX(MATCHER!$J$5:$J$504,R315),""),INDEX(MATCHER!$J$5:$J$504,AF315)=IFERROR(INDEX(MATCHER!$J$5:$J$504,S315),""),INDEX(MATCHER!$J$5:$J$504,AF315)=IFERROR(INDEX(MATCHER!$J$5:$J$504,T315),"")),""," / "&amp;INDEX(MATCHER!$J$5:$J$504,AF315))),4,1000)</f>
        <v/>
      </c>
      <c r="H315" s="45" t="str">
        <f t="shared" si="73"/>
        <v>F9, F13</v>
      </c>
      <c r="I315" s="46" t="s">
        <v>90</v>
      </c>
      <c r="J315" s="47" t="s">
        <v>135</v>
      </c>
      <c r="K315" s="48"/>
      <c r="L315" s="49"/>
      <c r="M315" s="50" t="str">
        <f>IF(O315&lt;&gt;O314,MAX(1,MIN(AA315,ROUNDUP(SUMPRODUCT(($O$5:$O$546=O315)*($I$5:$I$546="Ja")*($E$5:$E$546-$D$5:$D$546))*24/REGLER!$B$8,0))),"")</f>
        <v/>
      </c>
      <c r="N315" s="50" t="str">
        <f t="shared" si="62"/>
        <v>Klar</v>
      </c>
      <c r="O315" s="15" t="s">
        <v>136</v>
      </c>
      <c r="P315" s="16">
        <v>0.33333333333333298</v>
      </c>
      <c r="Q315" s="16">
        <v>0.58333333333333304</v>
      </c>
      <c r="R315" s="15">
        <f>IFERROR(MATCH(1,INDEX((MATCHER!$B$5:$B$504=A315)*(MATCHER!$D$5:$D$504=C315)*(MATCHER!$K$5:$K$504="Ja")*(MATCHER!$C$5:$C$504&lt;E315)*(MATCHER!$M$5:$M$504&gt;D315),0),0),"")</f>
        <v>121</v>
      </c>
      <c r="S315" s="15">
        <f>IF(R315="","",IFERROR(MATCH(1,INDEX((MATCHER!$B$5:$B$504=A315)*(MATCHER!$D$5:$D$504=C315)*(MATCHER!$K$5:$K$504="Ja")*(MATCHER!$C$5:$C$504&lt;E315)*(MATCHER!$M$5:$M$504&gt;D315)*(ROW(MATCHER!$A$5:$A$504)-ROW(MATCHER!$A$5)+1&gt;R315),0),0),""))</f>
        <v>122</v>
      </c>
      <c r="T315" s="15" t="str">
        <f>IF(S315="","",IFERROR(MATCH(1,INDEX((MATCHER!$B$5:$B$504=A315)*(MATCHER!$D$5:$D$504=C315)*(MATCHER!$K$5:$K$504="Ja")*(MATCHER!$C$5:$C$504&lt;E315)*(MATCHER!$M$5:$M$504&gt;D315)*(ROW(MATCHER!$A$5:$A$504)-ROW(MATCHER!$A$5)+1&gt;S315),0),0),""))</f>
        <v/>
      </c>
      <c r="U315" s="15">
        <f t="shared" si="63"/>
        <v>0</v>
      </c>
      <c r="V315" s="15">
        <f>IF(OR(I315&lt;&gt;"Ja",J315=""),"",COUNTIFS($O$5:O315,O315,$U$5:U315,1))</f>
        <v>1</v>
      </c>
      <c r="W315" s="15" t="str">
        <f t="shared" si="64"/>
        <v>2026-12-12 | Tallbackaskolan|1</v>
      </c>
      <c r="X315" s="16">
        <f t="shared" si="65"/>
        <v>0.5</v>
      </c>
      <c r="Y315" s="15">
        <f>IF(OR(I315&lt;&gt;"Ja",J315=""),0,IF(COUNTIFS($O$5:O315,O315,$I$5:I315,"Ja",$J$5:J315,"&lt;&gt;")=1,1,0))</f>
        <v>0</v>
      </c>
      <c r="Z315" s="15">
        <f>IF(OR(I315&lt;&gt;"Ja",J315=""),0,IF(COUNTIFS(O315:$O$546,O315,I315:$I$546,"Ja",J315:$J$546,"&lt;&gt;")=1,1,0))</f>
        <v>0</v>
      </c>
      <c r="AA315" s="15">
        <f t="shared" si="74"/>
        <v>2</v>
      </c>
      <c r="AB315" s="15" t="str">
        <f>IF(U315&lt;&gt;1,"",COUNTIF($U$5:U315,1))</f>
        <v/>
      </c>
      <c r="AC315" s="15" t="str">
        <f t="shared" si="66"/>
        <v>2026-12-12 | Tallbackaskolan|1</v>
      </c>
      <c r="AD315" s="15" t="str">
        <f t="shared" si="67"/>
        <v>Vanligt café</v>
      </c>
      <c r="AE315" s="15" t="str">
        <f t="shared" si="68"/>
        <v/>
      </c>
      <c r="AF315" t="str">
        <f>IF(T315="","",IFERROR(MATCH(1,INDEX((MATCHER!$B$5:$B$504=A315)*(MATCHER!$D$5:$D$504=C315)*(MATCHER!$K$5:$K$504="Ja")*(MATCHER!$C$5:$C$504&lt;E315)*(MATCHER!$M$5:$M$504&gt;D315)*(ROW(MATCHER!$A$5:$A$504)-ROW(MATCHER!$A$5)+1&gt;T315),0),0),""))</f>
        <v/>
      </c>
    </row>
    <row r="316" spans="1:32" ht="26">
      <c r="A316" s="42">
        <v>46368</v>
      </c>
      <c r="B316" s="43" t="s">
        <v>85</v>
      </c>
      <c r="C316" s="43" t="s">
        <v>110</v>
      </c>
      <c r="D316" s="44">
        <v>0.5</v>
      </c>
      <c r="E316" s="44">
        <v>0.52083333333333304</v>
      </c>
      <c r="F316" s="45" t="str">
        <f>IF(R316="","",HOUR(INDEX(MATCHER!$C$5:$C$504,R316))&amp;":"&amp;IF(MINUTE(INDEX(MATCHER!$C$5:$C$504,R316))&lt;10,"0","")&amp;MINUTE(INDEX(MATCHER!$C$5:$C$504,R316))&amp;" "&amp;INDEX(MATCHER!$H$5:$H$504,R316)&amp;" – "&amp;INDEX(MATCHER!$I$5:$I$504,R316))&amp;IF(S316="",""," | "&amp;HOUR(INDEX(MATCHER!$C$5:$C$504,S316))&amp;":"&amp;IF(MINUTE(INDEX(MATCHER!$C$5:$C$504,S316))&lt;10,"0","")&amp;MINUTE(INDEX(MATCHER!$C$5:$C$504,S316))&amp;" "&amp;INDEX(MATCHER!$H$5:$H$504,S316)&amp;" – "&amp;INDEX(MATCHER!$I$5:$I$504,S316))&amp;IF(T316="",""," | "&amp;HOUR(INDEX(MATCHER!$C$5:$C$504,T316))&amp;":"&amp;IF(MINUTE(INDEX(MATCHER!$C$5:$C$504,T316))&lt;10,"0","")&amp;MINUTE(INDEX(MATCHER!$C$5:$C$504,T316))&amp;" "&amp;INDEX(MATCHER!$H$5:$H$504,T316)&amp;" – "&amp;INDEX(MATCHER!$I$5:$I$504,T316))&amp;IF(AF316="",""," | "&amp;HOUR(INDEX(MATCHER!$C$5:$C$504,AF316))&amp;":"&amp;IF(MINUTE(INDEX(MATCHER!$C$5:$C$504,AF316))&lt;10,"0","")&amp;MINUTE(INDEX(MATCHER!$C$5:$C$504,AF316))&amp;" "&amp;INDEX(MATCHER!$H$5:$H$504,AF316)&amp;" – "&amp;INDEX(MATCHER!$I$5:$I$504,AF316))</f>
        <v/>
      </c>
      <c r="G316" s="45" t="str">
        <f>MID(IF(R316="","",IF(OR(INDEX(MATCHER!$J$5:$J$504,R316)=""),""," / "&amp;INDEX(MATCHER!$J$5:$J$504,R316)))&amp;IF(S316="","",IF(OR(INDEX(MATCHER!$J$5:$J$504,S316)="",INDEX(MATCHER!$J$5:$J$504,S316)=IFERROR(INDEX(MATCHER!$J$5:$J$504,R316),"")),""," / "&amp;INDEX(MATCHER!$J$5:$J$504,S316)))&amp;IF(T316="","",IF(OR(INDEX(MATCHER!$J$5:$J$504,T316)="",INDEX(MATCHER!$J$5:$J$504,T316)=IFERROR(INDEX(MATCHER!$J$5:$J$504,R316),""),INDEX(MATCHER!$J$5:$J$504,T316)=IFERROR(INDEX(MATCHER!$J$5:$J$504,S316),"")),""," / "&amp;INDEX(MATCHER!$J$5:$J$504,T316)))&amp;IF(AF316="","",IF(OR(INDEX(MATCHER!$J$5:$J$504,AF316)="",INDEX(MATCHER!$J$5:$J$504,AF316)=IFERROR(INDEX(MATCHER!$J$5:$J$504,R316),""),INDEX(MATCHER!$J$5:$J$504,AF316)=IFERROR(INDEX(MATCHER!$J$5:$J$504,S316),""),INDEX(MATCHER!$J$5:$J$504,AF316)=IFERROR(INDEX(MATCHER!$J$5:$J$504,T316),"")),""," / "&amp;INDEX(MATCHER!$J$5:$J$504,AF316))),4,1000)</f>
        <v/>
      </c>
      <c r="H316" s="45" t="str">
        <f t="shared" si="73"/>
        <v>F9, F13</v>
      </c>
      <c r="I316" s="46" t="s">
        <v>90</v>
      </c>
      <c r="J316" s="47" t="s">
        <v>97</v>
      </c>
      <c r="K316" s="48"/>
      <c r="L316" s="49"/>
      <c r="M316" s="50" t="str">
        <f>IF(O316&lt;&gt;O315,MAX(1,MIN(AA316,ROUNDUP(SUMPRODUCT(($O$5:$O$546=O316)*($I$5:$I$546="Ja")*($E$5:$E$546-$D$5:$D$546))*24/REGLER!$B$8,0))),"")</f>
        <v/>
      </c>
      <c r="N316" s="50" t="str">
        <f t="shared" si="62"/>
        <v>Klar</v>
      </c>
      <c r="O316" s="15" t="s">
        <v>136</v>
      </c>
      <c r="P316" s="16">
        <v>0.33333333333333298</v>
      </c>
      <c r="Q316" s="16">
        <v>0.58333333333333304</v>
      </c>
      <c r="R316" s="15" t="str">
        <f>IFERROR(MATCH(1,INDEX((MATCHER!$B$5:$B$504=A316)*(MATCHER!$D$5:$D$504=C316)*(MATCHER!$K$5:$K$504="Ja")*(MATCHER!$C$5:$C$504&lt;E316)*(MATCHER!$M$5:$M$504&gt;D316),0),0),"")</f>
        <v/>
      </c>
      <c r="S316" s="15" t="str">
        <f>IF(R316="","",IFERROR(MATCH(1,INDEX((MATCHER!$B$5:$B$504=A316)*(MATCHER!$D$5:$D$504=C316)*(MATCHER!$K$5:$K$504="Ja")*(MATCHER!$C$5:$C$504&lt;E316)*(MATCHER!$M$5:$M$504&gt;D316)*(ROW(MATCHER!$A$5:$A$504)-ROW(MATCHER!$A$5)+1&gt;R316),0),0),""))</f>
        <v/>
      </c>
      <c r="T316" s="15" t="str">
        <f>IF(S316="","",IFERROR(MATCH(1,INDEX((MATCHER!$B$5:$B$504=A316)*(MATCHER!$D$5:$D$504=C316)*(MATCHER!$K$5:$K$504="Ja")*(MATCHER!$C$5:$C$504&lt;E316)*(MATCHER!$M$5:$M$504&gt;D316)*(ROW(MATCHER!$A$5:$A$504)-ROW(MATCHER!$A$5)+1&gt;S316),0),0),""))</f>
        <v/>
      </c>
      <c r="U316" s="15">
        <f t="shared" si="63"/>
        <v>1</v>
      </c>
      <c r="V316" s="15">
        <f>IF(OR(I316&lt;&gt;"Ja",J316=""),"",COUNTIFS($O$5:O316,O316,$U$5:U316,1))</f>
        <v>2</v>
      </c>
      <c r="W316" s="15" t="str">
        <f t="shared" si="64"/>
        <v>2026-12-12 | Tallbackaskolan|2</v>
      </c>
      <c r="X316" s="16" t="str">
        <f t="shared" si="65"/>
        <v/>
      </c>
      <c r="Y316" s="15">
        <f>IF(OR(I316&lt;&gt;"Ja",J316=""),0,IF(COUNTIFS($O$5:O316,O316,$I$5:I316,"Ja",$J$5:J316,"&lt;&gt;")=1,1,0))</f>
        <v>0</v>
      </c>
      <c r="Z316" s="15">
        <f>IF(OR(I316&lt;&gt;"Ja",J316=""),0,IF(COUNTIFS(O316:$O$546,O316,I316:$I$546,"Ja",J316:$J$546,"&lt;&gt;")=1,1,0))</f>
        <v>0</v>
      </c>
      <c r="AA316" s="15">
        <f t="shared" si="74"/>
        <v>2</v>
      </c>
      <c r="AB316" s="15">
        <f>IF(U316&lt;&gt;1,"",COUNTIF($U$5:U316,1))</f>
        <v>36</v>
      </c>
      <c r="AC316" s="15" t="str">
        <f t="shared" si="66"/>
        <v/>
      </c>
      <c r="AD316" s="15" t="str">
        <f t="shared" si="67"/>
        <v>Vanligt café</v>
      </c>
      <c r="AE316" s="15">
        <f t="shared" si="68"/>
        <v>1.9999999999999929</v>
      </c>
      <c r="AF316" t="str">
        <f>IF(T316="","",IFERROR(MATCH(1,INDEX((MATCHER!$B$5:$B$504=A316)*(MATCHER!$D$5:$D$504=C316)*(MATCHER!$K$5:$K$504="Ja")*(MATCHER!$C$5:$C$504&lt;E316)*(MATCHER!$M$5:$M$504&gt;D316)*(ROW(MATCHER!$A$5:$A$504)-ROW(MATCHER!$A$5)+1&gt;T316),0),0),""))</f>
        <v/>
      </c>
    </row>
    <row r="317" spans="1:32" ht="26">
      <c r="A317" s="42">
        <v>46368</v>
      </c>
      <c r="B317" s="43" t="s">
        <v>85</v>
      </c>
      <c r="C317" s="43" t="s">
        <v>110</v>
      </c>
      <c r="D317" s="44">
        <v>0.52083333333333304</v>
      </c>
      <c r="E317" s="44">
        <v>0.54166666666666696</v>
      </c>
      <c r="F317" s="45" t="str">
        <f>IF(R317="","",HOUR(INDEX(MATCHER!$C$5:$C$504,R317))&amp;":"&amp;IF(MINUTE(INDEX(MATCHER!$C$5:$C$504,R317))&lt;10,"0","")&amp;MINUTE(INDEX(MATCHER!$C$5:$C$504,R317))&amp;" "&amp;INDEX(MATCHER!$H$5:$H$504,R317)&amp;" – "&amp;INDEX(MATCHER!$I$5:$I$504,R317))&amp;IF(S317="",""," | "&amp;HOUR(INDEX(MATCHER!$C$5:$C$504,S317))&amp;":"&amp;IF(MINUTE(INDEX(MATCHER!$C$5:$C$504,S317))&lt;10,"0","")&amp;MINUTE(INDEX(MATCHER!$C$5:$C$504,S317))&amp;" "&amp;INDEX(MATCHER!$H$5:$H$504,S317)&amp;" – "&amp;INDEX(MATCHER!$I$5:$I$504,S317))&amp;IF(T317="",""," | "&amp;HOUR(INDEX(MATCHER!$C$5:$C$504,T317))&amp;":"&amp;IF(MINUTE(INDEX(MATCHER!$C$5:$C$504,T317))&lt;10,"0","")&amp;MINUTE(INDEX(MATCHER!$C$5:$C$504,T317))&amp;" "&amp;INDEX(MATCHER!$H$5:$H$504,T317)&amp;" – "&amp;INDEX(MATCHER!$I$5:$I$504,T317))&amp;IF(AF317="",""," | "&amp;HOUR(INDEX(MATCHER!$C$5:$C$504,AF317))&amp;":"&amp;IF(MINUTE(INDEX(MATCHER!$C$5:$C$504,AF317))&lt;10,"0","")&amp;MINUTE(INDEX(MATCHER!$C$5:$C$504,AF317))&amp;" "&amp;INDEX(MATCHER!$H$5:$H$504,AF317)&amp;" – "&amp;INDEX(MATCHER!$I$5:$I$504,AF317))</f>
        <v>12:45 AIK – Kungsängens SK</v>
      </c>
      <c r="G317" s="45" t="str">
        <f>MID(IF(R317="","",IF(OR(INDEX(MATCHER!$J$5:$J$504,R317)=""),""," / "&amp;INDEX(MATCHER!$J$5:$J$504,R317)))&amp;IF(S317="","",IF(OR(INDEX(MATCHER!$J$5:$J$504,S317)="",INDEX(MATCHER!$J$5:$J$504,S317)=IFERROR(INDEX(MATCHER!$J$5:$J$504,R317),"")),""," / "&amp;INDEX(MATCHER!$J$5:$J$504,S317)))&amp;IF(T317="","",IF(OR(INDEX(MATCHER!$J$5:$J$504,T317)="",INDEX(MATCHER!$J$5:$J$504,T317)=IFERROR(INDEX(MATCHER!$J$5:$J$504,R317),""),INDEX(MATCHER!$J$5:$J$504,T317)=IFERROR(INDEX(MATCHER!$J$5:$J$504,S317),"")),""," / "&amp;INDEX(MATCHER!$J$5:$J$504,T317)))&amp;IF(AF317="","",IF(OR(INDEX(MATCHER!$J$5:$J$504,AF317)="",INDEX(MATCHER!$J$5:$J$504,AF317)=IFERROR(INDEX(MATCHER!$J$5:$J$504,R317),""),INDEX(MATCHER!$J$5:$J$504,AF317)=IFERROR(INDEX(MATCHER!$J$5:$J$504,S317),""),INDEX(MATCHER!$J$5:$J$504,AF317)=IFERROR(INDEX(MATCHER!$J$5:$J$504,T317),"")),""," / "&amp;INDEX(MATCHER!$J$5:$J$504,AF317))),4,1000)</f>
        <v>F13</v>
      </c>
      <c r="H317" s="45" t="str">
        <f t="shared" si="73"/>
        <v>F9, F13</v>
      </c>
      <c r="I317" s="46" t="s">
        <v>90</v>
      </c>
      <c r="J317" s="47" t="s">
        <v>97</v>
      </c>
      <c r="K317" s="48"/>
      <c r="L317" s="49"/>
      <c r="M317" s="50" t="str">
        <f>IF(O317&lt;&gt;O316,MAX(1,MIN(AA317,ROUNDUP(SUMPRODUCT(($O$5:$O$546=O317)*($I$5:$I$546="Ja")*($E$5:$E$546-$D$5:$D$546))*24/REGLER!$B$8,0))),"")</f>
        <v/>
      </c>
      <c r="N317" s="50" t="str">
        <f t="shared" si="62"/>
        <v>Klar</v>
      </c>
      <c r="O317" s="15" t="s">
        <v>136</v>
      </c>
      <c r="P317" s="16">
        <v>0.33333333333333298</v>
      </c>
      <c r="Q317" s="16">
        <v>0.58333333333333304</v>
      </c>
      <c r="R317" s="15">
        <f>IFERROR(MATCH(1,INDEX((MATCHER!$B$5:$B$504=A317)*(MATCHER!$D$5:$D$504=C317)*(MATCHER!$K$5:$K$504="Ja")*(MATCHER!$C$5:$C$504&lt;E317)*(MATCHER!$M$5:$M$504&gt;D317),0),0),"")</f>
        <v>123</v>
      </c>
      <c r="S317" s="15" t="str">
        <f>IF(R317="","",IFERROR(MATCH(1,INDEX((MATCHER!$B$5:$B$504=A317)*(MATCHER!$D$5:$D$504=C317)*(MATCHER!$K$5:$K$504="Ja")*(MATCHER!$C$5:$C$504&lt;E317)*(MATCHER!$M$5:$M$504&gt;D317)*(ROW(MATCHER!$A$5:$A$504)-ROW(MATCHER!$A$5)+1&gt;R317),0),0),""))</f>
        <v/>
      </c>
      <c r="T317" s="15" t="str">
        <f>IF(S317="","",IFERROR(MATCH(1,INDEX((MATCHER!$B$5:$B$504=A317)*(MATCHER!$D$5:$D$504=C317)*(MATCHER!$K$5:$K$504="Ja")*(MATCHER!$C$5:$C$504&lt;E317)*(MATCHER!$M$5:$M$504&gt;D317)*(ROW(MATCHER!$A$5:$A$504)-ROW(MATCHER!$A$5)+1&gt;S317),0),0),""))</f>
        <v/>
      </c>
      <c r="U317" s="15">
        <f t="shared" si="63"/>
        <v>0</v>
      </c>
      <c r="V317" s="15">
        <f>IF(OR(I317&lt;&gt;"Ja",J317=""),"",COUNTIFS($O$5:O317,O317,$U$5:U317,1))</f>
        <v>2</v>
      </c>
      <c r="W317" s="15" t="str">
        <f t="shared" si="64"/>
        <v>2026-12-12 | Tallbackaskolan|2</v>
      </c>
      <c r="X317" s="16" t="str">
        <f t="shared" si="65"/>
        <v/>
      </c>
      <c r="Y317" s="15">
        <f>IF(OR(I317&lt;&gt;"Ja",J317=""),0,IF(COUNTIFS($O$5:O317,O317,$I$5:I317,"Ja",$J$5:J317,"&lt;&gt;")=1,1,0))</f>
        <v>0</v>
      </c>
      <c r="Z317" s="15">
        <f>IF(OR(I317&lt;&gt;"Ja",J317=""),0,IF(COUNTIFS(O317:$O$546,O317,I317:$I$546,"Ja",J317:$J$546,"&lt;&gt;")=1,1,0))</f>
        <v>0</v>
      </c>
      <c r="AA317" s="15">
        <f t="shared" si="74"/>
        <v>2</v>
      </c>
      <c r="AB317" s="15" t="str">
        <f>IF(U317&lt;&gt;1,"",COUNTIF($U$5:U317,1))</f>
        <v/>
      </c>
      <c r="AC317" s="15" t="str">
        <f t="shared" si="66"/>
        <v/>
      </c>
      <c r="AD317" s="15" t="str">
        <f t="shared" si="67"/>
        <v>Vanligt café</v>
      </c>
      <c r="AE317" s="15" t="str">
        <f t="shared" si="68"/>
        <v/>
      </c>
      <c r="AF317" t="str">
        <f>IF(T317="","",IFERROR(MATCH(1,INDEX((MATCHER!$B$5:$B$504=A317)*(MATCHER!$D$5:$D$504=C317)*(MATCHER!$K$5:$K$504="Ja")*(MATCHER!$C$5:$C$504&lt;E317)*(MATCHER!$M$5:$M$504&gt;D317)*(ROW(MATCHER!$A$5:$A$504)-ROW(MATCHER!$A$5)+1&gt;T317),0),0),""))</f>
        <v/>
      </c>
    </row>
    <row r="318" spans="1:32" ht="26">
      <c r="A318" s="42">
        <v>46368</v>
      </c>
      <c r="B318" s="43" t="s">
        <v>85</v>
      </c>
      <c r="C318" s="43" t="s">
        <v>110</v>
      </c>
      <c r="D318" s="44">
        <v>0.54166666666666696</v>
      </c>
      <c r="E318" s="44">
        <v>0.5625</v>
      </c>
      <c r="F318" s="45" t="str">
        <f>IF(R318="","",HOUR(INDEX(MATCHER!$C$5:$C$504,R318))&amp;":"&amp;IF(MINUTE(INDEX(MATCHER!$C$5:$C$504,R318))&lt;10,"0","")&amp;MINUTE(INDEX(MATCHER!$C$5:$C$504,R318))&amp;" "&amp;INDEX(MATCHER!$H$5:$H$504,R318)&amp;" – "&amp;INDEX(MATCHER!$I$5:$I$504,R318))&amp;IF(S318="",""," | "&amp;HOUR(INDEX(MATCHER!$C$5:$C$504,S318))&amp;":"&amp;IF(MINUTE(INDEX(MATCHER!$C$5:$C$504,S318))&lt;10,"0","")&amp;MINUTE(INDEX(MATCHER!$C$5:$C$504,S318))&amp;" "&amp;INDEX(MATCHER!$H$5:$H$504,S318)&amp;" – "&amp;INDEX(MATCHER!$I$5:$I$504,S318))&amp;IF(T318="",""," | "&amp;HOUR(INDEX(MATCHER!$C$5:$C$504,T318))&amp;":"&amp;IF(MINUTE(INDEX(MATCHER!$C$5:$C$504,T318))&lt;10,"0","")&amp;MINUTE(INDEX(MATCHER!$C$5:$C$504,T318))&amp;" "&amp;INDEX(MATCHER!$H$5:$H$504,T318)&amp;" – "&amp;INDEX(MATCHER!$I$5:$I$504,T318))&amp;IF(AF318="",""," | "&amp;HOUR(INDEX(MATCHER!$C$5:$C$504,AF318))&amp;":"&amp;IF(MINUTE(INDEX(MATCHER!$C$5:$C$504,AF318))&lt;10,"0","")&amp;MINUTE(INDEX(MATCHER!$C$5:$C$504,AF318))&amp;" "&amp;INDEX(MATCHER!$H$5:$H$504,AF318)&amp;" – "&amp;INDEX(MATCHER!$I$5:$I$504,AF318))</f>
        <v>12:45 AIK – Kungsängens SK</v>
      </c>
      <c r="G318" s="45" t="str">
        <f>MID(IF(R318="","",IF(OR(INDEX(MATCHER!$J$5:$J$504,R318)=""),""," / "&amp;INDEX(MATCHER!$J$5:$J$504,R318)))&amp;IF(S318="","",IF(OR(INDEX(MATCHER!$J$5:$J$504,S318)="",INDEX(MATCHER!$J$5:$J$504,S318)=IFERROR(INDEX(MATCHER!$J$5:$J$504,R318),"")),""," / "&amp;INDEX(MATCHER!$J$5:$J$504,S318)))&amp;IF(T318="","",IF(OR(INDEX(MATCHER!$J$5:$J$504,T318)="",INDEX(MATCHER!$J$5:$J$504,T318)=IFERROR(INDEX(MATCHER!$J$5:$J$504,R318),""),INDEX(MATCHER!$J$5:$J$504,T318)=IFERROR(INDEX(MATCHER!$J$5:$J$504,S318),"")),""," / "&amp;INDEX(MATCHER!$J$5:$J$504,T318)))&amp;IF(AF318="","",IF(OR(INDEX(MATCHER!$J$5:$J$504,AF318)="",INDEX(MATCHER!$J$5:$J$504,AF318)=IFERROR(INDEX(MATCHER!$J$5:$J$504,R318),""),INDEX(MATCHER!$J$5:$J$504,AF318)=IFERROR(INDEX(MATCHER!$J$5:$J$504,S318),""),INDEX(MATCHER!$J$5:$J$504,AF318)=IFERROR(INDEX(MATCHER!$J$5:$J$504,T318),"")),""," / "&amp;INDEX(MATCHER!$J$5:$J$504,AF318))),4,1000)</f>
        <v>F13</v>
      </c>
      <c r="H318" s="45" t="str">
        <f t="shared" si="73"/>
        <v>F9, F13</v>
      </c>
      <c r="I318" s="46" t="s">
        <v>90</v>
      </c>
      <c r="J318" s="47" t="s">
        <v>97</v>
      </c>
      <c r="K318" s="48"/>
      <c r="L318" s="49"/>
      <c r="M318" s="50" t="str">
        <f>IF(O318&lt;&gt;O317,MAX(1,MIN(AA318,ROUNDUP(SUMPRODUCT(($O$5:$O$546=O318)*($I$5:$I$546="Ja")*($E$5:$E$546-$D$5:$D$546))*24/REGLER!$B$8,0))),"")</f>
        <v/>
      </c>
      <c r="N318" s="50" t="str">
        <f t="shared" si="62"/>
        <v>Klar</v>
      </c>
      <c r="O318" s="15" t="s">
        <v>136</v>
      </c>
      <c r="P318" s="16">
        <v>0.33333333333333298</v>
      </c>
      <c r="Q318" s="16">
        <v>0.58333333333333304</v>
      </c>
      <c r="R318" s="15">
        <f>IFERROR(MATCH(1,INDEX((MATCHER!$B$5:$B$504=A318)*(MATCHER!$D$5:$D$504=C318)*(MATCHER!$K$5:$K$504="Ja")*(MATCHER!$C$5:$C$504&lt;E318)*(MATCHER!$M$5:$M$504&gt;D318),0),0),"")</f>
        <v>123</v>
      </c>
      <c r="S318" s="15" t="str">
        <f>IF(R318="","",IFERROR(MATCH(1,INDEX((MATCHER!$B$5:$B$504=A318)*(MATCHER!$D$5:$D$504=C318)*(MATCHER!$K$5:$K$504="Ja")*(MATCHER!$C$5:$C$504&lt;E318)*(MATCHER!$M$5:$M$504&gt;D318)*(ROW(MATCHER!$A$5:$A$504)-ROW(MATCHER!$A$5)+1&gt;R318),0),0),""))</f>
        <v/>
      </c>
      <c r="T318" s="15" t="str">
        <f>IF(S318="","",IFERROR(MATCH(1,INDEX((MATCHER!$B$5:$B$504=A318)*(MATCHER!$D$5:$D$504=C318)*(MATCHER!$K$5:$K$504="Ja")*(MATCHER!$C$5:$C$504&lt;E318)*(MATCHER!$M$5:$M$504&gt;D318)*(ROW(MATCHER!$A$5:$A$504)-ROW(MATCHER!$A$5)+1&gt;S318),0),0),""))</f>
        <v/>
      </c>
      <c r="U318" s="15">
        <f t="shared" si="63"/>
        <v>0</v>
      </c>
      <c r="V318" s="15">
        <f>IF(OR(I318&lt;&gt;"Ja",J318=""),"",COUNTIFS($O$5:O318,O318,$U$5:U318,1))</f>
        <v>2</v>
      </c>
      <c r="W318" s="15" t="str">
        <f t="shared" si="64"/>
        <v>2026-12-12 | Tallbackaskolan|2</v>
      </c>
      <c r="X318" s="16" t="str">
        <f t="shared" si="65"/>
        <v/>
      </c>
      <c r="Y318" s="15">
        <f>IF(OR(I318&lt;&gt;"Ja",J318=""),0,IF(COUNTIFS($O$5:O318,O318,$I$5:I318,"Ja",$J$5:J318,"&lt;&gt;")=1,1,0))</f>
        <v>0</v>
      </c>
      <c r="Z318" s="15">
        <f>IF(OR(I318&lt;&gt;"Ja",J318=""),0,IF(COUNTIFS(O318:$O$546,O318,I318:$I$546,"Ja",J318:$J$546,"&lt;&gt;")=1,1,0))</f>
        <v>0</v>
      </c>
      <c r="AA318" s="15">
        <f t="shared" si="74"/>
        <v>2</v>
      </c>
      <c r="AB318" s="15" t="str">
        <f>IF(U318&lt;&gt;1,"",COUNTIF($U$5:U318,1))</f>
        <v/>
      </c>
      <c r="AC318" s="15" t="str">
        <f t="shared" si="66"/>
        <v/>
      </c>
      <c r="AD318" s="15" t="str">
        <f t="shared" si="67"/>
        <v>Vanligt café</v>
      </c>
      <c r="AE318" s="15" t="str">
        <f t="shared" si="68"/>
        <v/>
      </c>
      <c r="AF318" t="str">
        <f>IF(T318="","",IFERROR(MATCH(1,INDEX((MATCHER!$B$5:$B$504=A318)*(MATCHER!$D$5:$D$504=C318)*(MATCHER!$K$5:$K$504="Ja")*(MATCHER!$C$5:$C$504&lt;E318)*(MATCHER!$M$5:$M$504&gt;D318)*(ROW(MATCHER!$A$5:$A$504)-ROW(MATCHER!$A$5)+1&gt;T318),0),0),""))</f>
        <v/>
      </c>
    </row>
    <row r="319" spans="1:32" ht="26.5" thickBot="1">
      <c r="A319" s="52">
        <v>46368</v>
      </c>
      <c r="B319" s="53" t="s">
        <v>85</v>
      </c>
      <c r="C319" s="53" t="s">
        <v>110</v>
      </c>
      <c r="D319" s="54">
        <v>0.5625</v>
      </c>
      <c r="E319" s="54">
        <v>0.58333333333333304</v>
      </c>
      <c r="F319" s="55" t="str">
        <f>IF(R319="","",HOUR(INDEX(MATCHER!$C$5:$C$504,R319))&amp;":"&amp;IF(MINUTE(INDEX(MATCHER!$C$5:$C$504,R319))&lt;10,"0","")&amp;MINUTE(INDEX(MATCHER!$C$5:$C$504,R319))&amp;" "&amp;INDEX(MATCHER!$H$5:$H$504,R319)&amp;" – "&amp;INDEX(MATCHER!$I$5:$I$504,R319))&amp;IF(S319="",""," | "&amp;HOUR(INDEX(MATCHER!$C$5:$C$504,S319))&amp;":"&amp;IF(MINUTE(INDEX(MATCHER!$C$5:$C$504,S319))&lt;10,"0","")&amp;MINUTE(INDEX(MATCHER!$C$5:$C$504,S319))&amp;" "&amp;INDEX(MATCHER!$H$5:$H$504,S319)&amp;" – "&amp;INDEX(MATCHER!$I$5:$I$504,S319))&amp;IF(T319="",""," | "&amp;HOUR(INDEX(MATCHER!$C$5:$C$504,T319))&amp;":"&amp;IF(MINUTE(INDEX(MATCHER!$C$5:$C$504,T319))&lt;10,"0","")&amp;MINUTE(INDEX(MATCHER!$C$5:$C$504,T319))&amp;" "&amp;INDEX(MATCHER!$H$5:$H$504,T319)&amp;" – "&amp;INDEX(MATCHER!$I$5:$I$504,T319))&amp;IF(AF319="",""," | "&amp;HOUR(INDEX(MATCHER!$C$5:$C$504,AF319))&amp;":"&amp;IF(MINUTE(INDEX(MATCHER!$C$5:$C$504,AF319))&lt;10,"0","")&amp;MINUTE(INDEX(MATCHER!$C$5:$C$504,AF319))&amp;" "&amp;INDEX(MATCHER!$H$5:$H$504,AF319)&amp;" – "&amp;INDEX(MATCHER!$I$5:$I$504,AF319))</f>
        <v/>
      </c>
      <c r="G319" s="55" t="str">
        <f>MID(IF(R319="","",IF(OR(INDEX(MATCHER!$J$5:$J$504,R319)=""),""," / "&amp;INDEX(MATCHER!$J$5:$J$504,R319)))&amp;IF(S319="","",IF(OR(INDEX(MATCHER!$J$5:$J$504,S319)="",INDEX(MATCHER!$J$5:$J$504,S319)=IFERROR(INDEX(MATCHER!$J$5:$J$504,R319),"")),""," / "&amp;INDEX(MATCHER!$J$5:$J$504,S319)))&amp;IF(T319="","",IF(OR(INDEX(MATCHER!$J$5:$J$504,T319)="",INDEX(MATCHER!$J$5:$J$504,T319)=IFERROR(INDEX(MATCHER!$J$5:$J$504,R319),""),INDEX(MATCHER!$J$5:$J$504,T319)=IFERROR(INDEX(MATCHER!$J$5:$J$504,S319),"")),""," / "&amp;INDEX(MATCHER!$J$5:$J$504,T319)))&amp;IF(AF319="","",IF(OR(INDEX(MATCHER!$J$5:$J$504,AF319)="",INDEX(MATCHER!$J$5:$J$504,AF319)=IFERROR(INDEX(MATCHER!$J$5:$J$504,R319),""),INDEX(MATCHER!$J$5:$J$504,AF319)=IFERROR(INDEX(MATCHER!$J$5:$J$504,S319),""),INDEX(MATCHER!$J$5:$J$504,AF319)=IFERROR(INDEX(MATCHER!$J$5:$J$504,T319),"")),""," / "&amp;INDEX(MATCHER!$J$5:$J$504,AF319))),4,1000)</f>
        <v/>
      </c>
      <c r="H319" s="55" t="str">
        <f t="shared" si="73"/>
        <v>F9, F13</v>
      </c>
      <c r="I319" s="56" t="s">
        <v>90</v>
      </c>
      <c r="J319" s="57" t="s">
        <v>97</v>
      </c>
      <c r="K319" s="58"/>
      <c r="L319" s="59"/>
      <c r="M319" s="60" t="str">
        <f>IF(O319&lt;&gt;O318,MAX(1,MIN(AA319,ROUNDUP(SUMPRODUCT(($O$5:$O$546=O319)*($I$5:$I$546="Ja")*($E$5:$E$546-$D$5:$D$546))*24/REGLER!$B$8,0))),"")</f>
        <v/>
      </c>
      <c r="N319" s="60" t="str">
        <f t="shared" si="62"/>
        <v>Klar</v>
      </c>
      <c r="O319" s="15" t="s">
        <v>136</v>
      </c>
      <c r="P319" s="16">
        <v>0.33333333333333298</v>
      </c>
      <c r="Q319" s="16">
        <v>0.58333333333333304</v>
      </c>
      <c r="R319" s="15" t="str">
        <f>IFERROR(MATCH(1,INDEX((MATCHER!$B$5:$B$504=A319)*(MATCHER!$D$5:$D$504=C319)*(MATCHER!$K$5:$K$504="Ja")*(MATCHER!$C$5:$C$504&lt;E319)*(MATCHER!$M$5:$M$504&gt;D319),0),0),"")</f>
        <v/>
      </c>
      <c r="S319" s="15" t="str">
        <f>IF(R319="","",IFERROR(MATCH(1,INDEX((MATCHER!$B$5:$B$504=A319)*(MATCHER!$D$5:$D$504=C319)*(MATCHER!$K$5:$K$504="Ja")*(MATCHER!$C$5:$C$504&lt;E319)*(MATCHER!$M$5:$M$504&gt;D319)*(ROW(MATCHER!$A$5:$A$504)-ROW(MATCHER!$A$5)+1&gt;R319),0),0),""))</f>
        <v/>
      </c>
      <c r="T319" s="15" t="str">
        <f>IF(S319="","",IFERROR(MATCH(1,INDEX((MATCHER!$B$5:$B$504=A319)*(MATCHER!$D$5:$D$504=C319)*(MATCHER!$K$5:$K$504="Ja")*(MATCHER!$C$5:$C$504&lt;E319)*(MATCHER!$M$5:$M$504&gt;D319)*(ROW(MATCHER!$A$5:$A$504)-ROW(MATCHER!$A$5)+1&gt;S319),0),0),""))</f>
        <v/>
      </c>
      <c r="U319" s="15">
        <f t="shared" si="63"/>
        <v>0</v>
      </c>
      <c r="V319" s="15">
        <f>IF(OR(I319&lt;&gt;"Ja",J319=""),"",COUNTIFS($O$5:O319,O319,$U$5:U319,1))</f>
        <v>2</v>
      </c>
      <c r="W319" s="15" t="str">
        <f t="shared" si="64"/>
        <v>2026-12-12 | Tallbackaskolan|2</v>
      </c>
      <c r="X319" s="16">
        <f t="shared" si="65"/>
        <v>0.58333333333333304</v>
      </c>
      <c r="Y319" s="15">
        <f>IF(OR(I319&lt;&gt;"Ja",J319=""),0,IF(COUNTIFS($O$5:O319,O319,$I$5:I319,"Ja",$J$5:J319,"&lt;&gt;")=1,1,0))</f>
        <v>0</v>
      </c>
      <c r="Z319" s="15">
        <f>IF(OR(I319&lt;&gt;"Ja",J319=""),0,IF(COUNTIFS(O319:$O$546,O319,I319:$I$546,"Ja",J319:$J$546,"&lt;&gt;")=1,1,0))</f>
        <v>1</v>
      </c>
      <c r="AA319" s="15">
        <f t="shared" si="74"/>
        <v>2</v>
      </c>
      <c r="AB319" s="15" t="str">
        <f>IF(U319&lt;&gt;1,"",COUNTIF($U$5:U319,1))</f>
        <v/>
      </c>
      <c r="AC319" s="15" t="str">
        <f t="shared" si="66"/>
        <v>2026-12-12 | Tallbackaskolan|2</v>
      </c>
      <c r="AD319" s="15" t="str">
        <f t="shared" si="67"/>
        <v>Vanligt café</v>
      </c>
      <c r="AE319" s="15" t="str">
        <f t="shared" si="68"/>
        <v/>
      </c>
      <c r="AF319" t="str">
        <f>IF(T319="","",IFERROR(MATCH(1,INDEX((MATCHER!$B$5:$B$504=A319)*(MATCHER!$D$5:$D$504=C319)*(MATCHER!$K$5:$K$504="Ja")*(MATCHER!$C$5:$C$504&lt;E319)*(MATCHER!$M$5:$M$504&gt;D319)*(ROW(MATCHER!$A$5:$A$504)-ROW(MATCHER!$A$5)+1&gt;T319),0),0),""))</f>
        <v/>
      </c>
    </row>
    <row r="320" spans="1:32" ht="13">
      <c r="A320" s="42">
        <v>46396</v>
      </c>
      <c r="B320" s="43" t="s">
        <v>85</v>
      </c>
      <c r="C320" s="43" t="s">
        <v>94</v>
      </c>
      <c r="D320" s="44">
        <v>0.52083333333333304</v>
      </c>
      <c r="E320" s="44">
        <v>0.54166666666666696</v>
      </c>
      <c r="F320" s="45" t="str">
        <f>IF(R320="","",HOUR(INDEX(MATCHER!$C$5:$C$504,R320))&amp;":"&amp;IF(MINUTE(INDEX(MATCHER!$C$5:$C$504,R320))&lt;10,"0","")&amp;MINUTE(INDEX(MATCHER!$C$5:$C$504,R320))&amp;" "&amp;INDEX(MATCHER!$H$5:$H$504,R320)&amp;" – "&amp;INDEX(MATCHER!$I$5:$I$504,R320))&amp;IF(S320="",""," | "&amp;HOUR(INDEX(MATCHER!$C$5:$C$504,S320))&amp;":"&amp;IF(MINUTE(INDEX(MATCHER!$C$5:$C$504,S320))&lt;10,"0","")&amp;MINUTE(INDEX(MATCHER!$C$5:$C$504,S320))&amp;" "&amp;INDEX(MATCHER!$H$5:$H$504,S320)&amp;" – "&amp;INDEX(MATCHER!$I$5:$I$504,S320))&amp;IF(T320="",""," | "&amp;HOUR(INDEX(MATCHER!$C$5:$C$504,T320))&amp;":"&amp;IF(MINUTE(INDEX(MATCHER!$C$5:$C$504,T320))&lt;10,"0","")&amp;MINUTE(INDEX(MATCHER!$C$5:$C$504,T320))&amp;" "&amp;INDEX(MATCHER!$H$5:$H$504,T320)&amp;" – "&amp;INDEX(MATCHER!$I$5:$I$504,T320))&amp;IF(AF320="",""," | "&amp;HOUR(INDEX(MATCHER!$C$5:$C$504,AF320))&amp;":"&amp;IF(MINUTE(INDEX(MATCHER!$C$5:$C$504,AF320))&lt;10,"0","")&amp;MINUTE(INDEX(MATCHER!$C$5:$C$504,AF320))&amp;" "&amp;INDEX(MATCHER!$H$5:$H$504,AF320)&amp;" – "&amp;INDEX(MATCHER!$I$5:$I$504,AF320))</f>
        <v/>
      </c>
      <c r="G320" s="45" t="str">
        <f>MID(IF(R320="","",IF(OR(INDEX(MATCHER!$J$5:$J$504,R320)=""),""," / "&amp;INDEX(MATCHER!$J$5:$J$504,R320)))&amp;IF(S320="","",IF(OR(INDEX(MATCHER!$J$5:$J$504,S320)="",INDEX(MATCHER!$J$5:$J$504,S320)=IFERROR(INDEX(MATCHER!$J$5:$J$504,R320),"")),""," / "&amp;INDEX(MATCHER!$J$5:$J$504,S320)))&amp;IF(T320="","",IF(OR(INDEX(MATCHER!$J$5:$J$504,T320)="",INDEX(MATCHER!$J$5:$J$504,T320)=IFERROR(INDEX(MATCHER!$J$5:$J$504,R320),""),INDEX(MATCHER!$J$5:$J$504,T320)=IFERROR(INDEX(MATCHER!$J$5:$J$504,S320),"")),""," / "&amp;INDEX(MATCHER!$J$5:$J$504,T320)))&amp;IF(AF320="","",IF(OR(INDEX(MATCHER!$J$5:$J$504,AF320)="",INDEX(MATCHER!$J$5:$J$504,AF320)=IFERROR(INDEX(MATCHER!$J$5:$J$504,R320),""),INDEX(MATCHER!$J$5:$J$504,AF320)=IFERROR(INDEX(MATCHER!$J$5:$J$504,S320),""),INDEX(MATCHER!$J$5:$J$504,AF320)=IFERROR(INDEX(MATCHER!$J$5:$J$504,T320),"")),""," / "&amp;INDEX(MATCHER!$J$5:$J$504,AF320))),4,1000)</f>
        <v/>
      </c>
      <c r="H320" s="45" t="str">
        <f>MID(IF(COUNTIFS(MATCHER!$B$5:$B$504,A320,MATCHER!$D$5:$D$504,C320,MATCHER!$J$5:$J$504,REGLER!$I$6,MATCHER!$K$5:$K$504,"Ja")+COUNTIFS(MATCHER!$B$5:$B$504,A320,MATCHER!$D$5:$D$504,C320,MATCHER!$J$5:$J$504,REGLER!$I$6&amp;" 2",MATCHER!$K$5:$K$504,"Ja")&gt;0,", "&amp;REGLER!$I$6,"")&amp;IF(COUNTIFS(MATCHER!$B$5:$B$504,A320,MATCHER!$D$5:$D$504,C320,MATCHER!$J$5:$J$504,REGLER!$I$7,MATCHER!$K$5:$K$504,"Ja")+COUNTIFS(MATCHER!$B$5:$B$504,A320,MATCHER!$D$5:$D$504,C320,MATCHER!$J$5:$J$504,REGLER!$I$7&amp;" 2",MATCHER!$K$5:$K$504,"Ja")&gt;0,", "&amp;REGLER!$I$7,"")&amp;IF(COUNTIFS(MATCHER!$B$5:$B$504,A320,MATCHER!$D$5:$D$504,C320,MATCHER!$J$5:$J$504,REGLER!$I$8,MATCHER!$K$5:$K$504,"Ja")+COUNTIFS(MATCHER!$B$5:$B$504,A320,MATCHER!$D$5:$D$504,C320,MATCHER!$J$5:$J$504,REGLER!$I$8&amp;" 2",MATCHER!$K$5:$K$504,"Ja")&gt;0,", "&amp;REGLER!$I$8,"")&amp;IF(COUNTIFS(MATCHER!$B$5:$B$504,A320,MATCHER!$D$5:$D$504,C320,MATCHER!$J$5:$J$504,REGLER!$I$9,MATCHER!$K$5:$K$504,"Ja")+COUNTIFS(MATCHER!$B$5:$B$504,A320,MATCHER!$D$5:$D$504,C320,MATCHER!$J$5:$J$504,REGLER!$I$9&amp;" 2",MATCHER!$K$5:$K$504,"Ja")&gt;0,", "&amp;REGLER!$I$9,"")&amp;IF(COUNTIFS(MATCHER!$B$5:$B$504,A320,MATCHER!$D$5:$D$504,C320,MATCHER!$J$5:$J$504,REGLER!$I$10,MATCHER!$K$5:$K$504,"Ja")+COUNTIFS(MATCHER!$B$5:$B$504,A320,MATCHER!$D$5:$D$504,C320,MATCHER!$J$5:$J$504,REGLER!$I$10&amp;" 2",MATCHER!$K$5:$K$504,"Ja")&gt;0,", "&amp;REGLER!$I$10,"")&amp;IF(COUNTIFS(MATCHER!$B$5:$B$504,A320,MATCHER!$D$5:$D$504,C320,MATCHER!$J$5:$J$504,REGLER!$I$11,MATCHER!$K$5:$K$504,"Ja")+COUNTIFS(MATCHER!$B$5:$B$504,A320,MATCHER!$D$5:$D$504,C320,MATCHER!$J$5:$J$504,REGLER!$I$11&amp;" 2",MATCHER!$K$5:$K$504,"Ja")&gt;0,", "&amp;REGLER!$I$11,"")&amp;IF(COUNTIFS(MATCHER!$B$5:$B$504,A320,MATCHER!$D$5:$D$504,C320,MATCHER!$J$5:$J$504,REGLER!$I$12,MATCHER!$K$5:$K$504,"Ja")+COUNTIFS(MATCHER!$B$5:$B$504,A320,MATCHER!$D$5:$D$504,C320,MATCHER!$J$5:$J$504,REGLER!$I$12&amp;" 2",MATCHER!$K$5:$K$504,"Ja")&gt;0,", "&amp;REGLER!$I$12,"")&amp;IF(COUNTIFS(MATCHER!$B$5:$B$504,A320,MATCHER!$D$5:$D$504,C320,MATCHER!$J$5:$J$504,REGLER!$I$13,MATCHER!$K$5:$K$504,"Ja")+COUNTIFS(MATCHER!$B$5:$B$504,A320,MATCHER!$D$5:$D$504,C320,MATCHER!$J$5:$J$504,REGLER!$I$13&amp;" 2",MATCHER!$K$5:$K$504,"Ja")&gt;0,", "&amp;REGLER!$I$13,"")&amp;IF(COUNTIFS(MATCHER!$B$5:$B$504,A320,MATCHER!$D$5:$D$504,C320,MATCHER!$J$5:$J$504,REGLER!$I$14,MATCHER!$K$5:$K$504,"Ja")+COUNTIFS(MATCHER!$B$5:$B$504,A320,MATCHER!$D$5:$D$504,C320,MATCHER!$J$5:$J$504,REGLER!$I$14&amp;" 2",MATCHER!$K$5:$K$504,"Ja")&gt;0,", "&amp;REGLER!$I$14,"")&amp;IF(COUNTIFS(MATCHER!$B$5:$B$504,A320,MATCHER!$D$5:$D$504,C320,MATCHER!$J$5:$J$504,REGLER!$I$15,MATCHER!$K$5:$K$504,"Ja")+COUNTIFS(MATCHER!$B$5:$B$504,A320,MATCHER!$D$5:$D$504,C320,MATCHER!$J$5:$J$504,REGLER!$I$15&amp;" 2",MATCHER!$K$5:$K$504,"Ja")&gt;0,", "&amp;REGLER!$I$15,"")&amp;IF(COUNTIFS(MATCHER!$B$5:$B$504,A320,MATCHER!$D$5:$D$504,C320,MATCHER!$J$5:$J$504,REGLER!$I$16,MATCHER!$K$5:$K$504,"Ja")+COUNTIFS(MATCHER!$B$5:$B$504,A320,MATCHER!$D$5:$D$504,C320,MATCHER!$J$5:$J$504,REGLER!$I$16&amp;" 2",MATCHER!$K$5:$K$504,"Ja")&gt;0,", "&amp;REGLER!$I$16,"")&amp;IF(COUNTIFS(MATCHER!$B$5:$B$504,A320,MATCHER!$D$5:$D$504,C320,MATCHER!$J$5:$J$504,REGLER!$I$17,MATCHER!$K$5:$K$504,"Ja")+COUNTIFS(MATCHER!$B$5:$B$504,A320,MATCHER!$D$5:$D$504,C320,MATCHER!$J$5:$J$504,REGLER!$I$17&amp;" 2",MATCHER!$K$5:$K$504,"Ja")&gt;0,", "&amp;REGLER!$I$17,"")&amp;IF(COUNTIFS(MATCHER!$B$5:$B$504,A320,MATCHER!$D$5:$D$504,C320,MATCHER!$J$5:$J$504,REGLER!$I$18,MATCHER!$K$5:$K$504,"Ja")+COUNTIFS(MATCHER!$B$5:$B$504,A320,MATCHER!$D$5:$D$504,C320,MATCHER!$J$5:$J$504,REGLER!$I$18&amp;" 2",MATCHER!$K$5:$K$504,"Ja")&gt;0,", "&amp;REGLER!$I$18,"")&amp;IF(COUNTIFS(MATCHER!$B$5:$B$504,A320,MATCHER!$D$5:$D$504,C320,MATCHER!$J$5:$J$504,REGLER!$I$19,MATCHER!$K$5:$K$504,"Ja")+COUNTIFS(MATCHER!$B$5:$B$504,A320,MATCHER!$D$5:$D$504,C320,MATCHER!$J$5:$J$504,REGLER!$I$19&amp;" 2",MATCHER!$K$5:$K$504,"Ja")&gt;0,", "&amp;REGLER!$I$19,"")&amp;IF(COUNTIFS(MATCHER!$B$5:$B$504,A320,MATCHER!$D$5:$D$504,C320,MATCHER!$J$5:$J$504,REGLER!$I$20,MATCHER!$K$5:$K$504,"Ja")+COUNTIFS(MATCHER!$B$5:$B$504,A320,MATCHER!$D$5:$D$504,C320,MATCHER!$J$5:$J$504,REGLER!$I$20&amp;" 2",MATCHER!$K$5:$K$504,"Ja")&gt;0,", "&amp;REGLER!$I$20,"")&amp;IF(COUNTIFS(MATCHER!$B$5:$B$504,A320,MATCHER!$D$5:$D$504,C320,MATCHER!$J$5:$J$504,REGLER!$I$21,MATCHER!$K$5:$K$504,"Ja")+COUNTIFS(MATCHER!$B$5:$B$504,A320,MATCHER!$D$5:$D$504,C320,MATCHER!$J$5:$J$504,REGLER!$I$21&amp;" 2",MATCHER!$K$5:$K$504,"Ja")&gt;0,", "&amp;REGLER!$I$21,"")&amp;IF(COUNTIFS(MATCHER!$B$5:$B$504,A320,MATCHER!$D$5:$D$504,C320,MATCHER!$J$5:$J$504,REGLER!$I$22,MATCHER!$K$5:$K$504,"Ja")+COUNTIFS(MATCHER!$B$5:$B$504,A320,MATCHER!$D$5:$D$504,C320,MATCHER!$J$5:$J$504,REGLER!$I$22&amp;" 2",MATCHER!$K$5:$K$504,"Ja")&gt;0,", "&amp;REGLER!$I$22,"")&amp;IF(COUNTIFS(MATCHER!$B$5:$B$504,A320,MATCHER!$D$5:$D$504,C320,MATCHER!$J$5:$J$504,REGLER!$I$23,MATCHER!$K$5:$K$504,"Ja")+COUNTIFS(MATCHER!$B$5:$B$504,A320,MATCHER!$D$5:$D$504,C320,MATCHER!$J$5:$J$504,REGLER!$I$23&amp;" 2",MATCHER!$K$5:$K$504,"Ja")&gt;0,", "&amp;REGLER!$I$23,"")&amp;IF(COUNTIFS(MATCHER!$B$5:$B$504,A320,MATCHER!$D$5:$D$504,C320,MATCHER!$J$5:$J$504,REGLER!$I$24,MATCHER!$K$5:$K$504,"Ja")+COUNTIFS(MATCHER!$B$5:$B$504,A320,MATCHER!$D$5:$D$504,C320,MATCHER!$J$5:$J$504,REGLER!$I$24&amp;" 2",MATCHER!$K$5:$K$504,"Ja")&gt;0,", "&amp;REGLER!$I$24,"")&amp;IF(COUNTIFS(MATCHER!$B$5:$B$504,A320,MATCHER!$D$5:$D$504,C320,MATCHER!$J$5:$J$504,REGLER!$I$25,MATCHER!$K$5:$K$504,"Ja")+COUNTIFS(MATCHER!$B$5:$B$504,A320,MATCHER!$D$5:$D$504,C320,MATCHER!$J$5:$J$504,REGLER!$I$25&amp;" 2",MATCHER!$K$5:$K$504,"Ja")&gt;0,", "&amp;REGLER!$I$25,"")&amp;IF(COUNTIFS(MATCHER!$B$5:$B$504,A320,MATCHER!$D$5:$D$504,C320,MATCHER!$J$5:$J$504,REGLER!$I$26,MATCHER!$K$5:$K$504,"Ja")+COUNTIFS(MATCHER!$B$5:$B$504,A320,MATCHER!$D$5:$D$504,C320,MATCHER!$J$5:$J$504,REGLER!$I$26&amp;" 2",MATCHER!$K$5:$K$504,"Ja")&gt;0,", "&amp;REGLER!$I$26,""),3,1000)</f>
        <v>Herr</v>
      </c>
      <c r="I320" s="46" t="s">
        <v>87</v>
      </c>
      <c r="J320" s="47"/>
      <c r="K320" s="48" t="s">
        <v>98</v>
      </c>
      <c r="L320" s="49"/>
      <c r="M320" s="50">
        <f>IF(O320&lt;&gt;O319,MAX(1,MIN(AA320,ROUNDUP(SUMPRODUCT(($O$5:$O$546=O320)*($I$5:$I$546="Ja")*($E$5:$E$546-$D$5:$D$546))*24/REGLER!$B$8,0))),"")</f>
        <v>1</v>
      </c>
      <c r="N320" s="50" t="str">
        <f t="shared" si="62"/>
        <v>Ej öppet</v>
      </c>
      <c r="O320" s="15" t="s">
        <v>137</v>
      </c>
      <c r="P320" s="16">
        <v>0.52083333333333304</v>
      </c>
      <c r="Q320" s="16">
        <v>0.625</v>
      </c>
      <c r="R320" s="15" t="str">
        <f>IFERROR(MATCH(1,INDEX((MATCHER!$B$5:$B$504=A320)*(MATCHER!$D$5:$D$504=C320)*(MATCHER!$K$5:$K$504="Ja")*(MATCHER!$C$5:$C$504&lt;E320)*(MATCHER!$M$5:$M$504&gt;D320),0),0),"")</f>
        <v/>
      </c>
      <c r="S320" s="15" t="str">
        <f>IF(R320="","",IFERROR(MATCH(1,INDEX((MATCHER!$B$5:$B$504=A320)*(MATCHER!$D$5:$D$504=C320)*(MATCHER!$K$5:$K$504="Ja")*(MATCHER!$C$5:$C$504&lt;E320)*(MATCHER!$M$5:$M$504&gt;D320)*(ROW(MATCHER!$A$5:$A$504)-ROW(MATCHER!$A$5)+1&gt;R320),0),0),""))</f>
        <v/>
      </c>
      <c r="T320" s="15" t="str">
        <f>IF(S320="","",IFERROR(MATCH(1,INDEX((MATCHER!$B$5:$B$504=A320)*(MATCHER!$D$5:$D$504=C320)*(MATCHER!$K$5:$K$504="Ja")*(MATCHER!$C$5:$C$504&lt;E320)*(MATCHER!$M$5:$M$504&gt;D320)*(ROW(MATCHER!$A$5:$A$504)-ROW(MATCHER!$A$5)+1&gt;S320),0),0),""))</f>
        <v/>
      </c>
      <c r="U320" s="15" t="str">
        <f t="shared" si="63"/>
        <v/>
      </c>
      <c r="V320" s="15" t="str">
        <f>IF(OR(I320&lt;&gt;"Ja",J320=""),"",COUNTIFS($O$5:O320,O320,$U$5:U320,1))</f>
        <v/>
      </c>
      <c r="W320" s="15" t="str">
        <f t="shared" si="64"/>
        <v/>
      </c>
      <c r="X320" s="16" t="str">
        <f t="shared" si="65"/>
        <v/>
      </c>
      <c r="Y320" s="15">
        <f>IF(OR(I320&lt;&gt;"Ja",J320=""),0,IF(COUNTIFS($O$5:O320,O320,$I$5:I320,"Ja",$J$5:J320,"&lt;&gt;")=1,1,0))</f>
        <v>0</v>
      </c>
      <c r="Z320" s="15">
        <f>IF(OR(I320&lt;&gt;"Ja",J320=""),0,IF(COUNTIFS(O320:$O$546,O320,I320:$I$546,"Ja",J320:$J$546,"&lt;&gt;")=1,1,0))</f>
        <v>0</v>
      </c>
      <c r="AA320" s="15">
        <f>IF(COUNTIFS(MATCHER!$B$5:$B$504,A320,MATCHER!$D$5:$D$504,C320,MATCHER!$J$5:$J$504,REGLER!$I$6,MATCHER!$K$5:$K$504,"Ja")+COUNTIFS(MATCHER!$B$5:$B$504,A320,MATCHER!$D$5:$D$504,C320,MATCHER!$J$5:$J$504,REGLER!$I$6&amp;" 2",MATCHER!$K$5:$K$504,"Ja")&gt;0,1,0)+IF(COUNTIFS(MATCHER!$B$5:$B$504,A320,MATCHER!$D$5:$D$504,C320,MATCHER!$J$5:$J$504,REGLER!$I$7,MATCHER!$K$5:$K$504,"Ja")+COUNTIFS(MATCHER!$B$5:$B$504,A320,MATCHER!$D$5:$D$504,C320,MATCHER!$J$5:$J$504,REGLER!$I$7&amp;" 2",MATCHER!$K$5:$K$504,"Ja")&gt;0,1,0)+IF(COUNTIFS(MATCHER!$B$5:$B$504,A320,MATCHER!$D$5:$D$504,C320,MATCHER!$J$5:$J$504,REGLER!$I$8,MATCHER!$K$5:$K$504,"Ja")+COUNTIFS(MATCHER!$B$5:$B$504,A320,MATCHER!$D$5:$D$504,C320,MATCHER!$J$5:$J$504,REGLER!$I$8&amp;" 2",MATCHER!$K$5:$K$504,"Ja")&gt;0,1,0)+IF(COUNTIFS(MATCHER!$B$5:$B$504,A320,MATCHER!$D$5:$D$504,C320,MATCHER!$J$5:$J$504,REGLER!$I$9,MATCHER!$K$5:$K$504,"Ja")+COUNTIFS(MATCHER!$B$5:$B$504,A320,MATCHER!$D$5:$D$504,C320,MATCHER!$J$5:$J$504,REGLER!$I$9&amp;" 2",MATCHER!$K$5:$K$504,"Ja")&gt;0,1,0)+IF(COUNTIFS(MATCHER!$B$5:$B$504,A320,MATCHER!$D$5:$D$504,C320,MATCHER!$J$5:$J$504,REGLER!$I$10,MATCHER!$K$5:$K$504,"Ja")+COUNTIFS(MATCHER!$B$5:$B$504,A320,MATCHER!$D$5:$D$504,C320,MATCHER!$J$5:$J$504,REGLER!$I$10&amp;" 2",MATCHER!$K$5:$K$504,"Ja")&gt;0,1,0)+IF(COUNTIFS(MATCHER!$B$5:$B$504,A320,MATCHER!$D$5:$D$504,C320,MATCHER!$J$5:$J$504,REGLER!$I$11,MATCHER!$K$5:$K$504,"Ja")+COUNTIFS(MATCHER!$B$5:$B$504,A320,MATCHER!$D$5:$D$504,C320,MATCHER!$J$5:$J$504,REGLER!$I$11&amp;" 2",MATCHER!$K$5:$K$504,"Ja")&gt;0,1,0)+IF(COUNTIFS(MATCHER!$B$5:$B$504,A320,MATCHER!$D$5:$D$504,C320,MATCHER!$J$5:$J$504,REGLER!$I$12,MATCHER!$K$5:$K$504,"Ja")+COUNTIFS(MATCHER!$B$5:$B$504,A320,MATCHER!$D$5:$D$504,C320,MATCHER!$J$5:$J$504,REGLER!$I$12&amp;" 2",MATCHER!$K$5:$K$504,"Ja")&gt;0,1,0)+IF(COUNTIFS(MATCHER!$B$5:$B$504,A320,MATCHER!$D$5:$D$504,C320,MATCHER!$J$5:$J$504,REGLER!$I$13,MATCHER!$K$5:$K$504,"Ja")+COUNTIFS(MATCHER!$B$5:$B$504,A320,MATCHER!$D$5:$D$504,C320,MATCHER!$J$5:$J$504,REGLER!$I$13&amp;" 2",MATCHER!$K$5:$K$504,"Ja")&gt;0,1,0)+IF(COUNTIFS(MATCHER!$B$5:$B$504,A320,MATCHER!$D$5:$D$504,C320,MATCHER!$J$5:$J$504,REGLER!$I$14,MATCHER!$K$5:$K$504,"Ja")+COUNTIFS(MATCHER!$B$5:$B$504,A320,MATCHER!$D$5:$D$504,C320,MATCHER!$J$5:$J$504,REGLER!$I$14&amp;" 2",MATCHER!$K$5:$K$504,"Ja")&gt;0,1,0)+IF(COUNTIFS(MATCHER!$B$5:$B$504,A320,MATCHER!$D$5:$D$504,C320,MATCHER!$J$5:$J$504,REGLER!$I$15,MATCHER!$K$5:$K$504,"Ja")+COUNTIFS(MATCHER!$B$5:$B$504,A320,MATCHER!$D$5:$D$504,C320,MATCHER!$J$5:$J$504,REGLER!$I$15&amp;" 2",MATCHER!$K$5:$K$504,"Ja")&gt;0,1,0)+IF(COUNTIFS(MATCHER!$B$5:$B$504,A320,MATCHER!$D$5:$D$504,C320,MATCHER!$J$5:$J$504,REGLER!$I$16,MATCHER!$K$5:$K$504,"Ja")+COUNTIFS(MATCHER!$B$5:$B$504,A320,MATCHER!$D$5:$D$504,C320,MATCHER!$J$5:$J$504,REGLER!$I$16&amp;" 2",MATCHER!$K$5:$K$504,"Ja")&gt;0,1,0)+IF(COUNTIFS(MATCHER!$B$5:$B$504,A320,MATCHER!$D$5:$D$504,C320,MATCHER!$J$5:$J$504,REGLER!$I$17,MATCHER!$K$5:$K$504,"Ja")+COUNTIFS(MATCHER!$B$5:$B$504,A320,MATCHER!$D$5:$D$504,C320,MATCHER!$J$5:$J$504,REGLER!$I$17&amp;" 2",MATCHER!$K$5:$K$504,"Ja")&gt;0,1,0)+IF(COUNTIFS(MATCHER!$B$5:$B$504,A320,MATCHER!$D$5:$D$504,C320,MATCHER!$J$5:$J$504,REGLER!$I$18,MATCHER!$K$5:$K$504,"Ja")+COUNTIFS(MATCHER!$B$5:$B$504,A320,MATCHER!$D$5:$D$504,C320,MATCHER!$J$5:$J$504,REGLER!$I$18&amp;" 2",MATCHER!$K$5:$K$504,"Ja")&gt;0,1,0)+IF(COUNTIFS(MATCHER!$B$5:$B$504,A320,MATCHER!$D$5:$D$504,C320,MATCHER!$J$5:$J$504,REGLER!$I$19,MATCHER!$K$5:$K$504,"Ja")+COUNTIFS(MATCHER!$B$5:$B$504,A320,MATCHER!$D$5:$D$504,C320,MATCHER!$J$5:$J$504,REGLER!$I$19&amp;" 2",MATCHER!$K$5:$K$504,"Ja")&gt;0,1,0)+IF(COUNTIFS(MATCHER!$B$5:$B$504,A320,MATCHER!$D$5:$D$504,C320,MATCHER!$J$5:$J$504,REGLER!$I$20,MATCHER!$K$5:$K$504,"Ja")+COUNTIFS(MATCHER!$B$5:$B$504,A320,MATCHER!$D$5:$D$504,C320,MATCHER!$J$5:$J$504,REGLER!$I$20&amp;" 2",MATCHER!$K$5:$K$504,"Ja")&gt;0,1,0)+IF(COUNTIFS(MATCHER!$B$5:$B$504,A320,MATCHER!$D$5:$D$504,C320,MATCHER!$J$5:$J$504,REGLER!$I$21,MATCHER!$K$5:$K$504,"Ja")+COUNTIFS(MATCHER!$B$5:$B$504,A320,MATCHER!$D$5:$D$504,C320,MATCHER!$J$5:$J$504,REGLER!$I$21&amp;" 2",MATCHER!$K$5:$K$504,"Ja")&gt;0,1,0)+IF(COUNTIFS(MATCHER!$B$5:$B$504,A320,MATCHER!$D$5:$D$504,C320,MATCHER!$J$5:$J$504,REGLER!$I$22,MATCHER!$K$5:$K$504,"Ja")+COUNTIFS(MATCHER!$B$5:$B$504,A320,MATCHER!$D$5:$D$504,C320,MATCHER!$J$5:$J$504,REGLER!$I$22&amp;" 2",MATCHER!$K$5:$K$504,"Ja")&gt;0,1,0)+IF(COUNTIFS(MATCHER!$B$5:$B$504,A320,MATCHER!$D$5:$D$504,C320,MATCHER!$J$5:$J$504,REGLER!$I$23,MATCHER!$K$5:$K$504,"Ja")+COUNTIFS(MATCHER!$B$5:$B$504,A320,MATCHER!$D$5:$D$504,C320,MATCHER!$J$5:$J$504,REGLER!$I$23&amp;" 2",MATCHER!$K$5:$K$504,"Ja")&gt;0,1,0)+IF(COUNTIFS(MATCHER!$B$5:$B$504,A320,MATCHER!$D$5:$D$504,C320,MATCHER!$J$5:$J$504,REGLER!$I$24,MATCHER!$K$5:$K$504,"Ja")+COUNTIFS(MATCHER!$B$5:$B$504,A320,MATCHER!$D$5:$D$504,C320,MATCHER!$J$5:$J$504,REGLER!$I$24&amp;" 2",MATCHER!$K$5:$K$504,"Ja")&gt;0,1,0)+IF(COUNTIFS(MATCHER!$B$5:$B$504,A320,MATCHER!$D$5:$D$504,C320,MATCHER!$J$5:$J$504,REGLER!$I$25,MATCHER!$K$5:$K$504,"Ja")+COUNTIFS(MATCHER!$B$5:$B$504,A320,MATCHER!$D$5:$D$504,C320,MATCHER!$J$5:$J$504,REGLER!$I$25&amp;" 2",MATCHER!$K$5:$K$504,"Ja")&gt;0,1,0)+IF(COUNTIFS(MATCHER!$B$5:$B$504,A320,MATCHER!$D$5:$D$504,C320,MATCHER!$J$5:$J$504,REGLER!$I$26,MATCHER!$K$5:$K$504,"Ja")+COUNTIFS(MATCHER!$B$5:$B$504,A320,MATCHER!$D$5:$D$504,C320,MATCHER!$J$5:$J$504,REGLER!$I$26&amp;" 2",MATCHER!$K$5:$K$504,"Ja")&gt;0,1,0)</f>
        <v>1</v>
      </c>
      <c r="AB320" s="15" t="str">
        <f>IF(U320&lt;&gt;1,"",COUNTIF($U$5:U320,1))</f>
        <v/>
      </c>
      <c r="AC320" s="15" t="str">
        <f t="shared" si="66"/>
        <v/>
      </c>
      <c r="AD320" s="15" t="str">
        <f t="shared" si="67"/>
        <v>Minicafé</v>
      </c>
      <c r="AE320" s="15" t="str">
        <f t="shared" si="68"/>
        <v/>
      </c>
      <c r="AF320" t="str">
        <f>IF(T320="","",IFERROR(MATCH(1,INDEX((MATCHER!$B$5:$B$504=A320)*(MATCHER!$D$5:$D$504=C320)*(MATCHER!$K$5:$K$504="Ja")*(MATCHER!$C$5:$C$504&lt;E320)*(MATCHER!$M$5:$M$504&gt;D320)*(ROW(MATCHER!$A$5:$A$504)-ROW(MATCHER!$A$5)+1&gt;T320),0),0),""))</f>
        <v/>
      </c>
    </row>
    <row r="321" spans="1:32" ht="13">
      <c r="A321" s="42">
        <v>46396</v>
      </c>
      <c r="B321" s="43" t="s">
        <v>85</v>
      </c>
      <c r="C321" s="43" t="s">
        <v>94</v>
      </c>
      <c r="D321" s="44">
        <v>0.54166666666666696</v>
      </c>
      <c r="E321" s="44">
        <v>0.5625</v>
      </c>
      <c r="F321" s="45" t="str">
        <f>IF(R321="","",HOUR(INDEX(MATCHER!$C$5:$C$504,R321))&amp;":"&amp;IF(MINUTE(INDEX(MATCHER!$C$5:$C$504,R321))&lt;10,"0","")&amp;MINUTE(INDEX(MATCHER!$C$5:$C$504,R321))&amp;" "&amp;INDEX(MATCHER!$H$5:$H$504,R321)&amp;" – "&amp;INDEX(MATCHER!$I$5:$I$504,R321))&amp;IF(S321="",""," | "&amp;HOUR(INDEX(MATCHER!$C$5:$C$504,S321))&amp;":"&amp;IF(MINUTE(INDEX(MATCHER!$C$5:$C$504,S321))&lt;10,"0","")&amp;MINUTE(INDEX(MATCHER!$C$5:$C$504,S321))&amp;" "&amp;INDEX(MATCHER!$H$5:$H$504,S321)&amp;" – "&amp;INDEX(MATCHER!$I$5:$I$504,S321))&amp;IF(T321="",""," | "&amp;HOUR(INDEX(MATCHER!$C$5:$C$504,T321))&amp;":"&amp;IF(MINUTE(INDEX(MATCHER!$C$5:$C$504,T321))&lt;10,"0","")&amp;MINUTE(INDEX(MATCHER!$C$5:$C$504,T321))&amp;" "&amp;INDEX(MATCHER!$H$5:$H$504,T321)&amp;" – "&amp;INDEX(MATCHER!$I$5:$I$504,T321))&amp;IF(AF321="",""," | "&amp;HOUR(INDEX(MATCHER!$C$5:$C$504,AF321))&amp;":"&amp;IF(MINUTE(INDEX(MATCHER!$C$5:$C$504,AF321))&lt;10,"0","")&amp;MINUTE(INDEX(MATCHER!$C$5:$C$504,AF321))&amp;" "&amp;INDEX(MATCHER!$H$5:$H$504,AF321)&amp;" – "&amp;INDEX(MATCHER!$I$5:$I$504,AF321))</f>
        <v/>
      </c>
      <c r="G321" s="45" t="str">
        <f>MID(IF(R321="","",IF(OR(INDEX(MATCHER!$J$5:$J$504,R321)=""),""," / "&amp;INDEX(MATCHER!$J$5:$J$504,R321)))&amp;IF(S321="","",IF(OR(INDEX(MATCHER!$J$5:$J$504,S321)="",INDEX(MATCHER!$J$5:$J$504,S321)=IFERROR(INDEX(MATCHER!$J$5:$J$504,R321),"")),""," / "&amp;INDEX(MATCHER!$J$5:$J$504,S321)))&amp;IF(T321="","",IF(OR(INDEX(MATCHER!$J$5:$J$504,T321)="",INDEX(MATCHER!$J$5:$J$504,T321)=IFERROR(INDEX(MATCHER!$J$5:$J$504,R321),""),INDEX(MATCHER!$J$5:$J$504,T321)=IFERROR(INDEX(MATCHER!$J$5:$J$504,S321),"")),""," / "&amp;INDEX(MATCHER!$J$5:$J$504,T321)))&amp;IF(AF321="","",IF(OR(INDEX(MATCHER!$J$5:$J$504,AF321)="",INDEX(MATCHER!$J$5:$J$504,AF321)=IFERROR(INDEX(MATCHER!$J$5:$J$504,R321),""),INDEX(MATCHER!$J$5:$J$504,AF321)=IFERROR(INDEX(MATCHER!$J$5:$J$504,S321),""),INDEX(MATCHER!$J$5:$J$504,AF321)=IFERROR(INDEX(MATCHER!$J$5:$J$504,T321),"")),""," / "&amp;INDEX(MATCHER!$J$5:$J$504,AF321))),4,1000)</f>
        <v/>
      </c>
      <c r="H321" s="45" t="str">
        <f>H320</f>
        <v>Herr</v>
      </c>
      <c r="I321" s="46" t="s">
        <v>87</v>
      </c>
      <c r="J321" s="47"/>
      <c r="K321" s="48"/>
      <c r="L321" s="49"/>
      <c r="M321" s="50" t="str">
        <f>IF(O321&lt;&gt;O320,MAX(1,MIN(AA321,ROUNDUP(SUMPRODUCT(($O$5:$O$546=O321)*($I$5:$I$546="Ja")*($E$5:$E$546-$D$5:$D$546))*24/REGLER!$B$8,0))),"")</f>
        <v/>
      </c>
      <c r="N321" s="50" t="str">
        <f t="shared" si="62"/>
        <v>Ej öppet</v>
      </c>
      <c r="O321" s="15" t="s">
        <v>137</v>
      </c>
      <c r="P321" s="16">
        <v>0.52083333333333304</v>
      </c>
      <c r="Q321" s="16">
        <v>0.625</v>
      </c>
      <c r="R321" s="15" t="str">
        <f>IFERROR(MATCH(1,INDEX((MATCHER!$B$5:$B$504=A321)*(MATCHER!$D$5:$D$504=C321)*(MATCHER!$K$5:$K$504="Ja")*(MATCHER!$C$5:$C$504&lt;E321)*(MATCHER!$M$5:$M$504&gt;D321),0),0),"")</f>
        <v/>
      </c>
      <c r="S321" s="15" t="str">
        <f>IF(R321="","",IFERROR(MATCH(1,INDEX((MATCHER!$B$5:$B$504=A321)*(MATCHER!$D$5:$D$504=C321)*(MATCHER!$K$5:$K$504="Ja")*(MATCHER!$C$5:$C$504&lt;E321)*(MATCHER!$M$5:$M$504&gt;D321)*(ROW(MATCHER!$A$5:$A$504)-ROW(MATCHER!$A$5)+1&gt;R321),0),0),""))</f>
        <v/>
      </c>
      <c r="T321" s="15" t="str">
        <f>IF(S321="","",IFERROR(MATCH(1,INDEX((MATCHER!$B$5:$B$504=A321)*(MATCHER!$D$5:$D$504=C321)*(MATCHER!$K$5:$K$504="Ja")*(MATCHER!$C$5:$C$504&lt;E321)*(MATCHER!$M$5:$M$504&gt;D321)*(ROW(MATCHER!$A$5:$A$504)-ROW(MATCHER!$A$5)+1&gt;S321),0),0),""))</f>
        <v/>
      </c>
      <c r="U321" s="15" t="str">
        <f t="shared" si="63"/>
        <v/>
      </c>
      <c r="V321" s="15" t="str">
        <f>IF(OR(I321&lt;&gt;"Ja",J321=""),"",COUNTIFS($O$5:O321,O321,$U$5:U321,1))</f>
        <v/>
      </c>
      <c r="W321" s="15" t="str">
        <f t="shared" si="64"/>
        <v/>
      </c>
      <c r="X321" s="16" t="str">
        <f t="shared" si="65"/>
        <v/>
      </c>
      <c r="Y321" s="15">
        <f>IF(OR(I321&lt;&gt;"Ja",J321=""),0,IF(COUNTIFS($O$5:O321,O321,$I$5:I321,"Ja",$J$5:J321,"&lt;&gt;")=1,1,0))</f>
        <v>0</v>
      </c>
      <c r="Z321" s="15">
        <f>IF(OR(I321&lt;&gt;"Ja",J321=""),0,IF(COUNTIFS(O321:$O$546,O321,I321:$I$546,"Ja",J321:$J$546,"&lt;&gt;")=1,1,0))</f>
        <v>0</v>
      </c>
      <c r="AA321" s="15">
        <f>AA320</f>
        <v>1</v>
      </c>
      <c r="AB321" s="15" t="str">
        <f>IF(U321&lt;&gt;1,"",COUNTIF($U$5:U321,1))</f>
        <v/>
      </c>
      <c r="AC321" s="15" t="str">
        <f t="shared" si="66"/>
        <v/>
      </c>
      <c r="AD321" s="15" t="str">
        <f t="shared" si="67"/>
        <v>Minicafé</v>
      </c>
      <c r="AE321" s="15" t="str">
        <f t="shared" si="68"/>
        <v/>
      </c>
      <c r="AF321" t="str">
        <f>IF(T321="","",IFERROR(MATCH(1,INDEX((MATCHER!$B$5:$B$504=A321)*(MATCHER!$D$5:$D$504=C321)*(MATCHER!$K$5:$K$504="Ja")*(MATCHER!$C$5:$C$504&lt;E321)*(MATCHER!$M$5:$M$504&gt;D321)*(ROW(MATCHER!$A$5:$A$504)-ROW(MATCHER!$A$5)+1&gt;T321),0),0),""))</f>
        <v/>
      </c>
    </row>
    <row r="322" spans="1:32" ht="13">
      <c r="A322" s="42">
        <v>46396</v>
      </c>
      <c r="B322" s="43" t="s">
        <v>85</v>
      </c>
      <c r="C322" s="43" t="s">
        <v>94</v>
      </c>
      <c r="D322" s="44">
        <v>0.5625</v>
      </c>
      <c r="E322" s="44">
        <v>0.58333333333333304</v>
      </c>
      <c r="F322" s="45" t="str">
        <f>IF(R322="","",HOUR(INDEX(MATCHER!$C$5:$C$504,R322))&amp;":"&amp;IF(MINUTE(INDEX(MATCHER!$C$5:$C$504,R322))&lt;10,"0","")&amp;MINUTE(INDEX(MATCHER!$C$5:$C$504,R322))&amp;" "&amp;INDEX(MATCHER!$H$5:$H$504,R322)&amp;" – "&amp;INDEX(MATCHER!$I$5:$I$504,R322))&amp;IF(S322="",""," | "&amp;HOUR(INDEX(MATCHER!$C$5:$C$504,S322))&amp;":"&amp;IF(MINUTE(INDEX(MATCHER!$C$5:$C$504,S322))&lt;10,"0","")&amp;MINUTE(INDEX(MATCHER!$C$5:$C$504,S322))&amp;" "&amp;INDEX(MATCHER!$H$5:$H$504,S322)&amp;" – "&amp;INDEX(MATCHER!$I$5:$I$504,S322))&amp;IF(T322="",""," | "&amp;HOUR(INDEX(MATCHER!$C$5:$C$504,T322))&amp;":"&amp;IF(MINUTE(INDEX(MATCHER!$C$5:$C$504,T322))&lt;10,"0","")&amp;MINUTE(INDEX(MATCHER!$C$5:$C$504,T322))&amp;" "&amp;INDEX(MATCHER!$H$5:$H$504,T322)&amp;" – "&amp;INDEX(MATCHER!$I$5:$I$504,T322))&amp;IF(AF322="",""," | "&amp;HOUR(INDEX(MATCHER!$C$5:$C$504,AF322))&amp;":"&amp;IF(MINUTE(INDEX(MATCHER!$C$5:$C$504,AF322))&lt;10,"0","")&amp;MINUTE(INDEX(MATCHER!$C$5:$C$504,AF322))&amp;" "&amp;INDEX(MATCHER!$H$5:$H$504,AF322)&amp;" – "&amp;INDEX(MATCHER!$I$5:$I$504,AF322))</f>
        <v>13:30 AIK – Årsta AIK HF</v>
      </c>
      <c r="G322" s="45" t="str">
        <f>MID(IF(R322="","",IF(OR(INDEX(MATCHER!$J$5:$J$504,R322)=""),""," / "&amp;INDEX(MATCHER!$J$5:$J$504,R322)))&amp;IF(S322="","",IF(OR(INDEX(MATCHER!$J$5:$J$504,S322)="",INDEX(MATCHER!$J$5:$J$504,S322)=IFERROR(INDEX(MATCHER!$J$5:$J$504,R322),"")),""," / "&amp;INDEX(MATCHER!$J$5:$J$504,S322)))&amp;IF(T322="","",IF(OR(INDEX(MATCHER!$J$5:$J$504,T322)="",INDEX(MATCHER!$J$5:$J$504,T322)=IFERROR(INDEX(MATCHER!$J$5:$J$504,R322),""),INDEX(MATCHER!$J$5:$J$504,T322)=IFERROR(INDEX(MATCHER!$J$5:$J$504,S322),"")),""," / "&amp;INDEX(MATCHER!$J$5:$J$504,T322)))&amp;IF(AF322="","",IF(OR(INDEX(MATCHER!$J$5:$J$504,AF322)="",INDEX(MATCHER!$J$5:$J$504,AF322)=IFERROR(INDEX(MATCHER!$J$5:$J$504,R322),""),INDEX(MATCHER!$J$5:$J$504,AF322)=IFERROR(INDEX(MATCHER!$J$5:$J$504,S322),""),INDEX(MATCHER!$J$5:$J$504,AF322)=IFERROR(INDEX(MATCHER!$J$5:$J$504,T322),"")),""," / "&amp;INDEX(MATCHER!$J$5:$J$504,AF322))),4,1000)</f>
        <v>Herr</v>
      </c>
      <c r="H322" s="45" t="str">
        <f>H321</f>
        <v>Herr</v>
      </c>
      <c r="I322" s="46" t="s">
        <v>87</v>
      </c>
      <c r="J322" s="47"/>
      <c r="K322" s="48"/>
      <c r="L322" s="49"/>
      <c r="M322" s="50" t="str">
        <f>IF(O322&lt;&gt;O321,MAX(1,MIN(AA322,ROUNDUP(SUMPRODUCT(($O$5:$O$546=O322)*($I$5:$I$546="Ja")*($E$5:$E$546-$D$5:$D$546))*24/REGLER!$B$8,0))),"")</f>
        <v/>
      </c>
      <c r="N322" s="50" t="str">
        <f t="shared" si="62"/>
        <v>Ej öppet</v>
      </c>
      <c r="O322" s="15" t="s">
        <v>137</v>
      </c>
      <c r="P322" s="16">
        <v>0.52083333333333304</v>
      </c>
      <c r="Q322" s="16">
        <v>0.625</v>
      </c>
      <c r="R322" s="15">
        <f>IFERROR(MATCH(1,INDEX((MATCHER!$B$5:$B$504=A322)*(MATCHER!$D$5:$D$504=C322)*(MATCHER!$K$5:$K$504="Ja")*(MATCHER!$C$5:$C$504&lt;E322)*(MATCHER!$M$5:$M$504&gt;D322),0),0),"")</f>
        <v>124</v>
      </c>
      <c r="S322" s="15" t="str">
        <f>IF(R322="","",IFERROR(MATCH(1,INDEX((MATCHER!$B$5:$B$504=A322)*(MATCHER!$D$5:$D$504=C322)*(MATCHER!$K$5:$K$504="Ja")*(MATCHER!$C$5:$C$504&lt;E322)*(MATCHER!$M$5:$M$504&gt;D322)*(ROW(MATCHER!$A$5:$A$504)-ROW(MATCHER!$A$5)+1&gt;R322),0),0),""))</f>
        <v/>
      </c>
      <c r="T322" s="15" t="str">
        <f>IF(S322="","",IFERROR(MATCH(1,INDEX((MATCHER!$B$5:$B$504=A322)*(MATCHER!$D$5:$D$504=C322)*(MATCHER!$K$5:$K$504="Ja")*(MATCHER!$C$5:$C$504&lt;E322)*(MATCHER!$M$5:$M$504&gt;D322)*(ROW(MATCHER!$A$5:$A$504)-ROW(MATCHER!$A$5)+1&gt;S322),0),0),""))</f>
        <v/>
      </c>
      <c r="U322" s="15" t="str">
        <f t="shared" si="63"/>
        <v/>
      </c>
      <c r="V322" s="15" t="str">
        <f>IF(OR(I322&lt;&gt;"Ja",J322=""),"",COUNTIFS($O$5:O322,O322,$U$5:U322,1))</f>
        <v/>
      </c>
      <c r="W322" s="15" t="str">
        <f t="shared" si="64"/>
        <v/>
      </c>
      <c r="X322" s="16" t="str">
        <f t="shared" si="65"/>
        <v/>
      </c>
      <c r="Y322" s="15">
        <f>IF(OR(I322&lt;&gt;"Ja",J322=""),0,IF(COUNTIFS($O$5:O322,O322,$I$5:I322,"Ja",$J$5:J322,"&lt;&gt;")=1,1,0))</f>
        <v>0</v>
      </c>
      <c r="Z322" s="15">
        <f>IF(OR(I322&lt;&gt;"Ja",J322=""),0,IF(COUNTIFS(O322:$O$546,O322,I322:$I$546,"Ja",J322:$J$546,"&lt;&gt;")=1,1,0))</f>
        <v>0</v>
      </c>
      <c r="AA322" s="15">
        <f>AA321</f>
        <v>1</v>
      </c>
      <c r="AB322" s="15" t="str">
        <f>IF(U322&lt;&gt;1,"",COUNTIF($U$5:U322,1))</f>
        <v/>
      </c>
      <c r="AC322" s="15" t="str">
        <f t="shared" si="66"/>
        <v/>
      </c>
      <c r="AD322" s="15" t="str">
        <f t="shared" si="67"/>
        <v>Minicafé</v>
      </c>
      <c r="AE322" s="15" t="str">
        <f t="shared" si="68"/>
        <v/>
      </c>
      <c r="AF322" t="str">
        <f>IF(T322="","",IFERROR(MATCH(1,INDEX((MATCHER!$B$5:$B$504=A322)*(MATCHER!$D$5:$D$504=C322)*(MATCHER!$K$5:$K$504="Ja")*(MATCHER!$C$5:$C$504&lt;E322)*(MATCHER!$M$5:$M$504&gt;D322)*(ROW(MATCHER!$A$5:$A$504)-ROW(MATCHER!$A$5)+1&gt;T322),0),0),""))</f>
        <v/>
      </c>
    </row>
    <row r="323" spans="1:32" ht="13">
      <c r="A323" s="42">
        <v>46396</v>
      </c>
      <c r="B323" s="43" t="s">
        <v>85</v>
      </c>
      <c r="C323" s="43" t="s">
        <v>94</v>
      </c>
      <c r="D323" s="44">
        <v>0.58333333333333304</v>
      </c>
      <c r="E323" s="44">
        <v>0.60416666666666696</v>
      </c>
      <c r="F323" s="45" t="str">
        <f>IF(R323="","",HOUR(INDEX(MATCHER!$C$5:$C$504,R323))&amp;":"&amp;IF(MINUTE(INDEX(MATCHER!$C$5:$C$504,R323))&lt;10,"0","")&amp;MINUTE(INDEX(MATCHER!$C$5:$C$504,R323))&amp;" "&amp;INDEX(MATCHER!$H$5:$H$504,R323)&amp;" – "&amp;INDEX(MATCHER!$I$5:$I$504,R323))&amp;IF(S323="",""," | "&amp;HOUR(INDEX(MATCHER!$C$5:$C$504,S323))&amp;":"&amp;IF(MINUTE(INDEX(MATCHER!$C$5:$C$504,S323))&lt;10,"0","")&amp;MINUTE(INDEX(MATCHER!$C$5:$C$504,S323))&amp;" "&amp;INDEX(MATCHER!$H$5:$H$504,S323)&amp;" – "&amp;INDEX(MATCHER!$I$5:$I$504,S323))&amp;IF(T323="",""," | "&amp;HOUR(INDEX(MATCHER!$C$5:$C$504,T323))&amp;":"&amp;IF(MINUTE(INDEX(MATCHER!$C$5:$C$504,T323))&lt;10,"0","")&amp;MINUTE(INDEX(MATCHER!$C$5:$C$504,T323))&amp;" "&amp;INDEX(MATCHER!$H$5:$H$504,T323)&amp;" – "&amp;INDEX(MATCHER!$I$5:$I$504,T323))&amp;IF(AF323="",""," | "&amp;HOUR(INDEX(MATCHER!$C$5:$C$504,AF323))&amp;":"&amp;IF(MINUTE(INDEX(MATCHER!$C$5:$C$504,AF323))&lt;10,"0","")&amp;MINUTE(INDEX(MATCHER!$C$5:$C$504,AF323))&amp;" "&amp;INDEX(MATCHER!$H$5:$H$504,AF323)&amp;" – "&amp;INDEX(MATCHER!$I$5:$I$504,AF323))</f>
        <v>13:30 AIK – Årsta AIK HF</v>
      </c>
      <c r="G323" s="45" t="str">
        <f>MID(IF(R323="","",IF(OR(INDEX(MATCHER!$J$5:$J$504,R323)=""),""," / "&amp;INDEX(MATCHER!$J$5:$J$504,R323)))&amp;IF(S323="","",IF(OR(INDEX(MATCHER!$J$5:$J$504,S323)="",INDEX(MATCHER!$J$5:$J$504,S323)=IFERROR(INDEX(MATCHER!$J$5:$J$504,R323),"")),""," / "&amp;INDEX(MATCHER!$J$5:$J$504,S323)))&amp;IF(T323="","",IF(OR(INDEX(MATCHER!$J$5:$J$504,T323)="",INDEX(MATCHER!$J$5:$J$504,T323)=IFERROR(INDEX(MATCHER!$J$5:$J$504,R323),""),INDEX(MATCHER!$J$5:$J$504,T323)=IFERROR(INDEX(MATCHER!$J$5:$J$504,S323),"")),""," / "&amp;INDEX(MATCHER!$J$5:$J$504,T323)))&amp;IF(AF323="","",IF(OR(INDEX(MATCHER!$J$5:$J$504,AF323)="",INDEX(MATCHER!$J$5:$J$504,AF323)=IFERROR(INDEX(MATCHER!$J$5:$J$504,R323),""),INDEX(MATCHER!$J$5:$J$504,AF323)=IFERROR(INDEX(MATCHER!$J$5:$J$504,S323),""),INDEX(MATCHER!$J$5:$J$504,AF323)=IFERROR(INDEX(MATCHER!$J$5:$J$504,T323),"")),""," / "&amp;INDEX(MATCHER!$J$5:$J$504,AF323))),4,1000)</f>
        <v>Herr</v>
      </c>
      <c r="H323" s="45" t="str">
        <f>H322</f>
        <v>Herr</v>
      </c>
      <c r="I323" s="46" t="s">
        <v>87</v>
      </c>
      <c r="J323" s="47"/>
      <c r="K323" s="48"/>
      <c r="L323" s="49"/>
      <c r="M323" s="50" t="str">
        <f>IF(O323&lt;&gt;O322,MAX(1,MIN(AA323,ROUNDUP(SUMPRODUCT(($O$5:$O$546=O323)*($I$5:$I$546="Ja")*($E$5:$E$546-$D$5:$D$546))*24/REGLER!$B$8,0))),"")</f>
        <v/>
      </c>
      <c r="N323" s="50" t="str">
        <f t="shared" si="62"/>
        <v>Ej öppet</v>
      </c>
      <c r="O323" s="15" t="s">
        <v>137</v>
      </c>
      <c r="P323" s="16">
        <v>0.52083333333333304</v>
      </c>
      <c r="Q323" s="16">
        <v>0.625</v>
      </c>
      <c r="R323" s="15">
        <f>IFERROR(MATCH(1,INDEX((MATCHER!$B$5:$B$504=A323)*(MATCHER!$D$5:$D$504=C323)*(MATCHER!$K$5:$K$504="Ja")*(MATCHER!$C$5:$C$504&lt;E323)*(MATCHER!$M$5:$M$504&gt;D323),0),0),"")</f>
        <v>124</v>
      </c>
      <c r="S323" s="15" t="str">
        <f>IF(R323="","",IFERROR(MATCH(1,INDEX((MATCHER!$B$5:$B$504=A323)*(MATCHER!$D$5:$D$504=C323)*(MATCHER!$K$5:$K$504="Ja")*(MATCHER!$C$5:$C$504&lt;E323)*(MATCHER!$M$5:$M$504&gt;D323)*(ROW(MATCHER!$A$5:$A$504)-ROW(MATCHER!$A$5)+1&gt;R323),0),0),""))</f>
        <v/>
      </c>
      <c r="T323" s="15" t="str">
        <f>IF(S323="","",IFERROR(MATCH(1,INDEX((MATCHER!$B$5:$B$504=A323)*(MATCHER!$D$5:$D$504=C323)*(MATCHER!$K$5:$K$504="Ja")*(MATCHER!$C$5:$C$504&lt;E323)*(MATCHER!$M$5:$M$504&gt;D323)*(ROW(MATCHER!$A$5:$A$504)-ROW(MATCHER!$A$5)+1&gt;S323),0),0),""))</f>
        <v/>
      </c>
      <c r="U323" s="15" t="str">
        <f t="shared" si="63"/>
        <v/>
      </c>
      <c r="V323" s="15" t="str">
        <f>IF(OR(I323&lt;&gt;"Ja",J323=""),"",COUNTIFS($O$5:O323,O323,$U$5:U323,1))</f>
        <v/>
      </c>
      <c r="W323" s="15" t="str">
        <f t="shared" si="64"/>
        <v/>
      </c>
      <c r="X323" s="16" t="str">
        <f t="shared" si="65"/>
        <v/>
      </c>
      <c r="Y323" s="15">
        <f>IF(OR(I323&lt;&gt;"Ja",J323=""),0,IF(COUNTIFS($O$5:O323,O323,$I$5:I323,"Ja",$J$5:J323,"&lt;&gt;")=1,1,0))</f>
        <v>0</v>
      </c>
      <c r="Z323" s="15">
        <f>IF(OR(I323&lt;&gt;"Ja",J323=""),0,IF(COUNTIFS(O323:$O$546,O323,I323:$I$546,"Ja",J323:$J$546,"&lt;&gt;")=1,1,0))</f>
        <v>0</v>
      </c>
      <c r="AA323" s="15">
        <f>AA322</f>
        <v>1</v>
      </c>
      <c r="AB323" s="15" t="str">
        <f>IF(U323&lt;&gt;1,"",COUNTIF($U$5:U323,1))</f>
        <v/>
      </c>
      <c r="AC323" s="15" t="str">
        <f t="shared" si="66"/>
        <v/>
      </c>
      <c r="AD323" s="15" t="str">
        <f t="shared" si="67"/>
        <v>Minicafé</v>
      </c>
      <c r="AE323" s="15" t="str">
        <f t="shared" si="68"/>
        <v/>
      </c>
      <c r="AF323" t="str">
        <f>IF(T323="","",IFERROR(MATCH(1,INDEX((MATCHER!$B$5:$B$504=A323)*(MATCHER!$D$5:$D$504=C323)*(MATCHER!$K$5:$K$504="Ja")*(MATCHER!$C$5:$C$504&lt;E323)*(MATCHER!$M$5:$M$504&gt;D323)*(ROW(MATCHER!$A$5:$A$504)-ROW(MATCHER!$A$5)+1&gt;T323),0),0),""))</f>
        <v/>
      </c>
    </row>
    <row r="324" spans="1:32" ht="13.5" thickBot="1">
      <c r="A324" s="52">
        <v>46396</v>
      </c>
      <c r="B324" s="53" t="s">
        <v>85</v>
      </c>
      <c r="C324" s="53" t="s">
        <v>94</v>
      </c>
      <c r="D324" s="54">
        <v>0.60416666666666696</v>
      </c>
      <c r="E324" s="54">
        <v>0.625</v>
      </c>
      <c r="F324" s="55" t="str">
        <f>IF(R324="","",HOUR(INDEX(MATCHER!$C$5:$C$504,R324))&amp;":"&amp;IF(MINUTE(INDEX(MATCHER!$C$5:$C$504,R324))&lt;10,"0","")&amp;MINUTE(INDEX(MATCHER!$C$5:$C$504,R324))&amp;" "&amp;INDEX(MATCHER!$H$5:$H$504,R324)&amp;" – "&amp;INDEX(MATCHER!$I$5:$I$504,R324))&amp;IF(S324="",""," | "&amp;HOUR(INDEX(MATCHER!$C$5:$C$504,S324))&amp;":"&amp;IF(MINUTE(INDEX(MATCHER!$C$5:$C$504,S324))&lt;10,"0","")&amp;MINUTE(INDEX(MATCHER!$C$5:$C$504,S324))&amp;" "&amp;INDEX(MATCHER!$H$5:$H$504,S324)&amp;" – "&amp;INDEX(MATCHER!$I$5:$I$504,S324))&amp;IF(T324="",""," | "&amp;HOUR(INDEX(MATCHER!$C$5:$C$504,T324))&amp;":"&amp;IF(MINUTE(INDEX(MATCHER!$C$5:$C$504,T324))&lt;10,"0","")&amp;MINUTE(INDEX(MATCHER!$C$5:$C$504,T324))&amp;" "&amp;INDEX(MATCHER!$H$5:$H$504,T324)&amp;" – "&amp;INDEX(MATCHER!$I$5:$I$504,T324))&amp;IF(AF324="",""," | "&amp;HOUR(INDEX(MATCHER!$C$5:$C$504,AF324))&amp;":"&amp;IF(MINUTE(INDEX(MATCHER!$C$5:$C$504,AF324))&lt;10,"0","")&amp;MINUTE(INDEX(MATCHER!$C$5:$C$504,AF324))&amp;" "&amp;INDEX(MATCHER!$H$5:$H$504,AF324)&amp;" – "&amp;INDEX(MATCHER!$I$5:$I$504,AF324))</f>
        <v>13:30 AIK – Årsta AIK HF</v>
      </c>
      <c r="G324" s="55" t="str">
        <f>MID(IF(R324="","",IF(OR(INDEX(MATCHER!$J$5:$J$504,R324)=""),""," / "&amp;INDEX(MATCHER!$J$5:$J$504,R324)))&amp;IF(S324="","",IF(OR(INDEX(MATCHER!$J$5:$J$504,S324)="",INDEX(MATCHER!$J$5:$J$504,S324)=IFERROR(INDEX(MATCHER!$J$5:$J$504,R324),"")),""," / "&amp;INDEX(MATCHER!$J$5:$J$504,S324)))&amp;IF(T324="","",IF(OR(INDEX(MATCHER!$J$5:$J$504,T324)="",INDEX(MATCHER!$J$5:$J$504,T324)=IFERROR(INDEX(MATCHER!$J$5:$J$504,R324),""),INDEX(MATCHER!$J$5:$J$504,T324)=IFERROR(INDEX(MATCHER!$J$5:$J$504,S324),"")),""," / "&amp;INDEX(MATCHER!$J$5:$J$504,T324)))&amp;IF(AF324="","",IF(OR(INDEX(MATCHER!$J$5:$J$504,AF324)="",INDEX(MATCHER!$J$5:$J$504,AF324)=IFERROR(INDEX(MATCHER!$J$5:$J$504,R324),""),INDEX(MATCHER!$J$5:$J$504,AF324)=IFERROR(INDEX(MATCHER!$J$5:$J$504,S324),""),INDEX(MATCHER!$J$5:$J$504,AF324)=IFERROR(INDEX(MATCHER!$J$5:$J$504,T324),"")),""," / "&amp;INDEX(MATCHER!$J$5:$J$504,AF324))),4,1000)</f>
        <v>Herr</v>
      </c>
      <c r="H324" s="55" t="str">
        <f>H323</f>
        <v>Herr</v>
      </c>
      <c r="I324" s="56" t="s">
        <v>87</v>
      </c>
      <c r="J324" s="57"/>
      <c r="K324" s="58"/>
      <c r="L324" s="59"/>
      <c r="M324" s="60" t="str">
        <f>IF(O324&lt;&gt;O323,MAX(1,MIN(AA324,ROUNDUP(SUMPRODUCT(($O$5:$O$546=O324)*($I$5:$I$546="Ja")*($E$5:$E$546-$D$5:$D$546))*24/REGLER!$B$8,0))),"")</f>
        <v/>
      </c>
      <c r="N324" s="60" t="str">
        <f t="shared" si="62"/>
        <v>Ej öppet</v>
      </c>
      <c r="O324" s="15" t="s">
        <v>137</v>
      </c>
      <c r="P324" s="16">
        <v>0.52083333333333304</v>
      </c>
      <c r="Q324" s="16">
        <v>0.625</v>
      </c>
      <c r="R324" s="15">
        <f>IFERROR(MATCH(1,INDEX((MATCHER!$B$5:$B$504=A324)*(MATCHER!$D$5:$D$504=C324)*(MATCHER!$K$5:$K$504="Ja")*(MATCHER!$C$5:$C$504&lt;E324)*(MATCHER!$M$5:$M$504&gt;D324),0),0),"")</f>
        <v>124</v>
      </c>
      <c r="S324" s="15" t="str">
        <f>IF(R324="","",IFERROR(MATCH(1,INDEX((MATCHER!$B$5:$B$504=A324)*(MATCHER!$D$5:$D$504=C324)*(MATCHER!$K$5:$K$504="Ja")*(MATCHER!$C$5:$C$504&lt;E324)*(MATCHER!$M$5:$M$504&gt;D324)*(ROW(MATCHER!$A$5:$A$504)-ROW(MATCHER!$A$5)+1&gt;R324),0),0),""))</f>
        <v/>
      </c>
      <c r="T324" s="15" t="str">
        <f>IF(S324="","",IFERROR(MATCH(1,INDEX((MATCHER!$B$5:$B$504=A324)*(MATCHER!$D$5:$D$504=C324)*(MATCHER!$K$5:$K$504="Ja")*(MATCHER!$C$5:$C$504&lt;E324)*(MATCHER!$M$5:$M$504&gt;D324)*(ROW(MATCHER!$A$5:$A$504)-ROW(MATCHER!$A$5)+1&gt;S324),0),0),""))</f>
        <v/>
      </c>
      <c r="U324" s="15" t="str">
        <f t="shared" si="63"/>
        <v/>
      </c>
      <c r="V324" s="15" t="str">
        <f>IF(OR(I324&lt;&gt;"Ja",J324=""),"",COUNTIFS($O$5:O324,O324,$U$5:U324,1))</f>
        <v/>
      </c>
      <c r="W324" s="15" t="str">
        <f t="shared" si="64"/>
        <v/>
      </c>
      <c r="X324" s="16" t="str">
        <f t="shared" si="65"/>
        <v/>
      </c>
      <c r="Y324" s="15">
        <f>IF(OR(I324&lt;&gt;"Ja",J324=""),0,IF(COUNTIFS($O$5:O324,O324,$I$5:I324,"Ja",$J$5:J324,"&lt;&gt;")=1,1,0))</f>
        <v>0</v>
      </c>
      <c r="Z324" s="15">
        <f>IF(OR(I324&lt;&gt;"Ja",J324=""),0,IF(COUNTIFS(O324:$O$546,O324,I324:$I$546,"Ja",J324:$J$546,"&lt;&gt;")=1,1,0))</f>
        <v>0</v>
      </c>
      <c r="AA324" s="15">
        <f>AA323</f>
        <v>1</v>
      </c>
      <c r="AB324" s="15" t="str">
        <f>IF(U324&lt;&gt;1,"",COUNTIF($U$5:U324,1))</f>
        <v/>
      </c>
      <c r="AC324" s="15" t="str">
        <f t="shared" si="66"/>
        <v/>
      </c>
      <c r="AD324" s="15" t="str">
        <f t="shared" si="67"/>
        <v>Minicafé</v>
      </c>
      <c r="AE324" s="15" t="str">
        <f t="shared" si="68"/>
        <v/>
      </c>
      <c r="AF324" t="str">
        <f>IF(T324="","",IFERROR(MATCH(1,INDEX((MATCHER!$B$5:$B$504=A324)*(MATCHER!$D$5:$D$504=C324)*(MATCHER!$K$5:$K$504="Ja")*(MATCHER!$C$5:$C$504&lt;E324)*(MATCHER!$M$5:$M$504&gt;D324)*(ROW(MATCHER!$A$5:$A$504)-ROW(MATCHER!$A$5)+1&gt;T324),0),0),""))</f>
        <v/>
      </c>
    </row>
    <row r="325" spans="1:32" ht="26">
      <c r="A325" s="42">
        <v>46396</v>
      </c>
      <c r="B325" s="43" t="s">
        <v>85</v>
      </c>
      <c r="C325" s="43" t="s">
        <v>86</v>
      </c>
      <c r="D325" s="44">
        <v>0.39583333333333298</v>
      </c>
      <c r="E325" s="44">
        <v>0.41666666666666702</v>
      </c>
      <c r="F325" s="45" t="str">
        <f>IF(R325="","",HOUR(INDEX(MATCHER!$C$5:$C$504,R325))&amp;":"&amp;IF(MINUTE(INDEX(MATCHER!$C$5:$C$504,R325))&lt;10,"0","")&amp;MINUTE(INDEX(MATCHER!$C$5:$C$504,R325))&amp;" "&amp;INDEX(MATCHER!$H$5:$H$504,R325)&amp;" – "&amp;INDEX(MATCHER!$I$5:$I$504,R325))&amp;IF(S325="",""," | "&amp;HOUR(INDEX(MATCHER!$C$5:$C$504,S325))&amp;":"&amp;IF(MINUTE(INDEX(MATCHER!$C$5:$C$504,S325))&lt;10,"0","")&amp;MINUTE(INDEX(MATCHER!$C$5:$C$504,S325))&amp;" "&amp;INDEX(MATCHER!$H$5:$H$504,S325)&amp;" – "&amp;INDEX(MATCHER!$I$5:$I$504,S325))&amp;IF(T325="",""," | "&amp;HOUR(INDEX(MATCHER!$C$5:$C$504,T325))&amp;":"&amp;IF(MINUTE(INDEX(MATCHER!$C$5:$C$504,T325))&lt;10,"0","")&amp;MINUTE(INDEX(MATCHER!$C$5:$C$504,T325))&amp;" "&amp;INDEX(MATCHER!$H$5:$H$504,T325)&amp;" – "&amp;INDEX(MATCHER!$I$5:$I$504,T325))&amp;IF(AF325="",""," | "&amp;HOUR(INDEX(MATCHER!$C$5:$C$504,AF325))&amp;":"&amp;IF(MINUTE(INDEX(MATCHER!$C$5:$C$504,AF325))&lt;10,"0","")&amp;MINUTE(INDEX(MATCHER!$C$5:$C$504,AF325))&amp;" "&amp;INDEX(MATCHER!$H$5:$H$504,AF325)&amp;" – "&amp;INDEX(MATCHER!$I$5:$I$504,AF325))</f>
        <v/>
      </c>
      <c r="G325" s="45" t="str">
        <f>MID(IF(R325="","",IF(OR(INDEX(MATCHER!$J$5:$J$504,R325)=""),""," / "&amp;INDEX(MATCHER!$J$5:$J$504,R325)))&amp;IF(S325="","",IF(OR(INDEX(MATCHER!$J$5:$J$504,S325)="",INDEX(MATCHER!$J$5:$J$504,S325)=IFERROR(INDEX(MATCHER!$J$5:$J$504,R325),"")),""," / "&amp;INDEX(MATCHER!$J$5:$J$504,S325)))&amp;IF(T325="","",IF(OR(INDEX(MATCHER!$J$5:$J$504,T325)="",INDEX(MATCHER!$J$5:$J$504,T325)=IFERROR(INDEX(MATCHER!$J$5:$J$504,R325),""),INDEX(MATCHER!$J$5:$J$504,T325)=IFERROR(INDEX(MATCHER!$J$5:$J$504,S325),"")),""," / "&amp;INDEX(MATCHER!$J$5:$J$504,T325)))&amp;IF(AF325="","",IF(OR(INDEX(MATCHER!$J$5:$J$504,AF325)="",INDEX(MATCHER!$J$5:$J$504,AF325)=IFERROR(INDEX(MATCHER!$J$5:$J$504,R325),""),INDEX(MATCHER!$J$5:$J$504,AF325)=IFERROR(INDEX(MATCHER!$J$5:$J$504,S325),""),INDEX(MATCHER!$J$5:$J$504,AF325)=IFERROR(INDEX(MATCHER!$J$5:$J$504,T325),"")),""," / "&amp;INDEX(MATCHER!$J$5:$J$504,AF325))),4,1000)</f>
        <v/>
      </c>
      <c r="H325" s="45" t="str">
        <f>MID(IF(COUNTIFS(MATCHER!$B$5:$B$504,A325,MATCHER!$D$5:$D$504,C325,MATCHER!$J$5:$J$504,REGLER!$I$6,MATCHER!$K$5:$K$504,"Ja")+COUNTIFS(MATCHER!$B$5:$B$504,A325,MATCHER!$D$5:$D$504,C325,MATCHER!$J$5:$J$504,REGLER!$I$6&amp;" 2",MATCHER!$K$5:$K$504,"Ja")&gt;0,", "&amp;REGLER!$I$6,"")&amp;IF(COUNTIFS(MATCHER!$B$5:$B$504,A325,MATCHER!$D$5:$D$504,C325,MATCHER!$J$5:$J$504,REGLER!$I$7,MATCHER!$K$5:$K$504,"Ja")+COUNTIFS(MATCHER!$B$5:$B$504,A325,MATCHER!$D$5:$D$504,C325,MATCHER!$J$5:$J$504,REGLER!$I$7&amp;" 2",MATCHER!$K$5:$K$504,"Ja")&gt;0,", "&amp;REGLER!$I$7,"")&amp;IF(COUNTIFS(MATCHER!$B$5:$B$504,A325,MATCHER!$D$5:$D$504,C325,MATCHER!$J$5:$J$504,REGLER!$I$8,MATCHER!$K$5:$K$504,"Ja")+COUNTIFS(MATCHER!$B$5:$B$504,A325,MATCHER!$D$5:$D$504,C325,MATCHER!$J$5:$J$504,REGLER!$I$8&amp;" 2",MATCHER!$K$5:$K$504,"Ja")&gt;0,", "&amp;REGLER!$I$8,"")&amp;IF(COUNTIFS(MATCHER!$B$5:$B$504,A325,MATCHER!$D$5:$D$504,C325,MATCHER!$J$5:$J$504,REGLER!$I$9,MATCHER!$K$5:$K$504,"Ja")+COUNTIFS(MATCHER!$B$5:$B$504,A325,MATCHER!$D$5:$D$504,C325,MATCHER!$J$5:$J$504,REGLER!$I$9&amp;" 2",MATCHER!$K$5:$K$504,"Ja")&gt;0,", "&amp;REGLER!$I$9,"")&amp;IF(COUNTIFS(MATCHER!$B$5:$B$504,A325,MATCHER!$D$5:$D$504,C325,MATCHER!$J$5:$J$504,REGLER!$I$10,MATCHER!$K$5:$K$504,"Ja")+COUNTIFS(MATCHER!$B$5:$B$504,A325,MATCHER!$D$5:$D$504,C325,MATCHER!$J$5:$J$504,REGLER!$I$10&amp;" 2",MATCHER!$K$5:$K$504,"Ja")&gt;0,", "&amp;REGLER!$I$10,"")&amp;IF(COUNTIFS(MATCHER!$B$5:$B$504,A325,MATCHER!$D$5:$D$504,C325,MATCHER!$J$5:$J$504,REGLER!$I$11,MATCHER!$K$5:$K$504,"Ja")+COUNTIFS(MATCHER!$B$5:$B$504,A325,MATCHER!$D$5:$D$504,C325,MATCHER!$J$5:$J$504,REGLER!$I$11&amp;" 2",MATCHER!$K$5:$K$504,"Ja")&gt;0,", "&amp;REGLER!$I$11,"")&amp;IF(COUNTIFS(MATCHER!$B$5:$B$504,A325,MATCHER!$D$5:$D$504,C325,MATCHER!$J$5:$J$504,REGLER!$I$12,MATCHER!$K$5:$K$504,"Ja")+COUNTIFS(MATCHER!$B$5:$B$504,A325,MATCHER!$D$5:$D$504,C325,MATCHER!$J$5:$J$504,REGLER!$I$12&amp;" 2",MATCHER!$K$5:$K$504,"Ja")&gt;0,", "&amp;REGLER!$I$12,"")&amp;IF(COUNTIFS(MATCHER!$B$5:$B$504,A325,MATCHER!$D$5:$D$504,C325,MATCHER!$J$5:$J$504,REGLER!$I$13,MATCHER!$K$5:$K$504,"Ja")+COUNTIFS(MATCHER!$B$5:$B$504,A325,MATCHER!$D$5:$D$504,C325,MATCHER!$J$5:$J$504,REGLER!$I$13&amp;" 2",MATCHER!$K$5:$K$504,"Ja")&gt;0,", "&amp;REGLER!$I$13,"")&amp;IF(COUNTIFS(MATCHER!$B$5:$B$504,A325,MATCHER!$D$5:$D$504,C325,MATCHER!$J$5:$J$504,REGLER!$I$14,MATCHER!$K$5:$K$504,"Ja")+COUNTIFS(MATCHER!$B$5:$B$504,A325,MATCHER!$D$5:$D$504,C325,MATCHER!$J$5:$J$504,REGLER!$I$14&amp;" 2",MATCHER!$K$5:$K$504,"Ja")&gt;0,", "&amp;REGLER!$I$14,"")&amp;IF(COUNTIFS(MATCHER!$B$5:$B$504,A325,MATCHER!$D$5:$D$504,C325,MATCHER!$J$5:$J$504,REGLER!$I$15,MATCHER!$K$5:$K$504,"Ja")+COUNTIFS(MATCHER!$B$5:$B$504,A325,MATCHER!$D$5:$D$504,C325,MATCHER!$J$5:$J$504,REGLER!$I$15&amp;" 2",MATCHER!$K$5:$K$504,"Ja")&gt;0,", "&amp;REGLER!$I$15,"")&amp;IF(COUNTIFS(MATCHER!$B$5:$B$504,A325,MATCHER!$D$5:$D$504,C325,MATCHER!$J$5:$J$504,REGLER!$I$16,MATCHER!$K$5:$K$504,"Ja")+COUNTIFS(MATCHER!$B$5:$B$504,A325,MATCHER!$D$5:$D$504,C325,MATCHER!$J$5:$J$504,REGLER!$I$16&amp;" 2",MATCHER!$K$5:$K$504,"Ja")&gt;0,", "&amp;REGLER!$I$16,"")&amp;IF(COUNTIFS(MATCHER!$B$5:$B$504,A325,MATCHER!$D$5:$D$504,C325,MATCHER!$J$5:$J$504,REGLER!$I$17,MATCHER!$K$5:$K$504,"Ja")+COUNTIFS(MATCHER!$B$5:$B$504,A325,MATCHER!$D$5:$D$504,C325,MATCHER!$J$5:$J$504,REGLER!$I$17&amp;" 2",MATCHER!$K$5:$K$504,"Ja")&gt;0,", "&amp;REGLER!$I$17,"")&amp;IF(COUNTIFS(MATCHER!$B$5:$B$504,A325,MATCHER!$D$5:$D$504,C325,MATCHER!$J$5:$J$504,REGLER!$I$18,MATCHER!$K$5:$K$504,"Ja")+COUNTIFS(MATCHER!$B$5:$B$504,A325,MATCHER!$D$5:$D$504,C325,MATCHER!$J$5:$J$504,REGLER!$I$18&amp;" 2",MATCHER!$K$5:$K$504,"Ja")&gt;0,", "&amp;REGLER!$I$18,"")&amp;IF(COUNTIFS(MATCHER!$B$5:$B$504,A325,MATCHER!$D$5:$D$504,C325,MATCHER!$J$5:$J$504,REGLER!$I$19,MATCHER!$K$5:$K$504,"Ja")+COUNTIFS(MATCHER!$B$5:$B$504,A325,MATCHER!$D$5:$D$504,C325,MATCHER!$J$5:$J$504,REGLER!$I$19&amp;" 2",MATCHER!$K$5:$K$504,"Ja")&gt;0,", "&amp;REGLER!$I$19,"")&amp;IF(COUNTIFS(MATCHER!$B$5:$B$504,A325,MATCHER!$D$5:$D$504,C325,MATCHER!$J$5:$J$504,REGLER!$I$20,MATCHER!$K$5:$K$504,"Ja")+COUNTIFS(MATCHER!$B$5:$B$504,A325,MATCHER!$D$5:$D$504,C325,MATCHER!$J$5:$J$504,REGLER!$I$20&amp;" 2",MATCHER!$K$5:$K$504,"Ja")&gt;0,", "&amp;REGLER!$I$20,"")&amp;IF(COUNTIFS(MATCHER!$B$5:$B$504,A325,MATCHER!$D$5:$D$504,C325,MATCHER!$J$5:$J$504,REGLER!$I$21,MATCHER!$K$5:$K$504,"Ja")+COUNTIFS(MATCHER!$B$5:$B$504,A325,MATCHER!$D$5:$D$504,C325,MATCHER!$J$5:$J$504,REGLER!$I$21&amp;" 2",MATCHER!$K$5:$K$504,"Ja")&gt;0,", "&amp;REGLER!$I$21,"")&amp;IF(COUNTIFS(MATCHER!$B$5:$B$504,A325,MATCHER!$D$5:$D$504,C325,MATCHER!$J$5:$J$504,REGLER!$I$22,MATCHER!$K$5:$K$504,"Ja")+COUNTIFS(MATCHER!$B$5:$B$504,A325,MATCHER!$D$5:$D$504,C325,MATCHER!$J$5:$J$504,REGLER!$I$22&amp;" 2",MATCHER!$K$5:$K$504,"Ja")&gt;0,", "&amp;REGLER!$I$22,"")&amp;IF(COUNTIFS(MATCHER!$B$5:$B$504,A325,MATCHER!$D$5:$D$504,C325,MATCHER!$J$5:$J$504,REGLER!$I$23,MATCHER!$K$5:$K$504,"Ja")+COUNTIFS(MATCHER!$B$5:$B$504,A325,MATCHER!$D$5:$D$504,C325,MATCHER!$J$5:$J$504,REGLER!$I$23&amp;" 2",MATCHER!$K$5:$K$504,"Ja")&gt;0,", "&amp;REGLER!$I$23,"")&amp;IF(COUNTIFS(MATCHER!$B$5:$B$504,A325,MATCHER!$D$5:$D$504,C325,MATCHER!$J$5:$J$504,REGLER!$I$24,MATCHER!$K$5:$K$504,"Ja")+COUNTIFS(MATCHER!$B$5:$B$504,A325,MATCHER!$D$5:$D$504,C325,MATCHER!$J$5:$J$504,REGLER!$I$24&amp;" 2",MATCHER!$K$5:$K$504,"Ja")&gt;0,", "&amp;REGLER!$I$24,"")&amp;IF(COUNTIFS(MATCHER!$B$5:$B$504,A325,MATCHER!$D$5:$D$504,C325,MATCHER!$J$5:$J$504,REGLER!$I$25,MATCHER!$K$5:$K$504,"Ja")+COUNTIFS(MATCHER!$B$5:$B$504,A325,MATCHER!$D$5:$D$504,C325,MATCHER!$J$5:$J$504,REGLER!$I$25&amp;" 2",MATCHER!$K$5:$K$504,"Ja")&gt;0,", "&amp;REGLER!$I$25,"")&amp;IF(COUNTIFS(MATCHER!$B$5:$B$504,A325,MATCHER!$D$5:$D$504,C325,MATCHER!$J$5:$J$504,REGLER!$I$26,MATCHER!$K$5:$K$504,"Ja")+COUNTIFS(MATCHER!$B$5:$B$504,A325,MATCHER!$D$5:$D$504,C325,MATCHER!$J$5:$J$504,REGLER!$I$26&amp;" 2",MATCHER!$K$5:$K$504,"Ja")&gt;0,", "&amp;REGLER!$I$26,""),3,1000)</f>
        <v>F11</v>
      </c>
      <c r="I325" s="46" t="s">
        <v>90</v>
      </c>
      <c r="J325" s="47" t="s">
        <v>95</v>
      </c>
      <c r="K325" s="48" t="s">
        <v>88</v>
      </c>
      <c r="L325" s="49"/>
      <c r="M325" s="50">
        <f>IF(O325&lt;&gt;O324,MAX(1,MIN(AA325,ROUNDUP(SUMPRODUCT(($O$5:$O$546=O325)*($I$5:$I$546="Ja")*($E$5:$E$546-$D$5:$D$546))*24/REGLER!$B$8,0))),"")</f>
        <v>1</v>
      </c>
      <c r="N325" s="50" t="str">
        <f t="shared" ref="N325:N388" si="75">IF(I325="Nej",IF(J325="","Ej öppet","Ta bort lag"),IF(J325="","Ej tilldelad",IF(ISNUMBER(SEARCH(", "&amp;J325&amp;", ",", "&amp;H325&amp;", ")),"Klar","Kontrollera lag")))</f>
        <v>Klar</v>
      </c>
      <c r="O325" s="15" t="s">
        <v>138</v>
      </c>
      <c r="P325" s="16">
        <v>0.39583333333333298</v>
      </c>
      <c r="Q325" s="16">
        <v>0.5625</v>
      </c>
      <c r="R325" s="15" t="str">
        <f>IFERROR(MATCH(1,INDEX((MATCHER!$B$5:$B$504=A325)*(MATCHER!$D$5:$D$504=C325)*(MATCHER!$K$5:$K$504="Ja")*(MATCHER!$C$5:$C$504&lt;E325)*(MATCHER!$M$5:$M$504&gt;D325),0),0),"")</f>
        <v/>
      </c>
      <c r="S325" s="15" t="str">
        <f>IF(R325="","",IFERROR(MATCH(1,INDEX((MATCHER!$B$5:$B$504=A325)*(MATCHER!$D$5:$D$504=C325)*(MATCHER!$K$5:$K$504="Ja")*(MATCHER!$C$5:$C$504&lt;E325)*(MATCHER!$M$5:$M$504&gt;D325)*(ROW(MATCHER!$A$5:$A$504)-ROW(MATCHER!$A$5)+1&gt;R325),0),0),""))</f>
        <v/>
      </c>
      <c r="T325" s="15" t="str">
        <f>IF(S325="","",IFERROR(MATCH(1,INDEX((MATCHER!$B$5:$B$504=A325)*(MATCHER!$D$5:$D$504=C325)*(MATCHER!$K$5:$K$504="Ja")*(MATCHER!$C$5:$C$504&lt;E325)*(MATCHER!$M$5:$M$504&gt;D325)*(ROW(MATCHER!$A$5:$A$504)-ROW(MATCHER!$A$5)+1&gt;S325),0),0),""))</f>
        <v/>
      </c>
      <c r="U325" s="15">
        <f t="shared" ref="U325:U388" si="76">IF(OR(I325&lt;&gt;"Ja",J325=""),"",IF(OR(O325&lt;&gt;O324,I324&lt;&gt;"Ja",J325&lt;&gt;J324,D325&lt;&gt;E324),1,0))</f>
        <v>1</v>
      </c>
      <c r="V325" s="15">
        <f>IF(OR(I325&lt;&gt;"Ja",J325=""),"",COUNTIFS($O$5:O325,O325,$U$5:U325,1))</f>
        <v>1</v>
      </c>
      <c r="W325" s="15" t="str">
        <f t="shared" ref="W325:W388" si="77">IF(V325="","",O325&amp;"|"&amp;V325)</f>
        <v>2027-01-09 | Ulriksdalshallen|1</v>
      </c>
      <c r="X325" s="16" t="str">
        <f t="shared" ref="X325:X388" si="78">IF(OR(I325&lt;&gt;"Ja",J325=""),"",IF(OR(O325&lt;&gt;O326,I326&lt;&gt;"Ja",J325&lt;&gt;J326,E325&lt;&gt;D326),E325,""))</f>
        <v/>
      </c>
      <c r="Y325" s="15">
        <f>IF(OR(I325&lt;&gt;"Ja",J325=""),0,IF(COUNTIFS($O$5:O325,O325,$I$5:I325,"Ja",$J$5:J325,"&lt;&gt;")=1,1,0))</f>
        <v>1</v>
      </c>
      <c r="Z325" s="15">
        <f>IF(OR(I325&lt;&gt;"Ja",J325=""),0,IF(COUNTIFS(O325:$O$546,O325,I325:$I$546,"Ja",J325:$J$546,"&lt;&gt;")=1,1,0))</f>
        <v>0</v>
      </c>
      <c r="AA325" s="15">
        <f>IF(COUNTIFS(MATCHER!$B$5:$B$504,A325,MATCHER!$D$5:$D$504,C325,MATCHER!$J$5:$J$504,REGLER!$I$6,MATCHER!$K$5:$K$504,"Ja")+COUNTIFS(MATCHER!$B$5:$B$504,A325,MATCHER!$D$5:$D$504,C325,MATCHER!$J$5:$J$504,REGLER!$I$6&amp;" 2",MATCHER!$K$5:$K$504,"Ja")&gt;0,1,0)+IF(COUNTIFS(MATCHER!$B$5:$B$504,A325,MATCHER!$D$5:$D$504,C325,MATCHER!$J$5:$J$504,REGLER!$I$7,MATCHER!$K$5:$K$504,"Ja")+COUNTIFS(MATCHER!$B$5:$B$504,A325,MATCHER!$D$5:$D$504,C325,MATCHER!$J$5:$J$504,REGLER!$I$7&amp;" 2",MATCHER!$K$5:$K$504,"Ja")&gt;0,1,0)+IF(COUNTIFS(MATCHER!$B$5:$B$504,A325,MATCHER!$D$5:$D$504,C325,MATCHER!$J$5:$J$504,REGLER!$I$8,MATCHER!$K$5:$K$504,"Ja")+COUNTIFS(MATCHER!$B$5:$B$504,A325,MATCHER!$D$5:$D$504,C325,MATCHER!$J$5:$J$504,REGLER!$I$8&amp;" 2",MATCHER!$K$5:$K$504,"Ja")&gt;0,1,0)+IF(COUNTIFS(MATCHER!$B$5:$B$504,A325,MATCHER!$D$5:$D$504,C325,MATCHER!$J$5:$J$504,REGLER!$I$9,MATCHER!$K$5:$K$504,"Ja")+COUNTIFS(MATCHER!$B$5:$B$504,A325,MATCHER!$D$5:$D$504,C325,MATCHER!$J$5:$J$504,REGLER!$I$9&amp;" 2",MATCHER!$K$5:$K$504,"Ja")&gt;0,1,0)+IF(COUNTIFS(MATCHER!$B$5:$B$504,A325,MATCHER!$D$5:$D$504,C325,MATCHER!$J$5:$J$504,REGLER!$I$10,MATCHER!$K$5:$K$504,"Ja")+COUNTIFS(MATCHER!$B$5:$B$504,A325,MATCHER!$D$5:$D$504,C325,MATCHER!$J$5:$J$504,REGLER!$I$10&amp;" 2",MATCHER!$K$5:$K$504,"Ja")&gt;0,1,0)+IF(COUNTIFS(MATCHER!$B$5:$B$504,A325,MATCHER!$D$5:$D$504,C325,MATCHER!$J$5:$J$504,REGLER!$I$11,MATCHER!$K$5:$K$504,"Ja")+COUNTIFS(MATCHER!$B$5:$B$504,A325,MATCHER!$D$5:$D$504,C325,MATCHER!$J$5:$J$504,REGLER!$I$11&amp;" 2",MATCHER!$K$5:$K$504,"Ja")&gt;0,1,0)+IF(COUNTIFS(MATCHER!$B$5:$B$504,A325,MATCHER!$D$5:$D$504,C325,MATCHER!$J$5:$J$504,REGLER!$I$12,MATCHER!$K$5:$K$504,"Ja")+COUNTIFS(MATCHER!$B$5:$B$504,A325,MATCHER!$D$5:$D$504,C325,MATCHER!$J$5:$J$504,REGLER!$I$12&amp;" 2",MATCHER!$K$5:$K$504,"Ja")&gt;0,1,0)+IF(COUNTIFS(MATCHER!$B$5:$B$504,A325,MATCHER!$D$5:$D$504,C325,MATCHER!$J$5:$J$504,REGLER!$I$13,MATCHER!$K$5:$K$504,"Ja")+COUNTIFS(MATCHER!$B$5:$B$504,A325,MATCHER!$D$5:$D$504,C325,MATCHER!$J$5:$J$504,REGLER!$I$13&amp;" 2",MATCHER!$K$5:$K$504,"Ja")&gt;0,1,0)+IF(COUNTIFS(MATCHER!$B$5:$B$504,A325,MATCHER!$D$5:$D$504,C325,MATCHER!$J$5:$J$504,REGLER!$I$14,MATCHER!$K$5:$K$504,"Ja")+COUNTIFS(MATCHER!$B$5:$B$504,A325,MATCHER!$D$5:$D$504,C325,MATCHER!$J$5:$J$504,REGLER!$I$14&amp;" 2",MATCHER!$K$5:$K$504,"Ja")&gt;0,1,0)+IF(COUNTIFS(MATCHER!$B$5:$B$504,A325,MATCHER!$D$5:$D$504,C325,MATCHER!$J$5:$J$504,REGLER!$I$15,MATCHER!$K$5:$K$504,"Ja")+COUNTIFS(MATCHER!$B$5:$B$504,A325,MATCHER!$D$5:$D$504,C325,MATCHER!$J$5:$J$504,REGLER!$I$15&amp;" 2",MATCHER!$K$5:$K$504,"Ja")&gt;0,1,0)+IF(COUNTIFS(MATCHER!$B$5:$B$504,A325,MATCHER!$D$5:$D$504,C325,MATCHER!$J$5:$J$504,REGLER!$I$16,MATCHER!$K$5:$K$504,"Ja")+COUNTIFS(MATCHER!$B$5:$B$504,A325,MATCHER!$D$5:$D$504,C325,MATCHER!$J$5:$J$504,REGLER!$I$16&amp;" 2",MATCHER!$K$5:$K$504,"Ja")&gt;0,1,0)+IF(COUNTIFS(MATCHER!$B$5:$B$504,A325,MATCHER!$D$5:$D$504,C325,MATCHER!$J$5:$J$504,REGLER!$I$17,MATCHER!$K$5:$K$504,"Ja")+COUNTIFS(MATCHER!$B$5:$B$504,A325,MATCHER!$D$5:$D$504,C325,MATCHER!$J$5:$J$504,REGLER!$I$17&amp;" 2",MATCHER!$K$5:$K$504,"Ja")&gt;0,1,0)+IF(COUNTIFS(MATCHER!$B$5:$B$504,A325,MATCHER!$D$5:$D$504,C325,MATCHER!$J$5:$J$504,REGLER!$I$18,MATCHER!$K$5:$K$504,"Ja")+COUNTIFS(MATCHER!$B$5:$B$504,A325,MATCHER!$D$5:$D$504,C325,MATCHER!$J$5:$J$504,REGLER!$I$18&amp;" 2",MATCHER!$K$5:$K$504,"Ja")&gt;0,1,0)+IF(COUNTIFS(MATCHER!$B$5:$B$504,A325,MATCHER!$D$5:$D$504,C325,MATCHER!$J$5:$J$504,REGLER!$I$19,MATCHER!$K$5:$K$504,"Ja")+COUNTIFS(MATCHER!$B$5:$B$504,A325,MATCHER!$D$5:$D$504,C325,MATCHER!$J$5:$J$504,REGLER!$I$19&amp;" 2",MATCHER!$K$5:$K$504,"Ja")&gt;0,1,0)+IF(COUNTIFS(MATCHER!$B$5:$B$504,A325,MATCHER!$D$5:$D$504,C325,MATCHER!$J$5:$J$504,REGLER!$I$20,MATCHER!$K$5:$K$504,"Ja")+COUNTIFS(MATCHER!$B$5:$B$504,A325,MATCHER!$D$5:$D$504,C325,MATCHER!$J$5:$J$504,REGLER!$I$20&amp;" 2",MATCHER!$K$5:$K$504,"Ja")&gt;0,1,0)+IF(COUNTIFS(MATCHER!$B$5:$B$504,A325,MATCHER!$D$5:$D$504,C325,MATCHER!$J$5:$J$504,REGLER!$I$21,MATCHER!$K$5:$K$504,"Ja")+COUNTIFS(MATCHER!$B$5:$B$504,A325,MATCHER!$D$5:$D$504,C325,MATCHER!$J$5:$J$504,REGLER!$I$21&amp;" 2",MATCHER!$K$5:$K$504,"Ja")&gt;0,1,0)+IF(COUNTIFS(MATCHER!$B$5:$B$504,A325,MATCHER!$D$5:$D$504,C325,MATCHER!$J$5:$J$504,REGLER!$I$22,MATCHER!$K$5:$K$504,"Ja")+COUNTIFS(MATCHER!$B$5:$B$504,A325,MATCHER!$D$5:$D$504,C325,MATCHER!$J$5:$J$504,REGLER!$I$22&amp;" 2",MATCHER!$K$5:$K$504,"Ja")&gt;0,1,0)+IF(COUNTIFS(MATCHER!$B$5:$B$504,A325,MATCHER!$D$5:$D$504,C325,MATCHER!$J$5:$J$504,REGLER!$I$23,MATCHER!$K$5:$K$504,"Ja")+COUNTIFS(MATCHER!$B$5:$B$504,A325,MATCHER!$D$5:$D$504,C325,MATCHER!$J$5:$J$504,REGLER!$I$23&amp;" 2",MATCHER!$K$5:$K$504,"Ja")&gt;0,1,0)+IF(COUNTIFS(MATCHER!$B$5:$B$504,A325,MATCHER!$D$5:$D$504,C325,MATCHER!$J$5:$J$504,REGLER!$I$24,MATCHER!$K$5:$K$504,"Ja")+COUNTIFS(MATCHER!$B$5:$B$504,A325,MATCHER!$D$5:$D$504,C325,MATCHER!$J$5:$J$504,REGLER!$I$24&amp;" 2",MATCHER!$K$5:$K$504,"Ja")&gt;0,1,0)+IF(COUNTIFS(MATCHER!$B$5:$B$504,A325,MATCHER!$D$5:$D$504,C325,MATCHER!$J$5:$J$504,REGLER!$I$25,MATCHER!$K$5:$K$504,"Ja")+COUNTIFS(MATCHER!$B$5:$B$504,A325,MATCHER!$D$5:$D$504,C325,MATCHER!$J$5:$J$504,REGLER!$I$25&amp;" 2",MATCHER!$K$5:$K$504,"Ja")&gt;0,1,0)+IF(COUNTIFS(MATCHER!$B$5:$B$504,A325,MATCHER!$D$5:$D$504,C325,MATCHER!$J$5:$J$504,REGLER!$I$26,MATCHER!$K$5:$K$504,"Ja")+COUNTIFS(MATCHER!$B$5:$B$504,A325,MATCHER!$D$5:$D$504,C325,MATCHER!$J$5:$J$504,REGLER!$I$26&amp;" 2",MATCHER!$K$5:$K$504,"Ja")&gt;0,1,0)</f>
        <v>1</v>
      </c>
      <c r="AB325" s="15">
        <f>IF(U325&lt;&gt;1,"",COUNTIF($U$5:U325,1))</f>
        <v>37</v>
      </c>
      <c r="AC325" s="15" t="str">
        <f t="shared" ref="AC325:AC388" si="79">IF(X325="","",W325)</f>
        <v/>
      </c>
      <c r="AD325" s="15" t="str">
        <f t="shared" ref="AD325:AD388" si="80">IF(O325="","",INDEX($K$5:$K$546,MATCH(O325,$O$5:$O$546,0)))</f>
        <v>Vanligt café</v>
      </c>
      <c r="AE325" s="15">
        <f t="shared" ref="AE325:AE388" si="81">IF(U325&lt;&gt;1,"",(SUMIF($W$5:$W$546,W325,$X$5:$X$546)-D325)*24)</f>
        <v>4.0000000000000089</v>
      </c>
      <c r="AF325" t="str">
        <f>IF(T325="","",IFERROR(MATCH(1,INDEX((MATCHER!$B$5:$B$504=A325)*(MATCHER!$D$5:$D$504=C325)*(MATCHER!$K$5:$K$504="Ja")*(MATCHER!$C$5:$C$504&lt;E325)*(MATCHER!$M$5:$M$504&gt;D325)*(ROW(MATCHER!$A$5:$A$504)-ROW(MATCHER!$A$5)+1&gt;T325),0),0),""))</f>
        <v/>
      </c>
    </row>
    <row r="326" spans="1:32" ht="26">
      <c r="A326" s="42">
        <v>46396</v>
      </c>
      <c r="B326" s="43" t="s">
        <v>85</v>
      </c>
      <c r="C326" s="43" t="s">
        <v>86</v>
      </c>
      <c r="D326" s="44">
        <v>0.41666666666666702</v>
      </c>
      <c r="E326" s="44">
        <v>0.4375</v>
      </c>
      <c r="F326" s="45" t="str">
        <f>IF(R326="","",HOUR(INDEX(MATCHER!$C$5:$C$504,R326))&amp;":"&amp;IF(MINUTE(INDEX(MATCHER!$C$5:$C$504,R326))&lt;10,"0","")&amp;MINUTE(INDEX(MATCHER!$C$5:$C$504,R326))&amp;" "&amp;INDEX(MATCHER!$H$5:$H$504,R326)&amp;" – "&amp;INDEX(MATCHER!$I$5:$I$504,R326))&amp;IF(S326="",""," | "&amp;HOUR(INDEX(MATCHER!$C$5:$C$504,S326))&amp;":"&amp;IF(MINUTE(INDEX(MATCHER!$C$5:$C$504,S326))&lt;10,"0","")&amp;MINUTE(INDEX(MATCHER!$C$5:$C$504,S326))&amp;" "&amp;INDEX(MATCHER!$H$5:$H$504,S326)&amp;" – "&amp;INDEX(MATCHER!$I$5:$I$504,S326))&amp;IF(T326="",""," | "&amp;HOUR(INDEX(MATCHER!$C$5:$C$504,T326))&amp;":"&amp;IF(MINUTE(INDEX(MATCHER!$C$5:$C$504,T326))&lt;10,"0","")&amp;MINUTE(INDEX(MATCHER!$C$5:$C$504,T326))&amp;" "&amp;INDEX(MATCHER!$H$5:$H$504,T326)&amp;" – "&amp;INDEX(MATCHER!$I$5:$I$504,T326))&amp;IF(AF326="",""," | "&amp;HOUR(INDEX(MATCHER!$C$5:$C$504,AF326))&amp;":"&amp;IF(MINUTE(INDEX(MATCHER!$C$5:$C$504,AF326))&lt;10,"0","")&amp;MINUTE(INDEX(MATCHER!$C$5:$C$504,AF326))&amp;" "&amp;INDEX(MATCHER!$H$5:$H$504,AF326)&amp;" – "&amp;INDEX(MATCHER!$I$5:$I$504,AF326))</f>
        <v>10:20 AIK – Hammarby IF HF 2</v>
      </c>
      <c r="G326" s="45" t="str">
        <f>MID(IF(R326="","",IF(OR(INDEX(MATCHER!$J$5:$J$504,R326)=""),""," / "&amp;INDEX(MATCHER!$J$5:$J$504,R326)))&amp;IF(S326="","",IF(OR(INDEX(MATCHER!$J$5:$J$504,S326)="",INDEX(MATCHER!$J$5:$J$504,S326)=IFERROR(INDEX(MATCHER!$J$5:$J$504,R326),"")),""," / "&amp;INDEX(MATCHER!$J$5:$J$504,S326)))&amp;IF(T326="","",IF(OR(INDEX(MATCHER!$J$5:$J$504,T326)="",INDEX(MATCHER!$J$5:$J$504,T326)=IFERROR(INDEX(MATCHER!$J$5:$J$504,R326),""),INDEX(MATCHER!$J$5:$J$504,T326)=IFERROR(INDEX(MATCHER!$J$5:$J$504,S326),"")),""," / "&amp;INDEX(MATCHER!$J$5:$J$504,T326)))&amp;IF(AF326="","",IF(OR(INDEX(MATCHER!$J$5:$J$504,AF326)="",INDEX(MATCHER!$J$5:$J$504,AF326)=IFERROR(INDEX(MATCHER!$J$5:$J$504,R326),""),INDEX(MATCHER!$J$5:$J$504,AF326)=IFERROR(INDEX(MATCHER!$J$5:$J$504,S326),""),INDEX(MATCHER!$J$5:$J$504,AF326)=IFERROR(INDEX(MATCHER!$J$5:$J$504,T326),"")),""," / "&amp;INDEX(MATCHER!$J$5:$J$504,AF326))),4,1000)</f>
        <v>F11</v>
      </c>
      <c r="H326" s="45" t="str">
        <f t="shared" ref="H326:H332" si="82">H325</f>
        <v>F11</v>
      </c>
      <c r="I326" s="46" t="s">
        <v>90</v>
      </c>
      <c r="J326" s="47" t="s">
        <v>95</v>
      </c>
      <c r="K326" s="48"/>
      <c r="L326" s="49"/>
      <c r="M326" s="50" t="str">
        <f>IF(O326&lt;&gt;O325,MAX(1,MIN(AA326,ROUNDUP(SUMPRODUCT(($O$5:$O$546=O326)*($I$5:$I$546="Ja")*($E$5:$E$546-$D$5:$D$546))*24/REGLER!$B$8,0))),"")</f>
        <v/>
      </c>
      <c r="N326" s="50" t="str">
        <f t="shared" si="75"/>
        <v>Klar</v>
      </c>
      <c r="O326" s="15" t="s">
        <v>138</v>
      </c>
      <c r="P326" s="16">
        <v>0.39583333333333298</v>
      </c>
      <c r="Q326" s="16">
        <v>0.5625</v>
      </c>
      <c r="R326" s="15">
        <f>IFERROR(MATCH(1,INDEX((MATCHER!$B$5:$B$504=A326)*(MATCHER!$D$5:$D$504=C326)*(MATCHER!$K$5:$K$504="Ja")*(MATCHER!$C$5:$C$504&lt;E326)*(MATCHER!$M$5:$M$504&gt;D326),0),0),"")</f>
        <v>125</v>
      </c>
      <c r="S326" s="15" t="str">
        <f>IF(R326="","",IFERROR(MATCH(1,INDEX((MATCHER!$B$5:$B$504=A326)*(MATCHER!$D$5:$D$504=C326)*(MATCHER!$K$5:$K$504="Ja")*(MATCHER!$C$5:$C$504&lt;E326)*(MATCHER!$M$5:$M$504&gt;D326)*(ROW(MATCHER!$A$5:$A$504)-ROW(MATCHER!$A$5)+1&gt;R326),0),0),""))</f>
        <v/>
      </c>
      <c r="T326" s="15" t="str">
        <f>IF(S326="","",IFERROR(MATCH(1,INDEX((MATCHER!$B$5:$B$504=A326)*(MATCHER!$D$5:$D$504=C326)*(MATCHER!$K$5:$K$504="Ja")*(MATCHER!$C$5:$C$504&lt;E326)*(MATCHER!$M$5:$M$504&gt;D326)*(ROW(MATCHER!$A$5:$A$504)-ROW(MATCHER!$A$5)+1&gt;S326),0),0),""))</f>
        <v/>
      </c>
      <c r="U326" s="15">
        <f t="shared" si="76"/>
        <v>0</v>
      </c>
      <c r="V326" s="15">
        <f>IF(OR(I326&lt;&gt;"Ja",J326=""),"",COUNTIFS($O$5:O326,O326,$U$5:U326,1))</f>
        <v>1</v>
      </c>
      <c r="W326" s="15" t="str">
        <f t="shared" si="77"/>
        <v>2027-01-09 | Ulriksdalshallen|1</v>
      </c>
      <c r="X326" s="16" t="str">
        <f t="shared" si="78"/>
        <v/>
      </c>
      <c r="Y326" s="15">
        <f>IF(OR(I326&lt;&gt;"Ja",J326=""),0,IF(COUNTIFS($O$5:O326,O326,$I$5:I326,"Ja",$J$5:J326,"&lt;&gt;")=1,1,0))</f>
        <v>0</v>
      </c>
      <c r="Z326" s="15">
        <f>IF(OR(I326&lt;&gt;"Ja",J326=""),0,IF(COUNTIFS(O326:$O$546,O326,I326:$I$546,"Ja",J326:$J$546,"&lt;&gt;")=1,1,0))</f>
        <v>0</v>
      </c>
      <c r="AA326" s="15">
        <f t="shared" ref="AA326:AA332" si="83">AA325</f>
        <v>1</v>
      </c>
      <c r="AB326" s="15" t="str">
        <f>IF(U326&lt;&gt;1,"",COUNTIF($U$5:U326,1))</f>
        <v/>
      </c>
      <c r="AC326" s="15" t="str">
        <f t="shared" si="79"/>
        <v/>
      </c>
      <c r="AD326" s="15" t="str">
        <f t="shared" si="80"/>
        <v>Vanligt café</v>
      </c>
      <c r="AE326" s="15" t="str">
        <f t="shared" si="81"/>
        <v/>
      </c>
      <c r="AF326" t="str">
        <f>IF(T326="","",IFERROR(MATCH(1,INDEX((MATCHER!$B$5:$B$504=A326)*(MATCHER!$D$5:$D$504=C326)*(MATCHER!$K$5:$K$504="Ja")*(MATCHER!$C$5:$C$504&lt;E326)*(MATCHER!$M$5:$M$504&gt;D326)*(ROW(MATCHER!$A$5:$A$504)-ROW(MATCHER!$A$5)+1&gt;T326),0),0),""))</f>
        <v/>
      </c>
    </row>
    <row r="327" spans="1:32" ht="26">
      <c r="A327" s="42">
        <v>46396</v>
      </c>
      <c r="B327" s="43" t="s">
        <v>85</v>
      </c>
      <c r="C327" s="43" t="s">
        <v>86</v>
      </c>
      <c r="D327" s="44">
        <v>0.4375</v>
      </c>
      <c r="E327" s="44">
        <v>0.45833333333333298</v>
      </c>
      <c r="F327" s="45" t="str">
        <f>IF(R327="","",HOUR(INDEX(MATCHER!$C$5:$C$504,R327))&amp;":"&amp;IF(MINUTE(INDEX(MATCHER!$C$5:$C$504,R327))&lt;10,"0","")&amp;MINUTE(INDEX(MATCHER!$C$5:$C$504,R327))&amp;" "&amp;INDEX(MATCHER!$H$5:$H$504,R327)&amp;" – "&amp;INDEX(MATCHER!$I$5:$I$504,R327))&amp;IF(S327="",""," | "&amp;HOUR(INDEX(MATCHER!$C$5:$C$504,S327))&amp;":"&amp;IF(MINUTE(INDEX(MATCHER!$C$5:$C$504,S327))&lt;10,"0","")&amp;MINUTE(INDEX(MATCHER!$C$5:$C$504,S327))&amp;" "&amp;INDEX(MATCHER!$H$5:$H$504,S327)&amp;" – "&amp;INDEX(MATCHER!$I$5:$I$504,S327))&amp;IF(T327="",""," | "&amp;HOUR(INDEX(MATCHER!$C$5:$C$504,T327))&amp;":"&amp;IF(MINUTE(INDEX(MATCHER!$C$5:$C$504,T327))&lt;10,"0","")&amp;MINUTE(INDEX(MATCHER!$C$5:$C$504,T327))&amp;" "&amp;INDEX(MATCHER!$H$5:$H$504,T327)&amp;" – "&amp;INDEX(MATCHER!$I$5:$I$504,T327))&amp;IF(AF327="",""," | "&amp;HOUR(INDEX(MATCHER!$C$5:$C$504,AF327))&amp;":"&amp;IF(MINUTE(INDEX(MATCHER!$C$5:$C$504,AF327))&lt;10,"0","")&amp;MINUTE(INDEX(MATCHER!$C$5:$C$504,AF327))&amp;" "&amp;INDEX(MATCHER!$H$5:$H$504,AF327)&amp;" – "&amp;INDEX(MATCHER!$I$5:$I$504,AF327))</f>
        <v>10:20 AIK – Hammarby IF HF 2</v>
      </c>
      <c r="G327" s="45" t="str">
        <f>MID(IF(R327="","",IF(OR(INDEX(MATCHER!$J$5:$J$504,R327)=""),""," / "&amp;INDEX(MATCHER!$J$5:$J$504,R327)))&amp;IF(S327="","",IF(OR(INDEX(MATCHER!$J$5:$J$504,S327)="",INDEX(MATCHER!$J$5:$J$504,S327)=IFERROR(INDEX(MATCHER!$J$5:$J$504,R327),"")),""," / "&amp;INDEX(MATCHER!$J$5:$J$504,S327)))&amp;IF(T327="","",IF(OR(INDEX(MATCHER!$J$5:$J$504,T327)="",INDEX(MATCHER!$J$5:$J$504,T327)=IFERROR(INDEX(MATCHER!$J$5:$J$504,R327),""),INDEX(MATCHER!$J$5:$J$504,T327)=IFERROR(INDEX(MATCHER!$J$5:$J$504,S327),"")),""," / "&amp;INDEX(MATCHER!$J$5:$J$504,T327)))&amp;IF(AF327="","",IF(OR(INDEX(MATCHER!$J$5:$J$504,AF327)="",INDEX(MATCHER!$J$5:$J$504,AF327)=IFERROR(INDEX(MATCHER!$J$5:$J$504,R327),""),INDEX(MATCHER!$J$5:$J$504,AF327)=IFERROR(INDEX(MATCHER!$J$5:$J$504,S327),""),INDEX(MATCHER!$J$5:$J$504,AF327)=IFERROR(INDEX(MATCHER!$J$5:$J$504,T327),"")),""," / "&amp;INDEX(MATCHER!$J$5:$J$504,AF327))),4,1000)</f>
        <v>F11</v>
      </c>
      <c r="H327" s="45" t="str">
        <f t="shared" si="82"/>
        <v>F11</v>
      </c>
      <c r="I327" s="46" t="s">
        <v>90</v>
      </c>
      <c r="J327" s="47" t="s">
        <v>95</v>
      </c>
      <c r="K327" s="48"/>
      <c r="L327" s="49"/>
      <c r="M327" s="50" t="str">
        <f>IF(O327&lt;&gt;O326,MAX(1,MIN(AA327,ROUNDUP(SUMPRODUCT(($O$5:$O$546=O327)*($I$5:$I$546="Ja")*($E$5:$E$546-$D$5:$D$546))*24/REGLER!$B$8,0))),"")</f>
        <v/>
      </c>
      <c r="N327" s="50" t="str">
        <f t="shared" si="75"/>
        <v>Klar</v>
      </c>
      <c r="O327" s="15" t="s">
        <v>138</v>
      </c>
      <c r="P327" s="16">
        <v>0.39583333333333298</v>
      </c>
      <c r="Q327" s="16">
        <v>0.5625</v>
      </c>
      <c r="R327" s="15">
        <f>IFERROR(MATCH(1,INDEX((MATCHER!$B$5:$B$504=A327)*(MATCHER!$D$5:$D$504=C327)*(MATCHER!$K$5:$K$504="Ja")*(MATCHER!$C$5:$C$504&lt;E327)*(MATCHER!$M$5:$M$504&gt;D327),0),0),"")</f>
        <v>125</v>
      </c>
      <c r="S327" s="15" t="str">
        <f>IF(R327="","",IFERROR(MATCH(1,INDEX((MATCHER!$B$5:$B$504=A327)*(MATCHER!$D$5:$D$504=C327)*(MATCHER!$K$5:$K$504="Ja")*(MATCHER!$C$5:$C$504&lt;E327)*(MATCHER!$M$5:$M$504&gt;D327)*(ROW(MATCHER!$A$5:$A$504)-ROW(MATCHER!$A$5)+1&gt;R327),0),0),""))</f>
        <v/>
      </c>
      <c r="T327" s="15" t="str">
        <f>IF(S327="","",IFERROR(MATCH(1,INDEX((MATCHER!$B$5:$B$504=A327)*(MATCHER!$D$5:$D$504=C327)*(MATCHER!$K$5:$K$504="Ja")*(MATCHER!$C$5:$C$504&lt;E327)*(MATCHER!$M$5:$M$504&gt;D327)*(ROW(MATCHER!$A$5:$A$504)-ROW(MATCHER!$A$5)+1&gt;S327),0),0),""))</f>
        <v/>
      </c>
      <c r="U327" s="15">
        <f t="shared" si="76"/>
        <v>0</v>
      </c>
      <c r="V327" s="15">
        <f>IF(OR(I327&lt;&gt;"Ja",J327=""),"",COUNTIFS($O$5:O327,O327,$U$5:U327,1))</f>
        <v>1</v>
      </c>
      <c r="W327" s="15" t="str">
        <f t="shared" si="77"/>
        <v>2027-01-09 | Ulriksdalshallen|1</v>
      </c>
      <c r="X327" s="16" t="str">
        <f t="shared" si="78"/>
        <v/>
      </c>
      <c r="Y327" s="15">
        <f>IF(OR(I327&lt;&gt;"Ja",J327=""),0,IF(COUNTIFS($O$5:O327,O327,$I$5:I327,"Ja",$J$5:J327,"&lt;&gt;")=1,1,0))</f>
        <v>0</v>
      </c>
      <c r="Z327" s="15">
        <f>IF(OR(I327&lt;&gt;"Ja",J327=""),0,IF(COUNTIFS(O327:$O$546,O327,I327:$I$546,"Ja",J327:$J$546,"&lt;&gt;")=1,1,0))</f>
        <v>0</v>
      </c>
      <c r="AA327" s="15">
        <f t="shared" si="83"/>
        <v>1</v>
      </c>
      <c r="AB327" s="15" t="str">
        <f>IF(U327&lt;&gt;1,"",COUNTIF($U$5:U327,1))</f>
        <v/>
      </c>
      <c r="AC327" s="15" t="str">
        <f t="shared" si="79"/>
        <v/>
      </c>
      <c r="AD327" s="15" t="str">
        <f t="shared" si="80"/>
        <v>Vanligt café</v>
      </c>
      <c r="AE327" s="15" t="str">
        <f t="shared" si="81"/>
        <v/>
      </c>
      <c r="AF327" t="str">
        <f>IF(T327="","",IFERROR(MATCH(1,INDEX((MATCHER!$B$5:$B$504=A327)*(MATCHER!$D$5:$D$504=C327)*(MATCHER!$K$5:$K$504="Ja")*(MATCHER!$C$5:$C$504&lt;E327)*(MATCHER!$M$5:$M$504&gt;D327)*(ROW(MATCHER!$A$5:$A$504)-ROW(MATCHER!$A$5)+1&gt;T327),0),0),""))</f>
        <v/>
      </c>
    </row>
    <row r="328" spans="1:32" ht="26">
      <c r="A328" s="42">
        <v>46396</v>
      </c>
      <c r="B328" s="43" t="s">
        <v>85</v>
      </c>
      <c r="C328" s="43" t="s">
        <v>86</v>
      </c>
      <c r="D328" s="44">
        <v>0.45833333333333298</v>
      </c>
      <c r="E328" s="44">
        <v>0.47916666666666702</v>
      </c>
      <c r="F328" s="45" t="str">
        <f>IF(R328="","",HOUR(INDEX(MATCHER!$C$5:$C$504,R328))&amp;":"&amp;IF(MINUTE(INDEX(MATCHER!$C$5:$C$504,R328))&lt;10,"0","")&amp;MINUTE(INDEX(MATCHER!$C$5:$C$504,R328))&amp;" "&amp;INDEX(MATCHER!$H$5:$H$504,R328)&amp;" – "&amp;INDEX(MATCHER!$I$5:$I$504,R328))&amp;IF(S328="",""," | "&amp;HOUR(INDEX(MATCHER!$C$5:$C$504,S328))&amp;":"&amp;IF(MINUTE(INDEX(MATCHER!$C$5:$C$504,S328))&lt;10,"0","")&amp;MINUTE(INDEX(MATCHER!$C$5:$C$504,S328))&amp;" "&amp;INDEX(MATCHER!$H$5:$H$504,S328)&amp;" – "&amp;INDEX(MATCHER!$I$5:$I$504,S328))&amp;IF(T328="",""," | "&amp;HOUR(INDEX(MATCHER!$C$5:$C$504,T328))&amp;":"&amp;IF(MINUTE(INDEX(MATCHER!$C$5:$C$504,T328))&lt;10,"0","")&amp;MINUTE(INDEX(MATCHER!$C$5:$C$504,T328))&amp;" "&amp;INDEX(MATCHER!$H$5:$H$504,T328)&amp;" – "&amp;INDEX(MATCHER!$I$5:$I$504,T328))&amp;IF(AF328="",""," | "&amp;HOUR(INDEX(MATCHER!$C$5:$C$504,AF328))&amp;":"&amp;IF(MINUTE(INDEX(MATCHER!$C$5:$C$504,AF328))&lt;10,"0","")&amp;MINUTE(INDEX(MATCHER!$C$5:$C$504,AF328))&amp;" "&amp;INDEX(MATCHER!$H$5:$H$504,AF328)&amp;" – "&amp;INDEX(MATCHER!$I$5:$I$504,AF328))</f>
        <v/>
      </c>
      <c r="G328" s="45" t="str">
        <f>MID(IF(R328="","",IF(OR(INDEX(MATCHER!$J$5:$J$504,R328)=""),""," / "&amp;INDEX(MATCHER!$J$5:$J$504,R328)))&amp;IF(S328="","",IF(OR(INDEX(MATCHER!$J$5:$J$504,S328)="",INDEX(MATCHER!$J$5:$J$504,S328)=IFERROR(INDEX(MATCHER!$J$5:$J$504,R328),"")),""," / "&amp;INDEX(MATCHER!$J$5:$J$504,S328)))&amp;IF(T328="","",IF(OR(INDEX(MATCHER!$J$5:$J$504,T328)="",INDEX(MATCHER!$J$5:$J$504,T328)=IFERROR(INDEX(MATCHER!$J$5:$J$504,R328),""),INDEX(MATCHER!$J$5:$J$504,T328)=IFERROR(INDEX(MATCHER!$J$5:$J$504,S328),"")),""," / "&amp;INDEX(MATCHER!$J$5:$J$504,T328)))&amp;IF(AF328="","",IF(OR(INDEX(MATCHER!$J$5:$J$504,AF328)="",INDEX(MATCHER!$J$5:$J$504,AF328)=IFERROR(INDEX(MATCHER!$J$5:$J$504,R328),""),INDEX(MATCHER!$J$5:$J$504,AF328)=IFERROR(INDEX(MATCHER!$J$5:$J$504,S328),""),INDEX(MATCHER!$J$5:$J$504,AF328)=IFERROR(INDEX(MATCHER!$J$5:$J$504,T328),"")),""," / "&amp;INDEX(MATCHER!$J$5:$J$504,AF328))),4,1000)</f>
        <v/>
      </c>
      <c r="H328" s="45" t="str">
        <f t="shared" si="82"/>
        <v>F11</v>
      </c>
      <c r="I328" s="46" t="s">
        <v>90</v>
      </c>
      <c r="J328" s="47" t="s">
        <v>95</v>
      </c>
      <c r="K328" s="48"/>
      <c r="L328" s="49"/>
      <c r="M328" s="50" t="str">
        <f>IF(O328&lt;&gt;O327,MAX(1,MIN(AA328,ROUNDUP(SUMPRODUCT(($O$5:$O$546=O328)*($I$5:$I$546="Ja")*($E$5:$E$546-$D$5:$D$546))*24/REGLER!$B$8,0))),"")</f>
        <v/>
      </c>
      <c r="N328" s="50" t="str">
        <f t="shared" si="75"/>
        <v>Klar</v>
      </c>
      <c r="O328" s="15" t="s">
        <v>138</v>
      </c>
      <c r="P328" s="16">
        <v>0.39583333333333298</v>
      </c>
      <c r="Q328" s="16">
        <v>0.5625</v>
      </c>
      <c r="R328" s="15" t="str">
        <f>IFERROR(MATCH(1,INDEX((MATCHER!$B$5:$B$504=A328)*(MATCHER!$D$5:$D$504=C328)*(MATCHER!$K$5:$K$504="Ja")*(MATCHER!$C$5:$C$504&lt;E328)*(MATCHER!$M$5:$M$504&gt;D328),0),0),"")</f>
        <v/>
      </c>
      <c r="S328" s="15" t="str">
        <f>IF(R328="","",IFERROR(MATCH(1,INDEX((MATCHER!$B$5:$B$504=A328)*(MATCHER!$D$5:$D$504=C328)*(MATCHER!$K$5:$K$504="Ja")*(MATCHER!$C$5:$C$504&lt;E328)*(MATCHER!$M$5:$M$504&gt;D328)*(ROW(MATCHER!$A$5:$A$504)-ROW(MATCHER!$A$5)+1&gt;R328),0),0),""))</f>
        <v/>
      </c>
      <c r="T328" s="15" t="str">
        <f>IF(S328="","",IFERROR(MATCH(1,INDEX((MATCHER!$B$5:$B$504=A328)*(MATCHER!$D$5:$D$504=C328)*(MATCHER!$K$5:$K$504="Ja")*(MATCHER!$C$5:$C$504&lt;E328)*(MATCHER!$M$5:$M$504&gt;D328)*(ROW(MATCHER!$A$5:$A$504)-ROW(MATCHER!$A$5)+1&gt;S328),0),0),""))</f>
        <v/>
      </c>
      <c r="U328" s="15">
        <f t="shared" si="76"/>
        <v>0</v>
      </c>
      <c r="V328" s="15">
        <f>IF(OR(I328&lt;&gt;"Ja",J328=""),"",COUNTIFS($O$5:O328,O328,$U$5:U328,1))</f>
        <v>1</v>
      </c>
      <c r="W328" s="15" t="str">
        <f t="shared" si="77"/>
        <v>2027-01-09 | Ulriksdalshallen|1</v>
      </c>
      <c r="X328" s="16" t="str">
        <f t="shared" si="78"/>
        <v/>
      </c>
      <c r="Y328" s="15">
        <f>IF(OR(I328&lt;&gt;"Ja",J328=""),0,IF(COUNTIFS($O$5:O328,O328,$I$5:I328,"Ja",$J$5:J328,"&lt;&gt;")=1,1,0))</f>
        <v>0</v>
      </c>
      <c r="Z328" s="15">
        <f>IF(OR(I328&lt;&gt;"Ja",J328=""),0,IF(COUNTIFS(O328:$O$546,O328,I328:$I$546,"Ja",J328:$J$546,"&lt;&gt;")=1,1,0))</f>
        <v>0</v>
      </c>
      <c r="AA328" s="15">
        <f t="shared" si="83"/>
        <v>1</v>
      </c>
      <c r="AB328" s="15" t="str">
        <f>IF(U328&lt;&gt;1,"",COUNTIF($U$5:U328,1))</f>
        <v/>
      </c>
      <c r="AC328" s="15" t="str">
        <f t="shared" si="79"/>
        <v/>
      </c>
      <c r="AD328" s="15" t="str">
        <f t="shared" si="80"/>
        <v>Vanligt café</v>
      </c>
      <c r="AE328" s="15" t="str">
        <f t="shared" si="81"/>
        <v/>
      </c>
      <c r="AF328" t="str">
        <f>IF(T328="","",IFERROR(MATCH(1,INDEX((MATCHER!$B$5:$B$504=A328)*(MATCHER!$D$5:$D$504=C328)*(MATCHER!$K$5:$K$504="Ja")*(MATCHER!$C$5:$C$504&lt;E328)*(MATCHER!$M$5:$M$504&gt;D328)*(ROW(MATCHER!$A$5:$A$504)-ROW(MATCHER!$A$5)+1&gt;T328),0),0),""))</f>
        <v/>
      </c>
    </row>
    <row r="329" spans="1:32" ht="26">
      <c r="A329" s="42">
        <v>46396</v>
      </c>
      <c r="B329" s="43" t="s">
        <v>85</v>
      </c>
      <c r="C329" s="43" t="s">
        <v>86</v>
      </c>
      <c r="D329" s="44">
        <v>0.47916666666666702</v>
      </c>
      <c r="E329" s="44">
        <v>0.5</v>
      </c>
      <c r="F329" s="45" t="str">
        <f>IF(R329="","",HOUR(INDEX(MATCHER!$C$5:$C$504,R329))&amp;":"&amp;IF(MINUTE(INDEX(MATCHER!$C$5:$C$504,R329))&lt;10,"0","")&amp;MINUTE(INDEX(MATCHER!$C$5:$C$504,R329))&amp;" "&amp;INDEX(MATCHER!$H$5:$H$504,R329)&amp;" – "&amp;INDEX(MATCHER!$I$5:$I$504,R329))&amp;IF(S329="",""," | "&amp;HOUR(INDEX(MATCHER!$C$5:$C$504,S329))&amp;":"&amp;IF(MINUTE(INDEX(MATCHER!$C$5:$C$504,S329))&lt;10,"0","")&amp;MINUTE(INDEX(MATCHER!$C$5:$C$504,S329))&amp;" "&amp;INDEX(MATCHER!$H$5:$H$504,S329)&amp;" – "&amp;INDEX(MATCHER!$I$5:$I$504,S329))&amp;IF(T329="",""," | "&amp;HOUR(INDEX(MATCHER!$C$5:$C$504,T329))&amp;":"&amp;IF(MINUTE(INDEX(MATCHER!$C$5:$C$504,T329))&lt;10,"0","")&amp;MINUTE(INDEX(MATCHER!$C$5:$C$504,T329))&amp;" "&amp;INDEX(MATCHER!$H$5:$H$504,T329)&amp;" – "&amp;INDEX(MATCHER!$I$5:$I$504,T329))&amp;IF(AF329="",""," | "&amp;HOUR(INDEX(MATCHER!$C$5:$C$504,AF329))&amp;":"&amp;IF(MINUTE(INDEX(MATCHER!$C$5:$C$504,AF329))&lt;10,"0","")&amp;MINUTE(INDEX(MATCHER!$C$5:$C$504,AF329))&amp;" "&amp;INDEX(MATCHER!$H$5:$H$504,AF329)&amp;" – "&amp;INDEX(MATCHER!$I$5:$I$504,AF329))</f>
        <v>11:30 Skuru IK 4 – Hammarby IF HF 2</v>
      </c>
      <c r="G329" s="45" t="str">
        <f>MID(IF(R329="","",IF(OR(INDEX(MATCHER!$J$5:$J$504,R329)=""),""," / "&amp;INDEX(MATCHER!$J$5:$J$504,R329)))&amp;IF(S329="","",IF(OR(INDEX(MATCHER!$J$5:$J$504,S329)="",INDEX(MATCHER!$J$5:$J$504,S329)=IFERROR(INDEX(MATCHER!$J$5:$J$504,R329),"")),""," / "&amp;INDEX(MATCHER!$J$5:$J$504,S329)))&amp;IF(T329="","",IF(OR(INDEX(MATCHER!$J$5:$J$504,T329)="",INDEX(MATCHER!$J$5:$J$504,T329)=IFERROR(INDEX(MATCHER!$J$5:$J$504,R329),""),INDEX(MATCHER!$J$5:$J$504,T329)=IFERROR(INDEX(MATCHER!$J$5:$J$504,S329),"")),""," / "&amp;INDEX(MATCHER!$J$5:$J$504,T329)))&amp;IF(AF329="","",IF(OR(INDEX(MATCHER!$J$5:$J$504,AF329)="",INDEX(MATCHER!$J$5:$J$504,AF329)=IFERROR(INDEX(MATCHER!$J$5:$J$504,R329),""),INDEX(MATCHER!$J$5:$J$504,AF329)=IFERROR(INDEX(MATCHER!$J$5:$J$504,S329),""),INDEX(MATCHER!$J$5:$J$504,AF329)=IFERROR(INDEX(MATCHER!$J$5:$J$504,T329),"")),""," / "&amp;INDEX(MATCHER!$J$5:$J$504,AF329))),4,1000)</f>
        <v/>
      </c>
      <c r="H329" s="45" t="str">
        <f t="shared" si="82"/>
        <v>F11</v>
      </c>
      <c r="I329" s="46" t="s">
        <v>90</v>
      </c>
      <c r="J329" s="47" t="s">
        <v>95</v>
      </c>
      <c r="K329" s="48"/>
      <c r="L329" s="49"/>
      <c r="M329" s="50" t="str">
        <f>IF(O329&lt;&gt;O328,MAX(1,MIN(AA329,ROUNDUP(SUMPRODUCT(($O$5:$O$546=O329)*($I$5:$I$546="Ja")*($E$5:$E$546-$D$5:$D$546))*24/REGLER!$B$8,0))),"")</f>
        <v/>
      </c>
      <c r="N329" s="50" t="str">
        <f t="shared" si="75"/>
        <v>Klar</v>
      </c>
      <c r="O329" s="15" t="s">
        <v>138</v>
      </c>
      <c r="P329" s="16">
        <v>0.39583333333333298</v>
      </c>
      <c r="Q329" s="16">
        <v>0.5625</v>
      </c>
      <c r="R329" s="15">
        <f>IFERROR(MATCH(1,INDEX((MATCHER!$B$5:$B$504=A329)*(MATCHER!$D$5:$D$504=C329)*(MATCHER!$K$5:$K$504="Ja")*(MATCHER!$C$5:$C$504&lt;E329)*(MATCHER!$M$5:$M$504&gt;D329),0),0),"")</f>
        <v>126</v>
      </c>
      <c r="S329" s="15" t="str">
        <f>IF(R329="","",IFERROR(MATCH(1,INDEX((MATCHER!$B$5:$B$504=A329)*(MATCHER!$D$5:$D$504=C329)*(MATCHER!$K$5:$K$504="Ja")*(MATCHER!$C$5:$C$504&lt;E329)*(MATCHER!$M$5:$M$504&gt;D329)*(ROW(MATCHER!$A$5:$A$504)-ROW(MATCHER!$A$5)+1&gt;R329),0),0),""))</f>
        <v/>
      </c>
      <c r="T329" s="15" t="str">
        <f>IF(S329="","",IFERROR(MATCH(1,INDEX((MATCHER!$B$5:$B$504=A329)*(MATCHER!$D$5:$D$504=C329)*(MATCHER!$K$5:$K$504="Ja")*(MATCHER!$C$5:$C$504&lt;E329)*(MATCHER!$M$5:$M$504&gt;D329)*(ROW(MATCHER!$A$5:$A$504)-ROW(MATCHER!$A$5)+1&gt;S329),0),0),""))</f>
        <v/>
      </c>
      <c r="U329" s="15">
        <f t="shared" si="76"/>
        <v>0</v>
      </c>
      <c r="V329" s="15">
        <f>IF(OR(I329&lt;&gt;"Ja",J329=""),"",COUNTIFS($O$5:O329,O329,$U$5:U329,1))</f>
        <v>1</v>
      </c>
      <c r="W329" s="15" t="str">
        <f t="shared" si="77"/>
        <v>2027-01-09 | Ulriksdalshallen|1</v>
      </c>
      <c r="X329" s="16" t="str">
        <f t="shared" si="78"/>
        <v/>
      </c>
      <c r="Y329" s="15">
        <f>IF(OR(I329&lt;&gt;"Ja",J329=""),0,IF(COUNTIFS($O$5:O329,O329,$I$5:I329,"Ja",$J$5:J329,"&lt;&gt;")=1,1,0))</f>
        <v>0</v>
      </c>
      <c r="Z329" s="15">
        <f>IF(OR(I329&lt;&gt;"Ja",J329=""),0,IF(COUNTIFS(O329:$O$546,O329,I329:$I$546,"Ja",J329:$J$546,"&lt;&gt;")=1,1,0))</f>
        <v>0</v>
      </c>
      <c r="AA329" s="15">
        <f t="shared" si="83"/>
        <v>1</v>
      </c>
      <c r="AB329" s="15" t="str">
        <f>IF(U329&lt;&gt;1,"",COUNTIF($U$5:U329,1))</f>
        <v/>
      </c>
      <c r="AC329" s="15" t="str">
        <f t="shared" si="79"/>
        <v/>
      </c>
      <c r="AD329" s="15" t="str">
        <f t="shared" si="80"/>
        <v>Vanligt café</v>
      </c>
      <c r="AE329" s="15" t="str">
        <f t="shared" si="81"/>
        <v/>
      </c>
      <c r="AF329" t="str">
        <f>IF(T329="","",IFERROR(MATCH(1,INDEX((MATCHER!$B$5:$B$504=A329)*(MATCHER!$D$5:$D$504=C329)*(MATCHER!$K$5:$K$504="Ja")*(MATCHER!$C$5:$C$504&lt;E329)*(MATCHER!$M$5:$M$504&gt;D329)*(ROW(MATCHER!$A$5:$A$504)-ROW(MATCHER!$A$5)+1&gt;T329),0),0),""))</f>
        <v/>
      </c>
    </row>
    <row r="330" spans="1:32" ht="26">
      <c r="A330" s="42">
        <v>46396</v>
      </c>
      <c r="B330" s="43" t="s">
        <v>85</v>
      </c>
      <c r="C330" s="43" t="s">
        <v>86</v>
      </c>
      <c r="D330" s="44">
        <v>0.5</v>
      </c>
      <c r="E330" s="44">
        <v>0.52083333333333304</v>
      </c>
      <c r="F330" s="45" t="str">
        <f>IF(R330="","",HOUR(INDEX(MATCHER!$C$5:$C$504,R330))&amp;":"&amp;IF(MINUTE(INDEX(MATCHER!$C$5:$C$504,R330))&lt;10,"0","")&amp;MINUTE(INDEX(MATCHER!$C$5:$C$504,R330))&amp;" "&amp;INDEX(MATCHER!$H$5:$H$504,R330)&amp;" – "&amp;INDEX(MATCHER!$I$5:$I$504,R330))&amp;IF(S330="",""," | "&amp;HOUR(INDEX(MATCHER!$C$5:$C$504,S330))&amp;":"&amp;IF(MINUTE(INDEX(MATCHER!$C$5:$C$504,S330))&lt;10,"0","")&amp;MINUTE(INDEX(MATCHER!$C$5:$C$504,S330))&amp;" "&amp;INDEX(MATCHER!$H$5:$H$504,S330)&amp;" – "&amp;INDEX(MATCHER!$I$5:$I$504,S330))&amp;IF(T330="",""," | "&amp;HOUR(INDEX(MATCHER!$C$5:$C$504,T330))&amp;":"&amp;IF(MINUTE(INDEX(MATCHER!$C$5:$C$504,T330))&lt;10,"0","")&amp;MINUTE(INDEX(MATCHER!$C$5:$C$504,T330))&amp;" "&amp;INDEX(MATCHER!$H$5:$H$504,T330)&amp;" – "&amp;INDEX(MATCHER!$I$5:$I$504,T330))&amp;IF(AF330="",""," | "&amp;HOUR(INDEX(MATCHER!$C$5:$C$504,AF330))&amp;":"&amp;IF(MINUTE(INDEX(MATCHER!$C$5:$C$504,AF330))&lt;10,"0","")&amp;MINUTE(INDEX(MATCHER!$C$5:$C$504,AF330))&amp;" "&amp;INDEX(MATCHER!$H$5:$H$504,AF330)&amp;" – "&amp;INDEX(MATCHER!$I$5:$I$504,AF330))</f>
        <v>11:30 Skuru IK 4 – Hammarby IF HF 2</v>
      </c>
      <c r="G330" s="45" t="str">
        <f>MID(IF(R330="","",IF(OR(INDEX(MATCHER!$J$5:$J$504,R330)=""),""," / "&amp;INDEX(MATCHER!$J$5:$J$504,R330)))&amp;IF(S330="","",IF(OR(INDEX(MATCHER!$J$5:$J$504,S330)="",INDEX(MATCHER!$J$5:$J$504,S330)=IFERROR(INDEX(MATCHER!$J$5:$J$504,R330),"")),""," / "&amp;INDEX(MATCHER!$J$5:$J$504,S330)))&amp;IF(T330="","",IF(OR(INDEX(MATCHER!$J$5:$J$504,T330)="",INDEX(MATCHER!$J$5:$J$504,T330)=IFERROR(INDEX(MATCHER!$J$5:$J$504,R330),""),INDEX(MATCHER!$J$5:$J$504,T330)=IFERROR(INDEX(MATCHER!$J$5:$J$504,S330),"")),""," / "&amp;INDEX(MATCHER!$J$5:$J$504,T330)))&amp;IF(AF330="","",IF(OR(INDEX(MATCHER!$J$5:$J$504,AF330)="",INDEX(MATCHER!$J$5:$J$504,AF330)=IFERROR(INDEX(MATCHER!$J$5:$J$504,R330),""),INDEX(MATCHER!$J$5:$J$504,AF330)=IFERROR(INDEX(MATCHER!$J$5:$J$504,S330),""),INDEX(MATCHER!$J$5:$J$504,AF330)=IFERROR(INDEX(MATCHER!$J$5:$J$504,T330),"")),""," / "&amp;INDEX(MATCHER!$J$5:$J$504,AF330))),4,1000)</f>
        <v/>
      </c>
      <c r="H330" s="45" t="str">
        <f t="shared" si="82"/>
        <v>F11</v>
      </c>
      <c r="I330" s="46" t="s">
        <v>90</v>
      </c>
      <c r="J330" s="47" t="s">
        <v>95</v>
      </c>
      <c r="K330" s="48"/>
      <c r="L330" s="49"/>
      <c r="M330" s="50" t="str">
        <f>IF(O330&lt;&gt;O329,MAX(1,MIN(AA330,ROUNDUP(SUMPRODUCT(($O$5:$O$546=O330)*($I$5:$I$546="Ja")*($E$5:$E$546-$D$5:$D$546))*24/REGLER!$B$8,0))),"")</f>
        <v/>
      </c>
      <c r="N330" s="50" t="str">
        <f t="shared" si="75"/>
        <v>Klar</v>
      </c>
      <c r="O330" s="15" t="s">
        <v>138</v>
      </c>
      <c r="P330" s="16">
        <v>0.39583333333333298</v>
      </c>
      <c r="Q330" s="16">
        <v>0.5625</v>
      </c>
      <c r="R330" s="15">
        <f>IFERROR(MATCH(1,INDEX((MATCHER!$B$5:$B$504=A330)*(MATCHER!$D$5:$D$504=C330)*(MATCHER!$K$5:$K$504="Ja")*(MATCHER!$C$5:$C$504&lt;E330)*(MATCHER!$M$5:$M$504&gt;D330),0),0),"")</f>
        <v>126</v>
      </c>
      <c r="S330" s="15" t="str">
        <f>IF(R330="","",IFERROR(MATCH(1,INDEX((MATCHER!$B$5:$B$504=A330)*(MATCHER!$D$5:$D$504=C330)*(MATCHER!$K$5:$K$504="Ja")*(MATCHER!$C$5:$C$504&lt;E330)*(MATCHER!$M$5:$M$504&gt;D330)*(ROW(MATCHER!$A$5:$A$504)-ROW(MATCHER!$A$5)+1&gt;R330),0),0),""))</f>
        <v/>
      </c>
      <c r="T330" s="15" t="str">
        <f>IF(S330="","",IFERROR(MATCH(1,INDEX((MATCHER!$B$5:$B$504=A330)*(MATCHER!$D$5:$D$504=C330)*(MATCHER!$K$5:$K$504="Ja")*(MATCHER!$C$5:$C$504&lt;E330)*(MATCHER!$M$5:$M$504&gt;D330)*(ROW(MATCHER!$A$5:$A$504)-ROW(MATCHER!$A$5)+1&gt;S330),0),0),""))</f>
        <v/>
      </c>
      <c r="U330" s="15">
        <f t="shared" si="76"/>
        <v>0</v>
      </c>
      <c r="V330" s="15">
        <f>IF(OR(I330&lt;&gt;"Ja",J330=""),"",COUNTIFS($O$5:O330,O330,$U$5:U330,1))</f>
        <v>1</v>
      </c>
      <c r="W330" s="15" t="str">
        <f t="shared" si="77"/>
        <v>2027-01-09 | Ulriksdalshallen|1</v>
      </c>
      <c r="X330" s="16" t="str">
        <f t="shared" si="78"/>
        <v/>
      </c>
      <c r="Y330" s="15">
        <f>IF(OR(I330&lt;&gt;"Ja",J330=""),0,IF(COUNTIFS($O$5:O330,O330,$I$5:I330,"Ja",$J$5:J330,"&lt;&gt;")=1,1,0))</f>
        <v>0</v>
      </c>
      <c r="Z330" s="15">
        <f>IF(OR(I330&lt;&gt;"Ja",J330=""),0,IF(COUNTIFS(O330:$O$546,O330,I330:$I$546,"Ja",J330:$J$546,"&lt;&gt;")=1,1,0))</f>
        <v>0</v>
      </c>
      <c r="AA330" s="15">
        <f t="shared" si="83"/>
        <v>1</v>
      </c>
      <c r="AB330" s="15" t="str">
        <f>IF(U330&lt;&gt;1,"",COUNTIF($U$5:U330,1))</f>
        <v/>
      </c>
      <c r="AC330" s="15" t="str">
        <f t="shared" si="79"/>
        <v/>
      </c>
      <c r="AD330" s="15" t="str">
        <f t="shared" si="80"/>
        <v>Vanligt café</v>
      </c>
      <c r="AE330" s="15" t="str">
        <f t="shared" si="81"/>
        <v/>
      </c>
      <c r="AF330" t="str">
        <f>IF(T330="","",IFERROR(MATCH(1,INDEX((MATCHER!$B$5:$B$504=A330)*(MATCHER!$D$5:$D$504=C330)*(MATCHER!$K$5:$K$504="Ja")*(MATCHER!$C$5:$C$504&lt;E330)*(MATCHER!$M$5:$M$504&gt;D330)*(ROW(MATCHER!$A$5:$A$504)-ROW(MATCHER!$A$5)+1&gt;T330),0),0),""))</f>
        <v/>
      </c>
    </row>
    <row r="331" spans="1:32" ht="26">
      <c r="A331" s="42">
        <v>46396</v>
      </c>
      <c r="B331" s="43" t="s">
        <v>85</v>
      </c>
      <c r="C331" s="43" t="s">
        <v>86</v>
      </c>
      <c r="D331" s="44">
        <v>0.52083333333333304</v>
      </c>
      <c r="E331" s="44">
        <v>0.54166666666666696</v>
      </c>
      <c r="F331" s="45" t="str">
        <f>IF(R331="","",HOUR(INDEX(MATCHER!$C$5:$C$504,R331))&amp;":"&amp;IF(MINUTE(INDEX(MATCHER!$C$5:$C$504,R331))&lt;10,"0","")&amp;MINUTE(INDEX(MATCHER!$C$5:$C$504,R331))&amp;" "&amp;INDEX(MATCHER!$H$5:$H$504,R331)&amp;" – "&amp;INDEX(MATCHER!$I$5:$I$504,R331))&amp;IF(S331="",""," | "&amp;HOUR(INDEX(MATCHER!$C$5:$C$504,S331))&amp;":"&amp;IF(MINUTE(INDEX(MATCHER!$C$5:$C$504,S331))&lt;10,"0","")&amp;MINUTE(INDEX(MATCHER!$C$5:$C$504,S331))&amp;" "&amp;INDEX(MATCHER!$H$5:$H$504,S331)&amp;" – "&amp;INDEX(MATCHER!$I$5:$I$504,S331))&amp;IF(T331="",""," | "&amp;HOUR(INDEX(MATCHER!$C$5:$C$504,T331))&amp;":"&amp;IF(MINUTE(INDEX(MATCHER!$C$5:$C$504,T331))&lt;10,"0","")&amp;MINUTE(INDEX(MATCHER!$C$5:$C$504,T331))&amp;" "&amp;INDEX(MATCHER!$H$5:$H$504,T331)&amp;" – "&amp;INDEX(MATCHER!$I$5:$I$504,T331))&amp;IF(AF331="",""," | "&amp;HOUR(INDEX(MATCHER!$C$5:$C$504,AF331))&amp;":"&amp;IF(MINUTE(INDEX(MATCHER!$C$5:$C$504,AF331))&lt;10,"0","")&amp;MINUTE(INDEX(MATCHER!$C$5:$C$504,AF331))&amp;" "&amp;INDEX(MATCHER!$H$5:$H$504,AF331)&amp;" – "&amp;INDEX(MATCHER!$I$5:$I$504,AF331))</f>
        <v>12:40 AIK – Skuru IK 4</v>
      </c>
      <c r="G331" s="45" t="str">
        <f>MID(IF(R331="","",IF(OR(INDEX(MATCHER!$J$5:$J$504,R331)=""),""," / "&amp;INDEX(MATCHER!$J$5:$J$504,R331)))&amp;IF(S331="","",IF(OR(INDEX(MATCHER!$J$5:$J$504,S331)="",INDEX(MATCHER!$J$5:$J$504,S331)=IFERROR(INDEX(MATCHER!$J$5:$J$504,R331),"")),""," / "&amp;INDEX(MATCHER!$J$5:$J$504,S331)))&amp;IF(T331="","",IF(OR(INDEX(MATCHER!$J$5:$J$504,T331)="",INDEX(MATCHER!$J$5:$J$504,T331)=IFERROR(INDEX(MATCHER!$J$5:$J$504,R331),""),INDEX(MATCHER!$J$5:$J$504,T331)=IFERROR(INDEX(MATCHER!$J$5:$J$504,S331),"")),""," / "&amp;INDEX(MATCHER!$J$5:$J$504,T331)))&amp;IF(AF331="","",IF(OR(INDEX(MATCHER!$J$5:$J$504,AF331)="",INDEX(MATCHER!$J$5:$J$504,AF331)=IFERROR(INDEX(MATCHER!$J$5:$J$504,R331),""),INDEX(MATCHER!$J$5:$J$504,AF331)=IFERROR(INDEX(MATCHER!$J$5:$J$504,S331),""),INDEX(MATCHER!$J$5:$J$504,AF331)=IFERROR(INDEX(MATCHER!$J$5:$J$504,T331),"")),""," / "&amp;INDEX(MATCHER!$J$5:$J$504,AF331))),4,1000)</f>
        <v>F11</v>
      </c>
      <c r="H331" s="45" t="str">
        <f t="shared" si="82"/>
        <v>F11</v>
      </c>
      <c r="I331" s="46" t="s">
        <v>90</v>
      </c>
      <c r="J331" s="47" t="s">
        <v>95</v>
      </c>
      <c r="K331" s="48"/>
      <c r="L331" s="49"/>
      <c r="M331" s="50" t="str">
        <f>IF(O331&lt;&gt;O330,MAX(1,MIN(AA331,ROUNDUP(SUMPRODUCT(($O$5:$O$546=O331)*($I$5:$I$546="Ja")*($E$5:$E$546-$D$5:$D$546))*24/REGLER!$B$8,0))),"")</f>
        <v/>
      </c>
      <c r="N331" s="50" t="str">
        <f t="shared" si="75"/>
        <v>Klar</v>
      </c>
      <c r="O331" s="15" t="s">
        <v>138</v>
      </c>
      <c r="P331" s="16">
        <v>0.39583333333333298</v>
      </c>
      <c r="Q331" s="16">
        <v>0.5625</v>
      </c>
      <c r="R331" s="15">
        <f>IFERROR(MATCH(1,INDEX((MATCHER!$B$5:$B$504=A331)*(MATCHER!$D$5:$D$504=C331)*(MATCHER!$K$5:$K$504="Ja")*(MATCHER!$C$5:$C$504&lt;E331)*(MATCHER!$M$5:$M$504&gt;D331),0),0),"")</f>
        <v>127</v>
      </c>
      <c r="S331" s="15" t="str">
        <f>IF(R331="","",IFERROR(MATCH(1,INDEX((MATCHER!$B$5:$B$504=A331)*(MATCHER!$D$5:$D$504=C331)*(MATCHER!$K$5:$K$504="Ja")*(MATCHER!$C$5:$C$504&lt;E331)*(MATCHER!$M$5:$M$504&gt;D331)*(ROW(MATCHER!$A$5:$A$504)-ROW(MATCHER!$A$5)+1&gt;R331),0),0),""))</f>
        <v/>
      </c>
      <c r="T331" s="15" t="str">
        <f>IF(S331="","",IFERROR(MATCH(1,INDEX((MATCHER!$B$5:$B$504=A331)*(MATCHER!$D$5:$D$504=C331)*(MATCHER!$K$5:$K$504="Ja")*(MATCHER!$C$5:$C$504&lt;E331)*(MATCHER!$M$5:$M$504&gt;D331)*(ROW(MATCHER!$A$5:$A$504)-ROW(MATCHER!$A$5)+1&gt;S331),0),0),""))</f>
        <v/>
      </c>
      <c r="U331" s="15">
        <f t="shared" si="76"/>
        <v>0</v>
      </c>
      <c r="V331" s="15">
        <f>IF(OR(I331&lt;&gt;"Ja",J331=""),"",COUNTIFS($O$5:O331,O331,$U$5:U331,1))</f>
        <v>1</v>
      </c>
      <c r="W331" s="15" t="str">
        <f t="shared" si="77"/>
        <v>2027-01-09 | Ulriksdalshallen|1</v>
      </c>
      <c r="X331" s="16" t="str">
        <f t="shared" si="78"/>
        <v/>
      </c>
      <c r="Y331" s="15">
        <f>IF(OR(I331&lt;&gt;"Ja",J331=""),0,IF(COUNTIFS($O$5:O331,O331,$I$5:I331,"Ja",$J$5:J331,"&lt;&gt;")=1,1,0))</f>
        <v>0</v>
      </c>
      <c r="Z331" s="15">
        <f>IF(OR(I331&lt;&gt;"Ja",J331=""),0,IF(COUNTIFS(O331:$O$546,O331,I331:$I$546,"Ja",J331:$J$546,"&lt;&gt;")=1,1,0))</f>
        <v>0</v>
      </c>
      <c r="AA331" s="15">
        <f t="shared" si="83"/>
        <v>1</v>
      </c>
      <c r="AB331" s="15" t="str">
        <f>IF(U331&lt;&gt;1,"",COUNTIF($U$5:U331,1))</f>
        <v/>
      </c>
      <c r="AC331" s="15" t="str">
        <f t="shared" si="79"/>
        <v/>
      </c>
      <c r="AD331" s="15" t="str">
        <f t="shared" si="80"/>
        <v>Vanligt café</v>
      </c>
      <c r="AE331" s="15" t="str">
        <f t="shared" si="81"/>
        <v/>
      </c>
      <c r="AF331" t="str">
        <f>IF(T331="","",IFERROR(MATCH(1,INDEX((MATCHER!$B$5:$B$504=A331)*(MATCHER!$D$5:$D$504=C331)*(MATCHER!$K$5:$K$504="Ja")*(MATCHER!$C$5:$C$504&lt;E331)*(MATCHER!$M$5:$M$504&gt;D331)*(ROW(MATCHER!$A$5:$A$504)-ROW(MATCHER!$A$5)+1&gt;T331),0),0),""))</f>
        <v/>
      </c>
    </row>
    <row r="332" spans="1:32" ht="26.5" thickBot="1">
      <c r="A332" s="52">
        <v>46396</v>
      </c>
      <c r="B332" s="53" t="s">
        <v>85</v>
      </c>
      <c r="C332" s="53" t="s">
        <v>86</v>
      </c>
      <c r="D332" s="54">
        <v>0.54166666666666696</v>
      </c>
      <c r="E332" s="54">
        <v>0.5625</v>
      </c>
      <c r="F332" s="55" t="str">
        <f>IF(R332="","",HOUR(INDEX(MATCHER!$C$5:$C$504,R332))&amp;":"&amp;IF(MINUTE(INDEX(MATCHER!$C$5:$C$504,R332))&lt;10,"0","")&amp;MINUTE(INDEX(MATCHER!$C$5:$C$504,R332))&amp;" "&amp;INDEX(MATCHER!$H$5:$H$504,R332)&amp;" – "&amp;INDEX(MATCHER!$I$5:$I$504,R332))&amp;IF(S332="",""," | "&amp;HOUR(INDEX(MATCHER!$C$5:$C$504,S332))&amp;":"&amp;IF(MINUTE(INDEX(MATCHER!$C$5:$C$504,S332))&lt;10,"0","")&amp;MINUTE(INDEX(MATCHER!$C$5:$C$504,S332))&amp;" "&amp;INDEX(MATCHER!$H$5:$H$504,S332)&amp;" – "&amp;INDEX(MATCHER!$I$5:$I$504,S332))&amp;IF(T332="",""," | "&amp;HOUR(INDEX(MATCHER!$C$5:$C$504,T332))&amp;":"&amp;IF(MINUTE(INDEX(MATCHER!$C$5:$C$504,T332))&lt;10,"0","")&amp;MINUTE(INDEX(MATCHER!$C$5:$C$504,T332))&amp;" "&amp;INDEX(MATCHER!$H$5:$H$504,T332)&amp;" – "&amp;INDEX(MATCHER!$I$5:$I$504,T332))&amp;IF(AF332="",""," | "&amp;HOUR(INDEX(MATCHER!$C$5:$C$504,AF332))&amp;":"&amp;IF(MINUTE(INDEX(MATCHER!$C$5:$C$504,AF332))&lt;10,"0","")&amp;MINUTE(INDEX(MATCHER!$C$5:$C$504,AF332))&amp;" "&amp;INDEX(MATCHER!$H$5:$H$504,AF332)&amp;" – "&amp;INDEX(MATCHER!$I$5:$I$504,AF332))</f>
        <v>12:40 AIK – Skuru IK 4</v>
      </c>
      <c r="G332" s="55" t="str">
        <f>MID(IF(R332="","",IF(OR(INDEX(MATCHER!$J$5:$J$504,R332)=""),""," / "&amp;INDEX(MATCHER!$J$5:$J$504,R332)))&amp;IF(S332="","",IF(OR(INDEX(MATCHER!$J$5:$J$504,S332)="",INDEX(MATCHER!$J$5:$J$504,S332)=IFERROR(INDEX(MATCHER!$J$5:$J$504,R332),"")),""," / "&amp;INDEX(MATCHER!$J$5:$J$504,S332)))&amp;IF(T332="","",IF(OR(INDEX(MATCHER!$J$5:$J$504,T332)="",INDEX(MATCHER!$J$5:$J$504,T332)=IFERROR(INDEX(MATCHER!$J$5:$J$504,R332),""),INDEX(MATCHER!$J$5:$J$504,T332)=IFERROR(INDEX(MATCHER!$J$5:$J$504,S332),"")),""," / "&amp;INDEX(MATCHER!$J$5:$J$504,T332)))&amp;IF(AF332="","",IF(OR(INDEX(MATCHER!$J$5:$J$504,AF332)="",INDEX(MATCHER!$J$5:$J$504,AF332)=IFERROR(INDEX(MATCHER!$J$5:$J$504,R332),""),INDEX(MATCHER!$J$5:$J$504,AF332)=IFERROR(INDEX(MATCHER!$J$5:$J$504,S332),""),INDEX(MATCHER!$J$5:$J$504,AF332)=IFERROR(INDEX(MATCHER!$J$5:$J$504,T332),"")),""," / "&amp;INDEX(MATCHER!$J$5:$J$504,AF332))),4,1000)</f>
        <v>F11</v>
      </c>
      <c r="H332" s="55" t="str">
        <f t="shared" si="82"/>
        <v>F11</v>
      </c>
      <c r="I332" s="56" t="s">
        <v>90</v>
      </c>
      <c r="J332" s="57" t="s">
        <v>95</v>
      </c>
      <c r="K332" s="58"/>
      <c r="L332" s="59"/>
      <c r="M332" s="60" t="str">
        <f>IF(O332&lt;&gt;O331,MAX(1,MIN(AA332,ROUNDUP(SUMPRODUCT(($O$5:$O$546=O332)*($I$5:$I$546="Ja")*($E$5:$E$546-$D$5:$D$546))*24/REGLER!$B$8,0))),"")</f>
        <v/>
      </c>
      <c r="N332" s="60" t="str">
        <f t="shared" si="75"/>
        <v>Klar</v>
      </c>
      <c r="O332" s="15" t="s">
        <v>138</v>
      </c>
      <c r="P332" s="16">
        <v>0.39583333333333298</v>
      </c>
      <c r="Q332" s="16">
        <v>0.5625</v>
      </c>
      <c r="R332" s="15">
        <f>IFERROR(MATCH(1,INDEX((MATCHER!$B$5:$B$504=A332)*(MATCHER!$D$5:$D$504=C332)*(MATCHER!$K$5:$K$504="Ja")*(MATCHER!$C$5:$C$504&lt;E332)*(MATCHER!$M$5:$M$504&gt;D332),0),0),"")</f>
        <v>127</v>
      </c>
      <c r="S332" s="15" t="str">
        <f>IF(R332="","",IFERROR(MATCH(1,INDEX((MATCHER!$B$5:$B$504=A332)*(MATCHER!$D$5:$D$504=C332)*(MATCHER!$K$5:$K$504="Ja")*(MATCHER!$C$5:$C$504&lt;E332)*(MATCHER!$M$5:$M$504&gt;D332)*(ROW(MATCHER!$A$5:$A$504)-ROW(MATCHER!$A$5)+1&gt;R332),0),0),""))</f>
        <v/>
      </c>
      <c r="T332" s="15" t="str">
        <f>IF(S332="","",IFERROR(MATCH(1,INDEX((MATCHER!$B$5:$B$504=A332)*(MATCHER!$D$5:$D$504=C332)*(MATCHER!$K$5:$K$504="Ja")*(MATCHER!$C$5:$C$504&lt;E332)*(MATCHER!$M$5:$M$504&gt;D332)*(ROW(MATCHER!$A$5:$A$504)-ROW(MATCHER!$A$5)+1&gt;S332),0),0),""))</f>
        <v/>
      </c>
      <c r="U332" s="15">
        <f t="shared" si="76"/>
        <v>0</v>
      </c>
      <c r="V332" s="15">
        <f>IF(OR(I332&lt;&gt;"Ja",J332=""),"",COUNTIFS($O$5:O332,O332,$U$5:U332,1))</f>
        <v>1</v>
      </c>
      <c r="W332" s="15" t="str">
        <f t="shared" si="77"/>
        <v>2027-01-09 | Ulriksdalshallen|1</v>
      </c>
      <c r="X332" s="16">
        <f t="shared" si="78"/>
        <v>0.5625</v>
      </c>
      <c r="Y332" s="15">
        <f>IF(OR(I332&lt;&gt;"Ja",J332=""),0,IF(COUNTIFS($O$5:O332,O332,$I$5:I332,"Ja",$J$5:J332,"&lt;&gt;")=1,1,0))</f>
        <v>0</v>
      </c>
      <c r="Z332" s="15">
        <f>IF(OR(I332&lt;&gt;"Ja",J332=""),0,IF(COUNTIFS(O332:$O$546,O332,I332:$I$546,"Ja",J332:$J$546,"&lt;&gt;")=1,1,0))</f>
        <v>1</v>
      </c>
      <c r="AA332" s="15">
        <f t="shared" si="83"/>
        <v>1</v>
      </c>
      <c r="AB332" s="15" t="str">
        <f>IF(U332&lt;&gt;1,"",COUNTIF($U$5:U332,1))</f>
        <v/>
      </c>
      <c r="AC332" s="15" t="str">
        <f t="shared" si="79"/>
        <v>2027-01-09 | Ulriksdalshallen|1</v>
      </c>
      <c r="AD332" s="15" t="str">
        <f t="shared" si="80"/>
        <v>Vanligt café</v>
      </c>
      <c r="AE332" s="15" t="str">
        <f t="shared" si="81"/>
        <v/>
      </c>
      <c r="AF332" t="str">
        <f>IF(T332="","",IFERROR(MATCH(1,INDEX((MATCHER!$B$5:$B$504=A332)*(MATCHER!$D$5:$D$504=C332)*(MATCHER!$K$5:$K$504="Ja")*(MATCHER!$C$5:$C$504&lt;E332)*(MATCHER!$M$5:$M$504&gt;D332)*(ROW(MATCHER!$A$5:$A$504)-ROW(MATCHER!$A$5)+1&gt;T332),0),0),""))</f>
        <v/>
      </c>
    </row>
    <row r="333" spans="1:32" ht="13">
      <c r="A333" s="61">
        <v>46399</v>
      </c>
      <c r="B333" s="62" t="s">
        <v>104</v>
      </c>
      <c r="C333" s="62" t="s">
        <v>94</v>
      </c>
      <c r="D333" s="63">
        <v>0.83333333333333304</v>
      </c>
      <c r="E333" s="63">
        <v>0.85416666666666696</v>
      </c>
      <c r="F333" s="64" t="str">
        <f>IF(R333="","",HOUR(INDEX(MATCHER!$C$5:$C$504,R333))&amp;":"&amp;IF(MINUTE(INDEX(MATCHER!$C$5:$C$504,R333))&lt;10,"0","")&amp;MINUTE(INDEX(MATCHER!$C$5:$C$504,R333))&amp;" "&amp;INDEX(MATCHER!$H$5:$H$504,R333)&amp;" – "&amp;INDEX(MATCHER!$I$5:$I$504,R333))&amp;IF(S333="",""," | "&amp;HOUR(INDEX(MATCHER!$C$5:$C$504,S333))&amp;":"&amp;IF(MINUTE(INDEX(MATCHER!$C$5:$C$504,S333))&lt;10,"0","")&amp;MINUTE(INDEX(MATCHER!$C$5:$C$504,S333))&amp;" "&amp;INDEX(MATCHER!$H$5:$H$504,S333)&amp;" – "&amp;INDEX(MATCHER!$I$5:$I$504,S333))&amp;IF(T333="",""," | "&amp;HOUR(INDEX(MATCHER!$C$5:$C$504,T333))&amp;":"&amp;IF(MINUTE(INDEX(MATCHER!$C$5:$C$504,T333))&lt;10,"0","")&amp;MINUTE(INDEX(MATCHER!$C$5:$C$504,T333))&amp;" "&amp;INDEX(MATCHER!$H$5:$H$504,T333)&amp;" – "&amp;INDEX(MATCHER!$I$5:$I$504,T333))&amp;IF(AF333="",""," | "&amp;HOUR(INDEX(MATCHER!$C$5:$C$504,AF333))&amp;":"&amp;IF(MINUTE(INDEX(MATCHER!$C$5:$C$504,AF333))&lt;10,"0","")&amp;MINUTE(INDEX(MATCHER!$C$5:$C$504,AF333))&amp;" "&amp;INDEX(MATCHER!$H$5:$H$504,AF333)&amp;" – "&amp;INDEX(MATCHER!$I$5:$I$504,AF333))</f>
        <v/>
      </c>
      <c r="G333" s="64" t="str">
        <f>MID(IF(R333="","",IF(OR(INDEX(MATCHER!$J$5:$J$504,R333)=""),""," / "&amp;INDEX(MATCHER!$J$5:$J$504,R333)))&amp;IF(S333="","",IF(OR(INDEX(MATCHER!$J$5:$J$504,S333)="",INDEX(MATCHER!$J$5:$J$504,S333)=IFERROR(INDEX(MATCHER!$J$5:$J$504,R333),"")),""," / "&amp;INDEX(MATCHER!$J$5:$J$504,S333)))&amp;IF(T333="","",IF(OR(INDEX(MATCHER!$J$5:$J$504,T333)="",INDEX(MATCHER!$J$5:$J$504,T333)=IFERROR(INDEX(MATCHER!$J$5:$J$504,R333),""),INDEX(MATCHER!$J$5:$J$504,T333)=IFERROR(INDEX(MATCHER!$J$5:$J$504,S333),"")),""," / "&amp;INDEX(MATCHER!$J$5:$J$504,T333)))&amp;IF(AF333="","",IF(OR(INDEX(MATCHER!$J$5:$J$504,AF333)="",INDEX(MATCHER!$J$5:$J$504,AF333)=IFERROR(INDEX(MATCHER!$J$5:$J$504,R333),""),INDEX(MATCHER!$J$5:$J$504,AF333)=IFERROR(INDEX(MATCHER!$J$5:$J$504,S333),""),INDEX(MATCHER!$J$5:$J$504,AF333)=IFERROR(INDEX(MATCHER!$J$5:$J$504,T333),"")),""," / "&amp;INDEX(MATCHER!$J$5:$J$504,AF333))),4,1000)</f>
        <v/>
      </c>
      <c r="H333" s="64" t="str">
        <f>MID(IF(COUNTIFS(MATCHER!$B$5:$B$504,A333,MATCHER!$D$5:$D$504,C333,MATCHER!$J$5:$J$504,REGLER!$I$6,MATCHER!$K$5:$K$504,"Ja")+COUNTIFS(MATCHER!$B$5:$B$504,A333,MATCHER!$D$5:$D$504,C333,MATCHER!$J$5:$J$504,REGLER!$I$6&amp;" 2",MATCHER!$K$5:$K$504,"Ja")&gt;0,", "&amp;REGLER!$I$6,"")&amp;IF(COUNTIFS(MATCHER!$B$5:$B$504,A333,MATCHER!$D$5:$D$504,C333,MATCHER!$J$5:$J$504,REGLER!$I$7,MATCHER!$K$5:$K$504,"Ja")+COUNTIFS(MATCHER!$B$5:$B$504,A333,MATCHER!$D$5:$D$504,C333,MATCHER!$J$5:$J$504,REGLER!$I$7&amp;" 2",MATCHER!$K$5:$K$504,"Ja")&gt;0,", "&amp;REGLER!$I$7,"")&amp;IF(COUNTIFS(MATCHER!$B$5:$B$504,A333,MATCHER!$D$5:$D$504,C333,MATCHER!$J$5:$J$504,REGLER!$I$8,MATCHER!$K$5:$K$504,"Ja")+COUNTIFS(MATCHER!$B$5:$B$504,A333,MATCHER!$D$5:$D$504,C333,MATCHER!$J$5:$J$504,REGLER!$I$8&amp;" 2",MATCHER!$K$5:$K$504,"Ja")&gt;0,", "&amp;REGLER!$I$8,"")&amp;IF(COUNTIFS(MATCHER!$B$5:$B$504,A333,MATCHER!$D$5:$D$504,C333,MATCHER!$J$5:$J$504,REGLER!$I$9,MATCHER!$K$5:$K$504,"Ja")+COUNTIFS(MATCHER!$B$5:$B$504,A333,MATCHER!$D$5:$D$504,C333,MATCHER!$J$5:$J$504,REGLER!$I$9&amp;" 2",MATCHER!$K$5:$K$504,"Ja")&gt;0,", "&amp;REGLER!$I$9,"")&amp;IF(COUNTIFS(MATCHER!$B$5:$B$504,A333,MATCHER!$D$5:$D$504,C333,MATCHER!$J$5:$J$504,REGLER!$I$10,MATCHER!$K$5:$K$504,"Ja")+COUNTIFS(MATCHER!$B$5:$B$504,A333,MATCHER!$D$5:$D$504,C333,MATCHER!$J$5:$J$504,REGLER!$I$10&amp;" 2",MATCHER!$K$5:$K$504,"Ja")&gt;0,", "&amp;REGLER!$I$10,"")&amp;IF(COUNTIFS(MATCHER!$B$5:$B$504,A333,MATCHER!$D$5:$D$504,C333,MATCHER!$J$5:$J$504,REGLER!$I$11,MATCHER!$K$5:$K$504,"Ja")+COUNTIFS(MATCHER!$B$5:$B$504,A333,MATCHER!$D$5:$D$504,C333,MATCHER!$J$5:$J$504,REGLER!$I$11&amp;" 2",MATCHER!$K$5:$K$504,"Ja")&gt;0,", "&amp;REGLER!$I$11,"")&amp;IF(COUNTIFS(MATCHER!$B$5:$B$504,A333,MATCHER!$D$5:$D$504,C333,MATCHER!$J$5:$J$504,REGLER!$I$12,MATCHER!$K$5:$K$504,"Ja")+COUNTIFS(MATCHER!$B$5:$B$504,A333,MATCHER!$D$5:$D$504,C333,MATCHER!$J$5:$J$504,REGLER!$I$12&amp;" 2",MATCHER!$K$5:$K$504,"Ja")&gt;0,", "&amp;REGLER!$I$12,"")&amp;IF(COUNTIFS(MATCHER!$B$5:$B$504,A333,MATCHER!$D$5:$D$504,C333,MATCHER!$J$5:$J$504,REGLER!$I$13,MATCHER!$K$5:$K$504,"Ja")+COUNTIFS(MATCHER!$B$5:$B$504,A333,MATCHER!$D$5:$D$504,C333,MATCHER!$J$5:$J$504,REGLER!$I$13&amp;" 2",MATCHER!$K$5:$K$504,"Ja")&gt;0,", "&amp;REGLER!$I$13,"")&amp;IF(COUNTIFS(MATCHER!$B$5:$B$504,A333,MATCHER!$D$5:$D$504,C333,MATCHER!$J$5:$J$504,REGLER!$I$14,MATCHER!$K$5:$K$504,"Ja")+COUNTIFS(MATCHER!$B$5:$B$504,A333,MATCHER!$D$5:$D$504,C333,MATCHER!$J$5:$J$504,REGLER!$I$14&amp;" 2",MATCHER!$K$5:$K$504,"Ja")&gt;0,", "&amp;REGLER!$I$14,"")&amp;IF(COUNTIFS(MATCHER!$B$5:$B$504,A333,MATCHER!$D$5:$D$504,C333,MATCHER!$J$5:$J$504,REGLER!$I$15,MATCHER!$K$5:$K$504,"Ja")+COUNTIFS(MATCHER!$B$5:$B$504,A333,MATCHER!$D$5:$D$504,C333,MATCHER!$J$5:$J$504,REGLER!$I$15&amp;" 2",MATCHER!$K$5:$K$504,"Ja")&gt;0,", "&amp;REGLER!$I$15,"")&amp;IF(COUNTIFS(MATCHER!$B$5:$B$504,A333,MATCHER!$D$5:$D$504,C333,MATCHER!$J$5:$J$504,REGLER!$I$16,MATCHER!$K$5:$K$504,"Ja")+COUNTIFS(MATCHER!$B$5:$B$504,A333,MATCHER!$D$5:$D$504,C333,MATCHER!$J$5:$J$504,REGLER!$I$16&amp;" 2",MATCHER!$K$5:$K$504,"Ja")&gt;0,", "&amp;REGLER!$I$16,"")&amp;IF(COUNTIFS(MATCHER!$B$5:$B$504,A333,MATCHER!$D$5:$D$504,C333,MATCHER!$J$5:$J$504,REGLER!$I$17,MATCHER!$K$5:$K$504,"Ja")+COUNTIFS(MATCHER!$B$5:$B$504,A333,MATCHER!$D$5:$D$504,C333,MATCHER!$J$5:$J$504,REGLER!$I$17&amp;" 2",MATCHER!$K$5:$K$504,"Ja")&gt;0,", "&amp;REGLER!$I$17,"")&amp;IF(COUNTIFS(MATCHER!$B$5:$B$504,A333,MATCHER!$D$5:$D$504,C333,MATCHER!$J$5:$J$504,REGLER!$I$18,MATCHER!$K$5:$K$504,"Ja")+COUNTIFS(MATCHER!$B$5:$B$504,A333,MATCHER!$D$5:$D$504,C333,MATCHER!$J$5:$J$504,REGLER!$I$18&amp;" 2",MATCHER!$K$5:$K$504,"Ja")&gt;0,", "&amp;REGLER!$I$18,"")&amp;IF(COUNTIFS(MATCHER!$B$5:$B$504,A333,MATCHER!$D$5:$D$504,C333,MATCHER!$J$5:$J$504,REGLER!$I$19,MATCHER!$K$5:$K$504,"Ja")+COUNTIFS(MATCHER!$B$5:$B$504,A333,MATCHER!$D$5:$D$504,C333,MATCHER!$J$5:$J$504,REGLER!$I$19&amp;" 2",MATCHER!$K$5:$K$504,"Ja")&gt;0,", "&amp;REGLER!$I$19,"")&amp;IF(COUNTIFS(MATCHER!$B$5:$B$504,A333,MATCHER!$D$5:$D$504,C333,MATCHER!$J$5:$J$504,REGLER!$I$20,MATCHER!$K$5:$K$504,"Ja")+COUNTIFS(MATCHER!$B$5:$B$504,A333,MATCHER!$D$5:$D$504,C333,MATCHER!$J$5:$J$504,REGLER!$I$20&amp;" 2",MATCHER!$K$5:$K$504,"Ja")&gt;0,", "&amp;REGLER!$I$20,"")&amp;IF(COUNTIFS(MATCHER!$B$5:$B$504,A333,MATCHER!$D$5:$D$504,C333,MATCHER!$J$5:$J$504,REGLER!$I$21,MATCHER!$K$5:$K$504,"Ja")+COUNTIFS(MATCHER!$B$5:$B$504,A333,MATCHER!$D$5:$D$504,C333,MATCHER!$J$5:$J$504,REGLER!$I$21&amp;" 2",MATCHER!$K$5:$K$504,"Ja")&gt;0,", "&amp;REGLER!$I$21,"")&amp;IF(COUNTIFS(MATCHER!$B$5:$B$504,A333,MATCHER!$D$5:$D$504,C333,MATCHER!$J$5:$J$504,REGLER!$I$22,MATCHER!$K$5:$K$504,"Ja")+COUNTIFS(MATCHER!$B$5:$B$504,A333,MATCHER!$D$5:$D$504,C333,MATCHER!$J$5:$J$504,REGLER!$I$22&amp;" 2",MATCHER!$K$5:$K$504,"Ja")&gt;0,", "&amp;REGLER!$I$22,"")&amp;IF(COUNTIFS(MATCHER!$B$5:$B$504,A333,MATCHER!$D$5:$D$504,C333,MATCHER!$J$5:$J$504,REGLER!$I$23,MATCHER!$K$5:$K$504,"Ja")+COUNTIFS(MATCHER!$B$5:$B$504,A333,MATCHER!$D$5:$D$504,C333,MATCHER!$J$5:$J$504,REGLER!$I$23&amp;" 2",MATCHER!$K$5:$K$504,"Ja")&gt;0,", "&amp;REGLER!$I$23,"")&amp;IF(COUNTIFS(MATCHER!$B$5:$B$504,A333,MATCHER!$D$5:$D$504,C333,MATCHER!$J$5:$J$504,REGLER!$I$24,MATCHER!$K$5:$K$504,"Ja")+COUNTIFS(MATCHER!$B$5:$B$504,A333,MATCHER!$D$5:$D$504,C333,MATCHER!$J$5:$J$504,REGLER!$I$24&amp;" 2",MATCHER!$K$5:$K$504,"Ja")&gt;0,", "&amp;REGLER!$I$24,"")&amp;IF(COUNTIFS(MATCHER!$B$5:$B$504,A333,MATCHER!$D$5:$D$504,C333,MATCHER!$J$5:$J$504,REGLER!$I$25,MATCHER!$K$5:$K$504,"Ja")+COUNTIFS(MATCHER!$B$5:$B$504,A333,MATCHER!$D$5:$D$504,C333,MATCHER!$J$5:$J$504,REGLER!$I$25&amp;" 2",MATCHER!$K$5:$K$504,"Ja")&gt;0,", "&amp;REGLER!$I$25,"")&amp;IF(COUNTIFS(MATCHER!$B$5:$B$504,A333,MATCHER!$D$5:$D$504,C333,MATCHER!$J$5:$J$504,REGLER!$I$26,MATCHER!$K$5:$K$504,"Ja")+COUNTIFS(MATCHER!$B$5:$B$504,A333,MATCHER!$D$5:$D$504,C333,MATCHER!$J$5:$J$504,REGLER!$I$26&amp;" 2",MATCHER!$K$5:$K$504,"Ja")&gt;0,", "&amp;REGLER!$I$26,""),3,1000)</f>
        <v>F19</v>
      </c>
      <c r="I333" s="65" t="s">
        <v>90</v>
      </c>
      <c r="J333" s="66" t="s">
        <v>105</v>
      </c>
      <c r="K333" s="67" t="s">
        <v>98</v>
      </c>
      <c r="L333" s="68"/>
      <c r="M333" s="69">
        <f>IF(O333&lt;&gt;O332,MAX(1,MIN(AA333,ROUNDUP(SUMPRODUCT(($O$5:$O$546=O333)*($I$5:$I$546="Ja")*($E$5:$E$546-$D$5:$D$546))*24/REGLER!$B$8,0))),"")</f>
        <v>1</v>
      </c>
      <c r="N333" s="70" t="str">
        <f t="shared" si="75"/>
        <v>Klar</v>
      </c>
      <c r="O333" s="15" t="s">
        <v>139</v>
      </c>
      <c r="P333" s="16">
        <v>0.83333333333333304</v>
      </c>
      <c r="Q333" s="16">
        <v>0.91666666666666696</v>
      </c>
      <c r="R333" s="15" t="str">
        <f>IFERROR(MATCH(1,INDEX((MATCHER!$B$5:$B$504=A333)*(MATCHER!$D$5:$D$504=C333)*(MATCHER!$K$5:$K$504="Ja")*(MATCHER!$C$5:$C$504&lt;E333)*(MATCHER!$M$5:$M$504&gt;D333),0),0),"")</f>
        <v/>
      </c>
      <c r="S333" s="15" t="str">
        <f>IF(R333="","",IFERROR(MATCH(1,INDEX((MATCHER!$B$5:$B$504=A333)*(MATCHER!$D$5:$D$504=C333)*(MATCHER!$K$5:$K$504="Ja")*(MATCHER!$C$5:$C$504&lt;E333)*(MATCHER!$M$5:$M$504&gt;D333)*(ROW(MATCHER!$A$5:$A$504)-ROW(MATCHER!$A$5)+1&gt;R333),0),0),""))</f>
        <v/>
      </c>
      <c r="T333" s="15" t="str">
        <f>IF(S333="","",IFERROR(MATCH(1,INDEX((MATCHER!$B$5:$B$504=A333)*(MATCHER!$D$5:$D$504=C333)*(MATCHER!$K$5:$K$504="Ja")*(MATCHER!$C$5:$C$504&lt;E333)*(MATCHER!$M$5:$M$504&gt;D333)*(ROW(MATCHER!$A$5:$A$504)-ROW(MATCHER!$A$5)+1&gt;S333),0),0),""))</f>
        <v/>
      </c>
      <c r="U333" s="15">
        <f t="shared" si="76"/>
        <v>1</v>
      </c>
      <c r="V333" s="15">
        <f>IF(OR(I333&lt;&gt;"Ja",J333=""),"",COUNTIFS($O$5:O333,O333,$U$5:U333,1))</f>
        <v>1</v>
      </c>
      <c r="W333" s="15" t="str">
        <f t="shared" si="77"/>
        <v>2027-01-12 | Råsta Park|1</v>
      </c>
      <c r="X333" s="16" t="str">
        <f t="shared" si="78"/>
        <v/>
      </c>
      <c r="Y333" s="15">
        <f>IF(OR(I333&lt;&gt;"Ja",J333=""),0,IF(COUNTIFS($O$5:O333,O333,$I$5:I333,"Ja",$J$5:J333,"&lt;&gt;")=1,1,0))</f>
        <v>1</v>
      </c>
      <c r="Z333" s="15">
        <f>IF(OR(I333&lt;&gt;"Ja",J333=""),0,IF(COUNTIFS(O333:$O$546,O333,I333:$I$546,"Ja",J333:$J$546,"&lt;&gt;")=1,1,0))</f>
        <v>0</v>
      </c>
      <c r="AA333" s="15">
        <f>IF(COUNTIFS(MATCHER!$B$5:$B$504,A333,MATCHER!$D$5:$D$504,C333,MATCHER!$J$5:$J$504,REGLER!$I$6,MATCHER!$K$5:$K$504,"Ja")+COUNTIFS(MATCHER!$B$5:$B$504,A333,MATCHER!$D$5:$D$504,C333,MATCHER!$J$5:$J$504,REGLER!$I$6&amp;" 2",MATCHER!$K$5:$K$504,"Ja")&gt;0,1,0)+IF(COUNTIFS(MATCHER!$B$5:$B$504,A333,MATCHER!$D$5:$D$504,C333,MATCHER!$J$5:$J$504,REGLER!$I$7,MATCHER!$K$5:$K$504,"Ja")+COUNTIFS(MATCHER!$B$5:$B$504,A333,MATCHER!$D$5:$D$504,C333,MATCHER!$J$5:$J$504,REGLER!$I$7&amp;" 2",MATCHER!$K$5:$K$504,"Ja")&gt;0,1,0)+IF(COUNTIFS(MATCHER!$B$5:$B$504,A333,MATCHER!$D$5:$D$504,C333,MATCHER!$J$5:$J$504,REGLER!$I$8,MATCHER!$K$5:$K$504,"Ja")+COUNTIFS(MATCHER!$B$5:$B$504,A333,MATCHER!$D$5:$D$504,C333,MATCHER!$J$5:$J$504,REGLER!$I$8&amp;" 2",MATCHER!$K$5:$K$504,"Ja")&gt;0,1,0)+IF(COUNTIFS(MATCHER!$B$5:$B$504,A333,MATCHER!$D$5:$D$504,C333,MATCHER!$J$5:$J$504,REGLER!$I$9,MATCHER!$K$5:$K$504,"Ja")+COUNTIFS(MATCHER!$B$5:$B$504,A333,MATCHER!$D$5:$D$504,C333,MATCHER!$J$5:$J$504,REGLER!$I$9&amp;" 2",MATCHER!$K$5:$K$504,"Ja")&gt;0,1,0)+IF(COUNTIFS(MATCHER!$B$5:$B$504,A333,MATCHER!$D$5:$D$504,C333,MATCHER!$J$5:$J$504,REGLER!$I$10,MATCHER!$K$5:$K$504,"Ja")+COUNTIFS(MATCHER!$B$5:$B$504,A333,MATCHER!$D$5:$D$504,C333,MATCHER!$J$5:$J$504,REGLER!$I$10&amp;" 2",MATCHER!$K$5:$K$504,"Ja")&gt;0,1,0)+IF(COUNTIFS(MATCHER!$B$5:$B$504,A333,MATCHER!$D$5:$D$504,C333,MATCHER!$J$5:$J$504,REGLER!$I$11,MATCHER!$K$5:$K$504,"Ja")+COUNTIFS(MATCHER!$B$5:$B$504,A333,MATCHER!$D$5:$D$504,C333,MATCHER!$J$5:$J$504,REGLER!$I$11&amp;" 2",MATCHER!$K$5:$K$504,"Ja")&gt;0,1,0)+IF(COUNTIFS(MATCHER!$B$5:$B$504,A333,MATCHER!$D$5:$D$504,C333,MATCHER!$J$5:$J$504,REGLER!$I$12,MATCHER!$K$5:$K$504,"Ja")+COUNTIFS(MATCHER!$B$5:$B$504,A333,MATCHER!$D$5:$D$504,C333,MATCHER!$J$5:$J$504,REGLER!$I$12&amp;" 2",MATCHER!$K$5:$K$504,"Ja")&gt;0,1,0)+IF(COUNTIFS(MATCHER!$B$5:$B$504,A333,MATCHER!$D$5:$D$504,C333,MATCHER!$J$5:$J$504,REGLER!$I$13,MATCHER!$K$5:$K$504,"Ja")+COUNTIFS(MATCHER!$B$5:$B$504,A333,MATCHER!$D$5:$D$504,C333,MATCHER!$J$5:$J$504,REGLER!$I$13&amp;" 2",MATCHER!$K$5:$K$504,"Ja")&gt;0,1,0)+IF(COUNTIFS(MATCHER!$B$5:$B$504,A333,MATCHER!$D$5:$D$504,C333,MATCHER!$J$5:$J$504,REGLER!$I$14,MATCHER!$K$5:$K$504,"Ja")+COUNTIFS(MATCHER!$B$5:$B$504,A333,MATCHER!$D$5:$D$504,C333,MATCHER!$J$5:$J$504,REGLER!$I$14&amp;" 2",MATCHER!$K$5:$K$504,"Ja")&gt;0,1,0)+IF(COUNTIFS(MATCHER!$B$5:$B$504,A333,MATCHER!$D$5:$D$504,C333,MATCHER!$J$5:$J$504,REGLER!$I$15,MATCHER!$K$5:$K$504,"Ja")+COUNTIFS(MATCHER!$B$5:$B$504,A333,MATCHER!$D$5:$D$504,C333,MATCHER!$J$5:$J$504,REGLER!$I$15&amp;" 2",MATCHER!$K$5:$K$504,"Ja")&gt;0,1,0)+IF(COUNTIFS(MATCHER!$B$5:$B$504,A333,MATCHER!$D$5:$D$504,C333,MATCHER!$J$5:$J$504,REGLER!$I$16,MATCHER!$K$5:$K$504,"Ja")+COUNTIFS(MATCHER!$B$5:$B$504,A333,MATCHER!$D$5:$D$504,C333,MATCHER!$J$5:$J$504,REGLER!$I$16&amp;" 2",MATCHER!$K$5:$K$504,"Ja")&gt;0,1,0)+IF(COUNTIFS(MATCHER!$B$5:$B$504,A333,MATCHER!$D$5:$D$504,C333,MATCHER!$J$5:$J$504,REGLER!$I$17,MATCHER!$K$5:$K$504,"Ja")+COUNTIFS(MATCHER!$B$5:$B$504,A333,MATCHER!$D$5:$D$504,C333,MATCHER!$J$5:$J$504,REGLER!$I$17&amp;" 2",MATCHER!$K$5:$K$504,"Ja")&gt;0,1,0)+IF(COUNTIFS(MATCHER!$B$5:$B$504,A333,MATCHER!$D$5:$D$504,C333,MATCHER!$J$5:$J$504,REGLER!$I$18,MATCHER!$K$5:$K$504,"Ja")+COUNTIFS(MATCHER!$B$5:$B$504,A333,MATCHER!$D$5:$D$504,C333,MATCHER!$J$5:$J$504,REGLER!$I$18&amp;" 2",MATCHER!$K$5:$K$504,"Ja")&gt;0,1,0)+IF(COUNTIFS(MATCHER!$B$5:$B$504,A333,MATCHER!$D$5:$D$504,C333,MATCHER!$J$5:$J$504,REGLER!$I$19,MATCHER!$K$5:$K$504,"Ja")+COUNTIFS(MATCHER!$B$5:$B$504,A333,MATCHER!$D$5:$D$504,C333,MATCHER!$J$5:$J$504,REGLER!$I$19&amp;" 2",MATCHER!$K$5:$K$504,"Ja")&gt;0,1,0)+IF(COUNTIFS(MATCHER!$B$5:$B$504,A333,MATCHER!$D$5:$D$504,C333,MATCHER!$J$5:$J$504,REGLER!$I$20,MATCHER!$K$5:$K$504,"Ja")+COUNTIFS(MATCHER!$B$5:$B$504,A333,MATCHER!$D$5:$D$504,C333,MATCHER!$J$5:$J$504,REGLER!$I$20&amp;" 2",MATCHER!$K$5:$K$504,"Ja")&gt;0,1,0)+IF(COUNTIFS(MATCHER!$B$5:$B$504,A333,MATCHER!$D$5:$D$504,C333,MATCHER!$J$5:$J$504,REGLER!$I$21,MATCHER!$K$5:$K$504,"Ja")+COUNTIFS(MATCHER!$B$5:$B$504,A333,MATCHER!$D$5:$D$504,C333,MATCHER!$J$5:$J$504,REGLER!$I$21&amp;" 2",MATCHER!$K$5:$K$504,"Ja")&gt;0,1,0)+IF(COUNTIFS(MATCHER!$B$5:$B$504,A333,MATCHER!$D$5:$D$504,C333,MATCHER!$J$5:$J$504,REGLER!$I$22,MATCHER!$K$5:$K$504,"Ja")+COUNTIFS(MATCHER!$B$5:$B$504,A333,MATCHER!$D$5:$D$504,C333,MATCHER!$J$5:$J$504,REGLER!$I$22&amp;" 2",MATCHER!$K$5:$K$504,"Ja")&gt;0,1,0)+IF(COUNTIFS(MATCHER!$B$5:$B$504,A333,MATCHER!$D$5:$D$504,C333,MATCHER!$J$5:$J$504,REGLER!$I$23,MATCHER!$K$5:$K$504,"Ja")+COUNTIFS(MATCHER!$B$5:$B$504,A333,MATCHER!$D$5:$D$504,C333,MATCHER!$J$5:$J$504,REGLER!$I$23&amp;" 2",MATCHER!$K$5:$K$504,"Ja")&gt;0,1,0)+IF(COUNTIFS(MATCHER!$B$5:$B$504,A333,MATCHER!$D$5:$D$504,C333,MATCHER!$J$5:$J$504,REGLER!$I$24,MATCHER!$K$5:$K$504,"Ja")+COUNTIFS(MATCHER!$B$5:$B$504,A333,MATCHER!$D$5:$D$504,C333,MATCHER!$J$5:$J$504,REGLER!$I$24&amp;" 2",MATCHER!$K$5:$K$504,"Ja")&gt;0,1,0)+IF(COUNTIFS(MATCHER!$B$5:$B$504,A333,MATCHER!$D$5:$D$504,C333,MATCHER!$J$5:$J$504,REGLER!$I$25,MATCHER!$K$5:$K$504,"Ja")+COUNTIFS(MATCHER!$B$5:$B$504,A333,MATCHER!$D$5:$D$504,C333,MATCHER!$J$5:$J$504,REGLER!$I$25&amp;" 2",MATCHER!$K$5:$K$504,"Ja")&gt;0,1,0)+IF(COUNTIFS(MATCHER!$B$5:$B$504,A333,MATCHER!$D$5:$D$504,C333,MATCHER!$J$5:$J$504,REGLER!$I$26,MATCHER!$K$5:$K$504,"Ja")+COUNTIFS(MATCHER!$B$5:$B$504,A333,MATCHER!$D$5:$D$504,C333,MATCHER!$J$5:$J$504,REGLER!$I$26&amp;" 2",MATCHER!$K$5:$K$504,"Ja")&gt;0,1,0)</f>
        <v>1</v>
      </c>
      <c r="AB333" s="15">
        <f>IF(U333&lt;&gt;1,"",COUNTIF($U$5:U333,1))</f>
        <v>38</v>
      </c>
      <c r="AC333" s="15" t="str">
        <f t="shared" si="79"/>
        <v/>
      </c>
      <c r="AD333" s="15" t="str">
        <f t="shared" si="80"/>
        <v>Minicafé</v>
      </c>
      <c r="AE333" s="15">
        <f t="shared" si="81"/>
        <v>2.0000000000000142</v>
      </c>
      <c r="AF333" t="str">
        <f>IF(T333="","",IFERROR(MATCH(1,INDEX((MATCHER!$B$5:$B$504=A333)*(MATCHER!$D$5:$D$504=C333)*(MATCHER!$K$5:$K$504="Ja")*(MATCHER!$C$5:$C$504&lt;E333)*(MATCHER!$M$5:$M$504&gt;D333)*(ROW(MATCHER!$A$5:$A$504)-ROW(MATCHER!$A$5)+1&gt;T333),0),0),""))</f>
        <v/>
      </c>
    </row>
    <row r="334" spans="1:32" ht="13">
      <c r="A334" s="42">
        <v>46399</v>
      </c>
      <c r="B334" s="43" t="s">
        <v>104</v>
      </c>
      <c r="C334" s="43" t="s">
        <v>94</v>
      </c>
      <c r="D334" s="44">
        <v>0.85416666666666696</v>
      </c>
      <c r="E334" s="44">
        <v>0.875</v>
      </c>
      <c r="F334" s="45" t="str">
        <f>IF(R334="","",HOUR(INDEX(MATCHER!$C$5:$C$504,R334))&amp;":"&amp;IF(MINUTE(INDEX(MATCHER!$C$5:$C$504,R334))&lt;10,"0","")&amp;MINUTE(INDEX(MATCHER!$C$5:$C$504,R334))&amp;" "&amp;INDEX(MATCHER!$H$5:$H$504,R334)&amp;" – "&amp;INDEX(MATCHER!$I$5:$I$504,R334))&amp;IF(S334="",""," | "&amp;HOUR(INDEX(MATCHER!$C$5:$C$504,S334))&amp;":"&amp;IF(MINUTE(INDEX(MATCHER!$C$5:$C$504,S334))&lt;10,"0","")&amp;MINUTE(INDEX(MATCHER!$C$5:$C$504,S334))&amp;" "&amp;INDEX(MATCHER!$H$5:$H$504,S334)&amp;" – "&amp;INDEX(MATCHER!$I$5:$I$504,S334))&amp;IF(T334="",""," | "&amp;HOUR(INDEX(MATCHER!$C$5:$C$504,T334))&amp;":"&amp;IF(MINUTE(INDEX(MATCHER!$C$5:$C$504,T334))&lt;10,"0","")&amp;MINUTE(INDEX(MATCHER!$C$5:$C$504,T334))&amp;" "&amp;INDEX(MATCHER!$H$5:$H$504,T334)&amp;" – "&amp;INDEX(MATCHER!$I$5:$I$504,T334))&amp;IF(AF334="",""," | "&amp;HOUR(INDEX(MATCHER!$C$5:$C$504,AF334))&amp;":"&amp;IF(MINUTE(INDEX(MATCHER!$C$5:$C$504,AF334))&lt;10,"0","")&amp;MINUTE(INDEX(MATCHER!$C$5:$C$504,AF334))&amp;" "&amp;INDEX(MATCHER!$H$5:$H$504,AF334)&amp;" – "&amp;INDEX(MATCHER!$I$5:$I$504,AF334))</f>
        <v>20:45 AIK – Hammarby IF HF</v>
      </c>
      <c r="G334" s="45" t="str">
        <f>MID(IF(R334="","",IF(OR(INDEX(MATCHER!$J$5:$J$504,R334)=""),""," / "&amp;INDEX(MATCHER!$J$5:$J$504,R334)))&amp;IF(S334="","",IF(OR(INDEX(MATCHER!$J$5:$J$504,S334)="",INDEX(MATCHER!$J$5:$J$504,S334)=IFERROR(INDEX(MATCHER!$J$5:$J$504,R334),"")),""," / "&amp;INDEX(MATCHER!$J$5:$J$504,S334)))&amp;IF(T334="","",IF(OR(INDEX(MATCHER!$J$5:$J$504,T334)="",INDEX(MATCHER!$J$5:$J$504,T334)=IFERROR(INDEX(MATCHER!$J$5:$J$504,R334),""),INDEX(MATCHER!$J$5:$J$504,T334)=IFERROR(INDEX(MATCHER!$J$5:$J$504,S334),"")),""," / "&amp;INDEX(MATCHER!$J$5:$J$504,T334)))&amp;IF(AF334="","",IF(OR(INDEX(MATCHER!$J$5:$J$504,AF334)="",INDEX(MATCHER!$J$5:$J$504,AF334)=IFERROR(INDEX(MATCHER!$J$5:$J$504,R334),""),INDEX(MATCHER!$J$5:$J$504,AF334)=IFERROR(INDEX(MATCHER!$J$5:$J$504,S334),""),INDEX(MATCHER!$J$5:$J$504,AF334)=IFERROR(INDEX(MATCHER!$J$5:$J$504,T334),"")),""," / "&amp;INDEX(MATCHER!$J$5:$J$504,AF334))),4,1000)</f>
        <v>F19</v>
      </c>
      <c r="H334" s="45" t="str">
        <f>H333</f>
        <v>F19</v>
      </c>
      <c r="I334" s="46" t="s">
        <v>90</v>
      </c>
      <c r="J334" s="47" t="s">
        <v>105</v>
      </c>
      <c r="K334" s="48"/>
      <c r="L334" s="49"/>
      <c r="M334" s="50" t="str">
        <f>IF(O334&lt;&gt;O333,MAX(1,MIN(AA334,ROUNDUP(SUMPRODUCT(($O$5:$O$546=O334)*($I$5:$I$546="Ja")*($E$5:$E$546-$D$5:$D$546))*24/REGLER!$B$8,0))),"")</f>
        <v/>
      </c>
      <c r="N334" s="50" t="str">
        <f t="shared" si="75"/>
        <v>Klar</v>
      </c>
      <c r="O334" s="15" t="s">
        <v>139</v>
      </c>
      <c r="P334" s="16">
        <v>0.83333333333333304</v>
      </c>
      <c r="Q334" s="16">
        <v>0.91666666666666696</v>
      </c>
      <c r="R334" s="15">
        <f>IFERROR(MATCH(1,INDEX((MATCHER!$B$5:$B$504=A334)*(MATCHER!$D$5:$D$504=C334)*(MATCHER!$K$5:$K$504="Ja")*(MATCHER!$C$5:$C$504&lt;E334)*(MATCHER!$M$5:$M$504&gt;D334),0),0),"")</f>
        <v>128</v>
      </c>
      <c r="S334" s="15" t="str">
        <f>IF(R334="","",IFERROR(MATCH(1,INDEX((MATCHER!$B$5:$B$504=A334)*(MATCHER!$D$5:$D$504=C334)*(MATCHER!$K$5:$K$504="Ja")*(MATCHER!$C$5:$C$504&lt;E334)*(MATCHER!$M$5:$M$504&gt;D334)*(ROW(MATCHER!$A$5:$A$504)-ROW(MATCHER!$A$5)+1&gt;R334),0),0),""))</f>
        <v/>
      </c>
      <c r="T334" s="15" t="str">
        <f>IF(S334="","",IFERROR(MATCH(1,INDEX((MATCHER!$B$5:$B$504=A334)*(MATCHER!$D$5:$D$504=C334)*(MATCHER!$K$5:$K$504="Ja")*(MATCHER!$C$5:$C$504&lt;E334)*(MATCHER!$M$5:$M$504&gt;D334)*(ROW(MATCHER!$A$5:$A$504)-ROW(MATCHER!$A$5)+1&gt;S334),0),0),""))</f>
        <v/>
      </c>
      <c r="U334" s="15">
        <f t="shared" si="76"/>
        <v>0</v>
      </c>
      <c r="V334" s="15">
        <f>IF(OR(I334&lt;&gt;"Ja",J334=""),"",COUNTIFS($O$5:O334,O334,$U$5:U334,1))</f>
        <v>1</v>
      </c>
      <c r="W334" s="15" t="str">
        <f t="shared" si="77"/>
        <v>2027-01-12 | Råsta Park|1</v>
      </c>
      <c r="X334" s="16" t="str">
        <f t="shared" si="78"/>
        <v/>
      </c>
      <c r="Y334" s="15">
        <f>IF(OR(I334&lt;&gt;"Ja",J334=""),0,IF(COUNTIFS($O$5:O334,O334,$I$5:I334,"Ja",$J$5:J334,"&lt;&gt;")=1,1,0))</f>
        <v>0</v>
      </c>
      <c r="Z334" s="15">
        <f>IF(OR(I334&lt;&gt;"Ja",J334=""),0,IF(COUNTIFS(O334:$O$546,O334,I334:$I$546,"Ja",J334:$J$546,"&lt;&gt;")=1,1,0))</f>
        <v>0</v>
      </c>
      <c r="AA334" s="15">
        <f>AA333</f>
        <v>1</v>
      </c>
      <c r="AB334" s="15" t="str">
        <f>IF(U334&lt;&gt;1,"",COUNTIF($U$5:U334,1))</f>
        <v/>
      </c>
      <c r="AC334" s="15" t="str">
        <f t="shared" si="79"/>
        <v/>
      </c>
      <c r="AD334" s="15" t="str">
        <f t="shared" si="80"/>
        <v>Minicafé</v>
      </c>
      <c r="AE334" s="15" t="str">
        <f t="shared" si="81"/>
        <v/>
      </c>
      <c r="AF334" t="str">
        <f>IF(T334="","",IFERROR(MATCH(1,INDEX((MATCHER!$B$5:$B$504=A334)*(MATCHER!$D$5:$D$504=C334)*(MATCHER!$K$5:$K$504="Ja")*(MATCHER!$C$5:$C$504&lt;E334)*(MATCHER!$M$5:$M$504&gt;D334)*(ROW(MATCHER!$A$5:$A$504)-ROW(MATCHER!$A$5)+1&gt;T334),0),0),""))</f>
        <v/>
      </c>
    </row>
    <row r="335" spans="1:32" ht="13">
      <c r="A335" s="42">
        <v>46399</v>
      </c>
      <c r="B335" s="43" t="s">
        <v>104</v>
      </c>
      <c r="C335" s="43" t="s">
        <v>94</v>
      </c>
      <c r="D335" s="44">
        <v>0.875</v>
      </c>
      <c r="E335" s="44">
        <v>0.89583333333333304</v>
      </c>
      <c r="F335" s="45" t="str">
        <f>IF(R335="","",HOUR(INDEX(MATCHER!$C$5:$C$504,R335))&amp;":"&amp;IF(MINUTE(INDEX(MATCHER!$C$5:$C$504,R335))&lt;10,"0","")&amp;MINUTE(INDEX(MATCHER!$C$5:$C$504,R335))&amp;" "&amp;INDEX(MATCHER!$H$5:$H$504,R335)&amp;" – "&amp;INDEX(MATCHER!$I$5:$I$504,R335))&amp;IF(S335="",""," | "&amp;HOUR(INDEX(MATCHER!$C$5:$C$504,S335))&amp;":"&amp;IF(MINUTE(INDEX(MATCHER!$C$5:$C$504,S335))&lt;10,"0","")&amp;MINUTE(INDEX(MATCHER!$C$5:$C$504,S335))&amp;" "&amp;INDEX(MATCHER!$H$5:$H$504,S335)&amp;" – "&amp;INDEX(MATCHER!$I$5:$I$504,S335))&amp;IF(T335="",""," | "&amp;HOUR(INDEX(MATCHER!$C$5:$C$504,T335))&amp;":"&amp;IF(MINUTE(INDEX(MATCHER!$C$5:$C$504,T335))&lt;10,"0","")&amp;MINUTE(INDEX(MATCHER!$C$5:$C$504,T335))&amp;" "&amp;INDEX(MATCHER!$H$5:$H$504,T335)&amp;" – "&amp;INDEX(MATCHER!$I$5:$I$504,T335))&amp;IF(AF335="",""," | "&amp;HOUR(INDEX(MATCHER!$C$5:$C$504,AF335))&amp;":"&amp;IF(MINUTE(INDEX(MATCHER!$C$5:$C$504,AF335))&lt;10,"0","")&amp;MINUTE(INDEX(MATCHER!$C$5:$C$504,AF335))&amp;" "&amp;INDEX(MATCHER!$H$5:$H$504,AF335)&amp;" – "&amp;INDEX(MATCHER!$I$5:$I$504,AF335))</f>
        <v>20:45 AIK – Hammarby IF HF</v>
      </c>
      <c r="G335" s="45" t="str">
        <f>MID(IF(R335="","",IF(OR(INDEX(MATCHER!$J$5:$J$504,R335)=""),""," / "&amp;INDEX(MATCHER!$J$5:$J$504,R335)))&amp;IF(S335="","",IF(OR(INDEX(MATCHER!$J$5:$J$504,S335)="",INDEX(MATCHER!$J$5:$J$504,S335)=IFERROR(INDEX(MATCHER!$J$5:$J$504,R335),"")),""," / "&amp;INDEX(MATCHER!$J$5:$J$504,S335)))&amp;IF(T335="","",IF(OR(INDEX(MATCHER!$J$5:$J$504,T335)="",INDEX(MATCHER!$J$5:$J$504,T335)=IFERROR(INDEX(MATCHER!$J$5:$J$504,R335),""),INDEX(MATCHER!$J$5:$J$504,T335)=IFERROR(INDEX(MATCHER!$J$5:$J$504,S335),"")),""," / "&amp;INDEX(MATCHER!$J$5:$J$504,T335)))&amp;IF(AF335="","",IF(OR(INDEX(MATCHER!$J$5:$J$504,AF335)="",INDEX(MATCHER!$J$5:$J$504,AF335)=IFERROR(INDEX(MATCHER!$J$5:$J$504,R335),""),INDEX(MATCHER!$J$5:$J$504,AF335)=IFERROR(INDEX(MATCHER!$J$5:$J$504,S335),""),INDEX(MATCHER!$J$5:$J$504,AF335)=IFERROR(INDEX(MATCHER!$J$5:$J$504,T335),"")),""," / "&amp;INDEX(MATCHER!$J$5:$J$504,AF335))),4,1000)</f>
        <v>F19</v>
      </c>
      <c r="H335" s="45" t="str">
        <f>H334</f>
        <v>F19</v>
      </c>
      <c r="I335" s="46" t="s">
        <v>90</v>
      </c>
      <c r="J335" s="47" t="s">
        <v>105</v>
      </c>
      <c r="K335" s="48"/>
      <c r="L335" s="49"/>
      <c r="M335" s="50" t="str">
        <f>IF(O335&lt;&gt;O334,MAX(1,MIN(AA335,ROUNDUP(SUMPRODUCT(($O$5:$O$546=O335)*($I$5:$I$546="Ja")*($E$5:$E$546-$D$5:$D$546))*24/REGLER!$B$8,0))),"")</f>
        <v/>
      </c>
      <c r="N335" s="50" t="str">
        <f t="shared" si="75"/>
        <v>Klar</v>
      </c>
      <c r="O335" s="15" t="s">
        <v>139</v>
      </c>
      <c r="P335" s="16">
        <v>0.83333333333333304</v>
      </c>
      <c r="Q335" s="16">
        <v>0.91666666666666696</v>
      </c>
      <c r="R335" s="15">
        <f>IFERROR(MATCH(1,INDEX((MATCHER!$B$5:$B$504=A335)*(MATCHER!$D$5:$D$504=C335)*(MATCHER!$K$5:$K$504="Ja")*(MATCHER!$C$5:$C$504&lt;E335)*(MATCHER!$M$5:$M$504&gt;D335),0),0),"")</f>
        <v>128</v>
      </c>
      <c r="S335" s="15" t="str">
        <f>IF(R335="","",IFERROR(MATCH(1,INDEX((MATCHER!$B$5:$B$504=A335)*(MATCHER!$D$5:$D$504=C335)*(MATCHER!$K$5:$K$504="Ja")*(MATCHER!$C$5:$C$504&lt;E335)*(MATCHER!$M$5:$M$504&gt;D335)*(ROW(MATCHER!$A$5:$A$504)-ROW(MATCHER!$A$5)+1&gt;R335),0),0),""))</f>
        <v/>
      </c>
      <c r="T335" s="15" t="str">
        <f>IF(S335="","",IFERROR(MATCH(1,INDEX((MATCHER!$B$5:$B$504=A335)*(MATCHER!$D$5:$D$504=C335)*(MATCHER!$K$5:$K$504="Ja")*(MATCHER!$C$5:$C$504&lt;E335)*(MATCHER!$M$5:$M$504&gt;D335)*(ROW(MATCHER!$A$5:$A$504)-ROW(MATCHER!$A$5)+1&gt;S335),0),0),""))</f>
        <v/>
      </c>
      <c r="U335" s="15">
        <f t="shared" si="76"/>
        <v>0</v>
      </c>
      <c r="V335" s="15">
        <f>IF(OR(I335&lt;&gt;"Ja",J335=""),"",COUNTIFS($O$5:O335,O335,$U$5:U335,1))</f>
        <v>1</v>
      </c>
      <c r="W335" s="15" t="str">
        <f t="shared" si="77"/>
        <v>2027-01-12 | Råsta Park|1</v>
      </c>
      <c r="X335" s="16" t="str">
        <f t="shared" si="78"/>
        <v/>
      </c>
      <c r="Y335" s="15">
        <f>IF(OR(I335&lt;&gt;"Ja",J335=""),0,IF(COUNTIFS($O$5:O335,O335,$I$5:I335,"Ja",$J$5:J335,"&lt;&gt;")=1,1,0))</f>
        <v>0</v>
      </c>
      <c r="Z335" s="15">
        <f>IF(OR(I335&lt;&gt;"Ja",J335=""),0,IF(COUNTIFS(O335:$O$546,O335,I335:$I$546,"Ja",J335:$J$546,"&lt;&gt;")=1,1,0))</f>
        <v>0</v>
      </c>
      <c r="AA335" s="15">
        <f>AA334</f>
        <v>1</v>
      </c>
      <c r="AB335" s="15" t="str">
        <f>IF(U335&lt;&gt;1,"",COUNTIF($U$5:U335,1))</f>
        <v/>
      </c>
      <c r="AC335" s="15" t="str">
        <f t="shared" si="79"/>
        <v/>
      </c>
      <c r="AD335" s="15" t="str">
        <f t="shared" si="80"/>
        <v>Minicafé</v>
      </c>
      <c r="AE335" s="15" t="str">
        <f t="shared" si="81"/>
        <v/>
      </c>
      <c r="AF335" t="str">
        <f>IF(T335="","",IFERROR(MATCH(1,INDEX((MATCHER!$B$5:$B$504=A335)*(MATCHER!$D$5:$D$504=C335)*(MATCHER!$K$5:$K$504="Ja")*(MATCHER!$C$5:$C$504&lt;E335)*(MATCHER!$M$5:$M$504&gt;D335)*(ROW(MATCHER!$A$5:$A$504)-ROW(MATCHER!$A$5)+1&gt;T335),0),0),""))</f>
        <v/>
      </c>
    </row>
    <row r="336" spans="1:32" ht="13.5" thickBot="1">
      <c r="A336" s="52">
        <v>46399</v>
      </c>
      <c r="B336" s="53" t="s">
        <v>104</v>
      </c>
      <c r="C336" s="53" t="s">
        <v>94</v>
      </c>
      <c r="D336" s="54">
        <v>0.89583333333333304</v>
      </c>
      <c r="E336" s="54">
        <v>0.91666666666666696</v>
      </c>
      <c r="F336" s="55" t="str">
        <f>IF(R336="","",HOUR(INDEX(MATCHER!$C$5:$C$504,R336))&amp;":"&amp;IF(MINUTE(INDEX(MATCHER!$C$5:$C$504,R336))&lt;10,"0","")&amp;MINUTE(INDEX(MATCHER!$C$5:$C$504,R336))&amp;" "&amp;INDEX(MATCHER!$H$5:$H$504,R336)&amp;" – "&amp;INDEX(MATCHER!$I$5:$I$504,R336))&amp;IF(S336="",""," | "&amp;HOUR(INDEX(MATCHER!$C$5:$C$504,S336))&amp;":"&amp;IF(MINUTE(INDEX(MATCHER!$C$5:$C$504,S336))&lt;10,"0","")&amp;MINUTE(INDEX(MATCHER!$C$5:$C$504,S336))&amp;" "&amp;INDEX(MATCHER!$H$5:$H$504,S336)&amp;" – "&amp;INDEX(MATCHER!$I$5:$I$504,S336))&amp;IF(T336="",""," | "&amp;HOUR(INDEX(MATCHER!$C$5:$C$504,T336))&amp;":"&amp;IF(MINUTE(INDEX(MATCHER!$C$5:$C$504,T336))&lt;10,"0","")&amp;MINUTE(INDEX(MATCHER!$C$5:$C$504,T336))&amp;" "&amp;INDEX(MATCHER!$H$5:$H$504,T336)&amp;" – "&amp;INDEX(MATCHER!$I$5:$I$504,T336))&amp;IF(AF336="",""," | "&amp;HOUR(INDEX(MATCHER!$C$5:$C$504,AF336))&amp;":"&amp;IF(MINUTE(INDEX(MATCHER!$C$5:$C$504,AF336))&lt;10,"0","")&amp;MINUTE(INDEX(MATCHER!$C$5:$C$504,AF336))&amp;" "&amp;INDEX(MATCHER!$H$5:$H$504,AF336)&amp;" – "&amp;INDEX(MATCHER!$I$5:$I$504,AF336))</f>
        <v>20:45 AIK – Hammarby IF HF</v>
      </c>
      <c r="G336" s="55" t="str">
        <f>MID(IF(R336="","",IF(OR(INDEX(MATCHER!$J$5:$J$504,R336)=""),""," / "&amp;INDEX(MATCHER!$J$5:$J$504,R336)))&amp;IF(S336="","",IF(OR(INDEX(MATCHER!$J$5:$J$504,S336)="",INDEX(MATCHER!$J$5:$J$504,S336)=IFERROR(INDEX(MATCHER!$J$5:$J$504,R336),"")),""," / "&amp;INDEX(MATCHER!$J$5:$J$504,S336)))&amp;IF(T336="","",IF(OR(INDEX(MATCHER!$J$5:$J$504,T336)="",INDEX(MATCHER!$J$5:$J$504,T336)=IFERROR(INDEX(MATCHER!$J$5:$J$504,R336),""),INDEX(MATCHER!$J$5:$J$504,T336)=IFERROR(INDEX(MATCHER!$J$5:$J$504,S336),"")),""," / "&amp;INDEX(MATCHER!$J$5:$J$504,T336)))&amp;IF(AF336="","",IF(OR(INDEX(MATCHER!$J$5:$J$504,AF336)="",INDEX(MATCHER!$J$5:$J$504,AF336)=IFERROR(INDEX(MATCHER!$J$5:$J$504,R336),""),INDEX(MATCHER!$J$5:$J$504,AF336)=IFERROR(INDEX(MATCHER!$J$5:$J$504,S336),""),INDEX(MATCHER!$J$5:$J$504,AF336)=IFERROR(INDEX(MATCHER!$J$5:$J$504,T336),"")),""," / "&amp;INDEX(MATCHER!$J$5:$J$504,AF336))),4,1000)</f>
        <v>F19</v>
      </c>
      <c r="H336" s="55" t="str">
        <f>H335</f>
        <v>F19</v>
      </c>
      <c r="I336" s="56" t="s">
        <v>90</v>
      </c>
      <c r="J336" s="57" t="s">
        <v>105</v>
      </c>
      <c r="K336" s="58"/>
      <c r="L336" s="59"/>
      <c r="M336" s="60" t="str">
        <f>IF(O336&lt;&gt;O335,MAX(1,MIN(AA336,ROUNDUP(SUMPRODUCT(($O$5:$O$546=O336)*($I$5:$I$546="Ja")*($E$5:$E$546-$D$5:$D$546))*24/REGLER!$B$8,0))),"")</f>
        <v/>
      </c>
      <c r="N336" s="60" t="str">
        <f t="shared" si="75"/>
        <v>Klar</v>
      </c>
      <c r="O336" s="15" t="s">
        <v>139</v>
      </c>
      <c r="P336" s="16">
        <v>0.83333333333333304</v>
      </c>
      <c r="Q336" s="16">
        <v>0.91666666666666696</v>
      </c>
      <c r="R336" s="15">
        <f>IFERROR(MATCH(1,INDEX((MATCHER!$B$5:$B$504=A336)*(MATCHER!$D$5:$D$504=C336)*(MATCHER!$K$5:$K$504="Ja")*(MATCHER!$C$5:$C$504&lt;E336)*(MATCHER!$M$5:$M$504&gt;D336),0),0),"")</f>
        <v>128</v>
      </c>
      <c r="S336" s="15" t="str">
        <f>IF(R336="","",IFERROR(MATCH(1,INDEX((MATCHER!$B$5:$B$504=A336)*(MATCHER!$D$5:$D$504=C336)*(MATCHER!$K$5:$K$504="Ja")*(MATCHER!$C$5:$C$504&lt;E336)*(MATCHER!$M$5:$M$504&gt;D336)*(ROW(MATCHER!$A$5:$A$504)-ROW(MATCHER!$A$5)+1&gt;R336),0),0),""))</f>
        <v/>
      </c>
      <c r="T336" s="15" t="str">
        <f>IF(S336="","",IFERROR(MATCH(1,INDEX((MATCHER!$B$5:$B$504=A336)*(MATCHER!$D$5:$D$504=C336)*(MATCHER!$K$5:$K$504="Ja")*(MATCHER!$C$5:$C$504&lt;E336)*(MATCHER!$M$5:$M$504&gt;D336)*(ROW(MATCHER!$A$5:$A$504)-ROW(MATCHER!$A$5)+1&gt;S336),0),0),""))</f>
        <v/>
      </c>
      <c r="U336" s="15">
        <f t="shared" si="76"/>
        <v>0</v>
      </c>
      <c r="V336" s="15">
        <f>IF(OR(I336&lt;&gt;"Ja",J336=""),"",COUNTIFS($O$5:O336,O336,$U$5:U336,1))</f>
        <v>1</v>
      </c>
      <c r="W336" s="15" t="str">
        <f t="shared" si="77"/>
        <v>2027-01-12 | Råsta Park|1</v>
      </c>
      <c r="X336" s="16">
        <f t="shared" si="78"/>
        <v>0.91666666666666696</v>
      </c>
      <c r="Y336" s="15">
        <f>IF(OR(I336&lt;&gt;"Ja",J336=""),0,IF(COUNTIFS($O$5:O336,O336,$I$5:I336,"Ja",$J$5:J336,"&lt;&gt;")=1,1,0))</f>
        <v>0</v>
      </c>
      <c r="Z336" s="15">
        <f>IF(OR(I336&lt;&gt;"Ja",J336=""),0,IF(COUNTIFS(O336:$O$546,O336,I336:$I$546,"Ja",J336:$J$546,"&lt;&gt;")=1,1,0))</f>
        <v>1</v>
      </c>
      <c r="AA336" s="15">
        <f>AA335</f>
        <v>1</v>
      </c>
      <c r="AB336" s="15" t="str">
        <f>IF(U336&lt;&gt;1,"",COUNTIF($U$5:U336,1))</f>
        <v/>
      </c>
      <c r="AC336" s="15" t="str">
        <f t="shared" si="79"/>
        <v>2027-01-12 | Råsta Park|1</v>
      </c>
      <c r="AD336" s="15" t="str">
        <f t="shared" si="80"/>
        <v>Minicafé</v>
      </c>
      <c r="AE336" s="15" t="str">
        <f t="shared" si="81"/>
        <v/>
      </c>
      <c r="AF336" t="str">
        <f>IF(T336="","",IFERROR(MATCH(1,INDEX((MATCHER!$B$5:$B$504=A336)*(MATCHER!$D$5:$D$504=C336)*(MATCHER!$K$5:$K$504="Ja")*(MATCHER!$C$5:$C$504&lt;E336)*(MATCHER!$M$5:$M$504&gt;D336)*(ROW(MATCHER!$A$5:$A$504)-ROW(MATCHER!$A$5)+1&gt;T336),0),0),""))</f>
        <v/>
      </c>
    </row>
    <row r="337" spans="1:32" ht="26">
      <c r="A337" s="42">
        <v>46403</v>
      </c>
      <c r="B337" s="43" t="s">
        <v>85</v>
      </c>
      <c r="C337" s="43" t="s">
        <v>86</v>
      </c>
      <c r="D337" s="44">
        <v>0.39583333333333298</v>
      </c>
      <c r="E337" s="44">
        <v>0.41666666666666702</v>
      </c>
      <c r="F337" s="45" t="str">
        <f>IF(R337="","",HOUR(INDEX(MATCHER!$C$5:$C$504,R337))&amp;":"&amp;IF(MINUTE(INDEX(MATCHER!$C$5:$C$504,R337))&lt;10,"0","")&amp;MINUTE(INDEX(MATCHER!$C$5:$C$504,R337))&amp;" "&amp;INDEX(MATCHER!$H$5:$H$504,R337)&amp;" – "&amp;INDEX(MATCHER!$I$5:$I$504,R337))&amp;IF(S337="",""," | "&amp;HOUR(INDEX(MATCHER!$C$5:$C$504,S337))&amp;":"&amp;IF(MINUTE(INDEX(MATCHER!$C$5:$C$504,S337))&lt;10,"0","")&amp;MINUTE(INDEX(MATCHER!$C$5:$C$504,S337))&amp;" "&amp;INDEX(MATCHER!$H$5:$H$504,S337)&amp;" – "&amp;INDEX(MATCHER!$I$5:$I$504,S337))&amp;IF(T337="",""," | "&amp;HOUR(INDEX(MATCHER!$C$5:$C$504,T337))&amp;":"&amp;IF(MINUTE(INDEX(MATCHER!$C$5:$C$504,T337))&lt;10,"0","")&amp;MINUTE(INDEX(MATCHER!$C$5:$C$504,T337))&amp;" "&amp;INDEX(MATCHER!$H$5:$H$504,T337)&amp;" – "&amp;INDEX(MATCHER!$I$5:$I$504,T337))&amp;IF(AF337="",""," | "&amp;HOUR(INDEX(MATCHER!$C$5:$C$504,AF337))&amp;":"&amp;IF(MINUTE(INDEX(MATCHER!$C$5:$C$504,AF337))&lt;10,"0","")&amp;MINUTE(INDEX(MATCHER!$C$5:$C$504,AF337))&amp;" "&amp;INDEX(MATCHER!$H$5:$H$504,AF337)&amp;" – "&amp;INDEX(MATCHER!$I$5:$I$504,AF337))</f>
        <v/>
      </c>
      <c r="G337" s="45" t="str">
        <f>MID(IF(R337="","",IF(OR(INDEX(MATCHER!$J$5:$J$504,R337)=""),""," / "&amp;INDEX(MATCHER!$J$5:$J$504,R337)))&amp;IF(S337="","",IF(OR(INDEX(MATCHER!$J$5:$J$504,S337)="",INDEX(MATCHER!$J$5:$J$504,S337)=IFERROR(INDEX(MATCHER!$J$5:$J$504,R337),"")),""," / "&amp;INDEX(MATCHER!$J$5:$J$504,S337)))&amp;IF(T337="","",IF(OR(INDEX(MATCHER!$J$5:$J$504,T337)="",INDEX(MATCHER!$J$5:$J$504,T337)=IFERROR(INDEX(MATCHER!$J$5:$J$504,R337),""),INDEX(MATCHER!$J$5:$J$504,T337)=IFERROR(INDEX(MATCHER!$J$5:$J$504,S337),"")),""," / "&amp;INDEX(MATCHER!$J$5:$J$504,T337)))&amp;IF(AF337="","",IF(OR(INDEX(MATCHER!$J$5:$J$504,AF337)="",INDEX(MATCHER!$J$5:$J$504,AF337)=IFERROR(INDEX(MATCHER!$J$5:$J$504,R337),""),INDEX(MATCHER!$J$5:$J$504,AF337)=IFERROR(INDEX(MATCHER!$J$5:$J$504,S337),""),INDEX(MATCHER!$J$5:$J$504,AF337)=IFERROR(INDEX(MATCHER!$J$5:$J$504,T337),"")),""," / "&amp;INDEX(MATCHER!$J$5:$J$504,AF337))),4,1000)</f>
        <v/>
      </c>
      <c r="H337" s="45" t="str">
        <f>MID(IF(COUNTIFS(MATCHER!$B$5:$B$504,A337,MATCHER!$D$5:$D$504,C337,MATCHER!$J$5:$J$504,REGLER!$I$6,MATCHER!$K$5:$K$504,"Ja")+COUNTIFS(MATCHER!$B$5:$B$504,A337,MATCHER!$D$5:$D$504,C337,MATCHER!$J$5:$J$504,REGLER!$I$6&amp;" 2",MATCHER!$K$5:$K$504,"Ja")&gt;0,", "&amp;REGLER!$I$6,"")&amp;IF(COUNTIFS(MATCHER!$B$5:$B$504,A337,MATCHER!$D$5:$D$504,C337,MATCHER!$J$5:$J$504,REGLER!$I$7,MATCHER!$K$5:$K$504,"Ja")+COUNTIFS(MATCHER!$B$5:$B$504,A337,MATCHER!$D$5:$D$504,C337,MATCHER!$J$5:$J$504,REGLER!$I$7&amp;" 2",MATCHER!$K$5:$K$504,"Ja")&gt;0,", "&amp;REGLER!$I$7,"")&amp;IF(COUNTIFS(MATCHER!$B$5:$B$504,A337,MATCHER!$D$5:$D$504,C337,MATCHER!$J$5:$J$504,REGLER!$I$8,MATCHER!$K$5:$K$504,"Ja")+COUNTIFS(MATCHER!$B$5:$B$504,A337,MATCHER!$D$5:$D$504,C337,MATCHER!$J$5:$J$504,REGLER!$I$8&amp;" 2",MATCHER!$K$5:$K$504,"Ja")&gt;0,", "&amp;REGLER!$I$8,"")&amp;IF(COUNTIFS(MATCHER!$B$5:$B$504,A337,MATCHER!$D$5:$D$504,C337,MATCHER!$J$5:$J$504,REGLER!$I$9,MATCHER!$K$5:$K$504,"Ja")+COUNTIFS(MATCHER!$B$5:$B$504,A337,MATCHER!$D$5:$D$504,C337,MATCHER!$J$5:$J$504,REGLER!$I$9&amp;" 2",MATCHER!$K$5:$K$504,"Ja")&gt;0,", "&amp;REGLER!$I$9,"")&amp;IF(COUNTIFS(MATCHER!$B$5:$B$504,A337,MATCHER!$D$5:$D$504,C337,MATCHER!$J$5:$J$504,REGLER!$I$10,MATCHER!$K$5:$K$504,"Ja")+COUNTIFS(MATCHER!$B$5:$B$504,A337,MATCHER!$D$5:$D$504,C337,MATCHER!$J$5:$J$504,REGLER!$I$10&amp;" 2",MATCHER!$K$5:$K$504,"Ja")&gt;0,", "&amp;REGLER!$I$10,"")&amp;IF(COUNTIFS(MATCHER!$B$5:$B$504,A337,MATCHER!$D$5:$D$504,C337,MATCHER!$J$5:$J$504,REGLER!$I$11,MATCHER!$K$5:$K$504,"Ja")+COUNTIFS(MATCHER!$B$5:$B$504,A337,MATCHER!$D$5:$D$504,C337,MATCHER!$J$5:$J$504,REGLER!$I$11&amp;" 2",MATCHER!$K$5:$K$504,"Ja")&gt;0,", "&amp;REGLER!$I$11,"")&amp;IF(COUNTIFS(MATCHER!$B$5:$B$504,A337,MATCHER!$D$5:$D$504,C337,MATCHER!$J$5:$J$504,REGLER!$I$12,MATCHER!$K$5:$K$504,"Ja")+COUNTIFS(MATCHER!$B$5:$B$504,A337,MATCHER!$D$5:$D$504,C337,MATCHER!$J$5:$J$504,REGLER!$I$12&amp;" 2",MATCHER!$K$5:$K$504,"Ja")&gt;0,", "&amp;REGLER!$I$12,"")&amp;IF(COUNTIFS(MATCHER!$B$5:$B$504,A337,MATCHER!$D$5:$D$504,C337,MATCHER!$J$5:$J$504,REGLER!$I$13,MATCHER!$K$5:$K$504,"Ja")+COUNTIFS(MATCHER!$B$5:$B$504,A337,MATCHER!$D$5:$D$504,C337,MATCHER!$J$5:$J$504,REGLER!$I$13&amp;" 2",MATCHER!$K$5:$K$504,"Ja")&gt;0,", "&amp;REGLER!$I$13,"")&amp;IF(COUNTIFS(MATCHER!$B$5:$B$504,A337,MATCHER!$D$5:$D$504,C337,MATCHER!$J$5:$J$504,REGLER!$I$14,MATCHER!$K$5:$K$504,"Ja")+COUNTIFS(MATCHER!$B$5:$B$504,A337,MATCHER!$D$5:$D$504,C337,MATCHER!$J$5:$J$504,REGLER!$I$14&amp;" 2",MATCHER!$K$5:$K$504,"Ja")&gt;0,", "&amp;REGLER!$I$14,"")&amp;IF(COUNTIFS(MATCHER!$B$5:$B$504,A337,MATCHER!$D$5:$D$504,C337,MATCHER!$J$5:$J$504,REGLER!$I$15,MATCHER!$K$5:$K$504,"Ja")+COUNTIFS(MATCHER!$B$5:$B$504,A337,MATCHER!$D$5:$D$504,C337,MATCHER!$J$5:$J$504,REGLER!$I$15&amp;" 2",MATCHER!$K$5:$K$504,"Ja")&gt;0,", "&amp;REGLER!$I$15,"")&amp;IF(COUNTIFS(MATCHER!$B$5:$B$504,A337,MATCHER!$D$5:$D$504,C337,MATCHER!$J$5:$J$504,REGLER!$I$16,MATCHER!$K$5:$K$504,"Ja")+COUNTIFS(MATCHER!$B$5:$B$504,A337,MATCHER!$D$5:$D$504,C337,MATCHER!$J$5:$J$504,REGLER!$I$16&amp;" 2",MATCHER!$K$5:$K$504,"Ja")&gt;0,", "&amp;REGLER!$I$16,"")&amp;IF(COUNTIFS(MATCHER!$B$5:$B$504,A337,MATCHER!$D$5:$D$504,C337,MATCHER!$J$5:$J$504,REGLER!$I$17,MATCHER!$K$5:$K$504,"Ja")+COUNTIFS(MATCHER!$B$5:$B$504,A337,MATCHER!$D$5:$D$504,C337,MATCHER!$J$5:$J$504,REGLER!$I$17&amp;" 2",MATCHER!$K$5:$K$504,"Ja")&gt;0,", "&amp;REGLER!$I$17,"")&amp;IF(COUNTIFS(MATCHER!$B$5:$B$504,A337,MATCHER!$D$5:$D$504,C337,MATCHER!$J$5:$J$504,REGLER!$I$18,MATCHER!$K$5:$K$504,"Ja")+COUNTIFS(MATCHER!$B$5:$B$504,A337,MATCHER!$D$5:$D$504,C337,MATCHER!$J$5:$J$504,REGLER!$I$18&amp;" 2",MATCHER!$K$5:$K$504,"Ja")&gt;0,", "&amp;REGLER!$I$18,"")&amp;IF(COUNTIFS(MATCHER!$B$5:$B$504,A337,MATCHER!$D$5:$D$504,C337,MATCHER!$J$5:$J$504,REGLER!$I$19,MATCHER!$K$5:$K$504,"Ja")+COUNTIFS(MATCHER!$B$5:$B$504,A337,MATCHER!$D$5:$D$504,C337,MATCHER!$J$5:$J$504,REGLER!$I$19&amp;" 2",MATCHER!$K$5:$K$504,"Ja")&gt;0,", "&amp;REGLER!$I$19,"")&amp;IF(COUNTIFS(MATCHER!$B$5:$B$504,A337,MATCHER!$D$5:$D$504,C337,MATCHER!$J$5:$J$504,REGLER!$I$20,MATCHER!$K$5:$K$504,"Ja")+COUNTIFS(MATCHER!$B$5:$B$504,A337,MATCHER!$D$5:$D$504,C337,MATCHER!$J$5:$J$504,REGLER!$I$20&amp;" 2",MATCHER!$K$5:$K$504,"Ja")&gt;0,", "&amp;REGLER!$I$20,"")&amp;IF(COUNTIFS(MATCHER!$B$5:$B$504,A337,MATCHER!$D$5:$D$504,C337,MATCHER!$J$5:$J$504,REGLER!$I$21,MATCHER!$K$5:$K$504,"Ja")+COUNTIFS(MATCHER!$B$5:$B$504,A337,MATCHER!$D$5:$D$504,C337,MATCHER!$J$5:$J$504,REGLER!$I$21&amp;" 2",MATCHER!$K$5:$K$504,"Ja")&gt;0,", "&amp;REGLER!$I$21,"")&amp;IF(COUNTIFS(MATCHER!$B$5:$B$504,A337,MATCHER!$D$5:$D$504,C337,MATCHER!$J$5:$J$504,REGLER!$I$22,MATCHER!$K$5:$K$504,"Ja")+COUNTIFS(MATCHER!$B$5:$B$504,A337,MATCHER!$D$5:$D$504,C337,MATCHER!$J$5:$J$504,REGLER!$I$22&amp;" 2",MATCHER!$K$5:$K$504,"Ja")&gt;0,", "&amp;REGLER!$I$22,"")&amp;IF(COUNTIFS(MATCHER!$B$5:$B$504,A337,MATCHER!$D$5:$D$504,C337,MATCHER!$J$5:$J$504,REGLER!$I$23,MATCHER!$K$5:$K$504,"Ja")+COUNTIFS(MATCHER!$B$5:$B$504,A337,MATCHER!$D$5:$D$504,C337,MATCHER!$J$5:$J$504,REGLER!$I$23&amp;" 2",MATCHER!$K$5:$K$504,"Ja")&gt;0,", "&amp;REGLER!$I$23,"")&amp;IF(COUNTIFS(MATCHER!$B$5:$B$504,A337,MATCHER!$D$5:$D$504,C337,MATCHER!$J$5:$J$504,REGLER!$I$24,MATCHER!$K$5:$K$504,"Ja")+COUNTIFS(MATCHER!$B$5:$B$504,A337,MATCHER!$D$5:$D$504,C337,MATCHER!$J$5:$J$504,REGLER!$I$24&amp;" 2",MATCHER!$K$5:$K$504,"Ja")&gt;0,", "&amp;REGLER!$I$24,"")&amp;IF(COUNTIFS(MATCHER!$B$5:$B$504,A337,MATCHER!$D$5:$D$504,C337,MATCHER!$J$5:$J$504,REGLER!$I$25,MATCHER!$K$5:$K$504,"Ja")+COUNTIFS(MATCHER!$B$5:$B$504,A337,MATCHER!$D$5:$D$504,C337,MATCHER!$J$5:$J$504,REGLER!$I$25&amp;" 2",MATCHER!$K$5:$K$504,"Ja")&gt;0,", "&amp;REGLER!$I$25,"")&amp;IF(COUNTIFS(MATCHER!$B$5:$B$504,A337,MATCHER!$D$5:$D$504,C337,MATCHER!$J$5:$J$504,REGLER!$I$26,MATCHER!$K$5:$K$504,"Ja")+COUNTIFS(MATCHER!$B$5:$B$504,A337,MATCHER!$D$5:$D$504,C337,MATCHER!$J$5:$J$504,REGLER!$I$26&amp;" 2",MATCHER!$K$5:$K$504,"Ja")&gt;0,", "&amp;REGLER!$I$26,""),3,1000)</f>
        <v>F14</v>
      </c>
      <c r="I337" s="46" t="s">
        <v>90</v>
      </c>
      <c r="J337" s="47" t="s">
        <v>103</v>
      </c>
      <c r="K337" s="48" t="s">
        <v>98</v>
      </c>
      <c r="L337" s="49"/>
      <c r="M337" s="50">
        <f>IF(O337&lt;&gt;O336,MAX(1,MIN(AA337,ROUNDUP(SUMPRODUCT(($O$5:$O$546=O337)*($I$5:$I$546="Ja")*($E$5:$E$546-$D$5:$D$546))*24/REGLER!$B$8,0))),"")</f>
        <v>1</v>
      </c>
      <c r="N337" s="50" t="str">
        <f t="shared" si="75"/>
        <v>Klar</v>
      </c>
      <c r="O337" s="15" t="s">
        <v>140</v>
      </c>
      <c r="P337" s="16">
        <v>0.39583333333333298</v>
      </c>
      <c r="Q337" s="16">
        <v>0.47916666666666702</v>
      </c>
      <c r="R337" s="15" t="str">
        <f>IFERROR(MATCH(1,INDEX((MATCHER!$B$5:$B$504=A337)*(MATCHER!$D$5:$D$504=C337)*(MATCHER!$K$5:$K$504="Ja")*(MATCHER!$C$5:$C$504&lt;E337)*(MATCHER!$M$5:$M$504&gt;D337),0),0),"")</f>
        <v/>
      </c>
      <c r="S337" s="15" t="str">
        <f>IF(R337="","",IFERROR(MATCH(1,INDEX((MATCHER!$B$5:$B$504=A337)*(MATCHER!$D$5:$D$504=C337)*(MATCHER!$K$5:$K$504="Ja")*(MATCHER!$C$5:$C$504&lt;E337)*(MATCHER!$M$5:$M$504&gt;D337)*(ROW(MATCHER!$A$5:$A$504)-ROW(MATCHER!$A$5)+1&gt;R337),0),0),""))</f>
        <v/>
      </c>
      <c r="T337" s="15" t="str">
        <f>IF(S337="","",IFERROR(MATCH(1,INDEX((MATCHER!$B$5:$B$504=A337)*(MATCHER!$D$5:$D$504=C337)*(MATCHER!$K$5:$K$504="Ja")*(MATCHER!$C$5:$C$504&lt;E337)*(MATCHER!$M$5:$M$504&gt;D337)*(ROW(MATCHER!$A$5:$A$504)-ROW(MATCHER!$A$5)+1&gt;S337),0),0),""))</f>
        <v/>
      </c>
      <c r="U337" s="15">
        <f t="shared" si="76"/>
        <v>1</v>
      </c>
      <c r="V337" s="15">
        <f>IF(OR(I337&lt;&gt;"Ja",J337=""),"",COUNTIFS($O$5:O337,O337,$U$5:U337,1))</f>
        <v>1</v>
      </c>
      <c r="W337" s="15" t="str">
        <f t="shared" si="77"/>
        <v>2027-01-16 | Ulriksdalshallen|1</v>
      </c>
      <c r="X337" s="16" t="str">
        <f t="shared" si="78"/>
        <v/>
      </c>
      <c r="Y337" s="15">
        <f>IF(OR(I337&lt;&gt;"Ja",J337=""),0,IF(COUNTIFS($O$5:O337,O337,$I$5:I337,"Ja",$J$5:J337,"&lt;&gt;")=1,1,0))</f>
        <v>1</v>
      </c>
      <c r="Z337" s="15">
        <f>IF(OR(I337&lt;&gt;"Ja",J337=""),0,IF(COUNTIFS(O337:$O$546,O337,I337:$I$546,"Ja",J337:$J$546,"&lt;&gt;")=1,1,0))</f>
        <v>0</v>
      </c>
      <c r="AA337" s="15">
        <f>IF(COUNTIFS(MATCHER!$B$5:$B$504,A337,MATCHER!$D$5:$D$504,C337,MATCHER!$J$5:$J$504,REGLER!$I$6,MATCHER!$K$5:$K$504,"Ja")+COUNTIFS(MATCHER!$B$5:$B$504,A337,MATCHER!$D$5:$D$504,C337,MATCHER!$J$5:$J$504,REGLER!$I$6&amp;" 2",MATCHER!$K$5:$K$504,"Ja")&gt;0,1,0)+IF(COUNTIFS(MATCHER!$B$5:$B$504,A337,MATCHER!$D$5:$D$504,C337,MATCHER!$J$5:$J$504,REGLER!$I$7,MATCHER!$K$5:$K$504,"Ja")+COUNTIFS(MATCHER!$B$5:$B$504,A337,MATCHER!$D$5:$D$504,C337,MATCHER!$J$5:$J$504,REGLER!$I$7&amp;" 2",MATCHER!$K$5:$K$504,"Ja")&gt;0,1,0)+IF(COUNTIFS(MATCHER!$B$5:$B$504,A337,MATCHER!$D$5:$D$504,C337,MATCHER!$J$5:$J$504,REGLER!$I$8,MATCHER!$K$5:$K$504,"Ja")+COUNTIFS(MATCHER!$B$5:$B$504,A337,MATCHER!$D$5:$D$504,C337,MATCHER!$J$5:$J$504,REGLER!$I$8&amp;" 2",MATCHER!$K$5:$K$504,"Ja")&gt;0,1,0)+IF(COUNTIFS(MATCHER!$B$5:$B$504,A337,MATCHER!$D$5:$D$504,C337,MATCHER!$J$5:$J$504,REGLER!$I$9,MATCHER!$K$5:$K$504,"Ja")+COUNTIFS(MATCHER!$B$5:$B$504,A337,MATCHER!$D$5:$D$504,C337,MATCHER!$J$5:$J$504,REGLER!$I$9&amp;" 2",MATCHER!$K$5:$K$504,"Ja")&gt;0,1,0)+IF(COUNTIFS(MATCHER!$B$5:$B$504,A337,MATCHER!$D$5:$D$504,C337,MATCHER!$J$5:$J$504,REGLER!$I$10,MATCHER!$K$5:$K$504,"Ja")+COUNTIFS(MATCHER!$B$5:$B$504,A337,MATCHER!$D$5:$D$504,C337,MATCHER!$J$5:$J$504,REGLER!$I$10&amp;" 2",MATCHER!$K$5:$K$504,"Ja")&gt;0,1,0)+IF(COUNTIFS(MATCHER!$B$5:$B$504,A337,MATCHER!$D$5:$D$504,C337,MATCHER!$J$5:$J$504,REGLER!$I$11,MATCHER!$K$5:$K$504,"Ja")+COUNTIFS(MATCHER!$B$5:$B$504,A337,MATCHER!$D$5:$D$504,C337,MATCHER!$J$5:$J$504,REGLER!$I$11&amp;" 2",MATCHER!$K$5:$K$504,"Ja")&gt;0,1,0)+IF(COUNTIFS(MATCHER!$B$5:$B$504,A337,MATCHER!$D$5:$D$504,C337,MATCHER!$J$5:$J$504,REGLER!$I$12,MATCHER!$K$5:$K$504,"Ja")+COUNTIFS(MATCHER!$B$5:$B$504,A337,MATCHER!$D$5:$D$504,C337,MATCHER!$J$5:$J$504,REGLER!$I$12&amp;" 2",MATCHER!$K$5:$K$504,"Ja")&gt;0,1,0)+IF(COUNTIFS(MATCHER!$B$5:$B$504,A337,MATCHER!$D$5:$D$504,C337,MATCHER!$J$5:$J$504,REGLER!$I$13,MATCHER!$K$5:$K$504,"Ja")+COUNTIFS(MATCHER!$B$5:$B$504,A337,MATCHER!$D$5:$D$504,C337,MATCHER!$J$5:$J$504,REGLER!$I$13&amp;" 2",MATCHER!$K$5:$K$504,"Ja")&gt;0,1,0)+IF(COUNTIFS(MATCHER!$B$5:$B$504,A337,MATCHER!$D$5:$D$504,C337,MATCHER!$J$5:$J$504,REGLER!$I$14,MATCHER!$K$5:$K$504,"Ja")+COUNTIFS(MATCHER!$B$5:$B$504,A337,MATCHER!$D$5:$D$504,C337,MATCHER!$J$5:$J$504,REGLER!$I$14&amp;" 2",MATCHER!$K$5:$K$504,"Ja")&gt;0,1,0)+IF(COUNTIFS(MATCHER!$B$5:$B$504,A337,MATCHER!$D$5:$D$504,C337,MATCHER!$J$5:$J$504,REGLER!$I$15,MATCHER!$K$5:$K$504,"Ja")+COUNTIFS(MATCHER!$B$5:$B$504,A337,MATCHER!$D$5:$D$504,C337,MATCHER!$J$5:$J$504,REGLER!$I$15&amp;" 2",MATCHER!$K$5:$K$504,"Ja")&gt;0,1,0)+IF(COUNTIFS(MATCHER!$B$5:$B$504,A337,MATCHER!$D$5:$D$504,C337,MATCHER!$J$5:$J$504,REGLER!$I$16,MATCHER!$K$5:$K$504,"Ja")+COUNTIFS(MATCHER!$B$5:$B$504,A337,MATCHER!$D$5:$D$504,C337,MATCHER!$J$5:$J$504,REGLER!$I$16&amp;" 2",MATCHER!$K$5:$K$504,"Ja")&gt;0,1,0)+IF(COUNTIFS(MATCHER!$B$5:$B$504,A337,MATCHER!$D$5:$D$504,C337,MATCHER!$J$5:$J$504,REGLER!$I$17,MATCHER!$K$5:$K$504,"Ja")+COUNTIFS(MATCHER!$B$5:$B$504,A337,MATCHER!$D$5:$D$504,C337,MATCHER!$J$5:$J$504,REGLER!$I$17&amp;" 2",MATCHER!$K$5:$K$504,"Ja")&gt;0,1,0)+IF(COUNTIFS(MATCHER!$B$5:$B$504,A337,MATCHER!$D$5:$D$504,C337,MATCHER!$J$5:$J$504,REGLER!$I$18,MATCHER!$K$5:$K$504,"Ja")+COUNTIFS(MATCHER!$B$5:$B$504,A337,MATCHER!$D$5:$D$504,C337,MATCHER!$J$5:$J$504,REGLER!$I$18&amp;" 2",MATCHER!$K$5:$K$504,"Ja")&gt;0,1,0)+IF(COUNTIFS(MATCHER!$B$5:$B$504,A337,MATCHER!$D$5:$D$504,C337,MATCHER!$J$5:$J$504,REGLER!$I$19,MATCHER!$K$5:$K$504,"Ja")+COUNTIFS(MATCHER!$B$5:$B$504,A337,MATCHER!$D$5:$D$504,C337,MATCHER!$J$5:$J$504,REGLER!$I$19&amp;" 2",MATCHER!$K$5:$K$504,"Ja")&gt;0,1,0)+IF(COUNTIFS(MATCHER!$B$5:$B$504,A337,MATCHER!$D$5:$D$504,C337,MATCHER!$J$5:$J$504,REGLER!$I$20,MATCHER!$K$5:$K$504,"Ja")+COUNTIFS(MATCHER!$B$5:$B$504,A337,MATCHER!$D$5:$D$504,C337,MATCHER!$J$5:$J$504,REGLER!$I$20&amp;" 2",MATCHER!$K$5:$K$504,"Ja")&gt;0,1,0)+IF(COUNTIFS(MATCHER!$B$5:$B$504,A337,MATCHER!$D$5:$D$504,C337,MATCHER!$J$5:$J$504,REGLER!$I$21,MATCHER!$K$5:$K$504,"Ja")+COUNTIFS(MATCHER!$B$5:$B$504,A337,MATCHER!$D$5:$D$504,C337,MATCHER!$J$5:$J$504,REGLER!$I$21&amp;" 2",MATCHER!$K$5:$K$504,"Ja")&gt;0,1,0)+IF(COUNTIFS(MATCHER!$B$5:$B$504,A337,MATCHER!$D$5:$D$504,C337,MATCHER!$J$5:$J$504,REGLER!$I$22,MATCHER!$K$5:$K$504,"Ja")+COUNTIFS(MATCHER!$B$5:$B$504,A337,MATCHER!$D$5:$D$504,C337,MATCHER!$J$5:$J$504,REGLER!$I$22&amp;" 2",MATCHER!$K$5:$K$504,"Ja")&gt;0,1,0)+IF(COUNTIFS(MATCHER!$B$5:$B$504,A337,MATCHER!$D$5:$D$504,C337,MATCHER!$J$5:$J$504,REGLER!$I$23,MATCHER!$K$5:$K$504,"Ja")+COUNTIFS(MATCHER!$B$5:$B$504,A337,MATCHER!$D$5:$D$504,C337,MATCHER!$J$5:$J$504,REGLER!$I$23&amp;" 2",MATCHER!$K$5:$K$504,"Ja")&gt;0,1,0)+IF(COUNTIFS(MATCHER!$B$5:$B$504,A337,MATCHER!$D$5:$D$504,C337,MATCHER!$J$5:$J$504,REGLER!$I$24,MATCHER!$K$5:$K$504,"Ja")+COUNTIFS(MATCHER!$B$5:$B$504,A337,MATCHER!$D$5:$D$504,C337,MATCHER!$J$5:$J$504,REGLER!$I$24&amp;" 2",MATCHER!$K$5:$K$504,"Ja")&gt;0,1,0)+IF(COUNTIFS(MATCHER!$B$5:$B$504,A337,MATCHER!$D$5:$D$504,C337,MATCHER!$J$5:$J$504,REGLER!$I$25,MATCHER!$K$5:$K$504,"Ja")+COUNTIFS(MATCHER!$B$5:$B$504,A337,MATCHER!$D$5:$D$504,C337,MATCHER!$J$5:$J$504,REGLER!$I$25&amp;" 2",MATCHER!$K$5:$K$504,"Ja")&gt;0,1,0)+IF(COUNTIFS(MATCHER!$B$5:$B$504,A337,MATCHER!$D$5:$D$504,C337,MATCHER!$J$5:$J$504,REGLER!$I$26,MATCHER!$K$5:$K$504,"Ja")+COUNTIFS(MATCHER!$B$5:$B$504,A337,MATCHER!$D$5:$D$504,C337,MATCHER!$J$5:$J$504,REGLER!$I$26&amp;" 2",MATCHER!$K$5:$K$504,"Ja")&gt;0,1,0)</f>
        <v>1</v>
      </c>
      <c r="AB337" s="15">
        <f>IF(U337&lt;&gt;1,"",COUNTIF($U$5:U337,1))</f>
        <v>39</v>
      </c>
      <c r="AC337" s="15" t="str">
        <f t="shared" si="79"/>
        <v/>
      </c>
      <c r="AD337" s="15" t="str">
        <f t="shared" si="80"/>
        <v>Minicafé</v>
      </c>
      <c r="AE337" s="15">
        <f t="shared" si="81"/>
        <v>2.0000000000000169</v>
      </c>
      <c r="AF337" t="str">
        <f>IF(T337="","",IFERROR(MATCH(1,INDEX((MATCHER!$B$5:$B$504=A337)*(MATCHER!$D$5:$D$504=C337)*(MATCHER!$K$5:$K$504="Ja")*(MATCHER!$C$5:$C$504&lt;E337)*(MATCHER!$M$5:$M$504&gt;D337)*(ROW(MATCHER!$A$5:$A$504)-ROW(MATCHER!$A$5)+1&gt;T337),0),0),""))</f>
        <v/>
      </c>
    </row>
    <row r="338" spans="1:32" ht="26">
      <c r="A338" s="42">
        <v>46403</v>
      </c>
      <c r="B338" s="43" t="s">
        <v>85</v>
      </c>
      <c r="C338" s="43" t="s">
        <v>86</v>
      </c>
      <c r="D338" s="44">
        <v>0.41666666666666702</v>
      </c>
      <c r="E338" s="44">
        <v>0.4375</v>
      </c>
      <c r="F338" s="45" t="str">
        <f>IF(R338="","",HOUR(INDEX(MATCHER!$C$5:$C$504,R338))&amp;":"&amp;IF(MINUTE(INDEX(MATCHER!$C$5:$C$504,R338))&lt;10,"0","")&amp;MINUTE(INDEX(MATCHER!$C$5:$C$504,R338))&amp;" "&amp;INDEX(MATCHER!$H$5:$H$504,R338)&amp;" – "&amp;INDEX(MATCHER!$I$5:$I$504,R338))&amp;IF(S338="",""," | "&amp;HOUR(INDEX(MATCHER!$C$5:$C$504,S338))&amp;":"&amp;IF(MINUTE(INDEX(MATCHER!$C$5:$C$504,S338))&lt;10,"0","")&amp;MINUTE(INDEX(MATCHER!$C$5:$C$504,S338))&amp;" "&amp;INDEX(MATCHER!$H$5:$H$504,S338)&amp;" – "&amp;INDEX(MATCHER!$I$5:$I$504,S338))&amp;IF(T338="",""," | "&amp;HOUR(INDEX(MATCHER!$C$5:$C$504,T338))&amp;":"&amp;IF(MINUTE(INDEX(MATCHER!$C$5:$C$504,T338))&lt;10,"0","")&amp;MINUTE(INDEX(MATCHER!$C$5:$C$504,T338))&amp;" "&amp;INDEX(MATCHER!$H$5:$H$504,T338)&amp;" – "&amp;INDEX(MATCHER!$I$5:$I$504,T338))&amp;IF(AF338="",""," | "&amp;HOUR(INDEX(MATCHER!$C$5:$C$504,AF338))&amp;":"&amp;IF(MINUTE(INDEX(MATCHER!$C$5:$C$504,AF338))&lt;10,"0","")&amp;MINUTE(INDEX(MATCHER!$C$5:$C$504,AF338))&amp;" "&amp;INDEX(MATCHER!$H$5:$H$504,AF338)&amp;" – "&amp;INDEX(MATCHER!$I$5:$I$504,AF338))</f>
        <v>10:20 AIK – Skuru IK 4</v>
      </c>
      <c r="G338" s="45" t="str">
        <f>MID(IF(R338="","",IF(OR(INDEX(MATCHER!$J$5:$J$504,R338)=""),""," / "&amp;INDEX(MATCHER!$J$5:$J$504,R338)))&amp;IF(S338="","",IF(OR(INDEX(MATCHER!$J$5:$J$504,S338)="",INDEX(MATCHER!$J$5:$J$504,S338)=IFERROR(INDEX(MATCHER!$J$5:$J$504,R338),"")),""," / "&amp;INDEX(MATCHER!$J$5:$J$504,S338)))&amp;IF(T338="","",IF(OR(INDEX(MATCHER!$J$5:$J$504,T338)="",INDEX(MATCHER!$J$5:$J$504,T338)=IFERROR(INDEX(MATCHER!$J$5:$J$504,R338),""),INDEX(MATCHER!$J$5:$J$504,T338)=IFERROR(INDEX(MATCHER!$J$5:$J$504,S338),"")),""," / "&amp;INDEX(MATCHER!$J$5:$J$504,T338)))&amp;IF(AF338="","",IF(OR(INDEX(MATCHER!$J$5:$J$504,AF338)="",INDEX(MATCHER!$J$5:$J$504,AF338)=IFERROR(INDEX(MATCHER!$J$5:$J$504,R338),""),INDEX(MATCHER!$J$5:$J$504,AF338)=IFERROR(INDEX(MATCHER!$J$5:$J$504,S338),""),INDEX(MATCHER!$J$5:$J$504,AF338)=IFERROR(INDEX(MATCHER!$J$5:$J$504,T338),"")),""," / "&amp;INDEX(MATCHER!$J$5:$J$504,AF338))),4,1000)</f>
        <v>F14</v>
      </c>
      <c r="H338" s="45" t="str">
        <f>H337</f>
        <v>F14</v>
      </c>
      <c r="I338" s="46" t="s">
        <v>90</v>
      </c>
      <c r="J338" s="47" t="s">
        <v>103</v>
      </c>
      <c r="K338" s="48"/>
      <c r="L338" s="49"/>
      <c r="M338" s="50" t="str">
        <f>IF(O338&lt;&gt;O337,MAX(1,MIN(AA338,ROUNDUP(SUMPRODUCT(($O$5:$O$546=O338)*($I$5:$I$546="Ja")*($E$5:$E$546-$D$5:$D$546))*24/REGLER!$B$8,0))),"")</f>
        <v/>
      </c>
      <c r="N338" s="50" t="str">
        <f t="shared" si="75"/>
        <v>Klar</v>
      </c>
      <c r="O338" s="15" t="s">
        <v>140</v>
      </c>
      <c r="P338" s="16">
        <v>0.39583333333333298</v>
      </c>
      <c r="Q338" s="16">
        <v>0.47916666666666702</v>
      </c>
      <c r="R338" s="15">
        <f>IFERROR(MATCH(1,INDEX((MATCHER!$B$5:$B$504=A338)*(MATCHER!$D$5:$D$504=C338)*(MATCHER!$K$5:$K$504="Ja")*(MATCHER!$C$5:$C$504&lt;E338)*(MATCHER!$M$5:$M$504&gt;D338),0),0),"")</f>
        <v>129</v>
      </c>
      <c r="S338" s="15" t="str">
        <f>IF(R338="","",IFERROR(MATCH(1,INDEX((MATCHER!$B$5:$B$504=A338)*(MATCHER!$D$5:$D$504=C338)*(MATCHER!$K$5:$K$504="Ja")*(MATCHER!$C$5:$C$504&lt;E338)*(MATCHER!$M$5:$M$504&gt;D338)*(ROW(MATCHER!$A$5:$A$504)-ROW(MATCHER!$A$5)+1&gt;R338),0),0),""))</f>
        <v/>
      </c>
      <c r="T338" s="15" t="str">
        <f>IF(S338="","",IFERROR(MATCH(1,INDEX((MATCHER!$B$5:$B$504=A338)*(MATCHER!$D$5:$D$504=C338)*(MATCHER!$K$5:$K$504="Ja")*(MATCHER!$C$5:$C$504&lt;E338)*(MATCHER!$M$5:$M$504&gt;D338)*(ROW(MATCHER!$A$5:$A$504)-ROW(MATCHER!$A$5)+1&gt;S338),0),0),""))</f>
        <v/>
      </c>
      <c r="U338" s="15">
        <f t="shared" si="76"/>
        <v>0</v>
      </c>
      <c r="V338" s="15">
        <f>IF(OR(I338&lt;&gt;"Ja",J338=""),"",COUNTIFS($O$5:O338,O338,$U$5:U338,1))</f>
        <v>1</v>
      </c>
      <c r="W338" s="15" t="str">
        <f t="shared" si="77"/>
        <v>2027-01-16 | Ulriksdalshallen|1</v>
      </c>
      <c r="X338" s="16" t="str">
        <f t="shared" si="78"/>
        <v/>
      </c>
      <c r="Y338" s="15">
        <f>IF(OR(I338&lt;&gt;"Ja",J338=""),0,IF(COUNTIFS($O$5:O338,O338,$I$5:I338,"Ja",$J$5:J338,"&lt;&gt;")=1,1,0))</f>
        <v>0</v>
      </c>
      <c r="Z338" s="15">
        <f>IF(OR(I338&lt;&gt;"Ja",J338=""),0,IF(COUNTIFS(O338:$O$546,O338,I338:$I$546,"Ja",J338:$J$546,"&lt;&gt;")=1,1,0))</f>
        <v>0</v>
      </c>
      <c r="AA338" s="15">
        <f>AA337</f>
        <v>1</v>
      </c>
      <c r="AB338" s="15" t="str">
        <f>IF(U338&lt;&gt;1,"",COUNTIF($U$5:U338,1))</f>
        <v/>
      </c>
      <c r="AC338" s="15" t="str">
        <f t="shared" si="79"/>
        <v/>
      </c>
      <c r="AD338" s="15" t="str">
        <f t="shared" si="80"/>
        <v>Minicafé</v>
      </c>
      <c r="AE338" s="15" t="str">
        <f t="shared" si="81"/>
        <v/>
      </c>
      <c r="AF338" t="str">
        <f>IF(T338="","",IFERROR(MATCH(1,INDEX((MATCHER!$B$5:$B$504=A338)*(MATCHER!$D$5:$D$504=C338)*(MATCHER!$K$5:$K$504="Ja")*(MATCHER!$C$5:$C$504&lt;E338)*(MATCHER!$M$5:$M$504&gt;D338)*(ROW(MATCHER!$A$5:$A$504)-ROW(MATCHER!$A$5)+1&gt;T338),0),0),""))</f>
        <v/>
      </c>
    </row>
    <row r="339" spans="1:32" ht="26">
      <c r="A339" s="42">
        <v>46403</v>
      </c>
      <c r="B339" s="43" t="s">
        <v>85</v>
      </c>
      <c r="C339" s="43" t="s">
        <v>86</v>
      </c>
      <c r="D339" s="44">
        <v>0.4375</v>
      </c>
      <c r="E339" s="44">
        <v>0.45833333333333298</v>
      </c>
      <c r="F339" s="45" t="str">
        <f>IF(R339="","",HOUR(INDEX(MATCHER!$C$5:$C$504,R339))&amp;":"&amp;IF(MINUTE(INDEX(MATCHER!$C$5:$C$504,R339))&lt;10,"0","")&amp;MINUTE(INDEX(MATCHER!$C$5:$C$504,R339))&amp;" "&amp;INDEX(MATCHER!$H$5:$H$504,R339)&amp;" – "&amp;INDEX(MATCHER!$I$5:$I$504,R339))&amp;IF(S339="",""," | "&amp;HOUR(INDEX(MATCHER!$C$5:$C$504,S339))&amp;":"&amp;IF(MINUTE(INDEX(MATCHER!$C$5:$C$504,S339))&lt;10,"0","")&amp;MINUTE(INDEX(MATCHER!$C$5:$C$504,S339))&amp;" "&amp;INDEX(MATCHER!$H$5:$H$504,S339)&amp;" – "&amp;INDEX(MATCHER!$I$5:$I$504,S339))&amp;IF(T339="",""," | "&amp;HOUR(INDEX(MATCHER!$C$5:$C$504,T339))&amp;":"&amp;IF(MINUTE(INDEX(MATCHER!$C$5:$C$504,T339))&lt;10,"0","")&amp;MINUTE(INDEX(MATCHER!$C$5:$C$504,T339))&amp;" "&amp;INDEX(MATCHER!$H$5:$H$504,T339)&amp;" – "&amp;INDEX(MATCHER!$I$5:$I$504,T339))&amp;IF(AF339="",""," | "&amp;HOUR(INDEX(MATCHER!$C$5:$C$504,AF339))&amp;":"&amp;IF(MINUTE(INDEX(MATCHER!$C$5:$C$504,AF339))&lt;10,"0","")&amp;MINUTE(INDEX(MATCHER!$C$5:$C$504,AF339))&amp;" "&amp;INDEX(MATCHER!$H$5:$H$504,AF339)&amp;" – "&amp;INDEX(MATCHER!$I$5:$I$504,AF339))</f>
        <v>10:20 AIK – Skuru IK 4</v>
      </c>
      <c r="G339" s="45" t="str">
        <f>MID(IF(R339="","",IF(OR(INDEX(MATCHER!$J$5:$J$504,R339)=""),""," / "&amp;INDEX(MATCHER!$J$5:$J$504,R339)))&amp;IF(S339="","",IF(OR(INDEX(MATCHER!$J$5:$J$504,S339)="",INDEX(MATCHER!$J$5:$J$504,S339)=IFERROR(INDEX(MATCHER!$J$5:$J$504,R339),"")),""," / "&amp;INDEX(MATCHER!$J$5:$J$504,S339)))&amp;IF(T339="","",IF(OR(INDEX(MATCHER!$J$5:$J$504,T339)="",INDEX(MATCHER!$J$5:$J$504,T339)=IFERROR(INDEX(MATCHER!$J$5:$J$504,R339),""),INDEX(MATCHER!$J$5:$J$504,T339)=IFERROR(INDEX(MATCHER!$J$5:$J$504,S339),"")),""," / "&amp;INDEX(MATCHER!$J$5:$J$504,T339)))&amp;IF(AF339="","",IF(OR(INDEX(MATCHER!$J$5:$J$504,AF339)="",INDEX(MATCHER!$J$5:$J$504,AF339)=IFERROR(INDEX(MATCHER!$J$5:$J$504,R339),""),INDEX(MATCHER!$J$5:$J$504,AF339)=IFERROR(INDEX(MATCHER!$J$5:$J$504,S339),""),INDEX(MATCHER!$J$5:$J$504,AF339)=IFERROR(INDEX(MATCHER!$J$5:$J$504,T339),"")),""," / "&amp;INDEX(MATCHER!$J$5:$J$504,AF339))),4,1000)</f>
        <v>F14</v>
      </c>
      <c r="H339" s="45" t="str">
        <f>H338</f>
        <v>F14</v>
      </c>
      <c r="I339" s="46" t="s">
        <v>90</v>
      </c>
      <c r="J339" s="47" t="s">
        <v>103</v>
      </c>
      <c r="K339" s="48"/>
      <c r="L339" s="49"/>
      <c r="M339" s="50" t="str">
        <f>IF(O339&lt;&gt;O338,MAX(1,MIN(AA339,ROUNDUP(SUMPRODUCT(($O$5:$O$546=O339)*($I$5:$I$546="Ja")*($E$5:$E$546-$D$5:$D$546))*24/REGLER!$B$8,0))),"")</f>
        <v/>
      </c>
      <c r="N339" s="50" t="str">
        <f t="shared" si="75"/>
        <v>Klar</v>
      </c>
      <c r="O339" s="15" t="s">
        <v>140</v>
      </c>
      <c r="P339" s="16">
        <v>0.39583333333333298</v>
      </c>
      <c r="Q339" s="16">
        <v>0.47916666666666702</v>
      </c>
      <c r="R339" s="15">
        <f>IFERROR(MATCH(1,INDEX((MATCHER!$B$5:$B$504=A339)*(MATCHER!$D$5:$D$504=C339)*(MATCHER!$K$5:$K$504="Ja")*(MATCHER!$C$5:$C$504&lt;E339)*(MATCHER!$M$5:$M$504&gt;D339),0),0),"")</f>
        <v>129</v>
      </c>
      <c r="S339" s="15" t="str">
        <f>IF(R339="","",IFERROR(MATCH(1,INDEX((MATCHER!$B$5:$B$504=A339)*(MATCHER!$D$5:$D$504=C339)*(MATCHER!$K$5:$K$504="Ja")*(MATCHER!$C$5:$C$504&lt;E339)*(MATCHER!$M$5:$M$504&gt;D339)*(ROW(MATCHER!$A$5:$A$504)-ROW(MATCHER!$A$5)+1&gt;R339),0),0),""))</f>
        <v/>
      </c>
      <c r="T339" s="15" t="str">
        <f>IF(S339="","",IFERROR(MATCH(1,INDEX((MATCHER!$B$5:$B$504=A339)*(MATCHER!$D$5:$D$504=C339)*(MATCHER!$K$5:$K$504="Ja")*(MATCHER!$C$5:$C$504&lt;E339)*(MATCHER!$M$5:$M$504&gt;D339)*(ROW(MATCHER!$A$5:$A$504)-ROW(MATCHER!$A$5)+1&gt;S339),0),0),""))</f>
        <v/>
      </c>
      <c r="U339" s="15">
        <f t="shared" si="76"/>
        <v>0</v>
      </c>
      <c r="V339" s="15">
        <f>IF(OR(I339&lt;&gt;"Ja",J339=""),"",COUNTIFS($O$5:O339,O339,$U$5:U339,1))</f>
        <v>1</v>
      </c>
      <c r="W339" s="15" t="str">
        <f t="shared" si="77"/>
        <v>2027-01-16 | Ulriksdalshallen|1</v>
      </c>
      <c r="X339" s="16" t="str">
        <f t="shared" si="78"/>
        <v/>
      </c>
      <c r="Y339" s="15">
        <f>IF(OR(I339&lt;&gt;"Ja",J339=""),0,IF(COUNTIFS($O$5:O339,O339,$I$5:I339,"Ja",$J$5:J339,"&lt;&gt;")=1,1,0))</f>
        <v>0</v>
      </c>
      <c r="Z339" s="15">
        <f>IF(OR(I339&lt;&gt;"Ja",J339=""),0,IF(COUNTIFS(O339:$O$546,O339,I339:$I$546,"Ja",J339:$J$546,"&lt;&gt;")=1,1,0))</f>
        <v>0</v>
      </c>
      <c r="AA339" s="15">
        <f>AA338</f>
        <v>1</v>
      </c>
      <c r="AB339" s="15" t="str">
        <f>IF(U339&lt;&gt;1,"",COUNTIF($U$5:U339,1))</f>
        <v/>
      </c>
      <c r="AC339" s="15" t="str">
        <f t="shared" si="79"/>
        <v/>
      </c>
      <c r="AD339" s="15" t="str">
        <f t="shared" si="80"/>
        <v>Minicafé</v>
      </c>
      <c r="AE339" s="15" t="str">
        <f t="shared" si="81"/>
        <v/>
      </c>
      <c r="AF339" t="str">
        <f>IF(T339="","",IFERROR(MATCH(1,INDEX((MATCHER!$B$5:$B$504=A339)*(MATCHER!$D$5:$D$504=C339)*(MATCHER!$K$5:$K$504="Ja")*(MATCHER!$C$5:$C$504&lt;E339)*(MATCHER!$M$5:$M$504&gt;D339)*(ROW(MATCHER!$A$5:$A$504)-ROW(MATCHER!$A$5)+1&gt;T339),0),0),""))</f>
        <v/>
      </c>
    </row>
    <row r="340" spans="1:32" ht="26.5" thickBot="1">
      <c r="A340" s="52">
        <v>46403</v>
      </c>
      <c r="B340" s="53" t="s">
        <v>85</v>
      </c>
      <c r="C340" s="53" t="s">
        <v>86</v>
      </c>
      <c r="D340" s="54">
        <v>0.45833333333333298</v>
      </c>
      <c r="E340" s="54">
        <v>0.47916666666666702</v>
      </c>
      <c r="F340" s="55" t="str">
        <f>IF(R340="","",HOUR(INDEX(MATCHER!$C$5:$C$504,R340))&amp;":"&amp;IF(MINUTE(INDEX(MATCHER!$C$5:$C$504,R340))&lt;10,"0","")&amp;MINUTE(INDEX(MATCHER!$C$5:$C$504,R340))&amp;" "&amp;INDEX(MATCHER!$H$5:$H$504,R340)&amp;" – "&amp;INDEX(MATCHER!$I$5:$I$504,R340))&amp;IF(S340="",""," | "&amp;HOUR(INDEX(MATCHER!$C$5:$C$504,S340))&amp;":"&amp;IF(MINUTE(INDEX(MATCHER!$C$5:$C$504,S340))&lt;10,"0","")&amp;MINUTE(INDEX(MATCHER!$C$5:$C$504,S340))&amp;" "&amp;INDEX(MATCHER!$H$5:$H$504,S340)&amp;" – "&amp;INDEX(MATCHER!$I$5:$I$504,S340))&amp;IF(T340="",""," | "&amp;HOUR(INDEX(MATCHER!$C$5:$C$504,T340))&amp;":"&amp;IF(MINUTE(INDEX(MATCHER!$C$5:$C$504,T340))&lt;10,"0","")&amp;MINUTE(INDEX(MATCHER!$C$5:$C$504,T340))&amp;" "&amp;INDEX(MATCHER!$H$5:$H$504,T340)&amp;" – "&amp;INDEX(MATCHER!$I$5:$I$504,T340))&amp;IF(AF340="",""," | "&amp;HOUR(INDEX(MATCHER!$C$5:$C$504,AF340))&amp;":"&amp;IF(MINUTE(INDEX(MATCHER!$C$5:$C$504,AF340))&lt;10,"0","")&amp;MINUTE(INDEX(MATCHER!$C$5:$C$504,AF340))&amp;" "&amp;INDEX(MATCHER!$H$5:$H$504,AF340)&amp;" – "&amp;INDEX(MATCHER!$I$5:$I$504,AF340))</f>
        <v>10:20 AIK – Skuru IK 4</v>
      </c>
      <c r="G340" s="55" t="str">
        <f>MID(IF(R340="","",IF(OR(INDEX(MATCHER!$J$5:$J$504,R340)=""),""," / "&amp;INDEX(MATCHER!$J$5:$J$504,R340)))&amp;IF(S340="","",IF(OR(INDEX(MATCHER!$J$5:$J$504,S340)="",INDEX(MATCHER!$J$5:$J$504,S340)=IFERROR(INDEX(MATCHER!$J$5:$J$504,R340),"")),""," / "&amp;INDEX(MATCHER!$J$5:$J$504,S340)))&amp;IF(T340="","",IF(OR(INDEX(MATCHER!$J$5:$J$504,T340)="",INDEX(MATCHER!$J$5:$J$504,T340)=IFERROR(INDEX(MATCHER!$J$5:$J$504,R340),""),INDEX(MATCHER!$J$5:$J$504,T340)=IFERROR(INDEX(MATCHER!$J$5:$J$504,S340),"")),""," / "&amp;INDEX(MATCHER!$J$5:$J$504,T340)))&amp;IF(AF340="","",IF(OR(INDEX(MATCHER!$J$5:$J$504,AF340)="",INDEX(MATCHER!$J$5:$J$504,AF340)=IFERROR(INDEX(MATCHER!$J$5:$J$504,R340),""),INDEX(MATCHER!$J$5:$J$504,AF340)=IFERROR(INDEX(MATCHER!$J$5:$J$504,S340),""),INDEX(MATCHER!$J$5:$J$504,AF340)=IFERROR(INDEX(MATCHER!$J$5:$J$504,T340),"")),""," / "&amp;INDEX(MATCHER!$J$5:$J$504,AF340))),4,1000)</f>
        <v>F14</v>
      </c>
      <c r="H340" s="55" t="str">
        <f>H339</f>
        <v>F14</v>
      </c>
      <c r="I340" s="56" t="s">
        <v>90</v>
      </c>
      <c r="J340" s="57" t="s">
        <v>103</v>
      </c>
      <c r="K340" s="58"/>
      <c r="L340" s="59"/>
      <c r="M340" s="60" t="str">
        <f>IF(O340&lt;&gt;O339,MAX(1,MIN(AA340,ROUNDUP(SUMPRODUCT(($O$5:$O$546=O340)*($I$5:$I$546="Ja")*($E$5:$E$546-$D$5:$D$546))*24/REGLER!$B$8,0))),"")</f>
        <v/>
      </c>
      <c r="N340" s="60" t="str">
        <f t="shared" si="75"/>
        <v>Klar</v>
      </c>
      <c r="O340" s="15" t="s">
        <v>140</v>
      </c>
      <c r="P340" s="16">
        <v>0.39583333333333298</v>
      </c>
      <c r="Q340" s="16">
        <v>0.47916666666666702</v>
      </c>
      <c r="R340" s="15">
        <f>IFERROR(MATCH(1,INDEX((MATCHER!$B$5:$B$504=A340)*(MATCHER!$D$5:$D$504=C340)*(MATCHER!$K$5:$K$504="Ja")*(MATCHER!$C$5:$C$504&lt;E340)*(MATCHER!$M$5:$M$504&gt;D340),0),0),"")</f>
        <v>129</v>
      </c>
      <c r="S340" s="15" t="str">
        <f>IF(R340="","",IFERROR(MATCH(1,INDEX((MATCHER!$B$5:$B$504=A340)*(MATCHER!$D$5:$D$504=C340)*(MATCHER!$K$5:$K$504="Ja")*(MATCHER!$C$5:$C$504&lt;E340)*(MATCHER!$M$5:$M$504&gt;D340)*(ROW(MATCHER!$A$5:$A$504)-ROW(MATCHER!$A$5)+1&gt;R340),0),0),""))</f>
        <v/>
      </c>
      <c r="T340" s="15" t="str">
        <f>IF(S340="","",IFERROR(MATCH(1,INDEX((MATCHER!$B$5:$B$504=A340)*(MATCHER!$D$5:$D$504=C340)*(MATCHER!$K$5:$K$504="Ja")*(MATCHER!$C$5:$C$504&lt;E340)*(MATCHER!$M$5:$M$504&gt;D340)*(ROW(MATCHER!$A$5:$A$504)-ROW(MATCHER!$A$5)+1&gt;S340),0),0),""))</f>
        <v/>
      </c>
      <c r="U340" s="15">
        <f t="shared" si="76"/>
        <v>0</v>
      </c>
      <c r="V340" s="15">
        <f>IF(OR(I340&lt;&gt;"Ja",J340=""),"",COUNTIFS($O$5:O340,O340,$U$5:U340,1))</f>
        <v>1</v>
      </c>
      <c r="W340" s="15" t="str">
        <f t="shared" si="77"/>
        <v>2027-01-16 | Ulriksdalshallen|1</v>
      </c>
      <c r="X340" s="16">
        <f t="shared" si="78"/>
        <v>0.47916666666666702</v>
      </c>
      <c r="Y340" s="15">
        <f>IF(OR(I340&lt;&gt;"Ja",J340=""),0,IF(COUNTIFS($O$5:O340,O340,$I$5:I340,"Ja",$J$5:J340,"&lt;&gt;")=1,1,0))</f>
        <v>0</v>
      </c>
      <c r="Z340" s="15">
        <f>IF(OR(I340&lt;&gt;"Ja",J340=""),0,IF(COUNTIFS(O340:$O$546,O340,I340:$I$546,"Ja",J340:$J$546,"&lt;&gt;")=1,1,0))</f>
        <v>1</v>
      </c>
      <c r="AA340" s="15">
        <f>AA339</f>
        <v>1</v>
      </c>
      <c r="AB340" s="15" t="str">
        <f>IF(U340&lt;&gt;1,"",COUNTIF($U$5:U340,1))</f>
        <v/>
      </c>
      <c r="AC340" s="15" t="str">
        <f t="shared" si="79"/>
        <v>2027-01-16 | Ulriksdalshallen|1</v>
      </c>
      <c r="AD340" s="15" t="str">
        <f t="shared" si="80"/>
        <v>Minicafé</v>
      </c>
      <c r="AE340" s="15" t="str">
        <f t="shared" si="81"/>
        <v/>
      </c>
      <c r="AF340" t="str">
        <f>IF(T340="","",IFERROR(MATCH(1,INDEX((MATCHER!$B$5:$B$504=A340)*(MATCHER!$D$5:$D$504=C340)*(MATCHER!$K$5:$K$504="Ja")*(MATCHER!$C$5:$C$504&lt;E340)*(MATCHER!$M$5:$M$504&gt;D340)*(ROW(MATCHER!$A$5:$A$504)-ROW(MATCHER!$A$5)+1&gt;T340),0),0),""))</f>
        <v/>
      </c>
    </row>
    <row r="341" spans="1:32" ht="26">
      <c r="A341" s="42">
        <v>46407</v>
      </c>
      <c r="B341" s="43" t="s">
        <v>141</v>
      </c>
      <c r="C341" s="43" t="s">
        <v>86</v>
      </c>
      <c r="D341" s="44">
        <v>0.70833333333333304</v>
      </c>
      <c r="E341" s="44">
        <v>0.72916666666666696</v>
      </c>
      <c r="F341" s="45" t="str">
        <f>IF(R341="","",HOUR(INDEX(MATCHER!$C$5:$C$504,R341))&amp;":"&amp;IF(MINUTE(INDEX(MATCHER!$C$5:$C$504,R341))&lt;10,"0","")&amp;MINUTE(INDEX(MATCHER!$C$5:$C$504,R341))&amp;" "&amp;INDEX(MATCHER!$H$5:$H$504,R341)&amp;" – "&amp;INDEX(MATCHER!$I$5:$I$504,R341))&amp;IF(S341="",""," | "&amp;HOUR(INDEX(MATCHER!$C$5:$C$504,S341))&amp;":"&amp;IF(MINUTE(INDEX(MATCHER!$C$5:$C$504,S341))&lt;10,"0","")&amp;MINUTE(INDEX(MATCHER!$C$5:$C$504,S341))&amp;" "&amp;INDEX(MATCHER!$H$5:$H$504,S341)&amp;" – "&amp;INDEX(MATCHER!$I$5:$I$504,S341))&amp;IF(T341="",""," | "&amp;HOUR(INDEX(MATCHER!$C$5:$C$504,T341))&amp;":"&amp;IF(MINUTE(INDEX(MATCHER!$C$5:$C$504,T341))&lt;10,"0","")&amp;MINUTE(INDEX(MATCHER!$C$5:$C$504,T341))&amp;" "&amp;INDEX(MATCHER!$H$5:$H$504,T341)&amp;" – "&amp;INDEX(MATCHER!$I$5:$I$504,T341))&amp;IF(AF341="",""," | "&amp;HOUR(INDEX(MATCHER!$C$5:$C$504,AF341))&amp;":"&amp;IF(MINUTE(INDEX(MATCHER!$C$5:$C$504,AF341))&lt;10,"0","")&amp;MINUTE(INDEX(MATCHER!$C$5:$C$504,AF341))&amp;" "&amp;INDEX(MATCHER!$H$5:$H$504,AF341)&amp;" – "&amp;INDEX(MATCHER!$I$5:$I$504,AF341))</f>
        <v/>
      </c>
      <c r="G341" s="45" t="str">
        <f>MID(IF(R341="","",IF(OR(INDEX(MATCHER!$J$5:$J$504,R341)=""),""," / "&amp;INDEX(MATCHER!$J$5:$J$504,R341)))&amp;IF(S341="","",IF(OR(INDEX(MATCHER!$J$5:$J$504,S341)="",INDEX(MATCHER!$J$5:$J$504,S341)=IFERROR(INDEX(MATCHER!$J$5:$J$504,R341),"")),""," / "&amp;INDEX(MATCHER!$J$5:$J$504,S341)))&amp;IF(T341="","",IF(OR(INDEX(MATCHER!$J$5:$J$504,T341)="",INDEX(MATCHER!$J$5:$J$504,T341)=IFERROR(INDEX(MATCHER!$J$5:$J$504,R341),""),INDEX(MATCHER!$J$5:$J$504,T341)=IFERROR(INDEX(MATCHER!$J$5:$J$504,S341),"")),""," / "&amp;INDEX(MATCHER!$J$5:$J$504,T341)))&amp;IF(AF341="","",IF(OR(INDEX(MATCHER!$J$5:$J$504,AF341)="",INDEX(MATCHER!$J$5:$J$504,AF341)=IFERROR(INDEX(MATCHER!$J$5:$J$504,R341),""),INDEX(MATCHER!$J$5:$J$504,AF341)=IFERROR(INDEX(MATCHER!$J$5:$J$504,S341),""),INDEX(MATCHER!$J$5:$J$504,AF341)=IFERROR(INDEX(MATCHER!$J$5:$J$504,T341),"")),""," / "&amp;INDEX(MATCHER!$J$5:$J$504,AF341))),4,1000)</f>
        <v/>
      </c>
      <c r="H341" s="45" t="str">
        <f>MID(IF(COUNTIFS(MATCHER!$B$5:$B$504,A341,MATCHER!$D$5:$D$504,C341,MATCHER!$J$5:$J$504,REGLER!$I$6,MATCHER!$K$5:$K$504,"Ja")+COUNTIFS(MATCHER!$B$5:$B$504,A341,MATCHER!$D$5:$D$504,C341,MATCHER!$J$5:$J$504,REGLER!$I$6&amp;" 2",MATCHER!$K$5:$K$504,"Ja")&gt;0,", "&amp;REGLER!$I$6,"")&amp;IF(COUNTIFS(MATCHER!$B$5:$B$504,A341,MATCHER!$D$5:$D$504,C341,MATCHER!$J$5:$J$504,REGLER!$I$7,MATCHER!$K$5:$K$504,"Ja")+COUNTIFS(MATCHER!$B$5:$B$504,A341,MATCHER!$D$5:$D$504,C341,MATCHER!$J$5:$J$504,REGLER!$I$7&amp;" 2",MATCHER!$K$5:$K$504,"Ja")&gt;0,", "&amp;REGLER!$I$7,"")&amp;IF(COUNTIFS(MATCHER!$B$5:$B$504,A341,MATCHER!$D$5:$D$504,C341,MATCHER!$J$5:$J$504,REGLER!$I$8,MATCHER!$K$5:$K$504,"Ja")+COUNTIFS(MATCHER!$B$5:$B$504,A341,MATCHER!$D$5:$D$504,C341,MATCHER!$J$5:$J$504,REGLER!$I$8&amp;" 2",MATCHER!$K$5:$K$504,"Ja")&gt;0,", "&amp;REGLER!$I$8,"")&amp;IF(COUNTIFS(MATCHER!$B$5:$B$504,A341,MATCHER!$D$5:$D$504,C341,MATCHER!$J$5:$J$504,REGLER!$I$9,MATCHER!$K$5:$K$504,"Ja")+COUNTIFS(MATCHER!$B$5:$B$504,A341,MATCHER!$D$5:$D$504,C341,MATCHER!$J$5:$J$504,REGLER!$I$9&amp;" 2",MATCHER!$K$5:$K$504,"Ja")&gt;0,", "&amp;REGLER!$I$9,"")&amp;IF(COUNTIFS(MATCHER!$B$5:$B$504,A341,MATCHER!$D$5:$D$504,C341,MATCHER!$J$5:$J$504,REGLER!$I$10,MATCHER!$K$5:$K$504,"Ja")+COUNTIFS(MATCHER!$B$5:$B$504,A341,MATCHER!$D$5:$D$504,C341,MATCHER!$J$5:$J$504,REGLER!$I$10&amp;" 2",MATCHER!$K$5:$K$504,"Ja")&gt;0,", "&amp;REGLER!$I$10,"")&amp;IF(COUNTIFS(MATCHER!$B$5:$B$504,A341,MATCHER!$D$5:$D$504,C341,MATCHER!$J$5:$J$504,REGLER!$I$11,MATCHER!$K$5:$K$504,"Ja")+COUNTIFS(MATCHER!$B$5:$B$504,A341,MATCHER!$D$5:$D$504,C341,MATCHER!$J$5:$J$504,REGLER!$I$11&amp;" 2",MATCHER!$K$5:$K$504,"Ja")&gt;0,", "&amp;REGLER!$I$11,"")&amp;IF(COUNTIFS(MATCHER!$B$5:$B$504,A341,MATCHER!$D$5:$D$504,C341,MATCHER!$J$5:$J$504,REGLER!$I$12,MATCHER!$K$5:$K$504,"Ja")+COUNTIFS(MATCHER!$B$5:$B$504,A341,MATCHER!$D$5:$D$504,C341,MATCHER!$J$5:$J$504,REGLER!$I$12&amp;" 2",MATCHER!$K$5:$K$504,"Ja")&gt;0,", "&amp;REGLER!$I$12,"")&amp;IF(COUNTIFS(MATCHER!$B$5:$B$504,A341,MATCHER!$D$5:$D$504,C341,MATCHER!$J$5:$J$504,REGLER!$I$13,MATCHER!$K$5:$K$504,"Ja")+COUNTIFS(MATCHER!$B$5:$B$504,A341,MATCHER!$D$5:$D$504,C341,MATCHER!$J$5:$J$504,REGLER!$I$13&amp;" 2",MATCHER!$K$5:$K$504,"Ja")&gt;0,", "&amp;REGLER!$I$13,"")&amp;IF(COUNTIFS(MATCHER!$B$5:$B$504,A341,MATCHER!$D$5:$D$504,C341,MATCHER!$J$5:$J$504,REGLER!$I$14,MATCHER!$K$5:$K$504,"Ja")+COUNTIFS(MATCHER!$B$5:$B$504,A341,MATCHER!$D$5:$D$504,C341,MATCHER!$J$5:$J$504,REGLER!$I$14&amp;" 2",MATCHER!$K$5:$K$504,"Ja")&gt;0,", "&amp;REGLER!$I$14,"")&amp;IF(COUNTIFS(MATCHER!$B$5:$B$504,A341,MATCHER!$D$5:$D$504,C341,MATCHER!$J$5:$J$504,REGLER!$I$15,MATCHER!$K$5:$K$504,"Ja")+COUNTIFS(MATCHER!$B$5:$B$504,A341,MATCHER!$D$5:$D$504,C341,MATCHER!$J$5:$J$504,REGLER!$I$15&amp;" 2",MATCHER!$K$5:$K$504,"Ja")&gt;0,", "&amp;REGLER!$I$15,"")&amp;IF(COUNTIFS(MATCHER!$B$5:$B$504,A341,MATCHER!$D$5:$D$504,C341,MATCHER!$J$5:$J$504,REGLER!$I$16,MATCHER!$K$5:$K$504,"Ja")+COUNTIFS(MATCHER!$B$5:$B$504,A341,MATCHER!$D$5:$D$504,C341,MATCHER!$J$5:$J$504,REGLER!$I$16&amp;" 2",MATCHER!$K$5:$K$504,"Ja")&gt;0,", "&amp;REGLER!$I$16,"")&amp;IF(COUNTIFS(MATCHER!$B$5:$B$504,A341,MATCHER!$D$5:$D$504,C341,MATCHER!$J$5:$J$504,REGLER!$I$17,MATCHER!$K$5:$K$504,"Ja")+COUNTIFS(MATCHER!$B$5:$B$504,A341,MATCHER!$D$5:$D$504,C341,MATCHER!$J$5:$J$504,REGLER!$I$17&amp;" 2",MATCHER!$K$5:$K$504,"Ja")&gt;0,", "&amp;REGLER!$I$17,"")&amp;IF(COUNTIFS(MATCHER!$B$5:$B$504,A341,MATCHER!$D$5:$D$504,C341,MATCHER!$J$5:$J$504,REGLER!$I$18,MATCHER!$K$5:$K$504,"Ja")+COUNTIFS(MATCHER!$B$5:$B$504,A341,MATCHER!$D$5:$D$504,C341,MATCHER!$J$5:$J$504,REGLER!$I$18&amp;" 2",MATCHER!$K$5:$K$504,"Ja")&gt;0,", "&amp;REGLER!$I$18,"")&amp;IF(COUNTIFS(MATCHER!$B$5:$B$504,A341,MATCHER!$D$5:$D$504,C341,MATCHER!$J$5:$J$504,REGLER!$I$19,MATCHER!$K$5:$K$504,"Ja")+COUNTIFS(MATCHER!$B$5:$B$504,A341,MATCHER!$D$5:$D$504,C341,MATCHER!$J$5:$J$504,REGLER!$I$19&amp;" 2",MATCHER!$K$5:$K$504,"Ja")&gt;0,", "&amp;REGLER!$I$19,"")&amp;IF(COUNTIFS(MATCHER!$B$5:$B$504,A341,MATCHER!$D$5:$D$504,C341,MATCHER!$J$5:$J$504,REGLER!$I$20,MATCHER!$K$5:$K$504,"Ja")+COUNTIFS(MATCHER!$B$5:$B$504,A341,MATCHER!$D$5:$D$504,C341,MATCHER!$J$5:$J$504,REGLER!$I$20&amp;" 2",MATCHER!$K$5:$K$504,"Ja")&gt;0,", "&amp;REGLER!$I$20,"")&amp;IF(COUNTIFS(MATCHER!$B$5:$B$504,A341,MATCHER!$D$5:$D$504,C341,MATCHER!$J$5:$J$504,REGLER!$I$21,MATCHER!$K$5:$K$504,"Ja")+COUNTIFS(MATCHER!$B$5:$B$504,A341,MATCHER!$D$5:$D$504,C341,MATCHER!$J$5:$J$504,REGLER!$I$21&amp;" 2",MATCHER!$K$5:$K$504,"Ja")&gt;0,", "&amp;REGLER!$I$21,"")&amp;IF(COUNTIFS(MATCHER!$B$5:$B$504,A341,MATCHER!$D$5:$D$504,C341,MATCHER!$J$5:$J$504,REGLER!$I$22,MATCHER!$K$5:$K$504,"Ja")+COUNTIFS(MATCHER!$B$5:$B$504,A341,MATCHER!$D$5:$D$504,C341,MATCHER!$J$5:$J$504,REGLER!$I$22&amp;" 2",MATCHER!$K$5:$K$504,"Ja")&gt;0,", "&amp;REGLER!$I$22,"")&amp;IF(COUNTIFS(MATCHER!$B$5:$B$504,A341,MATCHER!$D$5:$D$504,C341,MATCHER!$J$5:$J$504,REGLER!$I$23,MATCHER!$K$5:$K$504,"Ja")+COUNTIFS(MATCHER!$B$5:$B$504,A341,MATCHER!$D$5:$D$504,C341,MATCHER!$J$5:$J$504,REGLER!$I$23&amp;" 2",MATCHER!$K$5:$K$504,"Ja")&gt;0,", "&amp;REGLER!$I$23,"")&amp;IF(COUNTIFS(MATCHER!$B$5:$B$504,A341,MATCHER!$D$5:$D$504,C341,MATCHER!$J$5:$J$504,REGLER!$I$24,MATCHER!$K$5:$K$504,"Ja")+COUNTIFS(MATCHER!$B$5:$B$504,A341,MATCHER!$D$5:$D$504,C341,MATCHER!$J$5:$J$504,REGLER!$I$24&amp;" 2",MATCHER!$K$5:$K$504,"Ja")&gt;0,", "&amp;REGLER!$I$24,"")&amp;IF(COUNTIFS(MATCHER!$B$5:$B$504,A341,MATCHER!$D$5:$D$504,C341,MATCHER!$J$5:$J$504,REGLER!$I$25,MATCHER!$K$5:$K$504,"Ja")+COUNTIFS(MATCHER!$B$5:$B$504,A341,MATCHER!$D$5:$D$504,C341,MATCHER!$J$5:$J$504,REGLER!$I$25&amp;" 2",MATCHER!$K$5:$K$504,"Ja")&gt;0,", "&amp;REGLER!$I$25,"")&amp;IF(COUNTIFS(MATCHER!$B$5:$B$504,A341,MATCHER!$D$5:$D$504,C341,MATCHER!$J$5:$J$504,REGLER!$I$26,MATCHER!$K$5:$K$504,"Ja")+COUNTIFS(MATCHER!$B$5:$B$504,A341,MATCHER!$D$5:$D$504,C341,MATCHER!$J$5:$J$504,REGLER!$I$26&amp;" 2",MATCHER!$K$5:$K$504,"Ja")&gt;0,", "&amp;REGLER!$I$26,""),3,1000)</f>
        <v>F13</v>
      </c>
      <c r="I341" s="46" t="s">
        <v>90</v>
      </c>
      <c r="J341" s="47" t="s">
        <v>97</v>
      </c>
      <c r="K341" s="48" t="s">
        <v>98</v>
      </c>
      <c r="L341" s="49"/>
      <c r="M341" s="50">
        <f>IF(O341&lt;&gt;O340,MAX(1,MIN(AA341,ROUNDUP(SUMPRODUCT(($O$5:$O$546=O341)*($I$5:$I$546="Ja")*($E$5:$E$546-$D$5:$D$546))*24/REGLER!$B$8,0))),"")</f>
        <v>1</v>
      </c>
      <c r="N341" s="50" t="str">
        <f t="shared" si="75"/>
        <v>Klar</v>
      </c>
      <c r="O341" s="15" t="s">
        <v>142</v>
      </c>
      <c r="P341" s="16">
        <v>0.70833333333333304</v>
      </c>
      <c r="Q341" s="16">
        <v>0.79166666666666696</v>
      </c>
      <c r="R341" s="15" t="str">
        <f>IFERROR(MATCH(1,INDEX((MATCHER!$B$5:$B$504=A341)*(MATCHER!$D$5:$D$504=C341)*(MATCHER!$K$5:$K$504="Ja")*(MATCHER!$C$5:$C$504&lt;E341)*(MATCHER!$M$5:$M$504&gt;D341),0),0),"")</f>
        <v/>
      </c>
      <c r="S341" s="15" t="str">
        <f>IF(R341="","",IFERROR(MATCH(1,INDEX((MATCHER!$B$5:$B$504=A341)*(MATCHER!$D$5:$D$504=C341)*(MATCHER!$K$5:$K$504="Ja")*(MATCHER!$C$5:$C$504&lt;E341)*(MATCHER!$M$5:$M$504&gt;D341)*(ROW(MATCHER!$A$5:$A$504)-ROW(MATCHER!$A$5)+1&gt;R341),0),0),""))</f>
        <v/>
      </c>
      <c r="T341" s="15" t="str">
        <f>IF(S341="","",IFERROR(MATCH(1,INDEX((MATCHER!$B$5:$B$504=A341)*(MATCHER!$D$5:$D$504=C341)*(MATCHER!$K$5:$K$504="Ja")*(MATCHER!$C$5:$C$504&lt;E341)*(MATCHER!$M$5:$M$504&gt;D341)*(ROW(MATCHER!$A$5:$A$504)-ROW(MATCHER!$A$5)+1&gt;S341),0),0),""))</f>
        <v/>
      </c>
      <c r="U341" s="15">
        <f t="shared" si="76"/>
        <v>1</v>
      </c>
      <c r="V341" s="15">
        <f>IF(OR(I341&lt;&gt;"Ja",J341=""),"",COUNTIFS($O$5:O341,O341,$U$5:U341,1))</f>
        <v>1</v>
      </c>
      <c r="W341" s="15" t="str">
        <f t="shared" si="77"/>
        <v>2027-01-20 | Ulriksdalshallen|1</v>
      </c>
      <c r="X341" s="16" t="str">
        <f t="shared" si="78"/>
        <v/>
      </c>
      <c r="Y341" s="15">
        <f>IF(OR(I341&lt;&gt;"Ja",J341=""),0,IF(COUNTIFS($O$5:O341,O341,$I$5:I341,"Ja",$J$5:J341,"&lt;&gt;")=1,1,0))</f>
        <v>1</v>
      </c>
      <c r="Z341" s="15">
        <f>IF(OR(I341&lt;&gt;"Ja",J341=""),0,IF(COUNTIFS(O341:$O$546,O341,I341:$I$546,"Ja",J341:$J$546,"&lt;&gt;")=1,1,0))</f>
        <v>0</v>
      </c>
      <c r="AA341" s="15">
        <f>IF(COUNTIFS(MATCHER!$B$5:$B$504,A341,MATCHER!$D$5:$D$504,C341,MATCHER!$J$5:$J$504,REGLER!$I$6,MATCHER!$K$5:$K$504,"Ja")+COUNTIFS(MATCHER!$B$5:$B$504,A341,MATCHER!$D$5:$D$504,C341,MATCHER!$J$5:$J$504,REGLER!$I$6&amp;" 2",MATCHER!$K$5:$K$504,"Ja")&gt;0,1,0)+IF(COUNTIFS(MATCHER!$B$5:$B$504,A341,MATCHER!$D$5:$D$504,C341,MATCHER!$J$5:$J$504,REGLER!$I$7,MATCHER!$K$5:$K$504,"Ja")+COUNTIFS(MATCHER!$B$5:$B$504,A341,MATCHER!$D$5:$D$504,C341,MATCHER!$J$5:$J$504,REGLER!$I$7&amp;" 2",MATCHER!$K$5:$K$504,"Ja")&gt;0,1,0)+IF(COUNTIFS(MATCHER!$B$5:$B$504,A341,MATCHER!$D$5:$D$504,C341,MATCHER!$J$5:$J$504,REGLER!$I$8,MATCHER!$K$5:$K$504,"Ja")+COUNTIFS(MATCHER!$B$5:$B$504,A341,MATCHER!$D$5:$D$504,C341,MATCHER!$J$5:$J$504,REGLER!$I$8&amp;" 2",MATCHER!$K$5:$K$504,"Ja")&gt;0,1,0)+IF(COUNTIFS(MATCHER!$B$5:$B$504,A341,MATCHER!$D$5:$D$504,C341,MATCHER!$J$5:$J$504,REGLER!$I$9,MATCHER!$K$5:$K$504,"Ja")+COUNTIFS(MATCHER!$B$5:$B$504,A341,MATCHER!$D$5:$D$504,C341,MATCHER!$J$5:$J$504,REGLER!$I$9&amp;" 2",MATCHER!$K$5:$K$504,"Ja")&gt;0,1,0)+IF(COUNTIFS(MATCHER!$B$5:$B$504,A341,MATCHER!$D$5:$D$504,C341,MATCHER!$J$5:$J$504,REGLER!$I$10,MATCHER!$K$5:$K$504,"Ja")+COUNTIFS(MATCHER!$B$5:$B$504,A341,MATCHER!$D$5:$D$504,C341,MATCHER!$J$5:$J$504,REGLER!$I$10&amp;" 2",MATCHER!$K$5:$K$504,"Ja")&gt;0,1,0)+IF(COUNTIFS(MATCHER!$B$5:$B$504,A341,MATCHER!$D$5:$D$504,C341,MATCHER!$J$5:$J$504,REGLER!$I$11,MATCHER!$K$5:$K$504,"Ja")+COUNTIFS(MATCHER!$B$5:$B$504,A341,MATCHER!$D$5:$D$504,C341,MATCHER!$J$5:$J$504,REGLER!$I$11&amp;" 2",MATCHER!$K$5:$K$504,"Ja")&gt;0,1,0)+IF(COUNTIFS(MATCHER!$B$5:$B$504,A341,MATCHER!$D$5:$D$504,C341,MATCHER!$J$5:$J$504,REGLER!$I$12,MATCHER!$K$5:$K$504,"Ja")+COUNTIFS(MATCHER!$B$5:$B$504,A341,MATCHER!$D$5:$D$504,C341,MATCHER!$J$5:$J$504,REGLER!$I$12&amp;" 2",MATCHER!$K$5:$K$504,"Ja")&gt;0,1,0)+IF(COUNTIFS(MATCHER!$B$5:$B$504,A341,MATCHER!$D$5:$D$504,C341,MATCHER!$J$5:$J$504,REGLER!$I$13,MATCHER!$K$5:$K$504,"Ja")+COUNTIFS(MATCHER!$B$5:$B$504,A341,MATCHER!$D$5:$D$504,C341,MATCHER!$J$5:$J$504,REGLER!$I$13&amp;" 2",MATCHER!$K$5:$K$504,"Ja")&gt;0,1,0)+IF(COUNTIFS(MATCHER!$B$5:$B$504,A341,MATCHER!$D$5:$D$504,C341,MATCHER!$J$5:$J$504,REGLER!$I$14,MATCHER!$K$5:$K$504,"Ja")+COUNTIFS(MATCHER!$B$5:$B$504,A341,MATCHER!$D$5:$D$504,C341,MATCHER!$J$5:$J$504,REGLER!$I$14&amp;" 2",MATCHER!$K$5:$K$504,"Ja")&gt;0,1,0)+IF(COUNTIFS(MATCHER!$B$5:$B$504,A341,MATCHER!$D$5:$D$504,C341,MATCHER!$J$5:$J$504,REGLER!$I$15,MATCHER!$K$5:$K$504,"Ja")+COUNTIFS(MATCHER!$B$5:$B$504,A341,MATCHER!$D$5:$D$504,C341,MATCHER!$J$5:$J$504,REGLER!$I$15&amp;" 2",MATCHER!$K$5:$K$504,"Ja")&gt;0,1,0)+IF(COUNTIFS(MATCHER!$B$5:$B$504,A341,MATCHER!$D$5:$D$504,C341,MATCHER!$J$5:$J$504,REGLER!$I$16,MATCHER!$K$5:$K$504,"Ja")+COUNTIFS(MATCHER!$B$5:$B$504,A341,MATCHER!$D$5:$D$504,C341,MATCHER!$J$5:$J$504,REGLER!$I$16&amp;" 2",MATCHER!$K$5:$K$504,"Ja")&gt;0,1,0)+IF(COUNTIFS(MATCHER!$B$5:$B$504,A341,MATCHER!$D$5:$D$504,C341,MATCHER!$J$5:$J$504,REGLER!$I$17,MATCHER!$K$5:$K$504,"Ja")+COUNTIFS(MATCHER!$B$5:$B$504,A341,MATCHER!$D$5:$D$504,C341,MATCHER!$J$5:$J$504,REGLER!$I$17&amp;" 2",MATCHER!$K$5:$K$504,"Ja")&gt;0,1,0)+IF(COUNTIFS(MATCHER!$B$5:$B$504,A341,MATCHER!$D$5:$D$504,C341,MATCHER!$J$5:$J$504,REGLER!$I$18,MATCHER!$K$5:$K$504,"Ja")+COUNTIFS(MATCHER!$B$5:$B$504,A341,MATCHER!$D$5:$D$504,C341,MATCHER!$J$5:$J$504,REGLER!$I$18&amp;" 2",MATCHER!$K$5:$K$504,"Ja")&gt;0,1,0)+IF(COUNTIFS(MATCHER!$B$5:$B$504,A341,MATCHER!$D$5:$D$504,C341,MATCHER!$J$5:$J$504,REGLER!$I$19,MATCHER!$K$5:$K$504,"Ja")+COUNTIFS(MATCHER!$B$5:$B$504,A341,MATCHER!$D$5:$D$504,C341,MATCHER!$J$5:$J$504,REGLER!$I$19&amp;" 2",MATCHER!$K$5:$K$504,"Ja")&gt;0,1,0)+IF(COUNTIFS(MATCHER!$B$5:$B$504,A341,MATCHER!$D$5:$D$504,C341,MATCHER!$J$5:$J$504,REGLER!$I$20,MATCHER!$K$5:$K$504,"Ja")+COUNTIFS(MATCHER!$B$5:$B$504,A341,MATCHER!$D$5:$D$504,C341,MATCHER!$J$5:$J$504,REGLER!$I$20&amp;" 2",MATCHER!$K$5:$K$504,"Ja")&gt;0,1,0)+IF(COUNTIFS(MATCHER!$B$5:$B$504,A341,MATCHER!$D$5:$D$504,C341,MATCHER!$J$5:$J$504,REGLER!$I$21,MATCHER!$K$5:$K$504,"Ja")+COUNTIFS(MATCHER!$B$5:$B$504,A341,MATCHER!$D$5:$D$504,C341,MATCHER!$J$5:$J$504,REGLER!$I$21&amp;" 2",MATCHER!$K$5:$K$504,"Ja")&gt;0,1,0)+IF(COUNTIFS(MATCHER!$B$5:$B$504,A341,MATCHER!$D$5:$D$504,C341,MATCHER!$J$5:$J$504,REGLER!$I$22,MATCHER!$K$5:$K$504,"Ja")+COUNTIFS(MATCHER!$B$5:$B$504,A341,MATCHER!$D$5:$D$504,C341,MATCHER!$J$5:$J$504,REGLER!$I$22&amp;" 2",MATCHER!$K$5:$K$504,"Ja")&gt;0,1,0)+IF(COUNTIFS(MATCHER!$B$5:$B$504,A341,MATCHER!$D$5:$D$504,C341,MATCHER!$J$5:$J$504,REGLER!$I$23,MATCHER!$K$5:$K$504,"Ja")+COUNTIFS(MATCHER!$B$5:$B$504,A341,MATCHER!$D$5:$D$504,C341,MATCHER!$J$5:$J$504,REGLER!$I$23&amp;" 2",MATCHER!$K$5:$K$504,"Ja")&gt;0,1,0)+IF(COUNTIFS(MATCHER!$B$5:$B$504,A341,MATCHER!$D$5:$D$504,C341,MATCHER!$J$5:$J$504,REGLER!$I$24,MATCHER!$K$5:$K$504,"Ja")+COUNTIFS(MATCHER!$B$5:$B$504,A341,MATCHER!$D$5:$D$504,C341,MATCHER!$J$5:$J$504,REGLER!$I$24&amp;" 2",MATCHER!$K$5:$K$504,"Ja")&gt;0,1,0)+IF(COUNTIFS(MATCHER!$B$5:$B$504,A341,MATCHER!$D$5:$D$504,C341,MATCHER!$J$5:$J$504,REGLER!$I$25,MATCHER!$K$5:$K$504,"Ja")+COUNTIFS(MATCHER!$B$5:$B$504,A341,MATCHER!$D$5:$D$504,C341,MATCHER!$J$5:$J$504,REGLER!$I$25&amp;" 2",MATCHER!$K$5:$K$504,"Ja")&gt;0,1,0)+IF(COUNTIFS(MATCHER!$B$5:$B$504,A341,MATCHER!$D$5:$D$504,C341,MATCHER!$J$5:$J$504,REGLER!$I$26,MATCHER!$K$5:$K$504,"Ja")+COUNTIFS(MATCHER!$B$5:$B$504,A341,MATCHER!$D$5:$D$504,C341,MATCHER!$J$5:$J$504,REGLER!$I$26&amp;" 2",MATCHER!$K$5:$K$504,"Ja")&gt;0,1,0)</f>
        <v>1</v>
      </c>
      <c r="AB341" s="15">
        <f>IF(U341&lt;&gt;1,"",COUNTIF($U$5:U341,1))</f>
        <v>40</v>
      </c>
      <c r="AC341" s="15" t="str">
        <f t="shared" si="79"/>
        <v/>
      </c>
      <c r="AD341" s="15" t="str">
        <f t="shared" si="80"/>
        <v>Minicafé</v>
      </c>
      <c r="AE341" s="15">
        <f t="shared" si="81"/>
        <v>2.0000000000000142</v>
      </c>
      <c r="AF341" t="str">
        <f>IF(T341="","",IFERROR(MATCH(1,INDEX((MATCHER!$B$5:$B$504=A341)*(MATCHER!$D$5:$D$504=C341)*(MATCHER!$K$5:$K$504="Ja")*(MATCHER!$C$5:$C$504&lt;E341)*(MATCHER!$M$5:$M$504&gt;D341)*(ROW(MATCHER!$A$5:$A$504)-ROW(MATCHER!$A$5)+1&gt;T341),0),0),""))</f>
        <v/>
      </c>
    </row>
    <row r="342" spans="1:32" ht="26">
      <c r="A342" s="42">
        <v>46407</v>
      </c>
      <c r="B342" s="43" t="s">
        <v>141</v>
      </c>
      <c r="C342" s="43" t="s">
        <v>86</v>
      </c>
      <c r="D342" s="44">
        <v>0.72916666666666696</v>
      </c>
      <c r="E342" s="44">
        <v>0.75</v>
      </c>
      <c r="F342" s="45" t="str">
        <f>IF(R342="","",HOUR(INDEX(MATCHER!$C$5:$C$504,R342))&amp;":"&amp;IF(MINUTE(INDEX(MATCHER!$C$5:$C$504,R342))&lt;10,"0","")&amp;MINUTE(INDEX(MATCHER!$C$5:$C$504,R342))&amp;" "&amp;INDEX(MATCHER!$H$5:$H$504,R342)&amp;" – "&amp;INDEX(MATCHER!$I$5:$I$504,R342))&amp;IF(S342="",""," | "&amp;HOUR(INDEX(MATCHER!$C$5:$C$504,S342))&amp;":"&amp;IF(MINUTE(INDEX(MATCHER!$C$5:$C$504,S342))&lt;10,"0","")&amp;MINUTE(INDEX(MATCHER!$C$5:$C$504,S342))&amp;" "&amp;INDEX(MATCHER!$H$5:$H$504,S342)&amp;" – "&amp;INDEX(MATCHER!$I$5:$I$504,S342))&amp;IF(T342="",""," | "&amp;HOUR(INDEX(MATCHER!$C$5:$C$504,T342))&amp;":"&amp;IF(MINUTE(INDEX(MATCHER!$C$5:$C$504,T342))&lt;10,"0","")&amp;MINUTE(INDEX(MATCHER!$C$5:$C$504,T342))&amp;" "&amp;INDEX(MATCHER!$H$5:$H$504,T342)&amp;" – "&amp;INDEX(MATCHER!$I$5:$I$504,T342))&amp;IF(AF342="",""," | "&amp;HOUR(INDEX(MATCHER!$C$5:$C$504,AF342))&amp;":"&amp;IF(MINUTE(INDEX(MATCHER!$C$5:$C$504,AF342))&lt;10,"0","")&amp;MINUTE(INDEX(MATCHER!$C$5:$C$504,AF342))&amp;" "&amp;INDEX(MATCHER!$H$5:$H$504,AF342)&amp;" – "&amp;INDEX(MATCHER!$I$5:$I$504,AF342))</f>
        <v/>
      </c>
      <c r="G342" s="45" t="str">
        <f>MID(IF(R342="","",IF(OR(INDEX(MATCHER!$J$5:$J$504,R342)=""),""," / "&amp;INDEX(MATCHER!$J$5:$J$504,R342)))&amp;IF(S342="","",IF(OR(INDEX(MATCHER!$J$5:$J$504,S342)="",INDEX(MATCHER!$J$5:$J$504,S342)=IFERROR(INDEX(MATCHER!$J$5:$J$504,R342),"")),""," / "&amp;INDEX(MATCHER!$J$5:$J$504,S342)))&amp;IF(T342="","",IF(OR(INDEX(MATCHER!$J$5:$J$504,T342)="",INDEX(MATCHER!$J$5:$J$504,T342)=IFERROR(INDEX(MATCHER!$J$5:$J$504,R342),""),INDEX(MATCHER!$J$5:$J$504,T342)=IFERROR(INDEX(MATCHER!$J$5:$J$504,S342),"")),""," / "&amp;INDEX(MATCHER!$J$5:$J$504,T342)))&amp;IF(AF342="","",IF(OR(INDEX(MATCHER!$J$5:$J$504,AF342)="",INDEX(MATCHER!$J$5:$J$504,AF342)=IFERROR(INDEX(MATCHER!$J$5:$J$504,R342),""),INDEX(MATCHER!$J$5:$J$504,AF342)=IFERROR(INDEX(MATCHER!$J$5:$J$504,S342),""),INDEX(MATCHER!$J$5:$J$504,AF342)=IFERROR(INDEX(MATCHER!$J$5:$J$504,T342),"")),""," / "&amp;INDEX(MATCHER!$J$5:$J$504,AF342))),4,1000)</f>
        <v/>
      </c>
      <c r="H342" s="45" t="str">
        <f>H341</f>
        <v>F13</v>
      </c>
      <c r="I342" s="46" t="s">
        <v>90</v>
      </c>
      <c r="J342" s="47" t="s">
        <v>97</v>
      </c>
      <c r="K342" s="48"/>
      <c r="L342" s="49"/>
      <c r="M342" s="50" t="str">
        <f>IF(O342&lt;&gt;O341,MAX(1,MIN(AA342,ROUNDUP(SUMPRODUCT(($O$5:$O$546=O342)*($I$5:$I$546="Ja")*($E$5:$E$546-$D$5:$D$546))*24/REGLER!$B$8,0))),"")</f>
        <v/>
      </c>
      <c r="N342" s="50" t="str">
        <f t="shared" si="75"/>
        <v>Klar</v>
      </c>
      <c r="O342" s="15" t="s">
        <v>142</v>
      </c>
      <c r="P342" s="16">
        <v>0.70833333333333304</v>
      </c>
      <c r="Q342" s="16">
        <v>0.79166666666666696</v>
      </c>
      <c r="R342" s="15" t="str">
        <f>IFERROR(MATCH(1,INDEX((MATCHER!$B$5:$B$504=A342)*(MATCHER!$D$5:$D$504=C342)*(MATCHER!$K$5:$K$504="Ja")*(MATCHER!$C$5:$C$504&lt;E342)*(MATCHER!$M$5:$M$504&gt;D342),0),0),"")</f>
        <v/>
      </c>
      <c r="S342" s="15" t="str">
        <f>IF(R342="","",IFERROR(MATCH(1,INDEX((MATCHER!$B$5:$B$504=A342)*(MATCHER!$D$5:$D$504=C342)*(MATCHER!$K$5:$K$504="Ja")*(MATCHER!$C$5:$C$504&lt;E342)*(MATCHER!$M$5:$M$504&gt;D342)*(ROW(MATCHER!$A$5:$A$504)-ROW(MATCHER!$A$5)+1&gt;R342),0),0),""))</f>
        <v/>
      </c>
      <c r="T342" s="15" t="str">
        <f>IF(S342="","",IFERROR(MATCH(1,INDEX((MATCHER!$B$5:$B$504=A342)*(MATCHER!$D$5:$D$504=C342)*(MATCHER!$K$5:$K$504="Ja")*(MATCHER!$C$5:$C$504&lt;E342)*(MATCHER!$M$5:$M$504&gt;D342)*(ROW(MATCHER!$A$5:$A$504)-ROW(MATCHER!$A$5)+1&gt;S342),0),0),""))</f>
        <v/>
      </c>
      <c r="U342" s="15">
        <f t="shared" si="76"/>
        <v>0</v>
      </c>
      <c r="V342" s="15">
        <f>IF(OR(I342&lt;&gt;"Ja",J342=""),"",COUNTIFS($O$5:O342,O342,$U$5:U342,1))</f>
        <v>1</v>
      </c>
      <c r="W342" s="15" t="str">
        <f t="shared" si="77"/>
        <v>2027-01-20 | Ulriksdalshallen|1</v>
      </c>
      <c r="X342" s="16" t="str">
        <f t="shared" si="78"/>
        <v/>
      </c>
      <c r="Y342" s="15">
        <f>IF(OR(I342&lt;&gt;"Ja",J342=""),0,IF(COUNTIFS($O$5:O342,O342,$I$5:I342,"Ja",$J$5:J342,"&lt;&gt;")=1,1,0))</f>
        <v>0</v>
      </c>
      <c r="Z342" s="15">
        <f>IF(OR(I342&lt;&gt;"Ja",J342=""),0,IF(COUNTIFS(O342:$O$546,O342,I342:$I$546,"Ja",J342:$J$546,"&lt;&gt;")=1,1,0))</f>
        <v>0</v>
      </c>
      <c r="AA342" s="15">
        <f>AA341</f>
        <v>1</v>
      </c>
      <c r="AB342" s="15" t="str">
        <f>IF(U342&lt;&gt;1,"",COUNTIF($U$5:U342,1))</f>
        <v/>
      </c>
      <c r="AC342" s="15" t="str">
        <f t="shared" si="79"/>
        <v/>
      </c>
      <c r="AD342" s="15" t="str">
        <f t="shared" si="80"/>
        <v>Minicafé</v>
      </c>
      <c r="AE342" s="15" t="str">
        <f t="shared" si="81"/>
        <v/>
      </c>
      <c r="AF342" t="str">
        <f>IF(T342="","",IFERROR(MATCH(1,INDEX((MATCHER!$B$5:$B$504=A342)*(MATCHER!$D$5:$D$504=C342)*(MATCHER!$K$5:$K$504="Ja")*(MATCHER!$C$5:$C$504&lt;E342)*(MATCHER!$M$5:$M$504&gt;D342)*(ROW(MATCHER!$A$5:$A$504)-ROW(MATCHER!$A$5)+1&gt;T342),0),0),""))</f>
        <v/>
      </c>
    </row>
    <row r="343" spans="1:32" ht="26">
      <c r="A343" s="42">
        <v>46407</v>
      </c>
      <c r="B343" s="43" t="s">
        <v>141</v>
      </c>
      <c r="C343" s="43" t="s">
        <v>86</v>
      </c>
      <c r="D343" s="44">
        <v>0.75</v>
      </c>
      <c r="E343" s="44">
        <v>0.77083333333333304</v>
      </c>
      <c r="F343" s="45" t="str">
        <f>IF(R343="","",HOUR(INDEX(MATCHER!$C$5:$C$504,R343))&amp;":"&amp;IF(MINUTE(INDEX(MATCHER!$C$5:$C$504,R343))&lt;10,"0","")&amp;MINUTE(INDEX(MATCHER!$C$5:$C$504,R343))&amp;" "&amp;INDEX(MATCHER!$H$5:$H$504,R343)&amp;" – "&amp;INDEX(MATCHER!$I$5:$I$504,R343))&amp;IF(S343="",""," | "&amp;HOUR(INDEX(MATCHER!$C$5:$C$504,S343))&amp;":"&amp;IF(MINUTE(INDEX(MATCHER!$C$5:$C$504,S343))&lt;10,"0","")&amp;MINUTE(INDEX(MATCHER!$C$5:$C$504,S343))&amp;" "&amp;INDEX(MATCHER!$H$5:$H$504,S343)&amp;" – "&amp;INDEX(MATCHER!$I$5:$I$504,S343))&amp;IF(T343="",""," | "&amp;HOUR(INDEX(MATCHER!$C$5:$C$504,T343))&amp;":"&amp;IF(MINUTE(INDEX(MATCHER!$C$5:$C$504,T343))&lt;10,"0","")&amp;MINUTE(INDEX(MATCHER!$C$5:$C$504,T343))&amp;" "&amp;INDEX(MATCHER!$H$5:$H$504,T343)&amp;" – "&amp;INDEX(MATCHER!$I$5:$I$504,T343))&amp;IF(AF343="",""," | "&amp;HOUR(INDEX(MATCHER!$C$5:$C$504,AF343))&amp;":"&amp;IF(MINUTE(INDEX(MATCHER!$C$5:$C$504,AF343))&lt;10,"0","")&amp;MINUTE(INDEX(MATCHER!$C$5:$C$504,AF343))&amp;" "&amp;INDEX(MATCHER!$H$5:$H$504,AF343)&amp;" – "&amp;INDEX(MATCHER!$I$5:$I$504,AF343))</f>
        <v>18:00 AIK 2 – Skå IK</v>
      </c>
      <c r="G343" s="45" t="str">
        <f>MID(IF(R343="","",IF(OR(INDEX(MATCHER!$J$5:$J$504,R343)=""),""," / "&amp;INDEX(MATCHER!$J$5:$J$504,R343)))&amp;IF(S343="","",IF(OR(INDEX(MATCHER!$J$5:$J$504,S343)="",INDEX(MATCHER!$J$5:$J$504,S343)=IFERROR(INDEX(MATCHER!$J$5:$J$504,R343),"")),""," / "&amp;INDEX(MATCHER!$J$5:$J$504,S343)))&amp;IF(T343="","",IF(OR(INDEX(MATCHER!$J$5:$J$504,T343)="",INDEX(MATCHER!$J$5:$J$504,T343)=IFERROR(INDEX(MATCHER!$J$5:$J$504,R343),""),INDEX(MATCHER!$J$5:$J$504,T343)=IFERROR(INDEX(MATCHER!$J$5:$J$504,S343),"")),""," / "&amp;INDEX(MATCHER!$J$5:$J$504,T343)))&amp;IF(AF343="","",IF(OR(INDEX(MATCHER!$J$5:$J$504,AF343)="",INDEX(MATCHER!$J$5:$J$504,AF343)=IFERROR(INDEX(MATCHER!$J$5:$J$504,R343),""),INDEX(MATCHER!$J$5:$J$504,AF343)=IFERROR(INDEX(MATCHER!$J$5:$J$504,S343),""),INDEX(MATCHER!$J$5:$J$504,AF343)=IFERROR(INDEX(MATCHER!$J$5:$J$504,T343),"")),""," / "&amp;INDEX(MATCHER!$J$5:$J$504,AF343))),4,1000)</f>
        <v>F13 2</v>
      </c>
      <c r="H343" s="45" t="str">
        <f>H342</f>
        <v>F13</v>
      </c>
      <c r="I343" s="46" t="s">
        <v>90</v>
      </c>
      <c r="J343" s="47" t="s">
        <v>97</v>
      </c>
      <c r="K343" s="48"/>
      <c r="L343" s="49"/>
      <c r="M343" s="50" t="str">
        <f>IF(O343&lt;&gt;O342,MAX(1,MIN(AA343,ROUNDUP(SUMPRODUCT(($O$5:$O$546=O343)*($I$5:$I$546="Ja")*($E$5:$E$546-$D$5:$D$546))*24/REGLER!$B$8,0))),"")</f>
        <v/>
      </c>
      <c r="N343" s="50" t="str">
        <f t="shared" si="75"/>
        <v>Klar</v>
      </c>
      <c r="O343" s="15" t="s">
        <v>142</v>
      </c>
      <c r="P343" s="16">
        <v>0.70833333333333304</v>
      </c>
      <c r="Q343" s="16">
        <v>0.79166666666666696</v>
      </c>
      <c r="R343" s="15">
        <f>IFERROR(MATCH(1,INDEX((MATCHER!$B$5:$B$504=A343)*(MATCHER!$D$5:$D$504=C343)*(MATCHER!$K$5:$K$504="Ja")*(MATCHER!$C$5:$C$504&lt;E343)*(MATCHER!$M$5:$M$504&gt;D343),0),0),"")</f>
        <v>131</v>
      </c>
      <c r="S343" s="15" t="str">
        <f>IF(R343="","",IFERROR(MATCH(1,INDEX((MATCHER!$B$5:$B$504=A343)*(MATCHER!$D$5:$D$504=C343)*(MATCHER!$K$5:$K$504="Ja")*(MATCHER!$C$5:$C$504&lt;E343)*(MATCHER!$M$5:$M$504&gt;D343)*(ROW(MATCHER!$A$5:$A$504)-ROW(MATCHER!$A$5)+1&gt;R343),0),0),""))</f>
        <v/>
      </c>
      <c r="T343" s="15" t="str">
        <f>IF(S343="","",IFERROR(MATCH(1,INDEX((MATCHER!$B$5:$B$504=A343)*(MATCHER!$D$5:$D$504=C343)*(MATCHER!$K$5:$K$504="Ja")*(MATCHER!$C$5:$C$504&lt;E343)*(MATCHER!$M$5:$M$504&gt;D343)*(ROW(MATCHER!$A$5:$A$504)-ROW(MATCHER!$A$5)+1&gt;S343),0),0),""))</f>
        <v/>
      </c>
      <c r="U343" s="15">
        <f t="shared" si="76"/>
        <v>0</v>
      </c>
      <c r="V343" s="15">
        <f>IF(OR(I343&lt;&gt;"Ja",J343=""),"",COUNTIFS($O$5:O343,O343,$U$5:U343,1))</f>
        <v>1</v>
      </c>
      <c r="W343" s="15" t="str">
        <f t="shared" si="77"/>
        <v>2027-01-20 | Ulriksdalshallen|1</v>
      </c>
      <c r="X343" s="16" t="str">
        <f t="shared" si="78"/>
        <v/>
      </c>
      <c r="Y343" s="15">
        <f>IF(OR(I343&lt;&gt;"Ja",J343=""),0,IF(COUNTIFS($O$5:O343,O343,$I$5:I343,"Ja",$J$5:J343,"&lt;&gt;")=1,1,0))</f>
        <v>0</v>
      </c>
      <c r="Z343" s="15">
        <f>IF(OR(I343&lt;&gt;"Ja",J343=""),0,IF(COUNTIFS(O343:$O$546,O343,I343:$I$546,"Ja",J343:$J$546,"&lt;&gt;")=1,1,0))</f>
        <v>0</v>
      </c>
      <c r="AA343" s="15">
        <f>AA342</f>
        <v>1</v>
      </c>
      <c r="AB343" s="15" t="str">
        <f>IF(U343&lt;&gt;1,"",COUNTIF($U$5:U343,1))</f>
        <v/>
      </c>
      <c r="AC343" s="15" t="str">
        <f t="shared" si="79"/>
        <v/>
      </c>
      <c r="AD343" s="15" t="str">
        <f t="shared" si="80"/>
        <v>Minicafé</v>
      </c>
      <c r="AE343" s="15" t="str">
        <f t="shared" si="81"/>
        <v/>
      </c>
      <c r="AF343" t="str">
        <f>IF(T343="","",IFERROR(MATCH(1,INDEX((MATCHER!$B$5:$B$504=A343)*(MATCHER!$D$5:$D$504=C343)*(MATCHER!$K$5:$K$504="Ja")*(MATCHER!$C$5:$C$504&lt;E343)*(MATCHER!$M$5:$M$504&gt;D343)*(ROW(MATCHER!$A$5:$A$504)-ROW(MATCHER!$A$5)+1&gt;T343),0),0),""))</f>
        <v/>
      </c>
    </row>
    <row r="344" spans="1:32" ht="26.5" thickBot="1">
      <c r="A344" s="52">
        <v>46407</v>
      </c>
      <c r="B344" s="53" t="s">
        <v>141</v>
      </c>
      <c r="C344" s="53" t="s">
        <v>86</v>
      </c>
      <c r="D344" s="54">
        <v>0.77083333333333304</v>
      </c>
      <c r="E344" s="54">
        <v>0.79166666666666696</v>
      </c>
      <c r="F344" s="55" t="str">
        <f>IF(R344="","",HOUR(INDEX(MATCHER!$C$5:$C$504,R344))&amp;":"&amp;IF(MINUTE(INDEX(MATCHER!$C$5:$C$504,R344))&lt;10,"0","")&amp;MINUTE(INDEX(MATCHER!$C$5:$C$504,R344))&amp;" "&amp;INDEX(MATCHER!$H$5:$H$504,R344)&amp;" – "&amp;INDEX(MATCHER!$I$5:$I$504,R344))&amp;IF(S344="",""," | "&amp;HOUR(INDEX(MATCHER!$C$5:$C$504,S344))&amp;":"&amp;IF(MINUTE(INDEX(MATCHER!$C$5:$C$504,S344))&lt;10,"0","")&amp;MINUTE(INDEX(MATCHER!$C$5:$C$504,S344))&amp;" "&amp;INDEX(MATCHER!$H$5:$H$504,S344)&amp;" – "&amp;INDEX(MATCHER!$I$5:$I$504,S344))&amp;IF(T344="",""," | "&amp;HOUR(INDEX(MATCHER!$C$5:$C$504,T344))&amp;":"&amp;IF(MINUTE(INDEX(MATCHER!$C$5:$C$504,T344))&lt;10,"0","")&amp;MINUTE(INDEX(MATCHER!$C$5:$C$504,T344))&amp;" "&amp;INDEX(MATCHER!$H$5:$H$504,T344)&amp;" – "&amp;INDEX(MATCHER!$I$5:$I$504,T344))&amp;IF(AF344="",""," | "&amp;HOUR(INDEX(MATCHER!$C$5:$C$504,AF344))&amp;":"&amp;IF(MINUTE(INDEX(MATCHER!$C$5:$C$504,AF344))&lt;10,"0","")&amp;MINUTE(INDEX(MATCHER!$C$5:$C$504,AF344))&amp;" "&amp;INDEX(MATCHER!$H$5:$H$504,AF344)&amp;" – "&amp;INDEX(MATCHER!$I$5:$I$504,AF344))</f>
        <v>18:00 AIK 2 – Skå IK</v>
      </c>
      <c r="G344" s="55" t="str">
        <f>MID(IF(R344="","",IF(OR(INDEX(MATCHER!$J$5:$J$504,R344)=""),""," / "&amp;INDEX(MATCHER!$J$5:$J$504,R344)))&amp;IF(S344="","",IF(OR(INDEX(MATCHER!$J$5:$J$504,S344)="",INDEX(MATCHER!$J$5:$J$504,S344)=IFERROR(INDEX(MATCHER!$J$5:$J$504,R344),"")),""," / "&amp;INDEX(MATCHER!$J$5:$J$504,S344)))&amp;IF(T344="","",IF(OR(INDEX(MATCHER!$J$5:$J$504,T344)="",INDEX(MATCHER!$J$5:$J$504,T344)=IFERROR(INDEX(MATCHER!$J$5:$J$504,R344),""),INDEX(MATCHER!$J$5:$J$504,T344)=IFERROR(INDEX(MATCHER!$J$5:$J$504,S344),"")),""," / "&amp;INDEX(MATCHER!$J$5:$J$504,T344)))&amp;IF(AF344="","",IF(OR(INDEX(MATCHER!$J$5:$J$504,AF344)="",INDEX(MATCHER!$J$5:$J$504,AF344)=IFERROR(INDEX(MATCHER!$J$5:$J$504,R344),""),INDEX(MATCHER!$J$5:$J$504,AF344)=IFERROR(INDEX(MATCHER!$J$5:$J$504,S344),""),INDEX(MATCHER!$J$5:$J$504,AF344)=IFERROR(INDEX(MATCHER!$J$5:$J$504,T344),"")),""," / "&amp;INDEX(MATCHER!$J$5:$J$504,AF344))),4,1000)</f>
        <v>F13 2</v>
      </c>
      <c r="H344" s="55" t="str">
        <f>H343</f>
        <v>F13</v>
      </c>
      <c r="I344" s="56" t="s">
        <v>90</v>
      </c>
      <c r="J344" s="57" t="s">
        <v>97</v>
      </c>
      <c r="K344" s="58"/>
      <c r="L344" s="59"/>
      <c r="M344" s="60" t="str">
        <f>IF(O344&lt;&gt;O343,MAX(1,MIN(AA344,ROUNDUP(SUMPRODUCT(($O$5:$O$546=O344)*($I$5:$I$546="Ja")*($E$5:$E$546-$D$5:$D$546))*24/REGLER!$B$8,0))),"")</f>
        <v/>
      </c>
      <c r="N344" s="60" t="str">
        <f t="shared" si="75"/>
        <v>Klar</v>
      </c>
      <c r="O344" s="15" t="s">
        <v>142</v>
      </c>
      <c r="P344" s="16">
        <v>0.70833333333333304</v>
      </c>
      <c r="Q344" s="16">
        <v>0.79166666666666696</v>
      </c>
      <c r="R344" s="15">
        <f>IFERROR(MATCH(1,INDEX((MATCHER!$B$5:$B$504=A344)*(MATCHER!$D$5:$D$504=C344)*(MATCHER!$K$5:$K$504="Ja")*(MATCHER!$C$5:$C$504&lt;E344)*(MATCHER!$M$5:$M$504&gt;D344),0),0),"")</f>
        <v>131</v>
      </c>
      <c r="S344" s="15" t="str">
        <f>IF(R344="","",IFERROR(MATCH(1,INDEX((MATCHER!$B$5:$B$504=A344)*(MATCHER!$D$5:$D$504=C344)*(MATCHER!$K$5:$K$504="Ja")*(MATCHER!$C$5:$C$504&lt;E344)*(MATCHER!$M$5:$M$504&gt;D344)*(ROW(MATCHER!$A$5:$A$504)-ROW(MATCHER!$A$5)+1&gt;R344),0),0),""))</f>
        <v/>
      </c>
      <c r="T344" s="15" t="str">
        <f>IF(S344="","",IFERROR(MATCH(1,INDEX((MATCHER!$B$5:$B$504=A344)*(MATCHER!$D$5:$D$504=C344)*(MATCHER!$K$5:$K$504="Ja")*(MATCHER!$C$5:$C$504&lt;E344)*(MATCHER!$M$5:$M$504&gt;D344)*(ROW(MATCHER!$A$5:$A$504)-ROW(MATCHER!$A$5)+1&gt;S344),0),0),""))</f>
        <v/>
      </c>
      <c r="U344" s="15">
        <f t="shared" si="76"/>
        <v>0</v>
      </c>
      <c r="V344" s="15">
        <f>IF(OR(I344&lt;&gt;"Ja",J344=""),"",COUNTIFS($O$5:O344,O344,$U$5:U344,1))</f>
        <v>1</v>
      </c>
      <c r="W344" s="15" t="str">
        <f t="shared" si="77"/>
        <v>2027-01-20 | Ulriksdalshallen|1</v>
      </c>
      <c r="X344" s="16">
        <f t="shared" si="78"/>
        <v>0.79166666666666696</v>
      </c>
      <c r="Y344" s="15">
        <f>IF(OR(I344&lt;&gt;"Ja",J344=""),0,IF(COUNTIFS($O$5:O344,O344,$I$5:I344,"Ja",$J$5:J344,"&lt;&gt;")=1,1,0))</f>
        <v>0</v>
      </c>
      <c r="Z344" s="15">
        <f>IF(OR(I344&lt;&gt;"Ja",J344=""),0,IF(COUNTIFS(O344:$O$546,O344,I344:$I$546,"Ja",J344:$J$546,"&lt;&gt;")=1,1,0))</f>
        <v>1</v>
      </c>
      <c r="AA344" s="15">
        <f>AA343</f>
        <v>1</v>
      </c>
      <c r="AB344" s="15" t="str">
        <f>IF(U344&lt;&gt;1,"",COUNTIF($U$5:U344,1))</f>
        <v/>
      </c>
      <c r="AC344" s="15" t="str">
        <f t="shared" si="79"/>
        <v>2027-01-20 | Ulriksdalshallen|1</v>
      </c>
      <c r="AD344" s="15" t="str">
        <f t="shared" si="80"/>
        <v>Minicafé</v>
      </c>
      <c r="AE344" s="15" t="str">
        <f t="shared" si="81"/>
        <v/>
      </c>
      <c r="AF344" t="str">
        <f>IF(T344="","",IFERROR(MATCH(1,INDEX((MATCHER!$B$5:$B$504=A344)*(MATCHER!$D$5:$D$504=C344)*(MATCHER!$K$5:$K$504="Ja")*(MATCHER!$C$5:$C$504&lt;E344)*(MATCHER!$M$5:$M$504&gt;D344)*(ROW(MATCHER!$A$5:$A$504)-ROW(MATCHER!$A$5)+1&gt;T344),0),0),""))</f>
        <v/>
      </c>
    </row>
    <row r="345" spans="1:32" ht="13">
      <c r="A345" s="42">
        <v>46410</v>
      </c>
      <c r="B345" s="43" t="s">
        <v>85</v>
      </c>
      <c r="C345" s="43" t="s">
        <v>94</v>
      </c>
      <c r="D345" s="44">
        <v>0.53125</v>
      </c>
      <c r="E345" s="44">
        <v>0.54166666666666696</v>
      </c>
      <c r="F345" s="45" t="str">
        <f>IF(R345="","",HOUR(INDEX(MATCHER!$C$5:$C$504,R345))&amp;":"&amp;IF(MINUTE(INDEX(MATCHER!$C$5:$C$504,R345))&lt;10,"0","")&amp;MINUTE(INDEX(MATCHER!$C$5:$C$504,R345))&amp;" "&amp;INDEX(MATCHER!$H$5:$H$504,R345)&amp;" – "&amp;INDEX(MATCHER!$I$5:$I$504,R345))&amp;IF(S345="",""," | "&amp;HOUR(INDEX(MATCHER!$C$5:$C$504,S345))&amp;":"&amp;IF(MINUTE(INDEX(MATCHER!$C$5:$C$504,S345))&lt;10,"0","")&amp;MINUTE(INDEX(MATCHER!$C$5:$C$504,S345))&amp;" "&amp;INDEX(MATCHER!$H$5:$H$504,S345)&amp;" – "&amp;INDEX(MATCHER!$I$5:$I$504,S345))&amp;IF(T345="",""," | "&amp;HOUR(INDEX(MATCHER!$C$5:$C$504,T345))&amp;":"&amp;IF(MINUTE(INDEX(MATCHER!$C$5:$C$504,T345))&lt;10,"0","")&amp;MINUTE(INDEX(MATCHER!$C$5:$C$504,T345))&amp;" "&amp;INDEX(MATCHER!$H$5:$H$504,T345)&amp;" – "&amp;INDEX(MATCHER!$I$5:$I$504,T345))&amp;IF(AF345="",""," | "&amp;HOUR(INDEX(MATCHER!$C$5:$C$504,AF345))&amp;":"&amp;IF(MINUTE(INDEX(MATCHER!$C$5:$C$504,AF345))&lt;10,"0","")&amp;MINUTE(INDEX(MATCHER!$C$5:$C$504,AF345))&amp;" "&amp;INDEX(MATCHER!$H$5:$H$504,AF345)&amp;" – "&amp;INDEX(MATCHER!$I$5:$I$504,AF345))</f>
        <v/>
      </c>
      <c r="G345" s="45" t="str">
        <f>MID(IF(R345="","",IF(OR(INDEX(MATCHER!$J$5:$J$504,R345)=""),""," / "&amp;INDEX(MATCHER!$J$5:$J$504,R345)))&amp;IF(S345="","",IF(OR(INDEX(MATCHER!$J$5:$J$504,S345)="",INDEX(MATCHER!$J$5:$J$504,S345)=IFERROR(INDEX(MATCHER!$J$5:$J$504,R345),"")),""," / "&amp;INDEX(MATCHER!$J$5:$J$504,S345)))&amp;IF(T345="","",IF(OR(INDEX(MATCHER!$J$5:$J$504,T345)="",INDEX(MATCHER!$J$5:$J$504,T345)=IFERROR(INDEX(MATCHER!$J$5:$J$504,R345),""),INDEX(MATCHER!$J$5:$J$504,T345)=IFERROR(INDEX(MATCHER!$J$5:$J$504,S345),"")),""," / "&amp;INDEX(MATCHER!$J$5:$J$504,T345)))&amp;IF(AF345="","",IF(OR(INDEX(MATCHER!$J$5:$J$504,AF345)="",INDEX(MATCHER!$J$5:$J$504,AF345)=IFERROR(INDEX(MATCHER!$J$5:$J$504,R345),""),INDEX(MATCHER!$J$5:$J$504,AF345)=IFERROR(INDEX(MATCHER!$J$5:$J$504,S345),""),INDEX(MATCHER!$J$5:$J$504,AF345)=IFERROR(INDEX(MATCHER!$J$5:$J$504,T345),"")),""," / "&amp;INDEX(MATCHER!$J$5:$J$504,AF345))),4,1000)</f>
        <v/>
      </c>
      <c r="H345" s="45" t="str">
        <f>MID(IF(COUNTIFS(MATCHER!$B$5:$B$504,A345,MATCHER!$D$5:$D$504,C345,MATCHER!$J$5:$J$504,REGLER!$I$6,MATCHER!$K$5:$K$504,"Ja")+COUNTIFS(MATCHER!$B$5:$B$504,A345,MATCHER!$D$5:$D$504,C345,MATCHER!$J$5:$J$504,REGLER!$I$6&amp;" 2",MATCHER!$K$5:$K$504,"Ja")&gt;0,", "&amp;REGLER!$I$6,"")&amp;IF(COUNTIFS(MATCHER!$B$5:$B$504,A345,MATCHER!$D$5:$D$504,C345,MATCHER!$J$5:$J$504,REGLER!$I$7,MATCHER!$K$5:$K$504,"Ja")+COUNTIFS(MATCHER!$B$5:$B$504,A345,MATCHER!$D$5:$D$504,C345,MATCHER!$J$5:$J$504,REGLER!$I$7&amp;" 2",MATCHER!$K$5:$K$504,"Ja")&gt;0,", "&amp;REGLER!$I$7,"")&amp;IF(COUNTIFS(MATCHER!$B$5:$B$504,A345,MATCHER!$D$5:$D$504,C345,MATCHER!$J$5:$J$504,REGLER!$I$8,MATCHER!$K$5:$K$504,"Ja")+COUNTIFS(MATCHER!$B$5:$B$504,A345,MATCHER!$D$5:$D$504,C345,MATCHER!$J$5:$J$504,REGLER!$I$8&amp;" 2",MATCHER!$K$5:$K$504,"Ja")&gt;0,", "&amp;REGLER!$I$8,"")&amp;IF(COUNTIFS(MATCHER!$B$5:$B$504,A345,MATCHER!$D$5:$D$504,C345,MATCHER!$J$5:$J$504,REGLER!$I$9,MATCHER!$K$5:$K$504,"Ja")+COUNTIFS(MATCHER!$B$5:$B$504,A345,MATCHER!$D$5:$D$504,C345,MATCHER!$J$5:$J$504,REGLER!$I$9&amp;" 2",MATCHER!$K$5:$K$504,"Ja")&gt;0,", "&amp;REGLER!$I$9,"")&amp;IF(COUNTIFS(MATCHER!$B$5:$B$504,A345,MATCHER!$D$5:$D$504,C345,MATCHER!$J$5:$J$504,REGLER!$I$10,MATCHER!$K$5:$K$504,"Ja")+COUNTIFS(MATCHER!$B$5:$B$504,A345,MATCHER!$D$5:$D$504,C345,MATCHER!$J$5:$J$504,REGLER!$I$10&amp;" 2",MATCHER!$K$5:$K$504,"Ja")&gt;0,", "&amp;REGLER!$I$10,"")&amp;IF(COUNTIFS(MATCHER!$B$5:$B$504,A345,MATCHER!$D$5:$D$504,C345,MATCHER!$J$5:$J$504,REGLER!$I$11,MATCHER!$K$5:$K$504,"Ja")+COUNTIFS(MATCHER!$B$5:$B$504,A345,MATCHER!$D$5:$D$504,C345,MATCHER!$J$5:$J$504,REGLER!$I$11&amp;" 2",MATCHER!$K$5:$K$504,"Ja")&gt;0,", "&amp;REGLER!$I$11,"")&amp;IF(COUNTIFS(MATCHER!$B$5:$B$504,A345,MATCHER!$D$5:$D$504,C345,MATCHER!$J$5:$J$504,REGLER!$I$12,MATCHER!$K$5:$K$504,"Ja")+COUNTIFS(MATCHER!$B$5:$B$504,A345,MATCHER!$D$5:$D$504,C345,MATCHER!$J$5:$J$504,REGLER!$I$12&amp;" 2",MATCHER!$K$5:$K$504,"Ja")&gt;0,", "&amp;REGLER!$I$12,"")&amp;IF(COUNTIFS(MATCHER!$B$5:$B$504,A345,MATCHER!$D$5:$D$504,C345,MATCHER!$J$5:$J$504,REGLER!$I$13,MATCHER!$K$5:$K$504,"Ja")+COUNTIFS(MATCHER!$B$5:$B$504,A345,MATCHER!$D$5:$D$504,C345,MATCHER!$J$5:$J$504,REGLER!$I$13&amp;" 2",MATCHER!$K$5:$K$504,"Ja")&gt;0,", "&amp;REGLER!$I$13,"")&amp;IF(COUNTIFS(MATCHER!$B$5:$B$504,A345,MATCHER!$D$5:$D$504,C345,MATCHER!$J$5:$J$504,REGLER!$I$14,MATCHER!$K$5:$K$504,"Ja")+COUNTIFS(MATCHER!$B$5:$B$504,A345,MATCHER!$D$5:$D$504,C345,MATCHER!$J$5:$J$504,REGLER!$I$14&amp;" 2",MATCHER!$K$5:$K$504,"Ja")&gt;0,", "&amp;REGLER!$I$14,"")&amp;IF(COUNTIFS(MATCHER!$B$5:$B$504,A345,MATCHER!$D$5:$D$504,C345,MATCHER!$J$5:$J$504,REGLER!$I$15,MATCHER!$K$5:$K$504,"Ja")+COUNTIFS(MATCHER!$B$5:$B$504,A345,MATCHER!$D$5:$D$504,C345,MATCHER!$J$5:$J$504,REGLER!$I$15&amp;" 2",MATCHER!$K$5:$K$504,"Ja")&gt;0,", "&amp;REGLER!$I$15,"")&amp;IF(COUNTIFS(MATCHER!$B$5:$B$504,A345,MATCHER!$D$5:$D$504,C345,MATCHER!$J$5:$J$504,REGLER!$I$16,MATCHER!$K$5:$K$504,"Ja")+COUNTIFS(MATCHER!$B$5:$B$504,A345,MATCHER!$D$5:$D$504,C345,MATCHER!$J$5:$J$504,REGLER!$I$16&amp;" 2",MATCHER!$K$5:$K$504,"Ja")&gt;0,", "&amp;REGLER!$I$16,"")&amp;IF(COUNTIFS(MATCHER!$B$5:$B$504,A345,MATCHER!$D$5:$D$504,C345,MATCHER!$J$5:$J$504,REGLER!$I$17,MATCHER!$K$5:$K$504,"Ja")+COUNTIFS(MATCHER!$B$5:$B$504,A345,MATCHER!$D$5:$D$504,C345,MATCHER!$J$5:$J$504,REGLER!$I$17&amp;" 2",MATCHER!$K$5:$K$504,"Ja")&gt;0,", "&amp;REGLER!$I$17,"")&amp;IF(COUNTIFS(MATCHER!$B$5:$B$504,A345,MATCHER!$D$5:$D$504,C345,MATCHER!$J$5:$J$504,REGLER!$I$18,MATCHER!$K$5:$K$504,"Ja")+COUNTIFS(MATCHER!$B$5:$B$504,A345,MATCHER!$D$5:$D$504,C345,MATCHER!$J$5:$J$504,REGLER!$I$18&amp;" 2",MATCHER!$K$5:$K$504,"Ja")&gt;0,", "&amp;REGLER!$I$18,"")&amp;IF(COUNTIFS(MATCHER!$B$5:$B$504,A345,MATCHER!$D$5:$D$504,C345,MATCHER!$J$5:$J$504,REGLER!$I$19,MATCHER!$K$5:$K$504,"Ja")+COUNTIFS(MATCHER!$B$5:$B$504,A345,MATCHER!$D$5:$D$504,C345,MATCHER!$J$5:$J$504,REGLER!$I$19&amp;" 2",MATCHER!$K$5:$K$504,"Ja")&gt;0,", "&amp;REGLER!$I$19,"")&amp;IF(COUNTIFS(MATCHER!$B$5:$B$504,A345,MATCHER!$D$5:$D$504,C345,MATCHER!$J$5:$J$504,REGLER!$I$20,MATCHER!$K$5:$K$504,"Ja")+COUNTIFS(MATCHER!$B$5:$B$504,A345,MATCHER!$D$5:$D$504,C345,MATCHER!$J$5:$J$504,REGLER!$I$20&amp;" 2",MATCHER!$K$5:$K$504,"Ja")&gt;0,", "&amp;REGLER!$I$20,"")&amp;IF(COUNTIFS(MATCHER!$B$5:$B$504,A345,MATCHER!$D$5:$D$504,C345,MATCHER!$J$5:$J$504,REGLER!$I$21,MATCHER!$K$5:$K$504,"Ja")+COUNTIFS(MATCHER!$B$5:$B$504,A345,MATCHER!$D$5:$D$504,C345,MATCHER!$J$5:$J$504,REGLER!$I$21&amp;" 2",MATCHER!$K$5:$K$504,"Ja")&gt;0,", "&amp;REGLER!$I$21,"")&amp;IF(COUNTIFS(MATCHER!$B$5:$B$504,A345,MATCHER!$D$5:$D$504,C345,MATCHER!$J$5:$J$504,REGLER!$I$22,MATCHER!$K$5:$K$504,"Ja")+COUNTIFS(MATCHER!$B$5:$B$504,A345,MATCHER!$D$5:$D$504,C345,MATCHER!$J$5:$J$504,REGLER!$I$22&amp;" 2",MATCHER!$K$5:$K$504,"Ja")&gt;0,", "&amp;REGLER!$I$22,"")&amp;IF(COUNTIFS(MATCHER!$B$5:$B$504,A345,MATCHER!$D$5:$D$504,C345,MATCHER!$J$5:$J$504,REGLER!$I$23,MATCHER!$K$5:$K$504,"Ja")+COUNTIFS(MATCHER!$B$5:$B$504,A345,MATCHER!$D$5:$D$504,C345,MATCHER!$J$5:$J$504,REGLER!$I$23&amp;" 2",MATCHER!$K$5:$K$504,"Ja")&gt;0,", "&amp;REGLER!$I$23,"")&amp;IF(COUNTIFS(MATCHER!$B$5:$B$504,A345,MATCHER!$D$5:$D$504,C345,MATCHER!$J$5:$J$504,REGLER!$I$24,MATCHER!$K$5:$K$504,"Ja")+COUNTIFS(MATCHER!$B$5:$B$504,A345,MATCHER!$D$5:$D$504,C345,MATCHER!$J$5:$J$504,REGLER!$I$24&amp;" 2",MATCHER!$K$5:$K$504,"Ja")&gt;0,", "&amp;REGLER!$I$24,"")&amp;IF(COUNTIFS(MATCHER!$B$5:$B$504,A345,MATCHER!$D$5:$D$504,C345,MATCHER!$J$5:$J$504,REGLER!$I$25,MATCHER!$K$5:$K$504,"Ja")+COUNTIFS(MATCHER!$B$5:$B$504,A345,MATCHER!$D$5:$D$504,C345,MATCHER!$J$5:$J$504,REGLER!$I$25&amp;" 2",MATCHER!$K$5:$K$504,"Ja")&gt;0,", "&amp;REGLER!$I$25,"")&amp;IF(COUNTIFS(MATCHER!$B$5:$B$504,A345,MATCHER!$D$5:$D$504,C345,MATCHER!$J$5:$J$504,REGLER!$I$26,MATCHER!$K$5:$K$504,"Ja")+COUNTIFS(MATCHER!$B$5:$B$504,A345,MATCHER!$D$5:$D$504,C345,MATCHER!$J$5:$J$504,REGLER!$I$26&amp;" 2",MATCHER!$K$5:$K$504,"Ja")&gt;0,", "&amp;REGLER!$I$26,""),3,1000)</f>
        <v>P16</v>
      </c>
      <c r="I345" s="46" t="s">
        <v>87</v>
      </c>
      <c r="J345" s="47"/>
      <c r="K345" s="48" t="s">
        <v>98</v>
      </c>
      <c r="L345" s="49"/>
      <c r="M345" s="50">
        <f>IF(O345&lt;&gt;O344,MAX(1,MIN(AA345,ROUNDUP(SUMPRODUCT(($O$5:$O$546=O345)*($I$5:$I$546="Ja")*($E$5:$E$546-$D$5:$D$546))*24/REGLER!$B$8,0))),"")</f>
        <v>1</v>
      </c>
      <c r="N345" s="50" t="str">
        <f t="shared" si="75"/>
        <v>Ej öppet</v>
      </c>
      <c r="O345" s="15" t="s">
        <v>143</v>
      </c>
      <c r="P345" s="16">
        <v>0.53125</v>
      </c>
      <c r="Q345" s="16">
        <v>0.625</v>
      </c>
      <c r="R345" s="15" t="str">
        <f>IFERROR(MATCH(1,INDEX((MATCHER!$B$5:$B$504=A345)*(MATCHER!$D$5:$D$504=C345)*(MATCHER!$K$5:$K$504="Ja")*(MATCHER!$C$5:$C$504&lt;E345)*(MATCHER!$M$5:$M$504&gt;D345),0),0),"")</f>
        <v/>
      </c>
      <c r="S345" s="15" t="str">
        <f>IF(R345="","",IFERROR(MATCH(1,INDEX((MATCHER!$B$5:$B$504=A345)*(MATCHER!$D$5:$D$504=C345)*(MATCHER!$K$5:$K$504="Ja")*(MATCHER!$C$5:$C$504&lt;E345)*(MATCHER!$M$5:$M$504&gt;D345)*(ROW(MATCHER!$A$5:$A$504)-ROW(MATCHER!$A$5)+1&gt;R345),0),0),""))</f>
        <v/>
      </c>
      <c r="T345" s="15" t="str">
        <f>IF(S345="","",IFERROR(MATCH(1,INDEX((MATCHER!$B$5:$B$504=A345)*(MATCHER!$D$5:$D$504=C345)*(MATCHER!$K$5:$K$504="Ja")*(MATCHER!$C$5:$C$504&lt;E345)*(MATCHER!$M$5:$M$504&gt;D345)*(ROW(MATCHER!$A$5:$A$504)-ROW(MATCHER!$A$5)+1&gt;S345),0),0),""))</f>
        <v/>
      </c>
      <c r="U345" s="15" t="str">
        <f t="shared" si="76"/>
        <v/>
      </c>
      <c r="V345" s="15" t="str">
        <f>IF(OR(I345&lt;&gt;"Ja",J345=""),"",COUNTIFS($O$5:O345,O345,$U$5:U345,1))</f>
        <v/>
      </c>
      <c r="W345" s="15" t="str">
        <f t="shared" si="77"/>
        <v/>
      </c>
      <c r="X345" s="16" t="str">
        <f t="shared" si="78"/>
        <v/>
      </c>
      <c r="Y345" s="15">
        <f>IF(OR(I345&lt;&gt;"Ja",J345=""),0,IF(COUNTIFS($O$5:O345,O345,$I$5:I345,"Ja",$J$5:J345,"&lt;&gt;")=1,1,0))</f>
        <v>0</v>
      </c>
      <c r="Z345" s="15">
        <f>IF(OR(I345&lt;&gt;"Ja",J345=""),0,IF(COUNTIFS(O345:$O$546,O345,I345:$I$546,"Ja",J345:$J$546,"&lt;&gt;")=1,1,0))</f>
        <v>0</v>
      </c>
      <c r="AA345" s="15">
        <f>IF(COUNTIFS(MATCHER!$B$5:$B$504,A345,MATCHER!$D$5:$D$504,C345,MATCHER!$J$5:$J$504,REGLER!$I$6,MATCHER!$K$5:$K$504,"Ja")+COUNTIFS(MATCHER!$B$5:$B$504,A345,MATCHER!$D$5:$D$504,C345,MATCHER!$J$5:$J$504,REGLER!$I$6&amp;" 2",MATCHER!$K$5:$K$504,"Ja")&gt;0,1,0)+IF(COUNTIFS(MATCHER!$B$5:$B$504,A345,MATCHER!$D$5:$D$504,C345,MATCHER!$J$5:$J$504,REGLER!$I$7,MATCHER!$K$5:$K$504,"Ja")+COUNTIFS(MATCHER!$B$5:$B$504,A345,MATCHER!$D$5:$D$504,C345,MATCHER!$J$5:$J$504,REGLER!$I$7&amp;" 2",MATCHER!$K$5:$K$504,"Ja")&gt;0,1,0)+IF(COUNTIFS(MATCHER!$B$5:$B$504,A345,MATCHER!$D$5:$D$504,C345,MATCHER!$J$5:$J$504,REGLER!$I$8,MATCHER!$K$5:$K$504,"Ja")+COUNTIFS(MATCHER!$B$5:$B$504,A345,MATCHER!$D$5:$D$504,C345,MATCHER!$J$5:$J$504,REGLER!$I$8&amp;" 2",MATCHER!$K$5:$K$504,"Ja")&gt;0,1,0)+IF(COUNTIFS(MATCHER!$B$5:$B$504,A345,MATCHER!$D$5:$D$504,C345,MATCHER!$J$5:$J$504,REGLER!$I$9,MATCHER!$K$5:$K$504,"Ja")+COUNTIFS(MATCHER!$B$5:$B$504,A345,MATCHER!$D$5:$D$504,C345,MATCHER!$J$5:$J$504,REGLER!$I$9&amp;" 2",MATCHER!$K$5:$K$504,"Ja")&gt;0,1,0)+IF(COUNTIFS(MATCHER!$B$5:$B$504,A345,MATCHER!$D$5:$D$504,C345,MATCHER!$J$5:$J$504,REGLER!$I$10,MATCHER!$K$5:$K$504,"Ja")+COUNTIFS(MATCHER!$B$5:$B$504,A345,MATCHER!$D$5:$D$504,C345,MATCHER!$J$5:$J$504,REGLER!$I$10&amp;" 2",MATCHER!$K$5:$K$504,"Ja")&gt;0,1,0)+IF(COUNTIFS(MATCHER!$B$5:$B$504,A345,MATCHER!$D$5:$D$504,C345,MATCHER!$J$5:$J$504,REGLER!$I$11,MATCHER!$K$5:$K$504,"Ja")+COUNTIFS(MATCHER!$B$5:$B$504,A345,MATCHER!$D$5:$D$504,C345,MATCHER!$J$5:$J$504,REGLER!$I$11&amp;" 2",MATCHER!$K$5:$K$504,"Ja")&gt;0,1,0)+IF(COUNTIFS(MATCHER!$B$5:$B$504,A345,MATCHER!$D$5:$D$504,C345,MATCHER!$J$5:$J$504,REGLER!$I$12,MATCHER!$K$5:$K$504,"Ja")+COUNTIFS(MATCHER!$B$5:$B$504,A345,MATCHER!$D$5:$D$504,C345,MATCHER!$J$5:$J$504,REGLER!$I$12&amp;" 2",MATCHER!$K$5:$K$504,"Ja")&gt;0,1,0)+IF(COUNTIFS(MATCHER!$B$5:$B$504,A345,MATCHER!$D$5:$D$504,C345,MATCHER!$J$5:$J$504,REGLER!$I$13,MATCHER!$K$5:$K$504,"Ja")+COUNTIFS(MATCHER!$B$5:$B$504,A345,MATCHER!$D$5:$D$504,C345,MATCHER!$J$5:$J$504,REGLER!$I$13&amp;" 2",MATCHER!$K$5:$K$504,"Ja")&gt;0,1,0)+IF(COUNTIFS(MATCHER!$B$5:$B$504,A345,MATCHER!$D$5:$D$504,C345,MATCHER!$J$5:$J$504,REGLER!$I$14,MATCHER!$K$5:$K$504,"Ja")+COUNTIFS(MATCHER!$B$5:$B$504,A345,MATCHER!$D$5:$D$504,C345,MATCHER!$J$5:$J$504,REGLER!$I$14&amp;" 2",MATCHER!$K$5:$K$504,"Ja")&gt;0,1,0)+IF(COUNTIFS(MATCHER!$B$5:$B$504,A345,MATCHER!$D$5:$D$504,C345,MATCHER!$J$5:$J$504,REGLER!$I$15,MATCHER!$K$5:$K$504,"Ja")+COUNTIFS(MATCHER!$B$5:$B$504,A345,MATCHER!$D$5:$D$504,C345,MATCHER!$J$5:$J$504,REGLER!$I$15&amp;" 2",MATCHER!$K$5:$K$504,"Ja")&gt;0,1,0)+IF(COUNTIFS(MATCHER!$B$5:$B$504,A345,MATCHER!$D$5:$D$504,C345,MATCHER!$J$5:$J$504,REGLER!$I$16,MATCHER!$K$5:$K$504,"Ja")+COUNTIFS(MATCHER!$B$5:$B$504,A345,MATCHER!$D$5:$D$504,C345,MATCHER!$J$5:$J$504,REGLER!$I$16&amp;" 2",MATCHER!$K$5:$K$504,"Ja")&gt;0,1,0)+IF(COUNTIFS(MATCHER!$B$5:$B$504,A345,MATCHER!$D$5:$D$504,C345,MATCHER!$J$5:$J$504,REGLER!$I$17,MATCHER!$K$5:$K$504,"Ja")+COUNTIFS(MATCHER!$B$5:$B$504,A345,MATCHER!$D$5:$D$504,C345,MATCHER!$J$5:$J$504,REGLER!$I$17&amp;" 2",MATCHER!$K$5:$K$504,"Ja")&gt;0,1,0)+IF(COUNTIFS(MATCHER!$B$5:$B$504,A345,MATCHER!$D$5:$D$504,C345,MATCHER!$J$5:$J$504,REGLER!$I$18,MATCHER!$K$5:$K$504,"Ja")+COUNTIFS(MATCHER!$B$5:$B$504,A345,MATCHER!$D$5:$D$504,C345,MATCHER!$J$5:$J$504,REGLER!$I$18&amp;" 2",MATCHER!$K$5:$K$504,"Ja")&gt;0,1,0)+IF(COUNTIFS(MATCHER!$B$5:$B$504,A345,MATCHER!$D$5:$D$504,C345,MATCHER!$J$5:$J$504,REGLER!$I$19,MATCHER!$K$5:$K$504,"Ja")+COUNTIFS(MATCHER!$B$5:$B$504,A345,MATCHER!$D$5:$D$504,C345,MATCHER!$J$5:$J$504,REGLER!$I$19&amp;" 2",MATCHER!$K$5:$K$504,"Ja")&gt;0,1,0)+IF(COUNTIFS(MATCHER!$B$5:$B$504,A345,MATCHER!$D$5:$D$504,C345,MATCHER!$J$5:$J$504,REGLER!$I$20,MATCHER!$K$5:$K$504,"Ja")+COUNTIFS(MATCHER!$B$5:$B$504,A345,MATCHER!$D$5:$D$504,C345,MATCHER!$J$5:$J$504,REGLER!$I$20&amp;" 2",MATCHER!$K$5:$K$504,"Ja")&gt;0,1,0)+IF(COUNTIFS(MATCHER!$B$5:$B$504,A345,MATCHER!$D$5:$D$504,C345,MATCHER!$J$5:$J$504,REGLER!$I$21,MATCHER!$K$5:$K$504,"Ja")+COUNTIFS(MATCHER!$B$5:$B$504,A345,MATCHER!$D$5:$D$504,C345,MATCHER!$J$5:$J$504,REGLER!$I$21&amp;" 2",MATCHER!$K$5:$K$504,"Ja")&gt;0,1,0)+IF(COUNTIFS(MATCHER!$B$5:$B$504,A345,MATCHER!$D$5:$D$504,C345,MATCHER!$J$5:$J$504,REGLER!$I$22,MATCHER!$K$5:$K$504,"Ja")+COUNTIFS(MATCHER!$B$5:$B$504,A345,MATCHER!$D$5:$D$504,C345,MATCHER!$J$5:$J$504,REGLER!$I$22&amp;" 2",MATCHER!$K$5:$K$504,"Ja")&gt;0,1,0)+IF(COUNTIFS(MATCHER!$B$5:$B$504,A345,MATCHER!$D$5:$D$504,C345,MATCHER!$J$5:$J$504,REGLER!$I$23,MATCHER!$K$5:$K$504,"Ja")+COUNTIFS(MATCHER!$B$5:$B$504,A345,MATCHER!$D$5:$D$504,C345,MATCHER!$J$5:$J$504,REGLER!$I$23&amp;" 2",MATCHER!$K$5:$K$504,"Ja")&gt;0,1,0)+IF(COUNTIFS(MATCHER!$B$5:$B$504,A345,MATCHER!$D$5:$D$504,C345,MATCHER!$J$5:$J$504,REGLER!$I$24,MATCHER!$K$5:$K$504,"Ja")+COUNTIFS(MATCHER!$B$5:$B$504,A345,MATCHER!$D$5:$D$504,C345,MATCHER!$J$5:$J$504,REGLER!$I$24&amp;" 2",MATCHER!$K$5:$K$504,"Ja")&gt;0,1,0)+IF(COUNTIFS(MATCHER!$B$5:$B$504,A345,MATCHER!$D$5:$D$504,C345,MATCHER!$J$5:$J$504,REGLER!$I$25,MATCHER!$K$5:$K$504,"Ja")+COUNTIFS(MATCHER!$B$5:$B$504,A345,MATCHER!$D$5:$D$504,C345,MATCHER!$J$5:$J$504,REGLER!$I$25&amp;" 2",MATCHER!$K$5:$K$504,"Ja")&gt;0,1,0)+IF(COUNTIFS(MATCHER!$B$5:$B$504,A345,MATCHER!$D$5:$D$504,C345,MATCHER!$J$5:$J$504,REGLER!$I$26,MATCHER!$K$5:$K$504,"Ja")+COUNTIFS(MATCHER!$B$5:$B$504,A345,MATCHER!$D$5:$D$504,C345,MATCHER!$J$5:$J$504,REGLER!$I$26&amp;" 2",MATCHER!$K$5:$K$504,"Ja")&gt;0,1,0)</f>
        <v>1</v>
      </c>
      <c r="AB345" s="15" t="str">
        <f>IF(U345&lt;&gt;1,"",COUNTIF($U$5:U345,1))</f>
        <v/>
      </c>
      <c r="AC345" s="15" t="str">
        <f t="shared" si="79"/>
        <v/>
      </c>
      <c r="AD345" s="15" t="str">
        <f t="shared" si="80"/>
        <v>Minicafé</v>
      </c>
      <c r="AE345" s="15" t="str">
        <f t="shared" si="81"/>
        <v/>
      </c>
      <c r="AF345" t="str">
        <f>IF(T345="","",IFERROR(MATCH(1,INDEX((MATCHER!$B$5:$B$504=A345)*(MATCHER!$D$5:$D$504=C345)*(MATCHER!$K$5:$K$504="Ja")*(MATCHER!$C$5:$C$504&lt;E345)*(MATCHER!$M$5:$M$504&gt;D345)*(ROW(MATCHER!$A$5:$A$504)-ROW(MATCHER!$A$5)+1&gt;T345),0),0),""))</f>
        <v/>
      </c>
    </row>
    <row r="346" spans="1:32" ht="13">
      <c r="A346" s="42">
        <v>46410</v>
      </c>
      <c r="B346" s="43" t="s">
        <v>85</v>
      </c>
      <c r="C346" s="43" t="s">
        <v>94</v>
      </c>
      <c r="D346" s="44">
        <v>0.54166666666666696</v>
      </c>
      <c r="E346" s="44">
        <v>0.5625</v>
      </c>
      <c r="F346" s="45" t="str">
        <f>IF(R346="","",HOUR(INDEX(MATCHER!$C$5:$C$504,R346))&amp;":"&amp;IF(MINUTE(INDEX(MATCHER!$C$5:$C$504,R346))&lt;10,"0","")&amp;MINUTE(INDEX(MATCHER!$C$5:$C$504,R346))&amp;" "&amp;INDEX(MATCHER!$H$5:$H$504,R346)&amp;" – "&amp;INDEX(MATCHER!$I$5:$I$504,R346))&amp;IF(S346="",""," | "&amp;HOUR(INDEX(MATCHER!$C$5:$C$504,S346))&amp;":"&amp;IF(MINUTE(INDEX(MATCHER!$C$5:$C$504,S346))&lt;10,"0","")&amp;MINUTE(INDEX(MATCHER!$C$5:$C$504,S346))&amp;" "&amp;INDEX(MATCHER!$H$5:$H$504,S346)&amp;" – "&amp;INDEX(MATCHER!$I$5:$I$504,S346))&amp;IF(T346="",""," | "&amp;HOUR(INDEX(MATCHER!$C$5:$C$504,T346))&amp;":"&amp;IF(MINUTE(INDEX(MATCHER!$C$5:$C$504,T346))&lt;10,"0","")&amp;MINUTE(INDEX(MATCHER!$C$5:$C$504,T346))&amp;" "&amp;INDEX(MATCHER!$H$5:$H$504,T346)&amp;" – "&amp;INDEX(MATCHER!$I$5:$I$504,T346))&amp;IF(AF346="",""," | "&amp;HOUR(INDEX(MATCHER!$C$5:$C$504,AF346))&amp;":"&amp;IF(MINUTE(INDEX(MATCHER!$C$5:$C$504,AF346))&lt;10,"0","")&amp;MINUTE(INDEX(MATCHER!$C$5:$C$504,AF346))&amp;" "&amp;INDEX(MATCHER!$H$5:$H$504,AF346)&amp;" – "&amp;INDEX(MATCHER!$I$5:$I$504,AF346))</f>
        <v/>
      </c>
      <c r="G346" s="45" t="str">
        <f>MID(IF(R346="","",IF(OR(INDEX(MATCHER!$J$5:$J$504,R346)=""),""," / "&amp;INDEX(MATCHER!$J$5:$J$504,R346)))&amp;IF(S346="","",IF(OR(INDEX(MATCHER!$J$5:$J$504,S346)="",INDEX(MATCHER!$J$5:$J$504,S346)=IFERROR(INDEX(MATCHER!$J$5:$J$504,R346),"")),""," / "&amp;INDEX(MATCHER!$J$5:$J$504,S346)))&amp;IF(T346="","",IF(OR(INDEX(MATCHER!$J$5:$J$504,T346)="",INDEX(MATCHER!$J$5:$J$504,T346)=IFERROR(INDEX(MATCHER!$J$5:$J$504,R346),""),INDEX(MATCHER!$J$5:$J$504,T346)=IFERROR(INDEX(MATCHER!$J$5:$J$504,S346),"")),""," / "&amp;INDEX(MATCHER!$J$5:$J$504,T346)))&amp;IF(AF346="","",IF(OR(INDEX(MATCHER!$J$5:$J$504,AF346)="",INDEX(MATCHER!$J$5:$J$504,AF346)=IFERROR(INDEX(MATCHER!$J$5:$J$504,R346),""),INDEX(MATCHER!$J$5:$J$504,AF346)=IFERROR(INDEX(MATCHER!$J$5:$J$504,S346),""),INDEX(MATCHER!$J$5:$J$504,AF346)=IFERROR(INDEX(MATCHER!$J$5:$J$504,T346),"")),""," / "&amp;INDEX(MATCHER!$J$5:$J$504,AF346))),4,1000)</f>
        <v/>
      </c>
      <c r="H346" s="45" t="str">
        <f>H345</f>
        <v>P16</v>
      </c>
      <c r="I346" s="46" t="s">
        <v>87</v>
      </c>
      <c r="J346" s="47"/>
      <c r="K346" s="48"/>
      <c r="L346" s="49"/>
      <c r="M346" s="50" t="str">
        <f>IF(O346&lt;&gt;O345,MAX(1,MIN(AA346,ROUNDUP(SUMPRODUCT(($O$5:$O$546=O346)*($I$5:$I$546="Ja")*($E$5:$E$546-$D$5:$D$546))*24/REGLER!$B$8,0))),"")</f>
        <v/>
      </c>
      <c r="N346" s="50" t="str">
        <f t="shared" si="75"/>
        <v>Ej öppet</v>
      </c>
      <c r="O346" s="15" t="s">
        <v>143</v>
      </c>
      <c r="P346" s="16">
        <v>0.53125</v>
      </c>
      <c r="Q346" s="16">
        <v>0.625</v>
      </c>
      <c r="R346" s="15" t="str">
        <f>IFERROR(MATCH(1,INDEX((MATCHER!$B$5:$B$504=A346)*(MATCHER!$D$5:$D$504=C346)*(MATCHER!$K$5:$K$504="Ja")*(MATCHER!$C$5:$C$504&lt;E346)*(MATCHER!$M$5:$M$504&gt;D346),0),0),"")</f>
        <v/>
      </c>
      <c r="S346" s="15" t="str">
        <f>IF(R346="","",IFERROR(MATCH(1,INDEX((MATCHER!$B$5:$B$504=A346)*(MATCHER!$D$5:$D$504=C346)*(MATCHER!$K$5:$K$504="Ja")*(MATCHER!$C$5:$C$504&lt;E346)*(MATCHER!$M$5:$M$504&gt;D346)*(ROW(MATCHER!$A$5:$A$504)-ROW(MATCHER!$A$5)+1&gt;R346),0),0),""))</f>
        <v/>
      </c>
      <c r="T346" s="15" t="str">
        <f>IF(S346="","",IFERROR(MATCH(1,INDEX((MATCHER!$B$5:$B$504=A346)*(MATCHER!$D$5:$D$504=C346)*(MATCHER!$K$5:$K$504="Ja")*(MATCHER!$C$5:$C$504&lt;E346)*(MATCHER!$M$5:$M$504&gt;D346)*(ROW(MATCHER!$A$5:$A$504)-ROW(MATCHER!$A$5)+1&gt;S346),0),0),""))</f>
        <v/>
      </c>
      <c r="U346" s="15" t="str">
        <f t="shared" si="76"/>
        <v/>
      </c>
      <c r="V346" s="15" t="str">
        <f>IF(OR(I346&lt;&gt;"Ja",J346=""),"",COUNTIFS($O$5:O346,O346,$U$5:U346,1))</f>
        <v/>
      </c>
      <c r="W346" s="15" t="str">
        <f t="shared" si="77"/>
        <v/>
      </c>
      <c r="X346" s="16" t="str">
        <f t="shared" si="78"/>
        <v/>
      </c>
      <c r="Y346" s="15">
        <f>IF(OR(I346&lt;&gt;"Ja",J346=""),0,IF(COUNTIFS($O$5:O346,O346,$I$5:I346,"Ja",$J$5:J346,"&lt;&gt;")=1,1,0))</f>
        <v>0</v>
      </c>
      <c r="Z346" s="15">
        <f>IF(OR(I346&lt;&gt;"Ja",J346=""),0,IF(COUNTIFS(O346:$O$546,O346,I346:$I$546,"Ja",J346:$J$546,"&lt;&gt;")=1,1,0))</f>
        <v>0</v>
      </c>
      <c r="AA346" s="15">
        <f>AA345</f>
        <v>1</v>
      </c>
      <c r="AB346" s="15" t="str">
        <f>IF(U346&lt;&gt;1,"",COUNTIF($U$5:U346,1))</f>
        <v/>
      </c>
      <c r="AC346" s="15" t="str">
        <f t="shared" si="79"/>
        <v/>
      </c>
      <c r="AD346" s="15" t="str">
        <f t="shared" si="80"/>
        <v>Minicafé</v>
      </c>
      <c r="AE346" s="15" t="str">
        <f t="shared" si="81"/>
        <v/>
      </c>
      <c r="AF346" t="str">
        <f>IF(T346="","",IFERROR(MATCH(1,INDEX((MATCHER!$B$5:$B$504=A346)*(MATCHER!$D$5:$D$504=C346)*(MATCHER!$K$5:$K$504="Ja")*(MATCHER!$C$5:$C$504&lt;E346)*(MATCHER!$M$5:$M$504&gt;D346)*(ROW(MATCHER!$A$5:$A$504)-ROW(MATCHER!$A$5)+1&gt;T346),0),0),""))</f>
        <v/>
      </c>
    </row>
    <row r="347" spans="1:32" ht="13">
      <c r="A347" s="42">
        <v>46410</v>
      </c>
      <c r="B347" s="43" t="s">
        <v>85</v>
      </c>
      <c r="C347" s="43" t="s">
        <v>94</v>
      </c>
      <c r="D347" s="44">
        <v>0.5625</v>
      </c>
      <c r="E347" s="44">
        <v>0.58333333333333304</v>
      </c>
      <c r="F347" s="45" t="str">
        <f>IF(R347="","",HOUR(INDEX(MATCHER!$C$5:$C$504,R347))&amp;":"&amp;IF(MINUTE(INDEX(MATCHER!$C$5:$C$504,R347))&lt;10,"0","")&amp;MINUTE(INDEX(MATCHER!$C$5:$C$504,R347))&amp;" "&amp;INDEX(MATCHER!$H$5:$H$504,R347)&amp;" – "&amp;INDEX(MATCHER!$I$5:$I$504,R347))&amp;IF(S347="",""," | "&amp;HOUR(INDEX(MATCHER!$C$5:$C$504,S347))&amp;":"&amp;IF(MINUTE(INDEX(MATCHER!$C$5:$C$504,S347))&lt;10,"0","")&amp;MINUTE(INDEX(MATCHER!$C$5:$C$504,S347))&amp;" "&amp;INDEX(MATCHER!$H$5:$H$504,S347)&amp;" – "&amp;INDEX(MATCHER!$I$5:$I$504,S347))&amp;IF(T347="",""," | "&amp;HOUR(INDEX(MATCHER!$C$5:$C$504,T347))&amp;":"&amp;IF(MINUTE(INDEX(MATCHER!$C$5:$C$504,T347))&lt;10,"0","")&amp;MINUTE(INDEX(MATCHER!$C$5:$C$504,T347))&amp;" "&amp;INDEX(MATCHER!$H$5:$H$504,T347)&amp;" – "&amp;INDEX(MATCHER!$I$5:$I$504,T347))&amp;IF(AF347="",""," | "&amp;HOUR(INDEX(MATCHER!$C$5:$C$504,AF347))&amp;":"&amp;IF(MINUTE(INDEX(MATCHER!$C$5:$C$504,AF347))&lt;10,"0","")&amp;MINUTE(INDEX(MATCHER!$C$5:$C$504,AF347))&amp;" "&amp;INDEX(MATCHER!$H$5:$H$504,AF347)&amp;" – "&amp;INDEX(MATCHER!$I$5:$I$504,AF347))</f>
        <v>13:40 AIK 2 – Lidingö SK 2</v>
      </c>
      <c r="G347" s="45" t="str">
        <f>MID(IF(R347="","",IF(OR(INDEX(MATCHER!$J$5:$J$504,R347)=""),""," / "&amp;INDEX(MATCHER!$J$5:$J$504,R347)))&amp;IF(S347="","",IF(OR(INDEX(MATCHER!$J$5:$J$504,S347)="",INDEX(MATCHER!$J$5:$J$504,S347)=IFERROR(INDEX(MATCHER!$J$5:$J$504,R347),"")),""," / "&amp;INDEX(MATCHER!$J$5:$J$504,S347)))&amp;IF(T347="","",IF(OR(INDEX(MATCHER!$J$5:$J$504,T347)="",INDEX(MATCHER!$J$5:$J$504,T347)=IFERROR(INDEX(MATCHER!$J$5:$J$504,R347),""),INDEX(MATCHER!$J$5:$J$504,T347)=IFERROR(INDEX(MATCHER!$J$5:$J$504,S347),"")),""," / "&amp;INDEX(MATCHER!$J$5:$J$504,T347)))&amp;IF(AF347="","",IF(OR(INDEX(MATCHER!$J$5:$J$504,AF347)="",INDEX(MATCHER!$J$5:$J$504,AF347)=IFERROR(INDEX(MATCHER!$J$5:$J$504,R347),""),INDEX(MATCHER!$J$5:$J$504,AF347)=IFERROR(INDEX(MATCHER!$J$5:$J$504,S347),""),INDEX(MATCHER!$J$5:$J$504,AF347)=IFERROR(INDEX(MATCHER!$J$5:$J$504,T347),"")),""," / "&amp;INDEX(MATCHER!$J$5:$J$504,AF347))),4,1000)</f>
        <v>P16 2</v>
      </c>
      <c r="H347" s="45" t="str">
        <f>H346</f>
        <v>P16</v>
      </c>
      <c r="I347" s="46" t="s">
        <v>90</v>
      </c>
      <c r="J347" s="47" t="s">
        <v>100</v>
      </c>
      <c r="K347" s="48"/>
      <c r="L347" s="49"/>
      <c r="M347" s="50" t="str">
        <f>IF(O347&lt;&gt;O346,MAX(1,MIN(AA347,ROUNDUP(SUMPRODUCT(($O$5:$O$546=O347)*($I$5:$I$546="Ja")*($E$5:$E$546-$D$5:$D$546))*24/REGLER!$B$8,0))),"")</f>
        <v/>
      </c>
      <c r="N347" s="50" t="str">
        <f t="shared" si="75"/>
        <v>Klar</v>
      </c>
      <c r="O347" s="15" t="s">
        <v>143</v>
      </c>
      <c r="P347" s="16">
        <v>0.53125</v>
      </c>
      <c r="Q347" s="16">
        <v>0.625</v>
      </c>
      <c r="R347" s="15">
        <f>IFERROR(MATCH(1,INDEX((MATCHER!$B$5:$B$504=A347)*(MATCHER!$D$5:$D$504=C347)*(MATCHER!$K$5:$K$504="Ja")*(MATCHER!$C$5:$C$504&lt;E347)*(MATCHER!$M$5:$M$504&gt;D347),0),0),"")</f>
        <v>132</v>
      </c>
      <c r="S347" s="15" t="str">
        <f>IF(R347="","",IFERROR(MATCH(1,INDEX((MATCHER!$B$5:$B$504=A347)*(MATCHER!$D$5:$D$504=C347)*(MATCHER!$K$5:$K$504="Ja")*(MATCHER!$C$5:$C$504&lt;E347)*(MATCHER!$M$5:$M$504&gt;D347)*(ROW(MATCHER!$A$5:$A$504)-ROW(MATCHER!$A$5)+1&gt;R347),0),0),""))</f>
        <v/>
      </c>
      <c r="T347" s="15" t="str">
        <f>IF(S347="","",IFERROR(MATCH(1,INDEX((MATCHER!$B$5:$B$504=A347)*(MATCHER!$D$5:$D$504=C347)*(MATCHER!$K$5:$K$504="Ja")*(MATCHER!$C$5:$C$504&lt;E347)*(MATCHER!$M$5:$M$504&gt;D347)*(ROW(MATCHER!$A$5:$A$504)-ROW(MATCHER!$A$5)+1&gt;S347),0),0),""))</f>
        <v/>
      </c>
      <c r="U347" s="15">
        <f t="shared" si="76"/>
        <v>1</v>
      </c>
      <c r="V347" s="15">
        <f>IF(OR(I347&lt;&gt;"Ja",J347=""),"",COUNTIFS($O$5:O347,O347,$U$5:U347,1))</f>
        <v>1</v>
      </c>
      <c r="W347" s="15" t="str">
        <f t="shared" si="77"/>
        <v>2027-01-23 | Råsta Park|1</v>
      </c>
      <c r="X347" s="16" t="str">
        <f t="shared" si="78"/>
        <v/>
      </c>
      <c r="Y347" s="15">
        <f>IF(OR(I347&lt;&gt;"Ja",J347=""),0,IF(COUNTIFS($O$5:O347,O347,$I$5:I347,"Ja",$J$5:J347,"&lt;&gt;")=1,1,0))</f>
        <v>1</v>
      </c>
      <c r="Z347" s="15">
        <f>IF(OR(I347&lt;&gt;"Ja",J347=""),0,IF(COUNTIFS(O347:$O$546,O347,I347:$I$546,"Ja",J347:$J$546,"&lt;&gt;")=1,1,0))</f>
        <v>0</v>
      </c>
      <c r="AA347" s="15">
        <f>AA346</f>
        <v>1</v>
      </c>
      <c r="AB347" s="15">
        <f>IF(U347&lt;&gt;1,"",COUNTIF($U$5:U347,1))</f>
        <v>41</v>
      </c>
      <c r="AC347" s="15" t="str">
        <f t="shared" si="79"/>
        <v/>
      </c>
      <c r="AD347" s="15" t="str">
        <f t="shared" si="80"/>
        <v>Minicafé</v>
      </c>
      <c r="AE347" s="15">
        <f t="shared" si="81"/>
        <v>1.5</v>
      </c>
      <c r="AF347" t="str">
        <f>IF(T347="","",IFERROR(MATCH(1,INDEX((MATCHER!$B$5:$B$504=A347)*(MATCHER!$D$5:$D$504=C347)*(MATCHER!$K$5:$K$504="Ja")*(MATCHER!$C$5:$C$504&lt;E347)*(MATCHER!$M$5:$M$504&gt;D347)*(ROW(MATCHER!$A$5:$A$504)-ROW(MATCHER!$A$5)+1&gt;T347),0),0),""))</f>
        <v/>
      </c>
    </row>
    <row r="348" spans="1:32" ht="13">
      <c r="A348" s="42">
        <v>46410</v>
      </c>
      <c r="B348" s="43" t="s">
        <v>85</v>
      </c>
      <c r="C348" s="43" t="s">
        <v>94</v>
      </c>
      <c r="D348" s="44">
        <v>0.58333333333333304</v>
      </c>
      <c r="E348" s="44">
        <v>0.60416666666666696</v>
      </c>
      <c r="F348" s="45" t="str">
        <f>IF(R348="","",HOUR(INDEX(MATCHER!$C$5:$C$504,R348))&amp;":"&amp;IF(MINUTE(INDEX(MATCHER!$C$5:$C$504,R348))&lt;10,"0","")&amp;MINUTE(INDEX(MATCHER!$C$5:$C$504,R348))&amp;" "&amp;INDEX(MATCHER!$H$5:$H$504,R348)&amp;" – "&amp;INDEX(MATCHER!$I$5:$I$504,R348))&amp;IF(S348="",""," | "&amp;HOUR(INDEX(MATCHER!$C$5:$C$504,S348))&amp;":"&amp;IF(MINUTE(INDEX(MATCHER!$C$5:$C$504,S348))&lt;10,"0","")&amp;MINUTE(INDEX(MATCHER!$C$5:$C$504,S348))&amp;" "&amp;INDEX(MATCHER!$H$5:$H$504,S348)&amp;" – "&amp;INDEX(MATCHER!$I$5:$I$504,S348))&amp;IF(T348="",""," | "&amp;HOUR(INDEX(MATCHER!$C$5:$C$504,T348))&amp;":"&amp;IF(MINUTE(INDEX(MATCHER!$C$5:$C$504,T348))&lt;10,"0","")&amp;MINUTE(INDEX(MATCHER!$C$5:$C$504,T348))&amp;" "&amp;INDEX(MATCHER!$H$5:$H$504,T348)&amp;" – "&amp;INDEX(MATCHER!$I$5:$I$504,T348))&amp;IF(AF348="",""," | "&amp;HOUR(INDEX(MATCHER!$C$5:$C$504,AF348))&amp;":"&amp;IF(MINUTE(INDEX(MATCHER!$C$5:$C$504,AF348))&lt;10,"0","")&amp;MINUTE(INDEX(MATCHER!$C$5:$C$504,AF348))&amp;" "&amp;INDEX(MATCHER!$H$5:$H$504,AF348)&amp;" – "&amp;INDEX(MATCHER!$I$5:$I$504,AF348))</f>
        <v>13:40 AIK 2 – Lidingö SK 2</v>
      </c>
      <c r="G348" s="45" t="str">
        <f>MID(IF(R348="","",IF(OR(INDEX(MATCHER!$J$5:$J$504,R348)=""),""," / "&amp;INDEX(MATCHER!$J$5:$J$504,R348)))&amp;IF(S348="","",IF(OR(INDEX(MATCHER!$J$5:$J$504,S348)="",INDEX(MATCHER!$J$5:$J$504,S348)=IFERROR(INDEX(MATCHER!$J$5:$J$504,R348),"")),""," / "&amp;INDEX(MATCHER!$J$5:$J$504,S348)))&amp;IF(T348="","",IF(OR(INDEX(MATCHER!$J$5:$J$504,T348)="",INDEX(MATCHER!$J$5:$J$504,T348)=IFERROR(INDEX(MATCHER!$J$5:$J$504,R348),""),INDEX(MATCHER!$J$5:$J$504,T348)=IFERROR(INDEX(MATCHER!$J$5:$J$504,S348),"")),""," / "&amp;INDEX(MATCHER!$J$5:$J$504,T348)))&amp;IF(AF348="","",IF(OR(INDEX(MATCHER!$J$5:$J$504,AF348)="",INDEX(MATCHER!$J$5:$J$504,AF348)=IFERROR(INDEX(MATCHER!$J$5:$J$504,R348),""),INDEX(MATCHER!$J$5:$J$504,AF348)=IFERROR(INDEX(MATCHER!$J$5:$J$504,S348),""),INDEX(MATCHER!$J$5:$J$504,AF348)=IFERROR(INDEX(MATCHER!$J$5:$J$504,T348),"")),""," / "&amp;INDEX(MATCHER!$J$5:$J$504,AF348))),4,1000)</f>
        <v>P16 2</v>
      </c>
      <c r="H348" s="45" t="str">
        <f>H347</f>
        <v>P16</v>
      </c>
      <c r="I348" s="46" t="s">
        <v>90</v>
      </c>
      <c r="J348" s="47" t="s">
        <v>100</v>
      </c>
      <c r="K348" s="48"/>
      <c r="L348" s="49"/>
      <c r="M348" s="50" t="str">
        <f>IF(O348&lt;&gt;O347,MAX(1,MIN(AA348,ROUNDUP(SUMPRODUCT(($O$5:$O$546=O348)*($I$5:$I$546="Ja")*($E$5:$E$546-$D$5:$D$546))*24/REGLER!$B$8,0))),"")</f>
        <v/>
      </c>
      <c r="N348" s="50" t="str">
        <f t="shared" si="75"/>
        <v>Klar</v>
      </c>
      <c r="O348" s="15" t="s">
        <v>143</v>
      </c>
      <c r="P348" s="16">
        <v>0.53125</v>
      </c>
      <c r="Q348" s="16">
        <v>0.625</v>
      </c>
      <c r="R348" s="15">
        <f>IFERROR(MATCH(1,INDEX((MATCHER!$B$5:$B$504=A348)*(MATCHER!$D$5:$D$504=C348)*(MATCHER!$K$5:$K$504="Ja")*(MATCHER!$C$5:$C$504&lt;E348)*(MATCHER!$M$5:$M$504&gt;D348),0),0),"")</f>
        <v>132</v>
      </c>
      <c r="S348" s="15" t="str">
        <f>IF(R348="","",IFERROR(MATCH(1,INDEX((MATCHER!$B$5:$B$504=A348)*(MATCHER!$D$5:$D$504=C348)*(MATCHER!$K$5:$K$504="Ja")*(MATCHER!$C$5:$C$504&lt;E348)*(MATCHER!$M$5:$M$504&gt;D348)*(ROW(MATCHER!$A$5:$A$504)-ROW(MATCHER!$A$5)+1&gt;R348),0),0),""))</f>
        <v/>
      </c>
      <c r="T348" s="15" t="str">
        <f>IF(S348="","",IFERROR(MATCH(1,INDEX((MATCHER!$B$5:$B$504=A348)*(MATCHER!$D$5:$D$504=C348)*(MATCHER!$K$5:$K$504="Ja")*(MATCHER!$C$5:$C$504&lt;E348)*(MATCHER!$M$5:$M$504&gt;D348)*(ROW(MATCHER!$A$5:$A$504)-ROW(MATCHER!$A$5)+1&gt;S348),0),0),""))</f>
        <v/>
      </c>
      <c r="U348" s="15">
        <f t="shared" si="76"/>
        <v>0</v>
      </c>
      <c r="V348" s="15">
        <f>IF(OR(I348&lt;&gt;"Ja",J348=""),"",COUNTIFS($O$5:O348,O348,$U$5:U348,1))</f>
        <v>1</v>
      </c>
      <c r="W348" s="15" t="str">
        <f t="shared" si="77"/>
        <v>2027-01-23 | Råsta Park|1</v>
      </c>
      <c r="X348" s="16" t="str">
        <f t="shared" si="78"/>
        <v/>
      </c>
      <c r="Y348" s="15">
        <f>IF(OR(I348&lt;&gt;"Ja",J348=""),0,IF(COUNTIFS($O$5:O348,O348,$I$5:I348,"Ja",$J$5:J348,"&lt;&gt;")=1,1,0))</f>
        <v>0</v>
      </c>
      <c r="Z348" s="15">
        <f>IF(OR(I348&lt;&gt;"Ja",J348=""),0,IF(COUNTIFS(O348:$O$546,O348,I348:$I$546,"Ja",J348:$J$546,"&lt;&gt;")=1,1,0))</f>
        <v>0</v>
      </c>
      <c r="AA348" s="15">
        <f>AA347</f>
        <v>1</v>
      </c>
      <c r="AB348" s="15" t="str">
        <f>IF(U348&lt;&gt;1,"",COUNTIF($U$5:U348,1))</f>
        <v/>
      </c>
      <c r="AC348" s="15" t="str">
        <f t="shared" si="79"/>
        <v/>
      </c>
      <c r="AD348" s="15" t="str">
        <f t="shared" si="80"/>
        <v>Minicafé</v>
      </c>
      <c r="AE348" s="15" t="str">
        <f t="shared" si="81"/>
        <v/>
      </c>
      <c r="AF348" t="str">
        <f>IF(T348="","",IFERROR(MATCH(1,INDEX((MATCHER!$B$5:$B$504=A348)*(MATCHER!$D$5:$D$504=C348)*(MATCHER!$K$5:$K$504="Ja")*(MATCHER!$C$5:$C$504&lt;E348)*(MATCHER!$M$5:$M$504&gt;D348)*(ROW(MATCHER!$A$5:$A$504)-ROW(MATCHER!$A$5)+1&gt;T348),0),0),""))</f>
        <v/>
      </c>
    </row>
    <row r="349" spans="1:32" ht="13.5" thickBot="1">
      <c r="A349" s="52">
        <v>46410</v>
      </c>
      <c r="B349" s="53" t="s">
        <v>85</v>
      </c>
      <c r="C349" s="53" t="s">
        <v>94</v>
      </c>
      <c r="D349" s="54">
        <v>0.60416666666666696</v>
      </c>
      <c r="E349" s="54">
        <v>0.625</v>
      </c>
      <c r="F349" s="55" t="str">
        <f>IF(R349="","",HOUR(INDEX(MATCHER!$C$5:$C$504,R349))&amp;":"&amp;IF(MINUTE(INDEX(MATCHER!$C$5:$C$504,R349))&lt;10,"0","")&amp;MINUTE(INDEX(MATCHER!$C$5:$C$504,R349))&amp;" "&amp;INDEX(MATCHER!$H$5:$H$504,R349)&amp;" – "&amp;INDEX(MATCHER!$I$5:$I$504,R349))&amp;IF(S349="",""," | "&amp;HOUR(INDEX(MATCHER!$C$5:$C$504,S349))&amp;":"&amp;IF(MINUTE(INDEX(MATCHER!$C$5:$C$504,S349))&lt;10,"0","")&amp;MINUTE(INDEX(MATCHER!$C$5:$C$504,S349))&amp;" "&amp;INDEX(MATCHER!$H$5:$H$504,S349)&amp;" – "&amp;INDEX(MATCHER!$I$5:$I$504,S349))&amp;IF(T349="",""," | "&amp;HOUR(INDEX(MATCHER!$C$5:$C$504,T349))&amp;":"&amp;IF(MINUTE(INDEX(MATCHER!$C$5:$C$504,T349))&lt;10,"0","")&amp;MINUTE(INDEX(MATCHER!$C$5:$C$504,T349))&amp;" "&amp;INDEX(MATCHER!$H$5:$H$504,T349)&amp;" – "&amp;INDEX(MATCHER!$I$5:$I$504,T349))&amp;IF(AF349="",""," | "&amp;HOUR(INDEX(MATCHER!$C$5:$C$504,AF349))&amp;":"&amp;IF(MINUTE(INDEX(MATCHER!$C$5:$C$504,AF349))&lt;10,"0","")&amp;MINUTE(INDEX(MATCHER!$C$5:$C$504,AF349))&amp;" "&amp;INDEX(MATCHER!$H$5:$H$504,AF349)&amp;" – "&amp;INDEX(MATCHER!$I$5:$I$504,AF349))</f>
        <v>13:40 AIK 2 – Lidingö SK 2</v>
      </c>
      <c r="G349" s="55" t="str">
        <f>MID(IF(R349="","",IF(OR(INDEX(MATCHER!$J$5:$J$504,R349)=""),""," / "&amp;INDEX(MATCHER!$J$5:$J$504,R349)))&amp;IF(S349="","",IF(OR(INDEX(MATCHER!$J$5:$J$504,S349)="",INDEX(MATCHER!$J$5:$J$504,S349)=IFERROR(INDEX(MATCHER!$J$5:$J$504,R349),"")),""," / "&amp;INDEX(MATCHER!$J$5:$J$504,S349)))&amp;IF(T349="","",IF(OR(INDEX(MATCHER!$J$5:$J$504,T349)="",INDEX(MATCHER!$J$5:$J$504,T349)=IFERROR(INDEX(MATCHER!$J$5:$J$504,R349),""),INDEX(MATCHER!$J$5:$J$504,T349)=IFERROR(INDEX(MATCHER!$J$5:$J$504,S349),"")),""," / "&amp;INDEX(MATCHER!$J$5:$J$504,T349)))&amp;IF(AF349="","",IF(OR(INDEX(MATCHER!$J$5:$J$504,AF349)="",INDEX(MATCHER!$J$5:$J$504,AF349)=IFERROR(INDEX(MATCHER!$J$5:$J$504,R349),""),INDEX(MATCHER!$J$5:$J$504,AF349)=IFERROR(INDEX(MATCHER!$J$5:$J$504,S349),""),INDEX(MATCHER!$J$5:$J$504,AF349)=IFERROR(INDEX(MATCHER!$J$5:$J$504,T349),"")),""," / "&amp;INDEX(MATCHER!$J$5:$J$504,AF349))),4,1000)</f>
        <v>P16 2</v>
      </c>
      <c r="H349" s="55" t="str">
        <f>H348</f>
        <v>P16</v>
      </c>
      <c r="I349" s="56" t="s">
        <v>90</v>
      </c>
      <c r="J349" s="57" t="s">
        <v>100</v>
      </c>
      <c r="K349" s="58"/>
      <c r="L349" s="59"/>
      <c r="M349" s="60" t="str">
        <f>IF(O349&lt;&gt;O348,MAX(1,MIN(AA349,ROUNDUP(SUMPRODUCT(($O$5:$O$546=O349)*($I$5:$I$546="Ja")*($E$5:$E$546-$D$5:$D$546))*24/REGLER!$B$8,0))),"")</f>
        <v/>
      </c>
      <c r="N349" s="60" t="str">
        <f t="shared" si="75"/>
        <v>Klar</v>
      </c>
      <c r="O349" s="15" t="s">
        <v>143</v>
      </c>
      <c r="P349" s="16">
        <v>0.53125</v>
      </c>
      <c r="Q349" s="16">
        <v>0.625</v>
      </c>
      <c r="R349" s="15">
        <f>IFERROR(MATCH(1,INDEX((MATCHER!$B$5:$B$504=A349)*(MATCHER!$D$5:$D$504=C349)*(MATCHER!$K$5:$K$504="Ja")*(MATCHER!$C$5:$C$504&lt;E349)*(MATCHER!$M$5:$M$504&gt;D349),0),0),"")</f>
        <v>132</v>
      </c>
      <c r="S349" s="15" t="str">
        <f>IF(R349="","",IFERROR(MATCH(1,INDEX((MATCHER!$B$5:$B$504=A349)*(MATCHER!$D$5:$D$504=C349)*(MATCHER!$K$5:$K$504="Ja")*(MATCHER!$C$5:$C$504&lt;E349)*(MATCHER!$M$5:$M$504&gt;D349)*(ROW(MATCHER!$A$5:$A$504)-ROW(MATCHER!$A$5)+1&gt;R349),0),0),""))</f>
        <v/>
      </c>
      <c r="T349" s="15" t="str">
        <f>IF(S349="","",IFERROR(MATCH(1,INDEX((MATCHER!$B$5:$B$504=A349)*(MATCHER!$D$5:$D$504=C349)*(MATCHER!$K$5:$K$504="Ja")*(MATCHER!$C$5:$C$504&lt;E349)*(MATCHER!$M$5:$M$504&gt;D349)*(ROW(MATCHER!$A$5:$A$504)-ROW(MATCHER!$A$5)+1&gt;S349),0),0),""))</f>
        <v/>
      </c>
      <c r="U349" s="15">
        <f t="shared" si="76"/>
        <v>0</v>
      </c>
      <c r="V349" s="15">
        <f>IF(OR(I349&lt;&gt;"Ja",J349=""),"",COUNTIFS($O$5:O349,O349,$U$5:U349,1))</f>
        <v>1</v>
      </c>
      <c r="W349" s="15" t="str">
        <f t="shared" si="77"/>
        <v>2027-01-23 | Råsta Park|1</v>
      </c>
      <c r="X349" s="16">
        <f t="shared" si="78"/>
        <v>0.625</v>
      </c>
      <c r="Y349" s="15">
        <f>IF(OR(I349&lt;&gt;"Ja",J349=""),0,IF(COUNTIFS($O$5:O349,O349,$I$5:I349,"Ja",$J$5:J349,"&lt;&gt;")=1,1,0))</f>
        <v>0</v>
      </c>
      <c r="Z349" s="15">
        <f>IF(OR(I349&lt;&gt;"Ja",J349=""),0,IF(COUNTIFS(O349:$O$546,O349,I349:$I$546,"Ja",J349:$J$546,"&lt;&gt;")=1,1,0))</f>
        <v>1</v>
      </c>
      <c r="AA349" s="15">
        <f>AA348</f>
        <v>1</v>
      </c>
      <c r="AB349" s="15" t="str">
        <f>IF(U349&lt;&gt;1,"",COUNTIF($U$5:U349,1))</f>
        <v/>
      </c>
      <c r="AC349" s="15" t="str">
        <f t="shared" si="79"/>
        <v>2027-01-23 | Råsta Park|1</v>
      </c>
      <c r="AD349" s="15" t="str">
        <f t="shared" si="80"/>
        <v>Minicafé</v>
      </c>
      <c r="AE349" s="15" t="str">
        <f t="shared" si="81"/>
        <v/>
      </c>
      <c r="AF349" t="str">
        <f>IF(T349="","",IFERROR(MATCH(1,INDEX((MATCHER!$B$5:$B$504=A349)*(MATCHER!$D$5:$D$504=C349)*(MATCHER!$K$5:$K$504="Ja")*(MATCHER!$C$5:$C$504&lt;E349)*(MATCHER!$M$5:$M$504&gt;D349)*(ROW(MATCHER!$A$5:$A$504)-ROW(MATCHER!$A$5)+1&gt;T349),0),0),""))</f>
        <v/>
      </c>
    </row>
    <row r="350" spans="1:32" ht="26">
      <c r="A350" s="42">
        <v>46410</v>
      </c>
      <c r="B350" s="43" t="s">
        <v>85</v>
      </c>
      <c r="C350" s="43" t="s">
        <v>86</v>
      </c>
      <c r="D350" s="44">
        <v>0.33333333333333298</v>
      </c>
      <c r="E350" s="44">
        <v>0.35416666666666702</v>
      </c>
      <c r="F350" s="45" t="str">
        <f>IF(R350="","",HOUR(INDEX(MATCHER!$C$5:$C$504,R350))&amp;":"&amp;IF(MINUTE(INDEX(MATCHER!$C$5:$C$504,R350))&lt;10,"0","")&amp;MINUTE(INDEX(MATCHER!$C$5:$C$504,R350))&amp;" "&amp;INDEX(MATCHER!$H$5:$H$504,R350)&amp;" – "&amp;INDEX(MATCHER!$I$5:$I$504,R350))&amp;IF(S350="",""," | "&amp;HOUR(INDEX(MATCHER!$C$5:$C$504,S350))&amp;":"&amp;IF(MINUTE(INDEX(MATCHER!$C$5:$C$504,S350))&lt;10,"0","")&amp;MINUTE(INDEX(MATCHER!$C$5:$C$504,S350))&amp;" "&amp;INDEX(MATCHER!$H$5:$H$504,S350)&amp;" – "&amp;INDEX(MATCHER!$I$5:$I$504,S350))&amp;IF(T350="",""," | "&amp;HOUR(INDEX(MATCHER!$C$5:$C$504,T350))&amp;":"&amp;IF(MINUTE(INDEX(MATCHER!$C$5:$C$504,T350))&lt;10,"0","")&amp;MINUTE(INDEX(MATCHER!$C$5:$C$504,T350))&amp;" "&amp;INDEX(MATCHER!$H$5:$H$504,T350)&amp;" – "&amp;INDEX(MATCHER!$I$5:$I$504,T350))&amp;IF(AF350="",""," | "&amp;HOUR(INDEX(MATCHER!$C$5:$C$504,AF350))&amp;":"&amp;IF(MINUTE(INDEX(MATCHER!$C$5:$C$504,AF350))&lt;10,"0","")&amp;MINUTE(INDEX(MATCHER!$C$5:$C$504,AF350))&amp;" "&amp;INDEX(MATCHER!$H$5:$H$504,AF350)&amp;" – "&amp;INDEX(MATCHER!$I$5:$I$504,AF350))</f>
        <v/>
      </c>
      <c r="G350" s="45" t="str">
        <f>MID(IF(R350="","",IF(OR(INDEX(MATCHER!$J$5:$J$504,R350)=""),""," / "&amp;INDEX(MATCHER!$J$5:$J$504,R350)))&amp;IF(S350="","",IF(OR(INDEX(MATCHER!$J$5:$J$504,S350)="",INDEX(MATCHER!$J$5:$J$504,S350)=IFERROR(INDEX(MATCHER!$J$5:$J$504,R350),"")),""," / "&amp;INDEX(MATCHER!$J$5:$J$504,S350)))&amp;IF(T350="","",IF(OR(INDEX(MATCHER!$J$5:$J$504,T350)="",INDEX(MATCHER!$J$5:$J$504,T350)=IFERROR(INDEX(MATCHER!$J$5:$J$504,R350),""),INDEX(MATCHER!$J$5:$J$504,T350)=IFERROR(INDEX(MATCHER!$J$5:$J$504,S350),"")),""," / "&amp;INDEX(MATCHER!$J$5:$J$504,T350)))&amp;IF(AF350="","",IF(OR(INDEX(MATCHER!$J$5:$J$504,AF350)="",INDEX(MATCHER!$J$5:$J$504,AF350)=IFERROR(INDEX(MATCHER!$J$5:$J$504,R350),""),INDEX(MATCHER!$J$5:$J$504,AF350)=IFERROR(INDEX(MATCHER!$J$5:$J$504,S350),""),INDEX(MATCHER!$J$5:$J$504,AF350)=IFERROR(INDEX(MATCHER!$J$5:$J$504,T350),"")),""," / "&amp;INDEX(MATCHER!$J$5:$J$504,AF350))),4,1000)</f>
        <v/>
      </c>
      <c r="H350" s="45" t="str">
        <f>MID(IF(COUNTIFS(MATCHER!$B$5:$B$504,A350,MATCHER!$D$5:$D$504,C350,MATCHER!$J$5:$J$504,REGLER!$I$6,MATCHER!$K$5:$K$504,"Ja")+COUNTIFS(MATCHER!$B$5:$B$504,A350,MATCHER!$D$5:$D$504,C350,MATCHER!$J$5:$J$504,REGLER!$I$6&amp;" 2",MATCHER!$K$5:$K$504,"Ja")&gt;0,", "&amp;REGLER!$I$6,"")&amp;IF(COUNTIFS(MATCHER!$B$5:$B$504,A350,MATCHER!$D$5:$D$504,C350,MATCHER!$J$5:$J$504,REGLER!$I$7,MATCHER!$K$5:$K$504,"Ja")+COUNTIFS(MATCHER!$B$5:$B$504,A350,MATCHER!$D$5:$D$504,C350,MATCHER!$J$5:$J$504,REGLER!$I$7&amp;" 2",MATCHER!$K$5:$K$504,"Ja")&gt;0,", "&amp;REGLER!$I$7,"")&amp;IF(COUNTIFS(MATCHER!$B$5:$B$504,A350,MATCHER!$D$5:$D$504,C350,MATCHER!$J$5:$J$504,REGLER!$I$8,MATCHER!$K$5:$K$504,"Ja")+COUNTIFS(MATCHER!$B$5:$B$504,A350,MATCHER!$D$5:$D$504,C350,MATCHER!$J$5:$J$504,REGLER!$I$8&amp;" 2",MATCHER!$K$5:$K$504,"Ja")&gt;0,", "&amp;REGLER!$I$8,"")&amp;IF(COUNTIFS(MATCHER!$B$5:$B$504,A350,MATCHER!$D$5:$D$504,C350,MATCHER!$J$5:$J$504,REGLER!$I$9,MATCHER!$K$5:$K$504,"Ja")+COUNTIFS(MATCHER!$B$5:$B$504,A350,MATCHER!$D$5:$D$504,C350,MATCHER!$J$5:$J$504,REGLER!$I$9&amp;" 2",MATCHER!$K$5:$K$504,"Ja")&gt;0,", "&amp;REGLER!$I$9,"")&amp;IF(COUNTIFS(MATCHER!$B$5:$B$504,A350,MATCHER!$D$5:$D$504,C350,MATCHER!$J$5:$J$504,REGLER!$I$10,MATCHER!$K$5:$K$504,"Ja")+COUNTIFS(MATCHER!$B$5:$B$504,A350,MATCHER!$D$5:$D$504,C350,MATCHER!$J$5:$J$504,REGLER!$I$10&amp;" 2",MATCHER!$K$5:$K$504,"Ja")&gt;0,", "&amp;REGLER!$I$10,"")&amp;IF(COUNTIFS(MATCHER!$B$5:$B$504,A350,MATCHER!$D$5:$D$504,C350,MATCHER!$J$5:$J$504,REGLER!$I$11,MATCHER!$K$5:$K$504,"Ja")+COUNTIFS(MATCHER!$B$5:$B$504,A350,MATCHER!$D$5:$D$504,C350,MATCHER!$J$5:$J$504,REGLER!$I$11&amp;" 2",MATCHER!$K$5:$K$504,"Ja")&gt;0,", "&amp;REGLER!$I$11,"")&amp;IF(COUNTIFS(MATCHER!$B$5:$B$504,A350,MATCHER!$D$5:$D$504,C350,MATCHER!$J$5:$J$504,REGLER!$I$12,MATCHER!$K$5:$K$504,"Ja")+COUNTIFS(MATCHER!$B$5:$B$504,A350,MATCHER!$D$5:$D$504,C350,MATCHER!$J$5:$J$504,REGLER!$I$12&amp;" 2",MATCHER!$K$5:$K$504,"Ja")&gt;0,", "&amp;REGLER!$I$12,"")&amp;IF(COUNTIFS(MATCHER!$B$5:$B$504,A350,MATCHER!$D$5:$D$504,C350,MATCHER!$J$5:$J$504,REGLER!$I$13,MATCHER!$K$5:$K$504,"Ja")+COUNTIFS(MATCHER!$B$5:$B$504,A350,MATCHER!$D$5:$D$504,C350,MATCHER!$J$5:$J$504,REGLER!$I$13&amp;" 2",MATCHER!$K$5:$K$504,"Ja")&gt;0,", "&amp;REGLER!$I$13,"")&amp;IF(COUNTIFS(MATCHER!$B$5:$B$504,A350,MATCHER!$D$5:$D$504,C350,MATCHER!$J$5:$J$504,REGLER!$I$14,MATCHER!$K$5:$K$504,"Ja")+COUNTIFS(MATCHER!$B$5:$B$504,A350,MATCHER!$D$5:$D$504,C350,MATCHER!$J$5:$J$504,REGLER!$I$14&amp;" 2",MATCHER!$K$5:$K$504,"Ja")&gt;0,", "&amp;REGLER!$I$14,"")&amp;IF(COUNTIFS(MATCHER!$B$5:$B$504,A350,MATCHER!$D$5:$D$504,C350,MATCHER!$J$5:$J$504,REGLER!$I$15,MATCHER!$K$5:$K$504,"Ja")+COUNTIFS(MATCHER!$B$5:$B$504,A350,MATCHER!$D$5:$D$504,C350,MATCHER!$J$5:$J$504,REGLER!$I$15&amp;" 2",MATCHER!$K$5:$K$504,"Ja")&gt;0,", "&amp;REGLER!$I$15,"")&amp;IF(COUNTIFS(MATCHER!$B$5:$B$504,A350,MATCHER!$D$5:$D$504,C350,MATCHER!$J$5:$J$504,REGLER!$I$16,MATCHER!$K$5:$K$504,"Ja")+COUNTIFS(MATCHER!$B$5:$B$504,A350,MATCHER!$D$5:$D$504,C350,MATCHER!$J$5:$J$504,REGLER!$I$16&amp;" 2",MATCHER!$K$5:$K$504,"Ja")&gt;0,", "&amp;REGLER!$I$16,"")&amp;IF(COUNTIFS(MATCHER!$B$5:$B$504,A350,MATCHER!$D$5:$D$504,C350,MATCHER!$J$5:$J$504,REGLER!$I$17,MATCHER!$K$5:$K$504,"Ja")+COUNTIFS(MATCHER!$B$5:$B$504,A350,MATCHER!$D$5:$D$504,C350,MATCHER!$J$5:$J$504,REGLER!$I$17&amp;" 2",MATCHER!$K$5:$K$504,"Ja")&gt;0,", "&amp;REGLER!$I$17,"")&amp;IF(COUNTIFS(MATCHER!$B$5:$B$504,A350,MATCHER!$D$5:$D$504,C350,MATCHER!$J$5:$J$504,REGLER!$I$18,MATCHER!$K$5:$K$504,"Ja")+COUNTIFS(MATCHER!$B$5:$B$504,A350,MATCHER!$D$5:$D$504,C350,MATCHER!$J$5:$J$504,REGLER!$I$18&amp;" 2",MATCHER!$K$5:$K$504,"Ja")&gt;0,", "&amp;REGLER!$I$18,"")&amp;IF(COUNTIFS(MATCHER!$B$5:$B$504,A350,MATCHER!$D$5:$D$504,C350,MATCHER!$J$5:$J$504,REGLER!$I$19,MATCHER!$K$5:$K$504,"Ja")+COUNTIFS(MATCHER!$B$5:$B$504,A350,MATCHER!$D$5:$D$504,C350,MATCHER!$J$5:$J$504,REGLER!$I$19&amp;" 2",MATCHER!$K$5:$K$504,"Ja")&gt;0,", "&amp;REGLER!$I$19,"")&amp;IF(COUNTIFS(MATCHER!$B$5:$B$504,A350,MATCHER!$D$5:$D$504,C350,MATCHER!$J$5:$J$504,REGLER!$I$20,MATCHER!$K$5:$K$504,"Ja")+COUNTIFS(MATCHER!$B$5:$B$504,A350,MATCHER!$D$5:$D$504,C350,MATCHER!$J$5:$J$504,REGLER!$I$20&amp;" 2",MATCHER!$K$5:$K$504,"Ja")&gt;0,", "&amp;REGLER!$I$20,"")&amp;IF(COUNTIFS(MATCHER!$B$5:$B$504,A350,MATCHER!$D$5:$D$504,C350,MATCHER!$J$5:$J$504,REGLER!$I$21,MATCHER!$K$5:$K$504,"Ja")+COUNTIFS(MATCHER!$B$5:$B$504,A350,MATCHER!$D$5:$D$504,C350,MATCHER!$J$5:$J$504,REGLER!$I$21&amp;" 2",MATCHER!$K$5:$K$504,"Ja")&gt;0,", "&amp;REGLER!$I$21,"")&amp;IF(COUNTIFS(MATCHER!$B$5:$B$504,A350,MATCHER!$D$5:$D$504,C350,MATCHER!$J$5:$J$504,REGLER!$I$22,MATCHER!$K$5:$K$504,"Ja")+COUNTIFS(MATCHER!$B$5:$B$504,A350,MATCHER!$D$5:$D$504,C350,MATCHER!$J$5:$J$504,REGLER!$I$22&amp;" 2",MATCHER!$K$5:$K$504,"Ja")&gt;0,", "&amp;REGLER!$I$22,"")&amp;IF(COUNTIFS(MATCHER!$B$5:$B$504,A350,MATCHER!$D$5:$D$504,C350,MATCHER!$J$5:$J$504,REGLER!$I$23,MATCHER!$K$5:$K$504,"Ja")+COUNTIFS(MATCHER!$B$5:$B$504,A350,MATCHER!$D$5:$D$504,C350,MATCHER!$J$5:$J$504,REGLER!$I$23&amp;" 2",MATCHER!$K$5:$K$504,"Ja")&gt;0,", "&amp;REGLER!$I$23,"")&amp;IF(COUNTIFS(MATCHER!$B$5:$B$504,A350,MATCHER!$D$5:$D$504,C350,MATCHER!$J$5:$J$504,REGLER!$I$24,MATCHER!$K$5:$K$504,"Ja")+COUNTIFS(MATCHER!$B$5:$B$504,A350,MATCHER!$D$5:$D$504,C350,MATCHER!$J$5:$J$504,REGLER!$I$24&amp;" 2",MATCHER!$K$5:$K$504,"Ja")&gt;0,", "&amp;REGLER!$I$24,"")&amp;IF(COUNTIFS(MATCHER!$B$5:$B$504,A350,MATCHER!$D$5:$D$504,C350,MATCHER!$J$5:$J$504,REGLER!$I$25,MATCHER!$K$5:$K$504,"Ja")+COUNTIFS(MATCHER!$B$5:$B$504,A350,MATCHER!$D$5:$D$504,C350,MATCHER!$J$5:$J$504,REGLER!$I$25&amp;" 2",MATCHER!$K$5:$K$504,"Ja")&gt;0,", "&amp;REGLER!$I$25,"")&amp;IF(COUNTIFS(MATCHER!$B$5:$B$504,A350,MATCHER!$D$5:$D$504,C350,MATCHER!$J$5:$J$504,REGLER!$I$26,MATCHER!$K$5:$K$504,"Ja")+COUNTIFS(MATCHER!$B$5:$B$504,A350,MATCHER!$D$5:$D$504,C350,MATCHER!$J$5:$J$504,REGLER!$I$26&amp;" 2",MATCHER!$K$5:$K$504,"Ja")&gt;0,", "&amp;REGLER!$I$26,""),3,1000)</f>
        <v>F12</v>
      </c>
      <c r="I350" s="46" t="s">
        <v>90</v>
      </c>
      <c r="J350" s="144" t="s">
        <v>135</v>
      </c>
      <c r="K350" s="145" t="s">
        <v>88</v>
      </c>
      <c r="L350" s="157" t="s">
        <v>858</v>
      </c>
      <c r="M350" s="50">
        <f>IF(O350&lt;&gt;O349,MAX(1,MIN(AA350,ROUNDUP(SUMPRODUCT(($O$5:$O$546=O350)*($I$5:$I$546="Ja")*($E$5:$E$546-$D$5:$D$546))*24/REGLER!$B$8,0))),"")</f>
        <v>1</v>
      </c>
      <c r="N350" s="50" t="str">
        <f t="shared" si="75"/>
        <v>Kontrollera lag</v>
      </c>
      <c r="O350" s="15" t="s">
        <v>144</v>
      </c>
      <c r="P350" s="16">
        <v>0.33333333333333298</v>
      </c>
      <c r="Q350" s="16">
        <v>0.66666666666666696</v>
      </c>
      <c r="R350" s="15" t="str">
        <f>IFERROR(MATCH(1,INDEX((MATCHER!$B$5:$B$504=A350)*(MATCHER!$D$5:$D$504=C350)*(MATCHER!$K$5:$K$504="Ja")*(MATCHER!$C$5:$C$504&lt;E350)*(MATCHER!$M$5:$M$504&gt;D350),0),0),"")</f>
        <v/>
      </c>
      <c r="S350" s="15" t="str">
        <f>IF(R350="","",IFERROR(MATCH(1,INDEX((MATCHER!$B$5:$B$504=A350)*(MATCHER!$D$5:$D$504=C350)*(MATCHER!$K$5:$K$504="Ja")*(MATCHER!$C$5:$C$504&lt;E350)*(MATCHER!$M$5:$M$504&gt;D350)*(ROW(MATCHER!$A$5:$A$504)-ROW(MATCHER!$A$5)+1&gt;R350),0),0),""))</f>
        <v/>
      </c>
      <c r="T350" s="15" t="str">
        <f>IF(S350="","",IFERROR(MATCH(1,INDEX((MATCHER!$B$5:$B$504=A350)*(MATCHER!$D$5:$D$504=C350)*(MATCHER!$K$5:$K$504="Ja")*(MATCHER!$C$5:$C$504&lt;E350)*(MATCHER!$M$5:$M$504&gt;D350)*(ROW(MATCHER!$A$5:$A$504)-ROW(MATCHER!$A$5)+1&gt;S350),0),0),""))</f>
        <v/>
      </c>
      <c r="U350" s="15">
        <f t="shared" si="76"/>
        <v>1</v>
      </c>
      <c r="V350" s="15">
        <f>IF(OR(I350&lt;&gt;"Ja",J350=""),"",COUNTIFS($O$5:O350,O350,$U$5:U350,1))</f>
        <v>1</v>
      </c>
      <c r="W350" s="15" t="str">
        <f t="shared" si="77"/>
        <v>2027-01-23 | Ulriksdalshallen|1</v>
      </c>
      <c r="X350" s="16">
        <f t="shared" si="78"/>
        <v>0.35416666666666702</v>
      </c>
      <c r="Y350" s="15">
        <f>IF(OR(I350&lt;&gt;"Ja",J350=""),0,IF(COUNTIFS($O$5:O350,O350,$I$5:I350,"Ja",$J$5:J350,"&lt;&gt;")=1,1,0))</f>
        <v>1</v>
      </c>
      <c r="Z350" s="15">
        <f>IF(OR(I350&lt;&gt;"Ja",J350=""),0,IF(COUNTIFS(O350:$O$546,O350,I350:$I$546,"Ja",J350:$J$546,"&lt;&gt;")=1,1,0))</f>
        <v>0</v>
      </c>
      <c r="AA350" s="15">
        <f>IF(COUNTIFS(MATCHER!$B$5:$B$504,A350,MATCHER!$D$5:$D$504,C350,MATCHER!$J$5:$J$504,REGLER!$I$6,MATCHER!$K$5:$K$504,"Ja")+COUNTIFS(MATCHER!$B$5:$B$504,A350,MATCHER!$D$5:$D$504,C350,MATCHER!$J$5:$J$504,REGLER!$I$6&amp;" 2",MATCHER!$K$5:$K$504,"Ja")&gt;0,1,0)+IF(COUNTIFS(MATCHER!$B$5:$B$504,A350,MATCHER!$D$5:$D$504,C350,MATCHER!$J$5:$J$504,REGLER!$I$7,MATCHER!$K$5:$K$504,"Ja")+COUNTIFS(MATCHER!$B$5:$B$504,A350,MATCHER!$D$5:$D$504,C350,MATCHER!$J$5:$J$504,REGLER!$I$7&amp;" 2",MATCHER!$K$5:$K$504,"Ja")&gt;0,1,0)+IF(COUNTIFS(MATCHER!$B$5:$B$504,A350,MATCHER!$D$5:$D$504,C350,MATCHER!$J$5:$J$504,REGLER!$I$8,MATCHER!$K$5:$K$504,"Ja")+COUNTIFS(MATCHER!$B$5:$B$504,A350,MATCHER!$D$5:$D$504,C350,MATCHER!$J$5:$J$504,REGLER!$I$8&amp;" 2",MATCHER!$K$5:$K$504,"Ja")&gt;0,1,0)+IF(COUNTIFS(MATCHER!$B$5:$B$504,A350,MATCHER!$D$5:$D$504,C350,MATCHER!$J$5:$J$504,REGLER!$I$9,MATCHER!$K$5:$K$504,"Ja")+COUNTIFS(MATCHER!$B$5:$B$504,A350,MATCHER!$D$5:$D$504,C350,MATCHER!$J$5:$J$504,REGLER!$I$9&amp;" 2",MATCHER!$K$5:$K$504,"Ja")&gt;0,1,0)+IF(COUNTIFS(MATCHER!$B$5:$B$504,A350,MATCHER!$D$5:$D$504,C350,MATCHER!$J$5:$J$504,REGLER!$I$10,MATCHER!$K$5:$K$504,"Ja")+COUNTIFS(MATCHER!$B$5:$B$504,A350,MATCHER!$D$5:$D$504,C350,MATCHER!$J$5:$J$504,REGLER!$I$10&amp;" 2",MATCHER!$K$5:$K$504,"Ja")&gt;0,1,0)+IF(COUNTIFS(MATCHER!$B$5:$B$504,A350,MATCHER!$D$5:$D$504,C350,MATCHER!$J$5:$J$504,REGLER!$I$11,MATCHER!$K$5:$K$504,"Ja")+COUNTIFS(MATCHER!$B$5:$B$504,A350,MATCHER!$D$5:$D$504,C350,MATCHER!$J$5:$J$504,REGLER!$I$11&amp;" 2",MATCHER!$K$5:$K$504,"Ja")&gt;0,1,0)+IF(COUNTIFS(MATCHER!$B$5:$B$504,A350,MATCHER!$D$5:$D$504,C350,MATCHER!$J$5:$J$504,REGLER!$I$12,MATCHER!$K$5:$K$504,"Ja")+COUNTIFS(MATCHER!$B$5:$B$504,A350,MATCHER!$D$5:$D$504,C350,MATCHER!$J$5:$J$504,REGLER!$I$12&amp;" 2",MATCHER!$K$5:$K$504,"Ja")&gt;0,1,0)+IF(COUNTIFS(MATCHER!$B$5:$B$504,A350,MATCHER!$D$5:$D$504,C350,MATCHER!$J$5:$J$504,REGLER!$I$13,MATCHER!$K$5:$K$504,"Ja")+COUNTIFS(MATCHER!$B$5:$B$504,A350,MATCHER!$D$5:$D$504,C350,MATCHER!$J$5:$J$504,REGLER!$I$13&amp;" 2",MATCHER!$K$5:$K$504,"Ja")&gt;0,1,0)+IF(COUNTIFS(MATCHER!$B$5:$B$504,A350,MATCHER!$D$5:$D$504,C350,MATCHER!$J$5:$J$504,REGLER!$I$14,MATCHER!$K$5:$K$504,"Ja")+COUNTIFS(MATCHER!$B$5:$B$504,A350,MATCHER!$D$5:$D$504,C350,MATCHER!$J$5:$J$504,REGLER!$I$14&amp;" 2",MATCHER!$K$5:$K$504,"Ja")&gt;0,1,0)+IF(COUNTIFS(MATCHER!$B$5:$B$504,A350,MATCHER!$D$5:$D$504,C350,MATCHER!$J$5:$J$504,REGLER!$I$15,MATCHER!$K$5:$K$504,"Ja")+COUNTIFS(MATCHER!$B$5:$B$504,A350,MATCHER!$D$5:$D$504,C350,MATCHER!$J$5:$J$504,REGLER!$I$15&amp;" 2",MATCHER!$K$5:$K$504,"Ja")&gt;0,1,0)+IF(COUNTIFS(MATCHER!$B$5:$B$504,A350,MATCHER!$D$5:$D$504,C350,MATCHER!$J$5:$J$504,REGLER!$I$16,MATCHER!$K$5:$K$504,"Ja")+COUNTIFS(MATCHER!$B$5:$B$504,A350,MATCHER!$D$5:$D$504,C350,MATCHER!$J$5:$J$504,REGLER!$I$16&amp;" 2",MATCHER!$K$5:$K$504,"Ja")&gt;0,1,0)+IF(COUNTIFS(MATCHER!$B$5:$B$504,A350,MATCHER!$D$5:$D$504,C350,MATCHER!$J$5:$J$504,REGLER!$I$17,MATCHER!$K$5:$K$504,"Ja")+COUNTIFS(MATCHER!$B$5:$B$504,A350,MATCHER!$D$5:$D$504,C350,MATCHER!$J$5:$J$504,REGLER!$I$17&amp;" 2",MATCHER!$K$5:$K$504,"Ja")&gt;0,1,0)+IF(COUNTIFS(MATCHER!$B$5:$B$504,A350,MATCHER!$D$5:$D$504,C350,MATCHER!$J$5:$J$504,REGLER!$I$18,MATCHER!$K$5:$K$504,"Ja")+COUNTIFS(MATCHER!$B$5:$B$504,A350,MATCHER!$D$5:$D$504,C350,MATCHER!$J$5:$J$504,REGLER!$I$18&amp;" 2",MATCHER!$K$5:$K$504,"Ja")&gt;0,1,0)+IF(COUNTIFS(MATCHER!$B$5:$B$504,A350,MATCHER!$D$5:$D$504,C350,MATCHER!$J$5:$J$504,REGLER!$I$19,MATCHER!$K$5:$K$504,"Ja")+COUNTIFS(MATCHER!$B$5:$B$504,A350,MATCHER!$D$5:$D$504,C350,MATCHER!$J$5:$J$504,REGLER!$I$19&amp;" 2",MATCHER!$K$5:$K$504,"Ja")&gt;0,1,0)+IF(COUNTIFS(MATCHER!$B$5:$B$504,A350,MATCHER!$D$5:$D$504,C350,MATCHER!$J$5:$J$504,REGLER!$I$20,MATCHER!$K$5:$K$504,"Ja")+COUNTIFS(MATCHER!$B$5:$B$504,A350,MATCHER!$D$5:$D$504,C350,MATCHER!$J$5:$J$504,REGLER!$I$20&amp;" 2",MATCHER!$K$5:$K$504,"Ja")&gt;0,1,0)+IF(COUNTIFS(MATCHER!$B$5:$B$504,A350,MATCHER!$D$5:$D$504,C350,MATCHER!$J$5:$J$504,REGLER!$I$21,MATCHER!$K$5:$K$504,"Ja")+COUNTIFS(MATCHER!$B$5:$B$504,A350,MATCHER!$D$5:$D$504,C350,MATCHER!$J$5:$J$504,REGLER!$I$21&amp;" 2",MATCHER!$K$5:$K$504,"Ja")&gt;0,1,0)+IF(COUNTIFS(MATCHER!$B$5:$B$504,A350,MATCHER!$D$5:$D$504,C350,MATCHER!$J$5:$J$504,REGLER!$I$22,MATCHER!$K$5:$K$504,"Ja")+COUNTIFS(MATCHER!$B$5:$B$504,A350,MATCHER!$D$5:$D$504,C350,MATCHER!$J$5:$J$504,REGLER!$I$22&amp;" 2",MATCHER!$K$5:$K$504,"Ja")&gt;0,1,0)+IF(COUNTIFS(MATCHER!$B$5:$B$504,A350,MATCHER!$D$5:$D$504,C350,MATCHER!$J$5:$J$504,REGLER!$I$23,MATCHER!$K$5:$K$504,"Ja")+COUNTIFS(MATCHER!$B$5:$B$504,A350,MATCHER!$D$5:$D$504,C350,MATCHER!$J$5:$J$504,REGLER!$I$23&amp;" 2",MATCHER!$K$5:$K$504,"Ja")&gt;0,1,0)+IF(COUNTIFS(MATCHER!$B$5:$B$504,A350,MATCHER!$D$5:$D$504,C350,MATCHER!$J$5:$J$504,REGLER!$I$24,MATCHER!$K$5:$K$504,"Ja")+COUNTIFS(MATCHER!$B$5:$B$504,A350,MATCHER!$D$5:$D$504,C350,MATCHER!$J$5:$J$504,REGLER!$I$24&amp;" 2",MATCHER!$K$5:$K$504,"Ja")&gt;0,1,0)+IF(COUNTIFS(MATCHER!$B$5:$B$504,A350,MATCHER!$D$5:$D$504,C350,MATCHER!$J$5:$J$504,REGLER!$I$25,MATCHER!$K$5:$K$504,"Ja")+COUNTIFS(MATCHER!$B$5:$B$504,A350,MATCHER!$D$5:$D$504,C350,MATCHER!$J$5:$J$504,REGLER!$I$25&amp;" 2",MATCHER!$K$5:$K$504,"Ja")&gt;0,1,0)+IF(COUNTIFS(MATCHER!$B$5:$B$504,A350,MATCHER!$D$5:$D$504,C350,MATCHER!$J$5:$J$504,REGLER!$I$26,MATCHER!$K$5:$K$504,"Ja")+COUNTIFS(MATCHER!$B$5:$B$504,A350,MATCHER!$D$5:$D$504,C350,MATCHER!$J$5:$J$504,REGLER!$I$26&amp;" 2",MATCHER!$K$5:$K$504,"Ja")&gt;0,1,0)</f>
        <v>1</v>
      </c>
      <c r="AB350" s="15">
        <f>IF(U350&lt;&gt;1,"",COUNTIF($U$5:U350,1))</f>
        <v>42</v>
      </c>
      <c r="AC350" s="15" t="str">
        <f t="shared" si="79"/>
        <v>2027-01-23 | Ulriksdalshallen|1</v>
      </c>
      <c r="AD350" s="15" t="str">
        <f t="shared" si="80"/>
        <v>Vanligt café</v>
      </c>
      <c r="AE350" s="15">
        <f t="shared" si="81"/>
        <v>0.50000000000001688</v>
      </c>
      <c r="AF350" t="str">
        <f>IF(T350="","",IFERROR(MATCH(1,INDEX((MATCHER!$B$5:$B$504=A350)*(MATCHER!$D$5:$D$504=C350)*(MATCHER!$K$5:$K$504="Ja")*(MATCHER!$C$5:$C$504&lt;E350)*(MATCHER!$M$5:$M$504&gt;D350)*(ROW(MATCHER!$A$5:$A$504)-ROW(MATCHER!$A$5)+1&gt;T350),0),0),""))</f>
        <v/>
      </c>
    </row>
    <row r="351" spans="1:32" ht="26">
      <c r="A351" s="42">
        <v>46410</v>
      </c>
      <c r="B351" s="43" t="s">
        <v>85</v>
      </c>
      <c r="C351" s="43" t="s">
        <v>86</v>
      </c>
      <c r="D351" s="44">
        <v>0.35416666666666702</v>
      </c>
      <c r="E351" s="44">
        <v>0.375</v>
      </c>
      <c r="F351" s="45" t="str">
        <f>IF(R351="","",HOUR(INDEX(MATCHER!$C$5:$C$504,R351))&amp;":"&amp;IF(MINUTE(INDEX(MATCHER!$C$5:$C$504,R351))&lt;10,"0","")&amp;MINUTE(INDEX(MATCHER!$C$5:$C$504,R351))&amp;" "&amp;INDEX(MATCHER!$H$5:$H$504,R351)&amp;" – "&amp;INDEX(MATCHER!$I$5:$I$504,R351))&amp;IF(S351="",""," | "&amp;HOUR(INDEX(MATCHER!$C$5:$C$504,S351))&amp;":"&amp;IF(MINUTE(INDEX(MATCHER!$C$5:$C$504,S351))&lt;10,"0","")&amp;MINUTE(INDEX(MATCHER!$C$5:$C$504,S351))&amp;" "&amp;INDEX(MATCHER!$H$5:$H$504,S351)&amp;" – "&amp;INDEX(MATCHER!$I$5:$I$504,S351))&amp;IF(T351="",""," | "&amp;HOUR(INDEX(MATCHER!$C$5:$C$504,T351))&amp;":"&amp;IF(MINUTE(INDEX(MATCHER!$C$5:$C$504,T351))&lt;10,"0","")&amp;MINUTE(INDEX(MATCHER!$C$5:$C$504,T351))&amp;" "&amp;INDEX(MATCHER!$H$5:$H$504,T351)&amp;" – "&amp;INDEX(MATCHER!$I$5:$I$504,T351))&amp;IF(AF351="",""," | "&amp;HOUR(INDEX(MATCHER!$C$5:$C$504,AF351))&amp;":"&amp;IF(MINUTE(INDEX(MATCHER!$C$5:$C$504,AF351))&lt;10,"0","")&amp;MINUTE(INDEX(MATCHER!$C$5:$C$504,AF351))&amp;" "&amp;INDEX(MATCHER!$H$5:$H$504,AF351)&amp;" – "&amp;INDEX(MATCHER!$I$5:$I$504,AF351))</f>
        <v/>
      </c>
      <c r="G351" s="45" t="str">
        <f>MID(IF(R351="","",IF(OR(INDEX(MATCHER!$J$5:$J$504,R351)=""),""," / "&amp;INDEX(MATCHER!$J$5:$J$504,R351)))&amp;IF(S351="","",IF(OR(INDEX(MATCHER!$J$5:$J$504,S351)="",INDEX(MATCHER!$J$5:$J$504,S351)=IFERROR(INDEX(MATCHER!$J$5:$J$504,R351),"")),""," / "&amp;INDEX(MATCHER!$J$5:$J$504,S351)))&amp;IF(T351="","",IF(OR(INDEX(MATCHER!$J$5:$J$504,T351)="",INDEX(MATCHER!$J$5:$J$504,T351)=IFERROR(INDEX(MATCHER!$J$5:$J$504,R351),""),INDEX(MATCHER!$J$5:$J$504,T351)=IFERROR(INDEX(MATCHER!$J$5:$J$504,S351),"")),""," / "&amp;INDEX(MATCHER!$J$5:$J$504,T351)))&amp;IF(AF351="","",IF(OR(INDEX(MATCHER!$J$5:$J$504,AF351)="",INDEX(MATCHER!$J$5:$J$504,AF351)=IFERROR(INDEX(MATCHER!$J$5:$J$504,R351),""),INDEX(MATCHER!$J$5:$J$504,AF351)=IFERROR(INDEX(MATCHER!$J$5:$J$504,S351),""),INDEX(MATCHER!$J$5:$J$504,AF351)=IFERROR(INDEX(MATCHER!$J$5:$J$504,T351),"")),""," / "&amp;INDEX(MATCHER!$J$5:$J$504,AF351))),4,1000)</f>
        <v/>
      </c>
      <c r="H351" s="45" t="str">
        <f t="shared" ref="H351:H365" si="84">H350</f>
        <v>F12</v>
      </c>
      <c r="I351" s="46" t="s">
        <v>90</v>
      </c>
      <c r="J351" s="144" t="s">
        <v>150</v>
      </c>
      <c r="K351" s="145"/>
      <c r="L351" s="157" t="s">
        <v>858</v>
      </c>
      <c r="M351" s="50" t="str">
        <f>IF(O351&lt;&gt;O350,MAX(1,MIN(AA351,ROUNDUP(SUMPRODUCT(($O$5:$O$546=O351)*($I$5:$I$546="Ja")*($E$5:$E$546-$D$5:$D$546))*24/REGLER!$B$8,0))),"")</f>
        <v/>
      </c>
      <c r="N351" s="50" t="str">
        <f t="shared" si="75"/>
        <v>Kontrollera lag</v>
      </c>
      <c r="O351" s="15" t="s">
        <v>144</v>
      </c>
      <c r="P351" s="16">
        <v>0.33333333333333298</v>
      </c>
      <c r="Q351" s="16">
        <v>0.66666666666666696</v>
      </c>
      <c r="R351" s="15" t="str">
        <f>IFERROR(MATCH(1,INDEX((MATCHER!$B$5:$B$504=A351)*(MATCHER!$D$5:$D$504=C351)*(MATCHER!$K$5:$K$504="Ja")*(MATCHER!$C$5:$C$504&lt;E351)*(MATCHER!$M$5:$M$504&gt;D351),0),0),"")</f>
        <v/>
      </c>
      <c r="S351" s="15" t="str">
        <f>IF(R351="","",IFERROR(MATCH(1,INDEX((MATCHER!$B$5:$B$504=A351)*(MATCHER!$D$5:$D$504=C351)*(MATCHER!$K$5:$K$504="Ja")*(MATCHER!$C$5:$C$504&lt;E351)*(MATCHER!$M$5:$M$504&gt;D351)*(ROW(MATCHER!$A$5:$A$504)-ROW(MATCHER!$A$5)+1&gt;R351),0),0),""))</f>
        <v/>
      </c>
      <c r="T351" s="15" t="str">
        <f>IF(S351="","",IFERROR(MATCH(1,INDEX((MATCHER!$B$5:$B$504=A351)*(MATCHER!$D$5:$D$504=C351)*(MATCHER!$K$5:$K$504="Ja")*(MATCHER!$C$5:$C$504&lt;E351)*(MATCHER!$M$5:$M$504&gt;D351)*(ROW(MATCHER!$A$5:$A$504)-ROW(MATCHER!$A$5)+1&gt;S351),0),0),""))</f>
        <v/>
      </c>
      <c r="U351" s="15">
        <f t="shared" si="76"/>
        <v>1</v>
      </c>
      <c r="V351" s="15">
        <f>IF(OR(I351&lt;&gt;"Ja",J351=""),"",COUNTIFS($O$5:O351,O351,$U$5:U351,1))</f>
        <v>2</v>
      </c>
      <c r="W351" s="15" t="str">
        <f t="shared" si="77"/>
        <v>2027-01-23 | Ulriksdalshallen|2</v>
      </c>
      <c r="X351" s="16">
        <f t="shared" si="78"/>
        <v>0.375</v>
      </c>
      <c r="Y351" s="15">
        <f>IF(OR(I351&lt;&gt;"Ja",J351=""),0,IF(COUNTIFS($O$5:O351,O351,$I$5:I351,"Ja",$J$5:J351,"&lt;&gt;")=1,1,0))</f>
        <v>0</v>
      </c>
      <c r="Z351" s="15">
        <f>IF(OR(I351&lt;&gt;"Ja",J351=""),0,IF(COUNTIFS(O351:$O$546,O351,I351:$I$546,"Ja",J351:$J$546,"&lt;&gt;")=1,1,0))</f>
        <v>0</v>
      </c>
      <c r="AA351" s="15">
        <f t="shared" ref="AA351:AA365" si="85">AA350</f>
        <v>1</v>
      </c>
      <c r="AB351" s="15">
        <f>IF(U351&lt;&gt;1,"",COUNTIF($U$5:U351,1))</f>
        <v>43</v>
      </c>
      <c r="AC351" s="15" t="str">
        <f t="shared" si="79"/>
        <v>2027-01-23 | Ulriksdalshallen|2</v>
      </c>
      <c r="AD351" s="15" t="str">
        <f t="shared" si="80"/>
        <v>Vanligt café</v>
      </c>
      <c r="AE351" s="15">
        <f t="shared" si="81"/>
        <v>0.49999999999999156</v>
      </c>
      <c r="AF351" t="str">
        <f>IF(T351="","",IFERROR(MATCH(1,INDEX((MATCHER!$B$5:$B$504=A351)*(MATCHER!$D$5:$D$504=C351)*(MATCHER!$K$5:$K$504="Ja")*(MATCHER!$C$5:$C$504&lt;E351)*(MATCHER!$M$5:$M$504&gt;D351)*(ROW(MATCHER!$A$5:$A$504)-ROW(MATCHER!$A$5)+1&gt;T351),0),0),""))</f>
        <v/>
      </c>
    </row>
    <row r="352" spans="1:32" ht="26">
      <c r="A352" s="42">
        <v>46410</v>
      </c>
      <c r="B352" s="43" t="s">
        <v>85</v>
      </c>
      <c r="C352" s="43" t="s">
        <v>86</v>
      </c>
      <c r="D352" s="44">
        <v>0.375</v>
      </c>
      <c r="E352" s="44">
        <v>0.39583333333333298</v>
      </c>
      <c r="F352" s="45" t="str">
        <f>IF(R352="","",HOUR(INDEX(MATCHER!$C$5:$C$504,R352))&amp;":"&amp;IF(MINUTE(INDEX(MATCHER!$C$5:$C$504,R352))&lt;10,"0","")&amp;MINUTE(INDEX(MATCHER!$C$5:$C$504,R352))&amp;" "&amp;INDEX(MATCHER!$H$5:$H$504,R352)&amp;" – "&amp;INDEX(MATCHER!$I$5:$I$504,R352))&amp;IF(S352="",""," | "&amp;HOUR(INDEX(MATCHER!$C$5:$C$504,S352))&amp;":"&amp;IF(MINUTE(INDEX(MATCHER!$C$5:$C$504,S352))&lt;10,"0","")&amp;MINUTE(INDEX(MATCHER!$C$5:$C$504,S352))&amp;" "&amp;INDEX(MATCHER!$H$5:$H$504,S352)&amp;" – "&amp;INDEX(MATCHER!$I$5:$I$504,S352))&amp;IF(T352="",""," | "&amp;HOUR(INDEX(MATCHER!$C$5:$C$504,T352))&amp;":"&amp;IF(MINUTE(INDEX(MATCHER!$C$5:$C$504,T352))&lt;10,"0","")&amp;MINUTE(INDEX(MATCHER!$C$5:$C$504,T352))&amp;" "&amp;INDEX(MATCHER!$H$5:$H$504,T352)&amp;" – "&amp;INDEX(MATCHER!$I$5:$I$504,T352))&amp;IF(AF352="",""," | "&amp;HOUR(INDEX(MATCHER!$C$5:$C$504,AF352))&amp;":"&amp;IF(MINUTE(INDEX(MATCHER!$C$5:$C$504,AF352))&lt;10,"0","")&amp;MINUTE(INDEX(MATCHER!$C$5:$C$504,AF352))&amp;" "&amp;INDEX(MATCHER!$H$5:$H$504,AF352)&amp;" – "&amp;INDEX(MATCHER!$I$5:$I$504,AF352))</f>
        <v>9:00 HF Öst 2 – HF Öst</v>
      </c>
      <c r="G352" s="45" t="str">
        <f>MID(IF(R352="","",IF(OR(INDEX(MATCHER!$J$5:$J$504,R352)=""),""," / "&amp;INDEX(MATCHER!$J$5:$J$504,R352)))&amp;IF(S352="","",IF(OR(INDEX(MATCHER!$J$5:$J$504,S352)="",INDEX(MATCHER!$J$5:$J$504,S352)=IFERROR(INDEX(MATCHER!$J$5:$J$504,R352),"")),""," / "&amp;INDEX(MATCHER!$J$5:$J$504,S352)))&amp;IF(T352="","",IF(OR(INDEX(MATCHER!$J$5:$J$504,T352)="",INDEX(MATCHER!$J$5:$J$504,T352)=IFERROR(INDEX(MATCHER!$J$5:$J$504,R352),""),INDEX(MATCHER!$J$5:$J$504,T352)=IFERROR(INDEX(MATCHER!$J$5:$J$504,S352),"")),""," / "&amp;INDEX(MATCHER!$J$5:$J$504,T352)))&amp;IF(AF352="","",IF(OR(INDEX(MATCHER!$J$5:$J$504,AF352)="",INDEX(MATCHER!$J$5:$J$504,AF352)=IFERROR(INDEX(MATCHER!$J$5:$J$504,R352),""),INDEX(MATCHER!$J$5:$J$504,AF352)=IFERROR(INDEX(MATCHER!$J$5:$J$504,S352),""),INDEX(MATCHER!$J$5:$J$504,AF352)=IFERROR(INDEX(MATCHER!$J$5:$J$504,T352),"")),""," / "&amp;INDEX(MATCHER!$J$5:$J$504,AF352))),4,1000)</f>
        <v/>
      </c>
      <c r="H352" s="45" t="str">
        <f t="shared" si="84"/>
        <v>F12</v>
      </c>
      <c r="I352" s="46" t="s">
        <v>90</v>
      </c>
      <c r="J352" s="144" t="s">
        <v>111</v>
      </c>
      <c r="K352" s="145"/>
      <c r="L352" s="157" t="s">
        <v>858</v>
      </c>
      <c r="M352" s="50" t="str">
        <f>IF(O352&lt;&gt;O351,MAX(1,MIN(AA352,ROUNDUP(SUMPRODUCT(($O$5:$O$546=O352)*($I$5:$I$546="Ja")*($E$5:$E$546-$D$5:$D$546))*24/REGLER!$B$8,0))),"")</f>
        <v/>
      </c>
      <c r="N352" s="50" t="str">
        <f t="shared" si="75"/>
        <v>Kontrollera lag</v>
      </c>
      <c r="O352" s="15" t="s">
        <v>144</v>
      </c>
      <c r="P352" s="16">
        <v>0.33333333333333298</v>
      </c>
      <c r="Q352" s="16">
        <v>0.66666666666666696</v>
      </c>
      <c r="R352" s="15">
        <f>IFERROR(MATCH(1,INDEX((MATCHER!$B$5:$B$504=A352)*(MATCHER!$D$5:$D$504=C352)*(MATCHER!$K$5:$K$504="Ja")*(MATCHER!$C$5:$C$504&lt;E352)*(MATCHER!$M$5:$M$504&gt;D352),0),0),"")</f>
        <v>133</v>
      </c>
      <c r="S352" s="15" t="str">
        <f>IF(R352="","",IFERROR(MATCH(1,INDEX((MATCHER!$B$5:$B$504=A352)*(MATCHER!$D$5:$D$504=C352)*(MATCHER!$K$5:$K$504="Ja")*(MATCHER!$C$5:$C$504&lt;E352)*(MATCHER!$M$5:$M$504&gt;D352)*(ROW(MATCHER!$A$5:$A$504)-ROW(MATCHER!$A$5)+1&gt;R352),0),0),""))</f>
        <v/>
      </c>
      <c r="T352" s="15" t="str">
        <f>IF(S352="","",IFERROR(MATCH(1,INDEX((MATCHER!$B$5:$B$504=A352)*(MATCHER!$D$5:$D$504=C352)*(MATCHER!$K$5:$K$504="Ja")*(MATCHER!$C$5:$C$504&lt;E352)*(MATCHER!$M$5:$M$504&gt;D352)*(ROW(MATCHER!$A$5:$A$504)-ROW(MATCHER!$A$5)+1&gt;S352),0),0),""))</f>
        <v/>
      </c>
      <c r="U352" s="15">
        <f t="shared" si="76"/>
        <v>1</v>
      </c>
      <c r="V352" s="15">
        <f>IF(OR(I352&lt;&gt;"Ja",J352=""),"",COUNTIFS($O$5:O352,O352,$U$5:U352,1))</f>
        <v>3</v>
      </c>
      <c r="W352" s="15" t="str">
        <f t="shared" si="77"/>
        <v>2027-01-23 | Ulriksdalshallen|3</v>
      </c>
      <c r="X352" s="16">
        <f t="shared" si="78"/>
        <v>0.39583333333333298</v>
      </c>
      <c r="Y352" s="15">
        <f>IF(OR(I352&lt;&gt;"Ja",J352=""),0,IF(COUNTIFS($O$5:O352,O352,$I$5:I352,"Ja",$J$5:J352,"&lt;&gt;")=1,1,0))</f>
        <v>0</v>
      </c>
      <c r="Z352" s="15">
        <f>IF(OR(I352&lt;&gt;"Ja",J352=""),0,IF(COUNTIFS(O352:$O$546,O352,I352:$I$546,"Ja",J352:$J$546,"&lt;&gt;")=1,1,0))</f>
        <v>0</v>
      </c>
      <c r="AA352" s="15">
        <f t="shared" si="85"/>
        <v>1</v>
      </c>
      <c r="AB352" s="15">
        <f>IF(U352&lt;&gt;1,"",COUNTIF($U$5:U352,1))</f>
        <v>44</v>
      </c>
      <c r="AC352" s="15" t="str">
        <f t="shared" si="79"/>
        <v>2027-01-23 | Ulriksdalshallen|3</v>
      </c>
      <c r="AD352" s="15" t="str">
        <f t="shared" si="80"/>
        <v>Vanligt café</v>
      </c>
      <c r="AE352" s="15">
        <f t="shared" si="81"/>
        <v>0.49999999999999156</v>
      </c>
      <c r="AF352" t="str">
        <f>IF(T352="","",IFERROR(MATCH(1,INDEX((MATCHER!$B$5:$B$504=A352)*(MATCHER!$D$5:$D$504=C352)*(MATCHER!$K$5:$K$504="Ja")*(MATCHER!$C$5:$C$504&lt;E352)*(MATCHER!$M$5:$M$504&gt;D352)*(ROW(MATCHER!$A$5:$A$504)-ROW(MATCHER!$A$5)+1&gt;T352),0),0),""))</f>
        <v/>
      </c>
    </row>
    <row r="353" spans="1:32" ht="26">
      <c r="A353" s="42">
        <v>46410</v>
      </c>
      <c r="B353" s="43" t="s">
        <v>85</v>
      </c>
      <c r="C353" s="43" t="s">
        <v>86</v>
      </c>
      <c r="D353" s="44">
        <v>0.39583333333333298</v>
      </c>
      <c r="E353" s="44">
        <v>0.41666666666666702</v>
      </c>
      <c r="F353" s="45" t="str">
        <f>IF(R353="","",HOUR(INDEX(MATCHER!$C$5:$C$504,R353))&amp;":"&amp;IF(MINUTE(INDEX(MATCHER!$C$5:$C$504,R353))&lt;10,"0","")&amp;MINUTE(INDEX(MATCHER!$C$5:$C$504,R353))&amp;" "&amp;INDEX(MATCHER!$H$5:$H$504,R353)&amp;" – "&amp;INDEX(MATCHER!$I$5:$I$504,R353))&amp;IF(S353="",""," | "&amp;HOUR(INDEX(MATCHER!$C$5:$C$504,S353))&amp;":"&amp;IF(MINUTE(INDEX(MATCHER!$C$5:$C$504,S353))&lt;10,"0","")&amp;MINUTE(INDEX(MATCHER!$C$5:$C$504,S353))&amp;" "&amp;INDEX(MATCHER!$H$5:$H$504,S353)&amp;" – "&amp;INDEX(MATCHER!$I$5:$I$504,S353))&amp;IF(T353="",""," | "&amp;HOUR(INDEX(MATCHER!$C$5:$C$504,T353))&amp;":"&amp;IF(MINUTE(INDEX(MATCHER!$C$5:$C$504,T353))&lt;10,"0","")&amp;MINUTE(INDEX(MATCHER!$C$5:$C$504,T353))&amp;" "&amp;INDEX(MATCHER!$H$5:$H$504,T353)&amp;" – "&amp;INDEX(MATCHER!$I$5:$I$504,T353))&amp;IF(AF353="",""," | "&amp;HOUR(INDEX(MATCHER!$C$5:$C$504,AF353))&amp;":"&amp;IF(MINUTE(INDEX(MATCHER!$C$5:$C$504,AF353))&lt;10,"0","")&amp;MINUTE(INDEX(MATCHER!$C$5:$C$504,AF353))&amp;" "&amp;INDEX(MATCHER!$H$5:$H$504,AF353)&amp;" – "&amp;INDEX(MATCHER!$I$5:$I$504,AF353))</f>
        <v>9:00 HF Öst 2 – HF Öst</v>
      </c>
      <c r="G353" s="45" t="str">
        <f>MID(IF(R353="","",IF(OR(INDEX(MATCHER!$J$5:$J$504,R353)=""),""," / "&amp;INDEX(MATCHER!$J$5:$J$504,R353)))&amp;IF(S353="","",IF(OR(INDEX(MATCHER!$J$5:$J$504,S353)="",INDEX(MATCHER!$J$5:$J$504,S353)=IFERROR(INDEX(MATCHER!$J$5:$J$504,R353),"")),""," / "&amp;INDEX(MATCHER!$J$5:$J$504,S353)))&amp;IF(T353="","",IF(OR(INDEX(MATCHER!$J$5:$J$504,T353)="",INDEX(MATCHER!$J$5:$J$504,T353)=IFERROR(INDEX(MATCHER!$J$5:$J$504,R353),""),INDEX(MATCHER!$J$5:$J$504,T353)=IFERROR(INDEX(MATCHER!$J$5:$J$504,S353),"")),""," / "&amp;INDEX(MATCHER!$J$5:$J$504,T353)))&amp;IF(AF353="","",IF(OR(INDEX(MATCHER!$J$5:$J$504,AF353)="",INDEX(MATCHER!$J$5:$J$504,AF353)=IFERROR(INDEX(MATCHER!$J$5:$J$504,R353),""),INDEX(MATCHER!$J$5:$J$504,AF353)=IFERROR(INDEX(MATCHER!$J$5:$J$504,S353),""),INDEX(MATCHER!$J$5:$J$504,AF353)=IFERROR(INDEX(MATCHER!$J$5:$J$504,T353),"")),""," / "&amp;INDEX(MATCHER!$J$5:$J$504,AF353))),4,1000)</f>
        <v/>
      </c>
      <c r="H353" s="45" t="str">
        <f t="shared" si="84"/>
        <v>F12</v>
      </c>
      <c r="I353" s="46" t="s">
        <v>90</v>
      </c>
      <c r="J353" s="144" t="s">
        <v>135</v>
      </c>
      <c r="K353" s="145"/>
      <c r="L353" s="157" t="s">
        <v>858</v>
      </c>
      <c r="M353" s="50" t="str">
        <f>IF(O353&lt;&gt;O352,MAX(1,MIN(AA353,ROUNDUP(SUMPRODUCT(($O$5:$O$546=O353)*($I$5:$I$546="Ja")*($E$5:$E$546-$D$5:$D$546))*24/REGLER!$B$8,0))),"")</f>
        <v/>
      </c>
      <c r="N353" s="50" t="str">
        <f t="shared" si="75"/>
        <v>Kontrollera lag</v>
      </c>
      <c r="O353" s="15" t="s">
        <v>144</v>
      </c>
      <c r="P353" s="16">
        <v>0.33333333333333298</v>
      </c>
      <c r="Q353" s="16">
        <v>0.66666666666666696</v>
      </c>
      <c r="R353" s="15">
        <f>IFERROR(MATCH(1,INDEX((MATCHER!$B$5:$B$504=A353)*(MATCHER!$D$5:$D$504=C353)*(MATCHER!$K$5:$K$504="Ja")*(MATCHER!$C$5:$C$504&lt;E353)*(MATCHER!$M$5:$M$504&gt;D353),0),0),"")</f>
        <v>133</v>
      </c>
      <c r="S353" s="15" t="str">
        <f>IF(R353="","",IFERROR(MATCH(1,INDEX((MATCHER!$B$5:$B$504=A353)*(MATCHER!$D$5:$D$504=C353)*(MATCHER!$K$5:$K$504="Ja")*(MATCHER!$C$5:$C$504&lt;E353)*(MATCHER!$M$5:$M$504&gt;D353)*(ROW(MATCHER!$A$5:$A$504)-ROW(MATCHER!$A$5)+1&gt;R353),0),0),""))</f>
        <v/>
      </c>
      <c r="T353" s="15" t="str">
        <f>IF(S353="","",IFERROR(MATCH(1,INDEX((MATCHER!$B$5:$B$504=A353)*(MATCHER!$D$5:$D$504=C353)*(MATCHER!$K$5:$K$504="Ja")*(MATCHER!$C$5:$C$504&lt;E353)*(MATCHER!$M$5:$M$504&gt;D353)*(ROW(MATCHER!$A$5:$A$504)-ROW(MATCHER!$A$5)+1&gt;S353),0),0),""))</f>
        <v/>
      </c>
      <c r="U353" s="15">
        <f t="shared" si="76"/>
        <v>1</v>
      </c>
      <c r="V353" s="15">
        <f>IF(OR(I353&lt;&gt;"Ja",J353=""),"",COUNTIFS($O$5:O353,O353,$U$5:U353,1))</f>
        <v>4</v>
      </c>
      <c r="W353" s="15" t="str">
        <f t="shared" si="77"/>
        <v>2027-01-23 | Ulriksdalshallen|4</v>
      </c>
      <c r="X353" s="16">
        <f t="shared" si="78"/>
        <v>0.41666666666666702</v>
      </c>
      <c r="Y353" s="15">
        <f>IF(OR(I353&lt;&gt;"Ja",J353=""),0,IF(COUNTIFS($O$5:O353,O353,$I$5:I353,"Ja",$J$5:J353,"&lt;&gt;")=1,1,0))</f>
        <v>0</v>
      </c>
      <c r="Z353" s="15">
        <f>IF(OR(I353&lt;&gt;"Ja",J353=""),0,IF(COUNTIFS(O353:$O$546,O353,I353:$I$546,"Ja",J353:$J$546,"&lt;&gt;")=1,1,0))</f>
        <v>0</v>
      </c>
      <c r="AA353" s="15">
        <f t="shared" si="85"/>
        <v>1</v>
      </c>
      <c r="AB353" s="15">
        <f>IF(U353&lt;&gt;1,"",COUNTIF($U$5:U353,1))</f>
        <v>45</v>
      </c>
      <c r="AC353" s="15" t="str">
        <f t="shared" si="79"/>
        <v>2027-01-23 | Ulriksdalshallen|4</v>
      </c>
      <c r="AD353" s="15" t="str">
        <f t="shared" si="80"/>
        <v>Vanligt café</v>
      </c>
      <c r="AE353" s="15">
        <f t="shared" si="81"/>
        <v>0.50000000000001688</v>
      </c>
      <c r="AF353" t="str">
        <f>IF(T353="","",IFERROR(MATCH(1,INDEX((MATCHER!$B$5:$B$504=A353)*(MATCHER!$D$5:$D$504=C353)*(MATCHER!$K$5:$K$504="Ja")*(MATCHER!$C$5:$C$504&lt;E353)*(MATCHER!$M$5:$M$504&gt;D353)*(ROW(MATCHER!$A$5:$A$504)-ROW(MATCHER!$A$5)+1&gt;T353),0),0),""))</f>
        <v/>
      </c>
    </row>
    <row r="354" spans="1:32" ht="26">
      <c r="A354" s="42">
        <v>46410</v>
      </c>
      <c r="B354" s="43" t="s">
        <v>85</v>
      </c>
      <c r="C354" s="43" t="s">
        <v>86</v>
      </c>
      <c r="D354" s="44">
        <v>0.41666666666666702</v>
      </c>
      <c r="E354" s="44">
        <v>0.4375</v>
      </c>
      <c r="F354" s="45" t="str">
        <f>IF(R354="","",HOUR(INDEX(MATCHER!$C$5:$C$504,R354))&amp;":"&amp;IF(MINUTE(INDEX(MATCHER!$C$5:$C$504,R354))&lt;10,"0","")&amp;MINUTE(INDEX(MATCHER!$C$5:$C$504,R354))&amp;" "&amp;INDEX(MATCHER!$H$5:$H$504,R354)&amp;" – "&amp;INDEX(MATCHER!$I$5:$I$504,R354))&amp;IF(S354="",""," | "&amp;HOUR(INDEX(MATCHER!$C$5:$C$504,S354))&amp;":"&amp;IF(MINUTE(INDEX(MATCHER!$C$5:$C$504,S354))&lt;10,"0","")&amp;MINUTE(INDEX(MATCHER!$C$5:$C$504,S354))&amp;" "&amp;INDEX(MATCHER!$H$5:$H$504,S354)&amp;" – "&amp;INDEX(MATCHER!$I$5:$I$504,S354))&amp;IF(T354="",""," | "&amp;HOUR(INDEX(MATCHER!$C$5:$C$504,T354))&amp;":"&amp;IF(MINUTE(INDEX(MATCHER!$C$5:$C$504,T354))&lt;10,"0","")&amp;MINUTE(INDEX(MATCHER!$C$5:$C$504,T354))&amp;" "&amp;INDEX(MATCHER!$H$5:$H$504,T354)&amp;" – "&amp;INDEX(MATCHER!$I$5:$I$504,T354))&amp;IF(AF354="",""," | "&amp;HOUR(INDEX(MATCHER!$C$5:$C$504,AF354))&amp;":"&amp;IF(MINUTE(INDEX(MATCHER!$C$5:$C$504,AF354))&lt;10,"0","")&amp;MINUTE(INDEX(MATCHER!$C$5:$C$504,AF354))&amp;" "&amp;INDEX(MATCHER!$H$5:$H$504,AF354)&amp;" – "&amp;INDEX(MATCHER!$I$5:$I$504,AF354))</f>
        <v>9:00 HF Öst 2 – HF Öst</v>
      </c>
      <c r="G354" s="45" t="str">
        <f>MID(IF(R354="","",IF(OR(INDEX(MATCHER!$J$5:$J$504,R354)=""),""," / "&amp;INDEX(MATCHER!$J$5:$J$504,R354)))&amp;IF(S354="","",IF(OR(INDEX(MATCHER!$J$5:$J$504,S354)="",INDEX(MATCHER!$J$5:$J$504,S354)=IFERROR(INDEX(MATCHER!$J$5:$J$504,R354),"")),""," / "&amp;INDEX(MATCHER!$J$5:$J$504,S354)))&amp;IF(T354="","",IF(OR(INDEX(MATCHER!$J$5:$J$504,T354)="",INDEX(MATCHER!$J$5:$J$504,T354)=IFERROR(INDEX(MATCHER!$J$5:$J$504,R354),""),INDEX(MATCHER!$J$5:$J$504,T354)=IFERROR(INDEX(MATCHER!$J$5:$J$504,S354),"")),""," / "&amp;INDEX(MATCHER!$J$5:$J$504,T354)))&amp;IF(AF354="","",IF(OR(INDEX(MATCHER!$J$5:$J$504,AF354)="",INDEX(MATCHER!$J$5:$J$504,AF354)=IFERROR(INDEX(MATCHER!$J$5:$J$504,R354),""),INDEX(MATCHER!$J$5:$J$504,AF354)=IFERROR(INDEX(MATCHER!$J$5:$J$504,S354),""),INDEX(MATCHER!$J$5:$J$504,AF354)=IFERROR(INDEX(MATCHER!$J$5:$J$504,T354),"")),""," / "&amp;INDEX(MATCHER!$J$5:$J$504,AF354))),4,1000)</f>
        <v/>
      </c>
      <c r="H354" s="45" t="str">
        <f t="shared" si="84"/>
        <v>F12</v>
      </c>
      <c r="I354" s="46" t="s">
        <v>90</v>
      </c>
      <c r="J354" s="144" t="s">
        <v>150</v>
      </c>
      <c r="K354" s="145"/>
      <c r="L354" s="157" t="s">
        <v>858</v>
      </c>
      <c r="M354" s="50" t="str">
        <f>IF(O354&lt;&gt;O353,MAX(1,MIN(AA354,ROUNDUP(SUMPRODUCT(($O$5:$O$546=O354)*($I$5:$I$546="Ja")*($E$5:$E$546-$D$5:$D$546))*24/REGLER!$B$8,0))),"")</f>
        <v/>
      </c>
      <c r="N354" s="50" t="str">
        <f t="shared" si="75"/>
        <v>Kontrollera lag</v>
      </c>
      <c r="O354" s="15" t="s">
        <v>144</v>
      </c>
      <c r="P354" s="16">
        <v>0.33333333333333298</v>
      </c>
      <c r="Q354" s="16">
        <v>0.66666666666666696</v>
      </c>
      <c r="R354" s="15">
        <f>IFERROR(MATCH(1,INDEX((MATCHER!$B$5:$B$504=A354)*(MATCHER!$D$5:$D$504=C354)*(MATCHER!$K$5:$K$504="Ja")*(MATCHER!$C$5:$C$504&lt;E354)*(MATCHER!$M$5:$M$504&gt;D354),0),0),"")</f>
        <v>133</v>
      </c>
      <c r="S354" s="15" t="str">
        <f>IF(R354="","",IFERROR(MATCH(1,INDEX((MATCHER!$B$5:$B$504=A354)*(MATCHER!$D$5:$D$504=C354)*(MATCHER!$K$5:$K$504="Ja")*(MATCHER!$C$5:$C$504&lt;E354)*(MATCHER!$M$5:$M$504&gt;D354)*(ROW(MATCHER!$A$5:$A$504)-ROW(MATCHER!$A$5)+1&gt;R354),0),0),""))</f>
        <v/>
      </c>
      <c r="T354" s="15" t="str">
        <f>IF(S354="","",IFERROR(MATCH(1,INDEX((MATCHER!$B$5:$B$504=A354)*(MATCHER!$D$5:$D$504=C354)*(MATCHER!$K$5:$K$504="Ja")*(MATCHER!$C$5:$C$504&lt;E354)*(MATCHER!$M$5:$M$504&gt;D354)*(ROW(MATCHER!$A$5:$A$504)-ROW(MATCHER!$A$5)+1&gt;S354),0),0),""))</f>
        <v/>
      </c>
      <c r="U354" s="15">
        <f t="shared" si="76"/>
        <v>1</v>
      </c>
      <c r="V354" s="15">
        <f>IF(OR(I354&lt;&gt;"Ja",J354=""),"",COUNTIFS($O$5:O354,O354,$U$5:U354,1))</f>
        <v>5</v>
      </c>
      <c r="W354" s="15" t="str">
        <f t="shared" si="77"/>
        <v>2027-01-23 | Ulriksdalshallen|5</v>
      </c>
      <c r="X354" s="16">
        <f t="shared" si="78"/>
        <v>0.4375</v>
      </c>
      <c r="Y354" s="15">
        <f>IF(OR(I354&lt;&gt;"Ja",J354=""),0,IF(COUNTIFS($O$5:O354,O354,$I$5:I354,"Ja",$J$5:J354,"&lt;&gt;")=1,1,0))</f>
        <v>0</v>
      </c>
      <c r="Z354" s="15">
        <f>IF(OR(I354&lt;&gt;"Ja",J354=""),0,IF(COUNTIFS(O354:$O$546,O354,I354:$I$546,"Ja",J354:$J$546,"&lt;&gt;")=1,1,0))</f>
        <v>0</v>
      </c>
      <c r="AA354" s="15">
        <f t="shared" si="85"/>
        <v>1</v>
      </c>
      <c r="AB354" s="15">
        <f>IF(U354&lt;&gt;1,"",COUNTIF($U$5:U354,1))</f>
        <v>46</v>
      </c>
      <c r="AC354" s="15" t="str">
        <f t="shared" si="79"/>
        <v>2027-01-23 | Ulriksdalshallen|5</v>
      </c>
      <c r="AD354" s="15" t="str">
        <f t="shared" si="80"/>
        <v>Vanligt café</v>
      </c>
      <c r="AE354" s="15">
        <f t="shared" si="81"/>
        <v>0.49999999999999156</v>
      </c>
      <c r="AF354" t="str">
        <f>IF(T354="","",IFERROR(MATCH(1,INDEX((MATCHER!$B$5:$B$504=A354)*(MATCHER!$D$5:$D$504=C354)*(MATCHER!$K$5:$K$504="Ja")*(MATCHER!$C$5:$C$504&lt;E354)*(MATCHER!$M$5:$M$504&gt;D354)*(ROW(MATCHER!$A$5:$A$504)-ROW(MATCHER!$A$5)+1&gt;T354),0),0),""))</f>
        <v/>
      </c>
    </row>
    <row r="355" spans="1:32" ht="26">
      <c r="A355" s="42">
        <v>46410</v>
      </c>
      <c r="B355" s="43" t="s">
        <v>85</v>
      </c>
      <c r="C355" s="43" t="s">
        <v>86</v>
      </c>
      <c r="D355" s="44">
        <v>0.4375</v>
      </c>
      <c r="E355" s="44">
        <v>0.45833333333333298</v>
      </c>
      <c r="F355" s="45" t="str">
        <f>IF(R355="","",HOUR(INDEX(MATCHER!$C$5:$C$504,R355))&amp;":"&amp;IF(MINUTE(INDEX(MATCHER!$C$5:$C$504,R355))&lt;10,"0","")&amp;MINUTE(INDEX(MATCHER!$C$5:$C$504,R355))&amp;" "&amp;INDEX(MATCHER!$H$5:$H$504,R355)&amp;" – "&amp;INDEX(MATCHER!$I$5:$I$504,R355))&amp;IF(S355="",""," | "&amp;HOUR(INDEX(MATCHER!$C$5:$C$504,S355))&amp;":"&amp;IF(MINUTE(INDEX(MATCHER!$C$5:$C$504,S355))&lt;10,"0","")&amp;MINUTE(INDEX(MATCHER!$C$5:$C$504,S355))&amp;" "&amp;INDEX(MATCHER!$H$5:$H$504,S355)&amp;" – "&amp;INDEX(MATCHER!$I$5:$I$504,S355))&amp;IF(T355="",""," | "&amp;HOUR(INDEX(MATCHER!$C$5:$C$504,T355))&amp;":"&amp;IF(MINUTE(INDEX(MATCHER!$C$5:$C$504,T355))&lt;10,"0","")&amp;MINUTE(INDEX(MATCHER!$C$5:$C$504,T355))&amp;" "&amp;INDEX(MATCHER!$H$5:$H$504,T355)&amp;" – "&amp;INDEX(MATCHER!$I$5:$I$504,T355))&amp;IF(AF355="",""," | "&amp;HOUR(INDEX(MATCHER!$C$5:$C$504,AF355))&amp;":"&amp;IF(MINUTE(INDEX(MATCHER!$C$5:$C$504,AF355))&lt;10,"0","")&amp;MINUTE(INDEX(MATCHER!$C$5:$C$504,AF355))&amp;" "&amp;INDEX(MATCHER!$H$5:$H$504,AF355)&amp;" – "&amp;INDEX(MATCHER!$I$5:$I$504,AF355))</f>
        <v>9:00 HF Öst 2 – HF Öst</v>
      </c>
      <c r="G355" s="45" t="str">
        <f>MID(IF(R355="","",IF(OR(INDEX(MATCHER!$J$5:$J$504,R355)=""),""," / "&amp;INDEX(MATCHER!$J$5:$J$504,R355)))&amp;IF(S355="","",IF(OR(INDEX(MATCHER!$J$5:$J$504,S355)="",INDEX(MATCHER!$J$5:$J$504,S355)=IFERROR(INDEX(MATCHER!$J$5:$J$504,R355),"")),""," / "&amp;INDEX(MATCHER!$J$5:$J$504,S355)))&amp;IF(T355="","",IF(OR(INDEX(MATCHER!$J$5:$J$504,T355)="",INDEX(MATCHER!$J$5:$J$504,T355)=IFERROR(INDEX(MATCHER!$J$5:$J$504,R355),""),INDEX(MATCHER!$J$5:$J$504,T355)=IFERROR(INDEX(MATCHER!$J$5:$J$504,S355),"")),""," / "&amp;INDEX(MATCHER!$J$5:$J$504,T355)))&amp;IF(AF355="","",IF(OR(INDEX(MATCHER!$J$5:$J$504,AF355)="",INDEX(MATCHER!$J$5:$J$504,AF355)=IFERROR(INDEX(MATCHER!$J$5:$J$504,R355),""),INDEX(MATCHER!$J$5:$J$504,AF355)=IFERROR(INDEX(MATCHER!$J$5:$J$504,S355),""),INDEX(MATCHER!$J$5:$J$504,AF355)=IFERROR(INDEX(MATCHER!$J$5:$J$504,T355),"")),""," / "&amp;INDEX(MATCHER!$J$5:$J$504,AF355))),4,1000)</f>
        <v/>
      </c>
      <c r="H355" s="45" t="str">
        <f t="shared" si="84"/>
        <v>F12</v>
      </c>
      <c r="I355" s="46" t="s">
        <v>90</v>
      </c>
      <c r="J355" s="144" t="s">
        <v>111</v>
      </c>
      <c r="K355" s="145"/>
      <c r="L355" s="157" t="s">
        <v>858</v>
      </c>
      <c r="M355" s="50" t="str">
        <f>IF(O355&lt;&gt;O354,MAX(1,MIN(AA355,ROUNDUP(SUMPRODUCT(($O$5:$O$546=O355)*($I$5:$I$546="Ja")*($E$5:$E$546-$D$5:$D$546))*24/REGLER!$B$8,0))),"")</f>
        <v/>
      </c>
      <c r="N355" s="50" t="str">
        <f t="shared" si="75"/>
        <v>Kontrollera lag</v>
      </c>
      <c r="O355" s="15" t="s">
        <v>144</v>
      </c>
      <c r="P355" s="16">
        <v>0.33333333333333298</v>
      </c>
      <c r="Q355" s="16">
        <v>0.66666666666666696</v>
      </c>
      <c r="R355" s="15">
        <f>IFERROR(MATCH(1,INDEX((MATCHER!$B$5:$B$504=A355)*(MATCHER!$D$5:$D$504=C355)*(MATCHER!$K$5:$K$504="Ja")*(MATCHER!$C$5:$C$504&lt;E355)*(MATCHER!$M$5:$M$504&gt;D355),0),0),"")</f>
        <v>133</v>
      </c>
      <c r="S355" s="15" t="str">
        <f>IF(R355="","",IFERROR(MATCH(1,INDEX((MATCHER!$B$5:$B$504=A355)*(MATCHER!$D$5:$D$504=C355)*(MATCHER!$K$5:$K$504="Ja")*(MATCHER!$C$5:$C$504&lt;E355)*(MATCHER!$M$5:$M$504&gt;D355)*(ROW(MATCHER!$A$5:$A$504)-ROW(MATCHER!$A$5)+1&gt;R355),0),0),""))</f>
        <v/>
      </c>
      <c r="T355" s="15" t="str">
        <f>IF(S355="","",IFERROR(MATCH(1,INDEX((MATCHER!$B$5:$B$504=A355)*(MATCHER!$D$5:$D$504=C355)*(MATCHER!$K$5:$K$504="Ja")*(MATCHER!$C$5:$C$504&lt;E355)*(MATCHER!$M$5:$M$504&gt;D355)*(ROW(MATCHER!$A$5:$A$504)-ROW(MATCHER!$A$5)+1&gt;S355),0),0),""))</f>
        <v/>
      </c>
      <c r="U355" s="15">
        <f t="shared" si="76"/>
        <v>1</v>
      </c>
      <c r="V355" s="15">
        <f>IF(OR(I355&lt;&gt;"Ja",J355=""),"",COUNTIFS($O$5:O355,O355,$U$5:U355,1))</f>
        <v>6</v>
      </c>
      <c r="W355" s="15" t="str">
        <f t="shared" si="77"/>
        <v>2027-01-23 | Ulriksdalshallen|6</v>
      </c>
      <c r="X355" s="16">
        <f t="shared" si="78"/>
        <v>0.45833333333333298</v>
      </c>
      <c r="Y355" s="15">
        <f>IF(OR(I355&lt;&gt;"Ja",J355=""),0,IF(COUNTIFS($O$5:O355,O355,$I$5:I355,"Ja",$J$5:J355,"&lt;&gt;")=1,1,0))</f>
        <v>0</v>
      </c>
      <c r="Z355" s="15">
        <f>IF(OR(I355&lt;&gt;"Ja",J355=""),0,IF(COUNTIFS(O355:$O$546,O355,I355:$I$546,"Ja",J355:$J$546,"&lt;&gt;")=1,1,0))</f>
        <v>0</v>
      </c>
      <c r="AA355" s="15">
        <f t="shared" si="85"/>
        <v>1</v>
      </c>
      <c r="AB355" s="15">
        <f>IF(U355&lt;&gt;1,"",COUNTIF($U$5:U355,1))</f>
        <v>47</v>
      </c>
      <c r="AC355" s="15" t="str">
        <f t="shared" si="79"/>
        <v>2027-01-23 | Ulriksdalshallen|6</v>
      </c>
      <c r="AD355" s="15" t="str">
        <f t="shared" si="80"/>
        <v>Vanligt café</v>
      </c>
      <c r="AE355" s="15">
        <f t="shared" si="81"/>
        <v>0.49999999999999156</v>
      </c>
      <c r="AF355" t="str">
        <f>IF(T355="","",IFERROR(MATCH(1,INDEX((MATCHER!$B$5:$B$504=A355)*(MATCHER!$D$5:$D$504=C355)*(MATCHER!$K$5:$K$504="Ja")*(MATCHER!$C$5:$C$504&lt;E355)*(MATCHER!$M$5:$M$504&gt;D355)*(ROW(MATCHER!$A$5:$A$504)-ROW(MATCHER!$A$5)+1&gt;T355),0),0),""))</f>
        <v/>
      </c>
    </row>
    <row r="356" spans="1:32" ht="26">
      <c r="A356" s="42">
        <v>46410</v>
      </c>
      <c r="B356" s="43" t="s">
        <v>85</v>
      </c>
      <c r="C356" s="43" t="s">
        <v>86</v>
      </c>
      <c r="D356" s="44">
        <v>0.45833333333333298</v>
      </c>
      <c r="E356" s="44">
        <v>0.47916666666666702</v>
      </c>
      <c r="F356" s="45" t="str">
        <f>IF(R356="","",HOUR(INDEX(MATCHER!$C$5:$C$504,R356))&amp;":"&amp;IF(MINUTE(INDEX(MATCHER!$C$5:$C$504,R356))&lt;10,"0","")&amp;MINUTE(INDEX(MATCHER!$C$5:$C$504,R356))&amp;" "&amp;INDEX(MATCHER!$H$5:$H$504,R356)&amp;" – "&amp;INDEX(MATCHER!$I$5:$I$504,R356))&amp;IF(S356="",""," | "&amp;HOUR(INDEX(MATCHER!$C$5:$C$504,S356))&amp;":"&amp;IF(MINUTE(INDEX(MATCHER!$C$5:$C$504,S356))&lt;10,"0","")&amp;MINUTE(INDEX(MATCHER!$C$5:$C$504,S356))&amp;" "&amp;INDEX(MATCHER!$H$5:$H$504,S356)&amp;" – "&amp;INDEX(MATCHER!$I$5:$I$504,S356))&amp;IF(T356="",""," | "&amp;HOUR(INDEX(MATCHER!$C$5:$C$504,T356))&amp;":"&amp;IF(MINUTE(INDEX(MATCHER!$C$5:$C$504,T356))&lt;10,"0","")&amp;MINUTE(INDEX(MATCHER!$C$5:$C$504,T356))&amp;" "&amp;INDEX(MATCHER!$H$5:$H$504,T356)&amp;" – "&amp;INDEX(MATCHER!$I$5:$I$504,T356))&amp;IF(AF356="",""," | "&amp;HOUR(INDEX(MATCHER!$C$5:$C$504,AF356))&amp;":"&amp;IF(MINUTE(INDEX(MATCHER!$C$5:$C$504,AF356))&lt;10,"0","")&amp;MINUTE(INDEX(MATCHER!$C$5:$C$504,AF356))&amp;" "&amp;INDEX(MATCHER!$H$5:$H$504,AF356)&amp;" – "&amp;INDEX(MATCHER!$I$5:$I$504,AF356))</f>
        <v>9:00 HF Öst 2 – HF Öst</v>
      </c>
      <c r="G356" s="45" t="str">
        <f>MID(IF(R356="","",IF(OR(INDEX(MATCHER!$J$5:$J$504,R356)=""),""," / "&amp;INDEX(MATCHER!$J$5:$J$504,R356)))&amp;IF(S356="","",IF(OR(INDEX(MATCHER!$J$5:$J$504,S356)="",INDEX(MATCHER!$J$5:$J$504,S356)=IFERROR(INDEX(MATCHER!$J$5:$J$504,R356),"")),""," / "&amp;INDEX(MATCHER!$J$5:$J$504,S356)))&amp;IF(T356="","",IF(OR(INDEX(MATCHER!$J$5:$J$504,T356)="",INDEX(MATCHER!$J$5:$J$504,T356)=IFERROR(INDEX(MATCHER!$J$5:$J$504,R356),""),INDEX(MATCHER!$J$5:$J$504,T356)=IFERROR(INDEX(MATCHER!$J$5:$J$504,S356),"")),""," / "&amp;INDEX(MATCHER!$J$5:$J$504,T356)))&amp;IF(AF356="","",IF(OR(INDEX(MATCHER!$J$5:$J$504,AF356)="",INDEX(MATCHER!$J$5:$J$504,AF356)=IFERROR(INDEX(MATCHER!$J$5:$J$504,R356),""),INDEX(MATCHER!$J$5:$J$504,AF356)=IFERROR(INDEX(MATCHER!$J$5:$J$504,S356),""),INDEX(MATCHER!$J$5:$J$504,AF356)=IFERROR(INDEX(MATCHER!$J$5:$J$504,T356),"")),""," / "&amp;INDEX(MATCHER!$J$5:$J$504,AF356))),4,1000)</f>
        <v/>
      </c>
      <c r="H356" s="45" t="str">
        <f t="shared" si="84"/>
        <v>F12</v>
      </c>
      <c r="I356" s="46" t="s">
        <v>90</v>
      </c>
      <c r="J356" s="144" t="s">
        <v>135</v>
      </c>
      <c r="K356" s="145"/>
      <c r="L356" s="157" t="s">
        <v>858</v>
      </c>
      <c r="M356" s="50" t="str">
        <f>IF(O356&lt;&gt;O355,MAX(1,MIN(AA356,ROUNDUP(SUMPRODUCT(($O$5:$O$546=O356)*($I$5:$I$546="Ja")*($E$5:$E$546-$D$5:$D$546))*24/REGLER!$B$8,0))),"")</f>
        <v/>
      </c>
      <c r="N356" s="50" t="str">
        <f t="shared" si="75"/>
        <v>Kontrollera lag</v>
      </c>
      <c r="O356" s="15" t="s">
        <v>144</v>
      </c>
      <c r="P356" s="16">
        <v>0.33333333333333298</v>
      </c>
      <c r="Q356" s="16">
        <v>0.66666666666666696</v>
      </c>
      <c r="R356" s="15">
        <f>IFERROR(MATCH(1,INDEX((MATCHER!$B$5:$B$504=A356)*(MATCHER!$D$5:$D$504=C356)*(MATCHER!$K$5:$K$504="Ja")*(MATCHER!$C$5:$C$504&lt;E356)*(MATCHER!$M$5:$M$504&gt;D356),0),0),"")</f>
        <v>133</v>
      </c>
      <c r="S356" s="15" t="str">
        <f>IF(R356="","",IFERROR(MATCH(1,INDEX((MATCHER!$B$5:$B$504=A356)*(MATCHER!$D$5:$D$504=C356)*(MATCHER!$K$5:$K$504="Ja")*(MATCHER!$C$5:$C$504&lt;E356)*(MATCHER!$M$5:$M$504&gt;D356)*(ROW(MATCHER!$A$5:$A$504)-ROW(MATCHER!$A$5)+1&gt;R356),0),0),""))</f>
        <v/>
      </c>
      <c r="T356" s="15" t="str">
        <f>IF(S356="","",IFERROR(MATCH(1,INDEX((MATCHER!$B$5:$B$504=A356)*(MATCHER!$D$5:$D$504=C356)*(MATCHER!$K$5:$K$504="Ja")*(MATCHER!$C$5:$C$504&lt;E356)*(MATCHER!$M$5:$M$504&gt;D356)*(ROW(MATCHER!$A$5:$A$504)-ROW(MATCHER!$A$5)+1&gt;S356),0),0),""))</f>
        <v/>
      </c>
      <c r="U356" s="15">
        <f t="shared" si="76"/>
        <v>1</v>
      </c>
      <c r="V356" s="15">
        <f>IF(OR(I356&lt;&gt;"Ja",J356=""),"",COUNTIFS($O$5:O356,O356,$U$5:U356,1))</f>
        <v>7</v>
      </c>
      <c r="W356" s="15" t="str">
        <f t="shared" si="77"/>
        <v>2027-01-23 | Ulriksdalshallen|7</v>
      </c>
      <c r="X356" s="16">
        <f t="shared" si="78"/>
        <v>0.47916666666666702</v>
      </c>
      <c r="Y356" s="15">
        <f>IF(OR(I356&lt;&gt;"Ja",J356=""),0,IF(COUNTIFS($O$5:O356,O356,$I$5:I356,"Ja",$J$5:J356,"&lt;&gt;")=1,1,0))</f>
        <v>0</v>
      </c>
      <c r="Z356" s="15">
        <f>IF(OR(I356&lt;&gt;"Ja",J356=""),0,IF(COUNTIFS(O356:$O$546,O356,I356:$I$546,"Ja",J356:$J$546,"&lt;&gt;")=1,1,0))</f>
        <v>0</v>
      </c>
      <c r="AA356" s="15">
        <f t="shared" si="85"/>
        <v>1</v>
      </c>
      <c r="AB356" s="15">
        <f>IF(U356&lt;&gt;1,"",COUNTIF($U$5:U356,1))</f>
        <v>48</v>
      </c>
      <c r="AC356" s="15" t="str">
        <f t="shared" si="79"/>
        <v>2027-01-23 | Ulriksdalshallen|7</v>
      </c>
      <c r="AD356" s="15" t="str">
        <f t="shared" si="80"/>
        <v>Vanligt café</v>
      </c>
      <c r="AE356" s="15">
        <f t="shared" si="81"/>
        <v>0.50000000000001688</v>
      </c>
      <c r="AF356" t="str">
        <f>IF(T356="","",IFERROR(MATCH(1,INDEX((MATCHER!$B$5:$B$504=A356)*(MATCHER!$D$5:$D$504=C356)*(MATCHER!$K$5:$K$504="Ja")*(MATCHER!$C$5:$C$504&lt;E356)*(MATCHER!$M$5:$M$504&gt;D356)*(ROW(MATCHER!$A$5:$A$504)-ROW(MATCHER!$A$5)+1&gt;T356),0),0),""))</f>
        <v/>
      </c>
    </row>
    <row r="357" spans="1:32" ht="26">
      <c r="A357" s="42">
        <v>46410</v>
      </c>
      <c r="B357" s="43" t="s">
        <v>85</v>
      </c>
      <c r="C357" s="43" t="s">
        <v>86</v>
      </c>
      <c r="D357" s="44">
        <v>0.47916666666666702</v>
      </c>
      <c r="E357" s="44">
        <v>0.5</v>
      </c>
      <c r="F357" s="45" t="str">
        <f>IF(R357="","",HOUR(INDEX(MATCHER!$C$5:$C$504,R357))&amp;":"&amp;IF(MINUTE(INDEX(MATCHER!$C$5:$C$504,R357))&lt;10,"0","")&amp;MINUTE(INDEX(MATCHER!$C$5:$C$504,R357))&amp;" "&amp;INDEX(MATCHER!$H$5:$H$504,R357)&amp;" – "&amp;INDEX(MATCHER!$I$5:$I$504,R357))&amp;IF(S357="",""," | "&amp;HOUR(INDEX(MATCHER!$C$5:$C$504,S357))&amp;":"&amp;IF(MINUTE(INDEX(MATCHER!$C$5:$C$504,S357))&lt;10,"0","")&amp;MINUTE(INDEX(MATCHER!$C$5:$C$504,S357))&amp;" "&amp;INDEX(MATCHER!$H$5:$H$504,S357)&amp;" – "&amp;INDEX(MATCHER!$I$5:$I$504,S357))&amp;IF(T357="",""," | "&amp;HOUR(INDEX(MATCHER!$C$5:$C$504,T357))&amp;":"&amp;IF(MINUTE(INDEX(MATCHER!$C$5:$C$504,T357))&lt;10,"0","")&amp;MINUTE(INDEX(MATCHER!$C$5:$C$504,T357))&amp;" "&amp;INDEX(MATCHER!$H$5:$H$504,T357)&amp;" – "&amp;INDEX(MATCHER!$I$5:$I$504,T357))&amp;IF(AF357="",""," | "&amp;HOUR(INDEX(MATCHER!$C$5:$C$504,AF357))&amp;":"&amp;IF(MINUTE(INDEX(MATCHER!$C$5:$C$504,AF357))&lt;10,"0","")&amp;MINUTE(INDEX(MATCHER!$C$5:$C$504,AF357))&amp;" "&amp;INDEX(MATCHER!$H$5:$H$504,AF357)&amp;" – "&amp;INDEX(MATCHER!$I$5:$I$504,AF357))</f>
        <v>9:00 HF Öst 2 – HF Öst</v>
      </c>
      <c r="G357" s="45" t="str">
        <f>MID(IF(R357="","",IF(OR(INDEX(MATCHER!$J$5:$J$504,R357)=""),""," / "&amp;INDEX(MATCHER!$J$5:$J$504,R357)))&amp;IF(S357="","",IF(OR(INDEX(MATCHER!$J$5:$J$504,S357)="",INDEX(MATCHER!$J$5:$J$504,S357)=IFERROR(INDEX(MATCHER!$J$5:$J$504,R357),"")),""," / "&amp;INDEX(MATCHER!$J$5:$J$504,S357)))&amp;IF(T357="","",IF(OR(INDEX(MATCHER!$J$5:$J$504,T357)="",INDEX(MATCHER!$J$5:$J$504,T357)=IFERROR(INDEX(MATCHER!$J$5:$J$504,R357),""),INDEX(MATCHER!$J$5:$J$504,T357)=IFERROR(INDEX(MATCHER!$J$5:$J$504,S357),"")),""," / "&amp;INDEX(MATCHER!$J$5:$J$504,T357)))&amp;IF(AF357="","",IF(OR(INDEX(MATCHER!$J$5:$J$504,AF357)="",INDEX(MATCHER!$J$5:$J$504,AF357)=IFERROR(INDEX(MATCHER!$J$5:$J$504,R357),""),INDEX(MATCHER!$J$5:$J$504,AF357)=IFERROR(INDEX(MATCHER!$J$5:$J$504,S357),""),INDEX(MATCHER!$J$5:$J$504,AF357)=IFERROR(INDEX(MATCHER!$J$5:$J$504,T357),"")),""," / "&amp;INDEX(MATCHER!$J$5:$J$504,AF357))),4,1000)</f>
        <v/>
      </c>
      <c r="H357" s="45" t="str">
        <f t="shared" si="84"/>
        <v>F12</v>
      </c>
      <c r="I357" s="46" t="s">
        <v>90</v>
      </c>
      <c r="J357" s="144" t="s">
        <v>150</v>
      </c>
      <c r="K357" s="145"/>
      <c r="L357" s="157" t="s">
        <v>858</v>
      </c>
      <c r="M357" s="50" t="str">
        <f>IF(O357&lt;&gt;O356,MAX(1,MIN(AA357,ROUNDUP(SUMPRODUCT(($O$5:$O$546=O357)*($I$5:$I$546="Ja")*($E$5:$E$546-$D$5:$D$546))*24/REGLER!$B$8,0))),"")</f>
        <v/>
      </c>
      <c r="N357" s="50" t="str">
        <f t="shared" si="75"/>
        <v>Kontrollera lag</v>
      </c>
      <c r="O357" s="15" t="s">
        <v>144</v>
      </c>
      <c r="P357" s="16">
        <v>0.33333333333333298</v>
      </c>
      <c r="Q357" s="16">
        <v>0.66666666666666696</v>
      </c>
      <c r="R357" s="15">
        <f>IFERROR(MATCH(1,INDEX((MATCHER!$B$5:$B$504=A357)*(MATCHER!$D$5:$D$504=C357)*(MATCHER!$K$5:$K$504="Ja")*(MATCHER!$C$5:$C$504&lt;E357)*(MATCHER!$M$5:$M$504&gt;D357),0),0),"")</f>
        <v>133</v>
      </c>
      <c r="S357" s="15" t="str">
        <f>IF(R357="","",IFERROR(MATCH(1,INDEX((MATCHER!$B$5:$B$504=A357)*(MATCHER!$D$5:$D$504=C357)*(MATCHER!$K$5:$K$504="Ja")*(MATCHER!$C$5:$C$504&lt;E357)*(MATCHER!$M$5:$M$504&gt;D357)*(ROW(MATCHER!$A$5:$A$504)-ROW(MATCHER!$A$5)+1&gt;R357),0),0),""))</f>
        <v/>
      </c>
      <c r="T357" s="15" t="str">
        <f>IF(S357="","",IFERROR(MATCH(1,INDEX((MATCHER!$B$5:$B$504=A357)*(MATCHER!$D$5:$D$504=C357)*(MATCHER!$K$5:$K$504="Ja")*(MATCHER!$C$5:$C$504&lt;E357)*(MATCHER!$M$5:$M$504&gt;D357)*(ROW(MATCHER!$A$5:$A$504)-ROW(MATCHER!$A$5)+1&gt;S357),0),0),""))</f>
        <v/>
      </c>
      <c r="U357" s="15">
        <f t="shared" si="76"/>
        <v>1</v>
      </c>
      <c r="V357" s="15">
        <f>IF(OR(I357&lt;&gt;"Ja",J357=""),"",COUNTIFS($O$5:O357,O357,$U$5:U357,1))</f>
        <v>8</v>
      </c>
      <c r="W357" s="15" t="str">
        <f t="shared" si="77"/>
        <v>2027-01-23 | Ulriksdalshallen|8</v>
      </c>
      <c r="X357" s="16">
        <f t="shared" si="78"/>
        <v>0.5</v>
      </c>
      <c r="Y357" s="15">
        <f>IF(OR(I357&lt;&gt;"Ja",J357=""),0,IF(COUNTIFS($O$5:O357,O357,$I$5:I357,"Ja",$J$5:J357,"&lt;&gt;")=1,1,0))</f>
        <v>0</v>
      </c>
      <c r="Z357" s="15">
        <f>IF(OR(I357&lt;&gt;"Ja",J357=""),0,IF(COUNTIFS(O357:$O$546,O357,I357:$I$546,"Ja",J357:$J$546,"&lt;&gt;")=1,1,0))</f>
        <v>0</v>
      </c>
      <c r="AA357" s="15">
        <f t="shared" si="85"/>
        <v>1</v>
      </c>
      <c r="AB357" s="15">
        <f>IF(U357&lt;&gt;1,"",COUNTIF($U$5:U357,1))</f>
        <v>49</v>
      </c>
      <c r="AC357" s="15" t="str">
        <f t="shared" si="79"/>
        <v>2027-01-23 | Ulriksdalshallen|8</v>
      </c>
      <c r="AD357" s="15" t="str">
        <f t="shared" si="80"/>
        <v>Vanligt café</v>
      </c>
      <c r="AE357" s="15">
        <f t="shared" si="81"/>
        <v>0.49999999999999156</v>
      </c>
      <c r="AF357" t="str">
        <f>IF(T357="","",IFERROR(MATCH(1,INDEX((MATCHER!$B$5:$B$504=A357)*(MATCHER!$D$5:$D$504=C357)*(MATCHER!$K$5:$K$504="Ja")*(MATCHER!$C$5:$C$504&lt;E357)*(MATCHER!$M$5:$M$504&gt;D357)*(ROW(MATCHER!$A$5:$A$504)-ROW(MATCHER!$A$5)+1&gt;T357),0),0),""))</f>
        <v/>
      </c>
    </row>
    <row r="358" spans="1:32" ht="26">
      <c r="A358" s="42">
        <v>46410</v>
      </c>
      <c r="B358" s="43" t="s">
        <v>85</v>
      </c>
      <c r="C358" s="43" t="s">
        <v>86</v>
      </c>
      <c r="D358" s="44">
        <v>0.5</v>
      </c>
      <c r="E358" s="44">
        <v>0.52083333333333304</v>
      </c>
      <c r="F358" s="45" t="str">
        <f>IF(R358="","",HOUR(INDEX(MATCHER!$C$5:$C$504,R358))&amp;":"&amp;IF(MINUTE(INDEX(MATCHER!$C$5:$C$504,R358))&lt;10,"0","")&amp;MINUTE(INDEX(MATCHER!$C$5:$C$504,R358))&amp;" "&amp;INDEX(MATCHER!$H$5:$H$504,R358)&amp;" – "&amp;INDEX(MATCHER!$I$5:$I$504,R358))&amp;IF(S358="",""," | "&amp;HOUR(INDEX(MATCHER!$C$5:$C$504,S358))&amp;":"&amp;IF(MINUTE(INDEX(MATCHER!$C$5:$C$504,S358))&lt;10,"0","")&amp;MINUTE(INDEX(MATCHER!$C$5:$C$504,S358))&amp;" "&amp;INDEX(MATCHER!$H$5:$H$504,S358)&amp;" – "&amp;INDEX(MATCHER!$I$5:$I$504,S358))&amp;IF(T358="",""," | "&amp;HOUR(INDEX(MATCHER!$C$5:$C$504,T358))&amp;":"&amp;IF(MINUTE(INDEX(MATCHER!$C$5:$C$504,T358))&lt;10,"0","")&amp;MINUTE(INDEX(MATCHER!$C$5:$C$504,T358))&amp;" "&amp;INDEX(MATCHER!$H$5:$H$504,T358)&amp;" – "&amp;INDEX(MATCHER!$I$5:$I$504,T358))&amp;IF(AF358="",""," | "&amp;HOUR(INDEX(MATCHER!$C$5:$C$504,AF358))&amp;":"&amp;IF(MINUTE(INDEX(MATCHER!$C$5:$C$504,AF358))&lt;10,"0","")&amp;MINUTE(INDEX(MATCHER!$C$5:$C$504,AF358))&amp;" "&amp;INDEX(MATCHER!$H$5:$H$504,AF358)&amp;" – "&amp;INDEX(MATCHER!$I$5:$I$504,AF358))</f>
        <v/>
      </c>
      <c r="G358" s="45" t="str">
        <f>MID(IF(R358="","",IF(OR(INDEX(MATCHER!$J$5:$J$504,R358)=""),""," / "&amp;INDEX(MATCHER!$J$5:$J$504,R358)))&amp;IF(S358="","",IF(OR(INDEX(MATCHER!$J$5:$J$504,S358)="",INDEX(MATCHER!$J$5:$J$504,S358)=IFERROR(INDEX(MATCHER!$J$5:$J$504,R358),"")),""," / "&amp;INDEX(MATCHER!$J$5:$J$504,S358)))&amp;IF(T358="","",IF(OR(INDEX(MATCHER!$J$5:$J$504,T358)="",INDEX(MATCHER!$J$5:$J$504,T358)=IFERROR(INDEX(MATCHER!$J$5:$J$504,R358),""),INDEX(MATCHER!$J$5:$J$504,T358)=IFERROR(INDEX(MATCHER!$J$5:$J$504,S358),"")),""," / "&amp;INDEX(MATCHER!$J$5:$J$504,T358)))&amp;IF(AF358="","",IF(OR(INDEX(MATCHER!$J$5:$J$504,AF358)="",INDEX(MATCHER!$J$5:$J$504,AF358)=IFERROR(INDEX(MATCHER!$J$5:$J$504,R358),""),INDEX(MATCHER!$J$5:$J$504,AF358)=IFERROR(INDEX(MATCHER!$J$5:$J$504,S358),""),INDEX(MATCHER!$J$5:$J$504,AF358)=IFERROR(INDEX(MATCHER!$J$5:$J$504,T358),"")),""," / "&amp;INDEX(MATCHER!$J$5:$J$504,AF358))),4,1000)</f>
        <v/>
      </c>
      <c r="H358" s="45" t="str">
        <f t="shared" si="84"/>
        <v>F12</v>
      </c>
      <c r="I358" s="46" t="s">
        <v>90</v>
      </c>
      <c r="J358" s="144" t="s">
        <v>111</v>
      </c>
      <c r="K358" s="145"/>
      <c r="L358" s="157" t="s">
        <v>858</v>
      </c>
      <c r="M358" s="50" t="str">
        <f>IF(O358&lt;&gt;O357,MAX(1,MIN(AA358,ROUNDUP(SUMPRODUCT(($O$5:$O$546=O358)*($I$5:$I$546="Ja")*($E$5:$E$546-$D$5:$D$546))*24/REGLER!$B$8,0))),"")</f>
        <v/>
      </c>
      <c r="N358" s="50" t="str">
        <f t="shared" si="75"/>
        <v>Kontrollera lag</v>
      </c>
      <c r="O358" s="15" t="s">
        <v>144</v>
      </c>
      <c r="P358" s="16">
        <v>0.33333333333333298</v>
      </c>
      <c r="Q358" s="16">
        <v>0.66666666666666696</v>
      </c>
      <c r="R358" s="15" t="str">
        <f>IFERROR(MATCH(1,INDEX((MATCHER!$B$5:$B$504=A358)*(MATCHER!$D$5:$D$504=C358)*(MATCHER!$K$5:$K$504="Ja")*(MATCHER!$C$5:$C$504&lt;E358)*(MATCHER!$M$5:$M$504&gt;D358),0),0),"")</f>
        <v/>
      </c>
      <c r="S358" s="15" t="str">
        <f>IF(R358="","",IFERROR(MATCH(1,INDEX((MATCHER!$B$5:$B$504=A358)*(MATCHER!$D$5:$D$504=C358)*(MATCHER!$K$5:$K$504="Ja")*(MATCHER!$C$5:$C$504&lt;E358)*(MATCHER!$M$5:$M$504&gt;D358)*(ROW(MATCHER!$A$5:$A$504)-ROW(MATCHER!$A$5)+1&gt;R358),0),0),""))</f>
        <v/>
      </c>
      <c r="T358" s="15" t="str">
        <f>IF(S358="","",IFERROR(MATCH(1,INDEX((MATCHER!$B$5:$B$504=A358)*(MATCHER!$D$5:$D$504=C358)*(MATCHER!$K$5:$K$504="Ja")*(MATCHER!$C$5:$C$504&lt;E358)*(MATCHER!$M$5:$M$504&gt;D358)*(ROW(MATCHER!$A$5:$A$504)-ROW(MATCHER!$A$5)+1&gt;S358),0),0),""))</f>
        <v/>
      </c>
      <c r="U358" s="15">
        <f t="shared" si="76"/>
        <v>1</v>
      </c>
      <c r="V358" s="15">
        <f>IF(OR(I358&lt;&gt;"Ja",J358=""),"",COUNTIFS($O$5:O358,O358,$U$5:U358,1))</f>
        <v>9</v>
      </c>
      <c r="W358" s="15" t="str">
        <f t="shared" si="77"/>
        <v>2027-01-23 | Ulriksdalshallen|9</v>
      </c>
      <c r="X358" s="16">
        <f t="shared" si="78"/>
        <v>0.52083333333333304</v>
      </c>
      <c r="Y358" s="15">
        <f>IF(OR(I358&lt;&gt;"Ja",J358=""),0,IF(COUNTIFS($O$5:O358,O358,$I$5:I358,"Ja",$J$5:J358,"&lt;&gt;")=1,1,0))</f>
        <v>0</v>
      </c>
      <c r="Z358" s="15">
        <f>IF(OR(I358&lt;&gt;"Ja",J358=""),0,IF(COUNTIFS(O358:$O$546,O358,I358:$I$546,"Ja",J358:$J$546,"&lt;&gt;")=1,1,0))</f>
        <v>0</v>
      </c>
      <c r="AA358" s="15">
        <f t="shared" si="85"/>
        <v>1</v>
      </c>
      <c r="AB358" s="15">
        <f>IF(U358&lt;&gt;1,"",COUNTIF($U$5:U358,1))</f>
        <v>50</v>
      </c>
      <c r="AC358" s="15" t="str">
        <f t="shared" si="79"/>
        <v>2027-01-23 | Ulriksdalshallen|9</v>
      </c>
      <c r="AD358" s="15" t="str">
        <f t="shared" si="80"/>
        <v>Vanligt café</v>
      </c>
      <c r="AE358" s="15">
        <f t="shared" si="81"/>
        <v>0.49999999999999289</v>
      </c>
      <c r="AF358" t="str">
        <f>IF(T358="","",IFERROR(MATCH(1,INDEX((MATCHER!$B$5:$B$504=A358)*(MATCHER!$D$5:$D$504=C358)*(MATCHER!$K$5:$K$504="Ja")*(MATCHER!$C$5:$C$504&lt;E358)*(MATCHER!$M$5:$M$504&gt;D358)*(ROW(MATCHER!$A$5:$A$504)-ROW(MATCHER!$A$5)+1&gt;T358),0),0),""))</f>
        <v/>
      </c>
    </row>
    <row r="359" spans="1:32" ht="26">
      <c r="A359" s="42">
        <v>46410</v>
      </c>
      <c r="B359" s="43" t="s">
        <v>85</v>
      </c>
      <c r="C359" s="43" t="s">
        <v>86</v>
      </c>
      <c r="D359" s="44">
        <v>0.52083333333333304</v>
      </c>
      <c r="E359" s="44">
        <v>0.54166666666666696</v>
      </c>
      <c r="F359" s="45" t="str">
        <f>IF(R359="","",HOUR(INDEX(MATCHER!$C$5:$C$504,R359))&amp;":"&amp;IF(MINUTE(INDEX(MATCHER!$C$5:$C$504,R359))&lt;10,"0","")&amp;MINUTE(INDEX(MATCHER!$C$5:$C$504,R359))&amp;" "&amp;INDEX(MATCHER!$H$5:$H$504,R359)&amp;" – "&amp;INDEX(MATCHER!$I$5:$I$504,R359))&amp;IF(S359="",""," | "&amp;HOUR(INDEX(MATCHER!$C$5:$C$504,S359))&amp;":"&amp;IF(MINUTE(INDEX(MATCHER!$C$5:$C$504,S359))&lt;10,"0","")&amp;MINUTE(INDEX(MATCHER!$C$5:$C$504,S359))&amp;" "&amp;INDEX(MATCHER!$H$5:$H$504,S359)&amp;" – "&amp;INDEX(MATCHER!$I$5:$I$504,S359))&amp;IF(T359="",""," | "&amp;HOUR(INDEX(MATCHER!$C$5:$C$504,T359))&amp;":"&amp;IF(MINUTE(INDEX(MATCHER!$C$5:$C$504,T359))&lt;10,"0","")&amp;MINUTE(INDEX(MATCHER!$C$5:$C$504,T359))&amp;" "&amp;INDEX(MATCHER!$H$5:$H$504,T359)&amp;" – "&amp;INDEX(MATCHER!$I$5:$I$504,T359))&amp;IF(AF359="",""," | "&amp;HOUR(INDEX(MATCHER!$C$5:$C$504,AF359))&amp;":"&amp;IF(MINUTE(INDEX(MATCHER!$C$5:$C$504,AF359))&lt;10,"0","")&amp;MINUTE(INDEX(MATCHER!$C$5:$C$504,AF359))&amp;" "&amp;INDEX(MATCHER!$H$5:$H$504,AF359)&amp;" – "&amp;INDEX(MATCHER!$I$5:$I$504,AF359))</f>
        <v/>
      </c>
      <c r="G359" s="45" t="str">
        <f>MID(IF(R359="","",IF(OR(INDEX(MATCHER!$J$5:$J$504,R359)=""),""," / "&amp;INDEX(MATCHER!$J$5:$J$504,R359)))&amp;IF(S359="","",IF(OR(INDEX(MATCHER!$J$5:$J$504,S359)="",INDEX(MATCHER!$J$5:$J$504,S359)=IFERROR(INDEX(MATCHER!$J$5:$J$504,R359),"")),""," / "&amp;INDEX(MATCHER!$J$5:$J$504,S359)))&amp;IF(T359="","",IF(OR(INDEX(MATCHER!$J$5:$J$504,T359)="",INDEX(MATCHER!$J$5:$J$504,T359)=IFERROR(INDEX(MATCHER!$J$5:$J$504,R359),""),INDEX(MATCHER!$J$5:$J$504,T359)=IFERROR(INDEX(MATCHER!$J$5:$J$504,S359),"")),""," / "&amp;INDEX(MATCHER!$J$5:$J$504,T359)))&amp;IF(AF359="","",IF(OR(INDEX(MATCHER!$J$5:$J$504,AF359)="",INDEX(MATCHER!$J$5:$J$504,AF359)=IFERROR(INDEX(MATCHER!$J$5:$J$504,R359),""),INDEX(MATCHER!$J$5:$J$504,AF359)=IFERROR(INDEX(MATCHER!$J$5:$J$504,S359),""),INDEX(MATCHER!$J$5:$J$504,AF359)=IFERROR(INDEX(MATCHER!$J$5:$J$504,T359),"")),""," / "&amp;INDEX(MATCHER!$J$5:$J$504,AF359))),4,1000)</f>
        <v/>
      </c>
      <c r="H359" s="45" t="str">
        <f t="shared" si="84"/>
        <v>F12</v>
      </c>
      <c r="I359" s="46" t="s">
        <v>90</v>
      </c>
      <c r="J359" s="47" t="s">
        <v>101</v>
      </c>
      <c r="K359" s="48"/>
      <c r="L359" s="49"/>
      <c r="M359" s="50" t="str">
        <f>IF(O359&lt;&gt;O358,MAX(1,MIN(AA359,ROUNDUP(SUMPRODUCT(($O$5:$O$546=O359)*($I$5:$I$546="Ja")*($E$5:$E$546-$D$5:$D$546))*24/REGLER!$B$8,0))),"")</f>
        <v/>
      </c>
      <c r="N359" s="50" t="str">
        <f t="shared" si="75"/>
        <v>Klar</v>
      </c>
      <c r="O359" s="15" t="s">
        <v>144</v>
      </c>
      <c r="P359" s="16">
        <v>0.33333333333333298</v>
      </c>
      <c r="Q359" s="16">
        <v>0.66666666666666696</v>
      </c>
      <c r="R359" s="15" t="str">
        <f>IFERROR(MATCH(1,INDEX((MATCHER!$B$5:$B$504=A359)*(MATCHER!$D$5:$D$504=C359)*(MATCHER!$K$5:$K$504="Ja")*(MATCHER!$C$5:$C$504&lt;E359)*(MATCHER!$M$5:$M$504&gt;D359),0),0),"")</f>
        <v/>
      </c>
      <c r="S359" s="15" t="str">
        <f>IF(R359="","",IFERROR(MATCH(1,INDEX((MATCHER!$B$5:$B$504=A359)*(MATCHER!$D$5:$D$504=C359)*(MATCHER!$K$5:$K$504="Ja")*(MATCHER!$C$5:$C$504&lt;E359)*(MATCHER!$M$5:$M$504&gt;D359)*(ROW(MATCHER!$A$5:$A$504)-ROW(MATCHER!$A$5)+1&gt;R359),0),0),""))</f>
        <v/>
      </c>
      <c r="T359" s="15" t="str">
        <f>IF(S359="","",IFERROR(MATCH(1,INDEX((MATCHER!$B$5:$B$504=A359)*(MATCHER!$D$5:$D$504=C359)*(MATCHER!$K$5:$K$504="Ja")*(MATCHER!$C$5:$C$504&lt;E359)*(MATCHER!$M$5:$M$504&gt;D359)*(ROW(MATCHER!$A$5:$A$504)-ROW(MATCHER!$A$5)+1&gt;S359),0),0),""))</f>
        <v/>
      </c>
      <c r="U359" s="15">
        <f t="shared" si="76"/>
        <v>1</v>
      </c>
      <c r="V359" s="15">
        <f>IF(OR(I359&lt;&gt;"Ja",J359=""),"",COUNTIFS($O$5:O359,O359,$U$5:U359,1))</f>
        <v>10</v>
      </c>
      <c r="W359" s="15" t="str">
        <f t="shared" si="77"/>
        <v>2027-01-23 | Ulriksdalshallen|10</v>
      </c>
      <c r="X359" s="16" t="str">
        <f t="shared" si="78"/>
        <v/>
      </c>
      <c r="Y359" s="15">
        <f>IF(OR(I359&lt;&gt;"Ja",J359=""),0,IF(COUNTIFS($O$5:O359,O359,$I$5:I359,"Ja",$J$5:J359,"&lt;&gt;")=1,1,0))</f>
        <v>0</v>
      </c>
      <c r="Z359" s="15">
        <f>IF(OR(I359&lt;&gt;"Ja",J359=""),0,IF(COUNTIFS(O359:$O$546,O359,I359:$I$546,"Ja",J359:$J$546,"&lt;&gt;")=1,1,0))</f>
        <v>0</v>
      </c>
      <c r="AA359" s="15">
        <f t="shared" si="85"/>
        <v>1</v>
      </c>
      <c r="AB359" s="15">
        <f>IF(U359&lt;&gt;1,"",COUNTIF($U$5:U359,1))</f>
        <v>51</v>
      </c>
      <c r="AC359" s="15" t="str">
        <f t="shared" si="79"/>
        <v/>
      </c>
      <c r="AD359" s="15" t="str">
        <f t="shared" si="80"/>
        <v>Vanligt café</v>
      </c>
      <c r="AE359" s="15">
        <f t="shared" si="81"/>
        <v>3.5000000000000142</v>
      </c>
      <c r="AF359" t="str">
        <f>IF(T359="","",IFERROR(MATCH(1,INDEX((MATCHER!$B$5:$B$504=A359)*(MATCHER!$D$5:$D$504=C359)*(MATCHER!$K$5:$K$504="Ja")*(MATCHER!$C$5:$C$504&lt;E359)*(MATCHER!$M$5:$M$504&gt;D359)*(ROW(MATCHER!$A$5:$A$504)-ROW(MATCHER!$A$5)+1&gt;T359),0),0),""))</f>
        <v/>
      </c>
    </row>
    <row r="360" spans="1:32" ht="26">
      <c r="A360" s="42">
        <v>46410</v>
      </c>
      <c r="B360" s="43" t="s">
        <v>85</v>
      </c>
      <c r="C360" s="43" t="s">
        <v>86</v>
      </c>
      <c r="D360" s="44">
        <v>0.54166666666666696</v>
      </c>
      <c r="E360" s="44">
        <v>0.5625</v>
      </c>
      <c r="F360" s="45" t="str">
        <f>IF(R360="","",HOUR(INDEX(MATCHER!$C$5:$C$504,R360))&amp;":"&amp;IF(MINUTE(INDEX(MATCHER!$C$5:$C$504,R360))&lt;10,"0","")&amp;MINUTE(INDEX(MATCHER!$C$5:$C$504,R360))&amp;" "&amp;INDEX(MATCHER!$H$5:$H$504,R360)&amp;" – "&amp;INDEX(MATCHER!$I$5:$I$504,R360))&amp;IF(S360="",""," | "&amp;HOUR(INDEX(MATCHER!$C$5:$C$504,S360))&amp;":"&amp;IF(MINUTE(INDEX(MATCHER!$C$5:$C$504,S360))&lt;10,"0","")&amp;MINUTE(INDEX(MATCHER!$C$5:$C$504,S360))&amp;" "&amp;INDEX(MATCHER!$H$5:$H$504,S360)&amp;" – "&amp;INDEX(MATCHER!$I$5:$I$504,S360))&amp;IF(T360="",""," | "&amp;HOUR(INDEX(MATCHER!$C$5:$C$504,T360))&amp;":"&amp;IF(MINUTE(INDEX(MATCHER!$C$5:$C$504,T360))&lt;10,"0","")&amp;MINUTE(INDEX(MATCHER!$C$5:$C$504,T360))&amp;" "&amp;INDEX(MATCHER!$H$5:$H$504,T360)&amp;" – "&amp;INDEX(MATCHER!$I$5:$I$504,T360))&amp;IF(AF360="",""," | "&amp;HOUR(INDEX(MATCHER!$C$5:$C$504,AF360))&amp;":"&amp;IF(MINUTE(INDEX(MATCHER!$C$5:$C$504,AF360))&lt;10,"0","")&amp;MINUTE(INDEX(MATCHER!$C$5:$C$504,AF360))&amp;" "&amp;INDEX(MATCHER!$H$5:$H$504,AF360)&amp;" – "&amp;INDEX(MATCHER!$I$5:$I$504,AF360))</f>
        <v>13:10 AIK – Uppsala HK Vit</v>
      </c>
      <c r="G360" s="45" t="str">
        <f>MID(IF(R360="","",IF(OR(INDEX(MATCHER!$J$5:$J$504,R360)=""),""," / "&amp;INDEX(MATCHER!$J$5:$J$504,R360)))&amp;IF(S360="","",IF(OR(INDEX(MATCHER!$J$5:$J$504,S360)="",INDEX(MATCHER!$J$5:$J$504,S360)=IFERROR(INDEX(MATCHER!$J$5:$J$504,R360),"")),""," / "&amp;INDEX(MATCHER!$J$5:$J$504,S360)))&amp;IF(T360="","",IF(OR(INDEX(MATCHER!$J$5:$J$504,T360)="",INDEX(MATCHER!$J$5:$J$504,T360)=IFERROR(INDEX(MATCHER!$J$5:$J$504,R360),""),INDEX(MATCHER!$J$5:$J$504,T360)=IFERROR(INDEX(MATCHER!$J$5:$J$504,S360),"")),""," / "&amp;INDEX(MATCHER!$J$5:$J$504,T360)))&amp;IF(AF360="","",IF(OR(INDEX(MATCHER!$J$5:$J$504,AF360)="",INDEX(MATCHER!$J$5:$J$504,AF360)=IFERROR(INDEX(MATCHER!$J$5:$J$504,R360),""),INDEX(MATCHER!$J$5:$J$504,AF360)=IFERROR(INDEX(MATCHER!$J$5:$J$504,S360),""),INDEX(MATCHER!$J$5:$J$504,AF360)=IFERROR(INDEX(MATCHER!$J$5:$J$504,T360),"")),""," / "&amp;INDEX(MATCHER!$J$5:$J$504,AF360))),4,1000)</f>
        <v>F12</v>
      </c>
      <c r="H360" s="45" t="str">
        <f t="shared" si="84"/>
        <v>F12</v>
      </c>
      <c r="I360" s="46" t="s">
        <v>90</v>
      </c>
      <c r="J360" s="47" t="s">
        <v>101</v>
      </c>
      <c r="K360" s="48"/>
      <c r="L360" s="49"/>
      <c r="M360" s="50" t="str">
        <f>IF(O360&lt;&gt;O359,MAX(1,MIN(AA360,ROUNDUP(SUMPRODUCT(($O$5:$O$546=O360)*($I$5:$I$546="Ja")*($E$5:$E$546-$D$5:$D$546))*24/REGLER!$B$8,0))),"")</f>
        <v/>
      </c>
      <c r="N360" s="50" t="str">
        <f t="shared" si="75"/>
        <v>Klar</v>
      </c>
      <c r="O360" s="15" t="s">
        <v>144</v>
      </c>
      <c r="P360" s="16">
        <v>0.33333333333333298</v>
      </c>
      <c r="Q360" s="16">
        <v>0.66666666666666696</v>
      </c>
      <c r="R360" s="15">
        <f>IFERROR(MATCH(1,INDEX((MATCHER!$B$5:$B$504=A360)*(MATCHER!$D$5:$D$504=C360)*(MATCHER!$K$5:$K$504="Ja")*(MATCHER!$C$5:$C$504&lt;E360)*(MATCHER!$M$5:$M$504&gt;D360),0),0),"")</f>
        <v>134</v>
      </c>
      <c r="S360" s="15" t="str">
        <f>IF(R360="","",IFERROR(MATCH(1,INDEX((MATCHER!$B$5:$B$504=A360)*(MATCHER!$D$5:$D$504=C360)*(MATCHER!$K$5:$K$504="Ja")*(MATCHER!$C$5:$C$504&lt;E360)*(MATCHER!$M$5:$M$504&gt;D360)*(ROW(MATCHER!$A$5:$A$504)-ROW(MATCHER!$A$5)+1&gt;R360),0),0),""))</f>
        <v/>
      </c>
      <c r="T360" s="15" t="str">
        <f>IF(S360="","",IFERROR(MATCH(1,INDEX((MATCHER!$B$5:$B$504=A360)*(MATCHER!$D$5:$D$504=C360)*(MATCHER!$K$5:$K$504="Ja")*(MATCHER!$C$5:$C$504&lt;E360)*(MATCHER!$M$5:$M$504&gt;D360)*(ROW(MATCHER!$A$5:$A$504)-ROW(MATCHER!$A$5)+1&gt;S360),0),0),""))</f>
        <v/>
      </c>
      <c r="U360" s="15">
        <f t="shared" si="76"/>
        <v>0</v>
      </c>
      <c r="V360" s="15">
        <f>IF(OR(I360&lt;&gt;"Ja",J360=""),"",COUNTIFS($O$5:O360,O360,$U$5:U360,1))</f>
        <v>10</v>
      </c>
      <c r="W360" s="15" t="str">
        <f t="shared" si="77"/>
        <v>2027-01-23 | Ulriksdalshallen|10</v>
      </c>
      <c r="X360" s="16" t="str">
        <f t="shared" si="78"/>
        <v/>
      </c>
      <c r="Y360" s="15">
        <f>IF(OR(I360&lt;&gt;"Ja",J360=""),0,IF(COUNTIFS($O$5:O360,O360,$I$5:I360,"Ja",$J$5:J360,"&lt;&gt;")=1,1,0))</f>
        <v>0</v>
      </c>
      <c r="Z360" s="15">
        <f>IF(OR(I360&lt;&gt;"Ja",J360=""),0,IF(COUNTIFS(O360:$O$546,O360,I360:$I$546,"Ja",J360:$J$546,"&lt;&gt;")=1,1,0))</f>
        <v>0</v>
      </c>
      <c r="AA360" s="15">
        <f t="shared" si="85"/>
        <v>1</v>
      </c>
      <c r="AB360" s="15" t="str">
        <f>IF(U360&lt;&gt;1,"",COUNTIF($U$5:U360,1))</f>
        <v/>
      </c>
      <c r="AC360" s="15" t="str">
        <f t="shared" si="79"/>
        <v/>
      </c>
      <c r="AD360" s="15" t="str">
        <f t="shared" si="80"/>
        <v>Vanligt café</v>
      </c>
      <c r="AE360" s="15" t="str">
        <f t="shared" si="81"/>
        <v/>
      </c>
      <c r="AF360" t="str">
        <f>IF(T360="","",IFERROR(MATCH(1,INDEX((MATCHER!$B$5:$B$504=A360)*(MATCHER!$D$5:$D$504=C360)*(MATCHER!$K$5:$K$504="Ja")*(MATCHER!$C$5:$C$504&lt;E360)*(MATCHER!$M$5:$M$504&gt;D360)*(ROW(MATCHER!$A$5:$A$504)-ROW(MATCHER!$A$5)+1&gt;T360),0),0),""))</f>
        <v/>
      </c>
    </row>
    <row r="361" spans="1:32" ht="26">
      <c r="A361" s="42">
        <v>46410</v>
      </c>
      <c r="B361" s="43" t="s">
        <v>85</v>
      </c>
      <c r="C361" s="43" t="s">
        <v>86</v>
      </c>
      <c r="D361" s="44">
        <v>0.5625</v>
      </c>
      <c r="E361" s="44">
        <v>0.58333333333333304</v>
      </c>
      <c r="F361" s="45" t="str">
        <f>IF(R361="","",HOUR(INDEX(MATCHER!$C$5:$C$504,R361))&amp;":"&amp;IF(MINUTE(INDEX(MATCHER!$C$5:$C$504,R361))&lt;10,"0","")&amp;MINUTE(INDEX(MATCHER!$C$5:$C$504,R361))&amp;" "&amp;INDEX(MATCHER!$H$5:$H$504,R361)&amp;" – "&amp;INDEX(MATCHER!$I$5:$I$504,R361))&amp;IF(S361="",""," | "&amp;HOUR(INDEX(MATCHER!$C$5:$C$504,S361))&amp;":"&amp;IF(MINUTE(INDEX(MATCHER!$C$5:$C$504,S361))&lt;10,"0","")&amp;MINUTE(INDEX(MATCHER!$C$5:$C$504,S361))&amp;" "&amp;INDEX(MATCHER!$H$5:$H$504,S361)&amp;" – "&amp;INDEX(MATCHER!$I$5:$I$504,S361))&amp;IF(T361="",""," | "&amp;HOUR(INDEX(MATCHER!$C$5:$C$504,T361))&amp;":"&amp;IF(MINUTE(INDEX(MATCHER!$C$5:$C$504,T361))&lt;10,"0","")&amp;MINUTE(INDEX(MATCHER!$C$5:$C$504,T361))&amp;" "&amp;INDEX(MATCHER!$H$5:$H$504,T361)&amp;" – "&amp;INDEX(MATCHER!$I$5:$I$504,T361))&amp;IF(AF361="",""," | "&amp;HOUR(INDEX(MATCHER!$C$5:$C$504,AF361))&amp;":"&amp;IF(MINUTE(INDEX(MATCHER!$C$5:$C$504,AF361))&lt;10,"0","")&amp;MINUTE(INDEX(MATCHER!$C$5:$C$504,AF361))&amp;" "&amp;INDEX(MATCHER!$H$5:$H$504,AF361)&amp;" – "&amp;INDEX(MATCHER!$I$5:$I$504,AF361))</f>
        <v>13:10 AIK – Uppsala HK Vit</v>
      </c>
      <c r="G361" s="45" t="str">
        <f>MID(IF(R361="","",IF(OR(INDEX(MATCHER!$J$5:$J$504,R361)=""),""," / "&amp;INDEX(MATCHER!$J$5:$J$504,R361)))&amp;IF(S361="","",IF(OR(INDEX(MATCHER!$J$5:$J$504,S361)="",INDEX(MATCHER!$J$5:$J$504,S361)=IFERROR(INDEX(MATCHER!$J$5:$J$504,R361),"")),""," / "&amp;INDEX(MATCHER!$J$5:$J$504,S361)))&amp;IF(T361="","",IF(OR(INDEX(MATCHER!$J$5:$J$504,T361)="",INDEX(MATCHER!$J$5:$J$504,T361)=IFERROR(INDEX(MATCHER!$J$5:$J$504,R361),""),INDEX(MATCHER!$J$5:$J$504,T361)=IFERROR(INDEX(MATCHER!$J$5:$J$504,S361),"")),""," / "&amp;INDEX(MATCHER!$J$5:$J$504,T361)))&amp;IF(AF361="","",IF(OR(INDEX(MATCHER!$J$5:$J$504,AF361)="",INDEX(MATCHER!$J$5:$J$504,AF361)=IFERROR(INDEX(MATCHER!$J$5:$J$504,R361),""),INDEX(MATCHER!$J$5:$J$504,AF361)=IFERROR(INDEX(MATCHER!$J$5:$J$504,S361),""),INDEX(MATCHER!$J$5:$J$504,AF361)=IFERROR(INDEX(MATCHER!$J$5:$J$504,T361),"")),""," / "&amp;INDEX(MATCHER!$J$5:$J$504,AF361))),4,1000)</f>
        <v>F12</v>
      </c>
      <c r="H361" s="45" t="str">
        <f t="shared" si="84"/>
        <v>F12</v>
      </c>
      <c r="I361" s="46" t="s">
        <v>90</v>
      </c>
      <c r="J361" s="47" t="s">
        <v>101</v>
      </c>
      <c r="K361" s="48"/>
      <c r="L361" s="49"/>
      <c r="M361" s="50" t="str">
        <f>IF(O361&lt;&gt;O360,MAX(1,MIN(AA361,ROUNDUP(SUMPRODUCT(($O$5:$O$546=O361)*($I$5:$I$546="Ja")*($E$5:$E$546-$D$5:$D$546))*24/REGLER!$B$8,0))),"")</f>
        <v/>
      </c>
      <c r="N361" s="50" t="str">
        <f t="shared" si="75"/>
        <v>Klar</v>
      </c>
      <c r="O361" s="15" t="s">
        <v>144</v>
      </c>
      <c r="P361" s="16">
        <v>0.33333333333333298</v>
      </c>
      <c r="Q361" s="16">
        <v>0.66666666666666696</v>
      </c>
      <c r="R361" s="15">
        <f>IFERROR(MATCH(1,INDEX((MATCHER!$B$5:$B$504=A361)*(MATCHER!$D$5:$D$504=C361)*(MATCHER!$K$5:$K$504="Ja")*(MATCHER!$C$5:$C$504&lt;E361)*(MATCHER!$M$5:$M$504&gt;D361),0),0),"")</f>
        <v>134</v>
      </c>
      <c r="S361" s="15" t="str">
        <f>IF(R361="","",IFERROR(MATCH(1,INDEX((MATCHER!$B$5:$B$504=A361)*(MATCHER!$D$5:$D$504=C361)*(MATCHER!$K$5:$K$504="Ja")*(MATCHER!$C$5:$C$504&lt;E361)*(MATCHER!$M$5:$M$504&gt;D361)*(ROW(MATCHER!$A$5:$A$504)-ROW(MATCHER!$A$5)+1&gt;R361),0),0),""))</f>
        <v/>
      </c>
      <c r="T361" s="15" t="str">
        <f>IF(S361="","",IFERROR(MATCH(1,INDEX((MATCHER!$B$5:$B$504=A361)*(MATCHER!$D$5:$D$504=C361)*(MATCHER!$K$5:$K$504="Ja")*(MATCHER!$C$5:$C$504&lt;E361)*(MATCHER!$M$5:$M$504&gt;D361)*(ROW(MATCHER!$A$5:$A$504)-ROW(MATCHER!$A$5)+1&gt;S361),0),0),""))</f>
        <v/>
      </c>
      <c r="U361" s="15">
        <f t="shared" si="76"/>
        <v>0</v>
      </c>
      <c r="V361" s="15">
        <f>IF(OR(I361&lt;&gt;"Ja",J361=""),"",COUNTIFS($O$5:O361,O361,$U$5:U361,1))</f>
        <v>10</v>
      </c>
      <c r="W361" s="15" t="str">
        <f t="shared" si="77"/>
        <v>2027-01-23 | Ulriksdalshallen|10</v>
      </c>
      <c r="X361" s="16" t="str">
        <f t="shared" si="78"/>
        <v/>
      </c>
      <c r="Y361" s="15">
        <f>IF(OR(I361&lt;&gt;"Ja",J361=""),0,IF(COUNTIFS($O$5:O361,O361,$I$5:I361,"Ja",$J$5:J361,"&lt;&gt;")=1,1,0))</f>
        <v>0</v>
      </c>
      <c r="Z361" s="15">
        <f>IF(OR(I361&lt;&gt;"Ja",J361=""),0,IF(COUNTIFS(O361:$O$546,O361,I361:$I$546,"Ja",J361:$J$546,"&lt;&gt;")=1,1,0))</f>
        <v>0</v>
      </c>
      <c r="AA361" s="15">
        <f t="shared" si="85"/>
        <v>1</v>
      </c>
      <c r="AB361" s="15" t="str">
        <f>IF(U361&lt;&gt;1,"",COUNTIF($U$5:U361,1))</f>
        <v/>
      </c>
      <c r="AC361" s="15" t="str">
        <f t="shared" si="79"/>
        <v/>
      </c>
      <c r="AD361" s="15" t="str">
        <f t="shared" si="80"/>
        <v>Vanligt café</v>
      </c>
      <c r="AE361" s="15" t="str">
        <f t="shared" si="81"/>
        <v/>
      </c>
      <c r="AF361" t="str">
        <f>IF(T361="","",IFERROR(MATCH(1,INDEX((MATCHER!$B$5:$B$504=A361)*(MATCHER!$D$5:$D$504=C361)*(MATCHER!$K$5:$K$504="Ja")*(MATCHER!$C$5:$C$504&lt;E361)*(MATCHER!$M$5:$M$504&gt;D361)*(ROW(MATCHER!$A$5:$A$504)-ROW(MATCHER!$A$5)+1&gt;T361),0),0),""))</f>
        <v/>
      </c>
    </row>
    <row r="362" spans="1:32" ht="26">
      <c r="A362" s="42">
        <v>46410</v>
      </c>
      <c r="B362" s="43" t="s">
        <v>85</v>
      </c>
      <c r="C362" s="43" t="s">
        <v>86</v>
      </c>
      <c r="D362" s="44">
        <v>0.58333333333333304</v>
      </c>
      <c r="E362" s="44">
        <v>0.60416666666666696</v>
      </c>
      <c r="F362" s="45" t="str">
        <f>IF(R362="","",HOUR(INDEX(MATCHER!$C$5:$C$504,R362))&amp;":"&amp;IF(MINUTE(INDEX(MATCHER!$C$5:$C$504,R362))&lt;10,"0","")&amp;MINUTE(INDEX(MATCHER!$C$5:$C$504,R362))&amp;" "&amp;INDEX(MATCHER!$H$5:$H$504,R362)&amp;" – "&amp;INDEX(MATCHER!$I$5:$I$504,R362))&amp;IF(S362="",""," | "&amp;HOUR(INDEX(MATCHER!$C$5:$C$504,S362))&amp;":"&amp;IF(MINUTE(INDEX(MATCHER!$C$5:$C$504,S362))&lt;10,"0","")&amp;MINUTE(INDEX(MATCHER!$C$5:$C$504,S362))&amp;" "&amp;INDEX(MATCHER!$H$5:$H$504,S362)&amp;" – "&amp;INDEX(MATCHER!$I$5:$I$504,S362))&amp;IF(T362="",""," | "&amp;HOUR(INDEX(MATCHER!$C$5:$C$504,T362))&amp;":"&amp;IF(MINUTE(INDEX(MATCHER!$C$5:$C$504,T362))&lt;10,"0","")&amp;MINUTE(INDEX(MATCHER!$C$5:$C$504,T362))&amp;" "&amp;INDEX(MATCHER!$H$5:$H$504,T362)&amp;" – "&amp;INDEX(MATCHER!$I$5:$I$504,T362))&amp;IF(AF362="",""," | "&amp;HOUR(INDEX(MATCHER!$C$5:$C$504,AF362))&amp;":"&amp;IF(MINUTE(INDEX(MATCHER!$C$5:$C$504,AF362))&lt;10,"0","")&amp;MINUTE(INDEX(MATCHER!$C$5:$C$504,AF362))&amp;" "&amp;INDEX(MATCHER!$H$5:$H$504,AF362)&amp;" – "&amp;INDEX(MATCHER!$I$5:$I$504,AF362))</f>
        <v>14:10 Uppsala HK Vit – Åkersberga HK Röd</v>
      </c>
      <c r="G362" s="45" t="str">
        <f>MID(IF(R362="","",IF(OR(INDEX(MATCHER!$J$5:$J$504,R362)=""),""," / "&amp;INDEX(MATCHER!$J$5:$J$504,R362)))&amp;IF(S362="","",IF(OR(INDEX(MATCHER!$J$5:$J$504,S362)="",INDEX(MATCHER!$J$5:$J$504,S362)=IFERROR(INDEX(MATCHER!$J$5:$J$504,R362),"")),""," / "&amp;INDEX(MATCHER!$J$5:$J$504,S362)))&amp;IF(T362="","",IF(OR(INDEX(MATCHER!$J$5:$J$504,T362)="",INDEX(MATCHER!$J$5:$J$504,T362)=IFERROR(INDEX(MATCHER!$J$5:$J$504,R362),""),INDEX(MATCHER!$J$5:$J$504,T362)=IFERROR(INDEX(MATCHER!$J$5:$J$504,S362),"")),""," / "&amp;INDEX(MATCHER!$J$5:$J$504,T362)))&amp;IF(AF362="","",IF(OR(INDEX(MATCHER!$J$5:$J$504,AF362)="",INDEX(MATCHER!$J$5:$J$504,AF362)=IFERROR(INDEX(MATCHER!$J$5:$J$504,R362),""),INDEX(MATCHER!$J$5:$J$504,AF362)=IFERROR(INDEX(MATCHER!$J$5:$J$504,S362),""),INDEX(MATCHER!$J$5:$J$504,AF362)=IFERROR(INDEX(MATCHER!$J$5:$J$504,T362),"")),""," / "&amp;INDEX(MATCHER!$J$5:$J$504,AF362))),4,1000)</f>
        <v/>
      </c>
      <c r="H362" s="45" t="str">
        <f t="shared" si="84"/>
        <v>F12</v>
      </c>
      <c r="I362" s="46" t="s">
        <v>90</v>
      </c>
      <c r="J362" s="47" t="s">
        <v>101</v>
      </c>
      <c r="K362" s="48"/>
      <c r="L362" s="49"/>
      <c r="M362" s="50" t="str">
        <f>IF(O362&lt;&gt;O361,MAX(1,MIN(AA362,ROUNDUP(SUMPRODUCT(($O$5:$O$546=O362)*($I$5:$I$546="Ja")*($E$5:$E$546-$D$5:$D$546))*24/REGLER!$B$8,0))),"")</f>
        <v/>
      </c>
      <c r="N362" s="50" t="str">
        <f t="shared" si="75"/>
        <v>Klar</v>
      </c>
      <c r="O362" s="15" t="s">
        <v>144</v>
      </c>
      <c r="P362" s="16">
        <v>0.33333333333333298</v>
      </c>
      <c r="Q362" s="16">
        <v>0.66666666666666696</v>
      </c>
      <c r="R362" s="15">
        <f>IFERROR(MATCH(1,INDEX((MATCHER!$B$5:$B$504=A362)*(MATCHER!$D$5:$D$504=C362)*(MATCHER!$K$5:$K$504="Ja")*(MATCHER!$C$5:$C$504&lt;E362)*(MATCHER!$M$5:$M$504&gt;D362),0),0),"")</f>
        <v>135</v>
      </c>
      <c r="S362" s="15" t="str">
        <f>IF(R362="","",IFERROR(MATCH(1,INDEX((MATCHER!$B$5:$B$504=A362)*(MATCHER!$D$5:$D$504=C362)*(MATCHER!$K$5:$K$504="Ja")*(MATCHER!$C$5:$C$504&lt;E362)*(MATCHER!$M$5:$M$504&gt;D362)*(ROW(MATCHER!$A$5:$A$504)-ROW(MATCHER!$A$5)+1&gt;R362),0),0),""))</f>
        <v/>
      </c>
      <c r="T362" s="15" t="str">
        <f>IF(S362="","",IFERROR(MATCH(1,INDEX((MATCHER!$B$5:$B$504=A362)*(MATCHER!$D$5:$D$504=C362)*(MATCHER!$K$5:$K$504="Ja")*(MATCHER!$C$5:$C$504&lt;E362)*(MATCHER!$M$5:$M$504&gt;D362)*(ROW(MATCHER!$A$5:$A$504)-ROW(MATCHER!$A$5)+1&gt;S362),0),0),""))</f>
        <v/>
      </c>
      <c r="U362" s="15">
        <f t="shared" si="76"/>
        <v>0</v>
      </c>
      <c r="V362" s="15">
        <f>IF(OR(I362&lt;&gt;"Ja",J362=""),"",COUNTIFS($O$5:O362,O362,$U$5:U362,1))</f>
        <v>10</v>
      </c>
      <c r="W362" s="15" t="str">
        <f t="shared" si="77"/>
        <v>2027-01-23 | Ulriksdalshallen|10</v>
      </c>
      <c r="X362" s="16" t="str">
        <f t="shared" si="78"/>
        <v/>
      </c>
      <c r="Y362" s="15">
        <f>IF(OR(I362&lt;&gt;"Ja",J362=""),0,IF(COUNTIFS($O$5:O362,O362,$I$5:I362,"Ja",$J$5:J362,"&lt;&gt;")=1,1,0))</f>
        <v>0</v>
      </c>
      <c r="Z362" s="15">
        <f>IF(OR(I362&lt;&gt;"Ja",J362=""),0,IF(COUNTIFS(O362:$O$546,O362,I362:$I$546,"Ja",J362:$J$546,"&lt;&gt;")=1,1,0))</f>
        <v>0</v>
      </c>
      <c r="AA362" s="15">
        <f t="shared" si="85"/>
        <v>1</v>
      </c>
      <c r="AB362" s="15" t="str">
        <f>IF(U362&lt;&gt;1,"",COUNTIF($U$5:U362,1))</f>
        <v/>
      </c>
      <c r="AC362" s="15" t="str">
        <f t="shared" si="79"/>
        <v/>
      </c>
      <c r="AD362" s="15" t="str">
        <f t="shared" si="80"/>
        <v>Vanligt café</v>
      </c>
      <c r="AE362" s="15" t="str">
        <f t="shared" si="81"/>
        <v/>
      </c>
      <c r="AF362" t="str">
        <f>IF(T362="","",IFERROR(MATCH(1,INDEX((MATCHER!$B$5:$B$504=A362)*(MATCHER!$D$5:$D$504=C362)*(MATCHER!$K$5:$K$504="Ja")*(MATCHER!$C$5:$C$504&lt;E362)*(MATCHER!$M$5:$M$504&gt;D362)*(ROW(MATCHER!$A$5:$A$504)-ROW(MATCHER!$A$5)+1&gt;T362),0),0),""))</f>
        <v/>
      </c>
    </row>
    <row r="363" spans="1:32" ht="26">
      <c r="A363" s="42">
        <v>46410</v>
      </c>
      <c r="B363" s="43" t="s">
        <v>85</v>
      </c>
      <c r="C363" s="43" t="s">
        <v>86</v>
      </c>
      <c r="D363" s="44">
        <v>0.60416666666666696</v>
      </c>
      <c r="E363" s="44">
        <v>0.625</v>
      </c>
      <c r="F363" s="45" t="str">
        <f>IF(R363="","",HOUR(INDEX(MATCHER!$C$5:$C$504,R363))&amp;":"&amp;IF(MINUTE(INDEX(MATCHER!$C$5:$C$504,R363))&lt;10,"0","")&amp;MINUTE(INDEX(MATCHER!$C$5:$C$504,R363))&amp;" "&amp;INDEX(MATCHER!$H$5:$H$504,R363)&amp;" – "&amp;INDEX(MATCHER!$I$5:$I$504,R363))&amp;IF(S363="",""," | "&amp;HOUR(INDEX(MATCHER!$C$5:$C$504,S363))&amp;":"&amp;IF(MINUTE(INDEX(MATCHER!$C$5:$C$504,S363))&lt;10,"0","")&amp;MINUTE(INDEX(MATCHER!$C$5:$C$504,S363))&amp;" "&amp;INDEX(MATCHER!$H$5:$H$504,S363)&amp;" – "&amp;INDEX(MATCHER!$I$5:$I$504,S363))&amp;IF(T363="",""," | "&amp;HOUR(INDEX(MATCHER!$C$5:$C$504,T363))&amp;":"&amp;IF(MINUTE(INDEX(MATCHER!$C$5:$C$504,T363))&lt;10,"0","")&amp;MINUTE(INDEX(MATCHER!$C$5:$C$504,T363))&amp;" "&amp;INDEX(MATCHER!$H$5:$H$504,T363)&amp;" – "&amp;INDEX(MATCHER!$I$5:$I$504,T363))&amp;IF(AF363="",""," | "&amp;HOUR(INDEX(MATCHER!$C$5:$C$504,AF363))&amp;":"&amp;IF(MINUTE(INDEX(MATCHER!$C$5:$C$504,AF363))&lt;10,"0","")&amp;MINUTE(INDEX(MATCHER!$C$5:$C$504,AF363))&amp;" "&amp;INDEX(MATCHER!$H$5:$H$504,AF363)&amp;" – "&amp;INDEX(MATCHER!$I$5:$I$504,AF363))</f>
        <v>14:10 Uppsala HK Vit – Åkersberga HK Röd</v>
      </c>
      <c r="G363" s="45" t="str">
        <f>MID(IF(R363="","",IF(OR(INDEX(MATCHER!$J$5:$J$504,R363)=""),""," / "&amp;INDEX(MATCHER!$J$5:$J$504,R363)))&amp;IF(S363="","",IF(OR(INDEX(MATCHER!$J$5:$J$504,S363)="",INDEX(MATCHER!$J$5:$J$504,S363)=IFERROR(INDEX(MATCHER!$J$5:$J$504,R363),"")),""," / "&amp;INDEX(MATCHER!$J$5:$J$504,S363)))&amp;IF(T363="","",IF(OR(INDEX(MATCHER!$J$5:$J$504,T363)="",INDEX(MATCHER!$J$5:$J$504,T363)=IFERROR(INDEX(MATCHER!$J$5:$J$504,R363),""),INDEX(MATCHER!$J$5:$J$504,T363)=IFERROR(INDEX(MATCHER!$J$5:$J$504,S363),"")),""," / "&amp;INDEX(MATCHER!$J$5:$J$504,T363)))&amp;IF(AF363="","",IF(OR(INDEX(MATCHER!$J$5:$J$504,AF363)="",INDEX(MATCHER!$J$5:$J$504,AF363)=IFERROR(INDEX(MATCHER!$J$5:$J$504,R363),""),INDEX(MATCHER!$J$5:$J$504,AF363)=IFERROR(INDEX(MATCHER!$J$5:$J$504,S363),""),INDEX(MATCHER!$J$5:$J$504,AF363)=IFERROR(INDEX(MATCHER!$J$5:$J$504,T363),"")),""," / "&amp;INDEX(MATCHER!$J$5:$J$504,AF363))),4,1000)</f>
        <v/>
      </c>
      <c r="H363" s="45" t="str">
        <f t="shared" si="84"/>
        <v>F12</v>
      </c>
      <c r="I363" s="46" t="s">
        <v>90</v>
      </c>
      <c r="J363" s="47" t="s">
        <v>101</v>
      </c>
      <c r="K363" s="48"/>
      <c r="L363" s="49"/>
      <c r="M363" s="50" t="str">
        <f>IF(O363&lt;&gt;O362,MAX(1,MIN(AA363,ROUNDUP(SUMPRODUCT(($O$5:$O$546=O363)*($I$5:$I$546="Ja")*($E$5:$E$546-$D$5:$D$546))*24/REGLER!$B$8,0))),"")</f>
        <v/>
      </c>
      <c r="N363" s="50" t="str">
        <f t="shared" si="75"/>
        <v>Klar</v>
      </c>
      <c r="O363" s="15" t="s">
        <v>144</v>
      </c>
      <c r="P363" s="16">
        <v>0.33333333333333298</v>
      </c>
      <c r="Q363" s="16">
        <v>0.66666666666666696</v>
      </c>
      <c r="R363" s="15">
        <f>IFERROR(MATCH(1,INDEX((MATCHER!$B$5:$B$504=A363)*(MATCHER!$D$5:$D$504=C363)*(MATCHER!$K$5:$K$504="Ja")*(MATCHER!$C$5:$C$504&lt;E363)*(MATCHER!$M$5:$M$504&gt;D363),0),0),"")</f>
        <v>135</v>
      </c>
      <c r="S363" s="15" t="str">
        <f>IF(R363="","",IFERROR(MATCH(1,INDEX((MATCHER!$B$5:$B$504=A363)*(MATCHER!$D$5:$D$504=C363)*(MATCHER!$K$5:$K$504="Ja")*(MATCHER!$C$5:$C$504&lt;E363)*(MATCHER!$M$5:$M$504&gt;D363)*(ROW(MATCHER!$A$5:$A$504)-ROW(MATCHER!$A$5)+1&gt;R363),0),0),""))</f>
        <v/>
      </c>
      <c r="T363" s="15" t="str">
        <f>IF(S363="","",IFERROR(MATCH(1,INDEX((MATCHER!$B$5:$B$504=A363)*(MATCHER!$D$5:$D$504=C363)*(MATCHER!$K$5:$K$504="Ja")*(MATCHER!$C$5:$C$504&lt;E363)*(MATCHER!$M$5:$M$504&gt;D363)*(ROW(MATCHER!$A$5:$A$504)-ROW(MATCHER!$A$5)+1&gt;S363),0),0),""))</f>
        <v/>
      </c>
      <c r="U363" s="15">
        <f t="shared" si="76"/>
        <v>0</v>
      </c>
      <c r="V363" s="15">
        <f>IF(OR(I363&lt;&gt;"Ja",J363=""),"",COUNTIFS($O$5:O363,O363,$U$5:U363,1))</f>
        <v>10</v>
      </c>
      <c r="W363" s="15" t="str">
        <f t="shared" si="77"/>
        <v>2027-01-23 | Ulriksdalshallen|10</v>
      </c>
      <c r="X363" s="16" t="str">
        <f t="shared" si="78"/>
        <v/>
      </c>
      <c r="Y363" s="15">
        <f>IF(OR(I363&lt;&gt;"Ja",J363=""),0,IF(COUNTIFS($O$5:O363,O363,$I$5:I363,"Ja",$J$5:J363,"&lt;&gt;")=1,1,0))</f>
        <v>0</v>
      </c>
      <c r="Z363" s="15">
        <f>IF(OR(I363&lt;&gt;"Ja",J363=""),0,IF(COUNTIFS(O363:$O$546,O363,I363:$I$546,"Ja",J363:$J$546,"&lt;&gt;")=1,1,0))</f>
        <v>0</v>
      </c>
      <c r="AA363" s="15">
        <f t="shared" si="85"/>
        <v>1</v>
      </c>
      <c r="AB363" s="15" t="str">
        <f>IF(U363&lt;&gt;1,"",COUNTIF($U$5:U363,1))</f>
        <v/>
      </c>
      <c r="AC363" s="15" t="str">
        <f t="shared" si="79"/>
        <v/>
      </c>
      <c r="AD363" s="15" t="str">
        <f t="shared" si="80"/>
        <v>Vanligt café</v>
      </c>
      <c r="AE363" s="15" t="str">
        <f t="shared" si="81"/>
        <v/>
      </c>
      <c r="AF363" t="str">
        <f>IF(T363="","",IFERROR(MATCH(1,INDEX((MATCHER!$B$5:$B$504=A363)*(MATCHER!$D$5:$D$504=C363)*(MATCHER!$K$5:$K$504="Ja")*(MATCHER!$C$5:$C$504&lt;E363)*(MATCHER!$M$5:$M$504&gt;D363)*(ROW(MATCHER!$A$5:$A$504)-ROW(MATCHER!$A$5)+1&gt;T363),0),0),""))</f>
        <v/>
      </c>
    </row>
    <row r="364" spans="1:32" ht="26">
      <c r="A364" s="42">
        <v>46410</v>
      </c>
      <c r="B364" s="43" t="s">
        <v>85</v>
      </c>
      <c r="C364" s="43" t="s">
        <v>86</v>
      </c>
      <c r="D364" s="44">
        <v>0.625</v>
      </c>
      <c r="E364" s="44">
        <v>0.64583333333333304</v>
      </c>
      <c r="F364" s="45" t="str">
        <f>IF(R364="","",HOUR(INDEX(MATCHER!$C$5:$C$504,R364))&amp;":"&amp;IF(MINUTE(INDEX(MATCHER!$C$5:$C$504,R364))&lt;10,"0","")&amp;MINUTE(INDEX(MATCHER!$C$5:$C$504,R364))&amp;" "&amp;INDEX(MATCHER!$H$5:$H$504,R364)&amp;" – "&amp;INDEX(MATCHER!$I$5:$I$504,R364))&amp;IF(S364="",""," | "&amp;HOUR(INDEX(MATCHER!$C$5:$C$504,S364))&amp;":"&amp;IF(MINUTE(INDEX(MATCHER!$C$5:$C$504,S364))&lt;10,"0","")&amp;MINUTE(INDEX(MATCHER!$C$5:$C$504,S364))&amp;" "&amp;INDEX(MATCHER!$H$5:$H$504,S364)&amp;" – "&amp;INDEX(MATCHER!$I$5:$I$504,S364))&amp;IF(T364="",""," | "&amp;HOUR(INDEX(MATCHER!$C$5:$C$504,T364))&amp;":"&amp;IF(MINUTE(INDEX(MATCHER!$C$5:$C$504,T364))&lt;10,"0","")&amp;MINUTE(INDEX(MATCHER!$C$5:$C$504,T364))&amp;" "&amp;INDEX(MATCHER!$H$5:$H$504,T364)&amp;" – "&amp;INDEX(MATCHER!$I$5:$I$504,T364))&amp;IF(AF364="",""," | "&amp;HOUR(INDEX(MATCHER!$C$5:$C$504,AF364))&amp;":"&amp;IF(MINUTE(INDEX(MATCHER!$C$5:$C$504,AF364))&lt;10,"0","")&amp;MINUTE(INDEX(MATCHER!$C$5:$C$504,AF364))&amp;" "&amp;INDEX(MATCHER!$H$5:$H$504,AF364)&amp;" – "&amp;INDEX(MATCHER!$I$5:$I$504,AF364))</f>
        <v>15:10 AIK – Åkersberga HK Röd</v>
      </c>
      <c r="G364" s="45" t="str">
        <f>MID(IF(R364="","",IF(OR(INDEX(MATCHER!$J$5:$J$504,R364)=""),""," / "&amp;INDEX(MATCHER!$J$5:$J$504,R364)))&amp;IF(S364="","",IF(OR(INDEX(MATCHER!$J$5:$J$504,S364)="",INDEX(MATCHER!$J$5:$J$504,S364)=IFERROR(INDEX(MATCHER!$J$5:$J$504,R364),"")),""," / "&amp;INDEX(MATCHER!$J$5:$J$504,S364)))&amp;IF(T364="","",IF(OR(INDEX(MATCHER!$J$5:$J$504,T364)="",INDEX(MATCHER!$J$5:$J$504,T364)=IFERROR(INDEX(MATCHER!$J$5:$J$504,R364),""),INDEX(MATCHER!$J$5:$J$504,T364)=IFERROR(INDEX(MATCHER!$J$5:$J$504,S364),"")),""," / "&amp;INDEX(MATCHER!$J$5:$J$504,T364)))&amp;IF(AF364="","",IF(OR(INDEX(MATCHER!$J$5:$J$504,AF364)="",INDEX(MATCHER!$J$5:$J$504,AF364)=IFERROR(INDEX(MATCHER!$J$5:$J$504,R364),""),INDEX(MATCHER!$J$5:$J$504,AF364)=IFERROR(INDEX(MATCHER!$J$5:$J$504,S364),""),INDEX(MATCHER!$J$5:$J$504,AF364)=IFERROR(INDEX(MATCHER!$J$5:$J$504,T364),"")),""," / "&amp;INDEX(MATCHER!$J$5:$J$504,AF364))),4,1000)</f>
        <v>F12</v>
      </c>
      <c r="H364" s="45" t="str">
        <f t="shared" si="84"/>
        <v>F12</v>
      </c>
      <c r="I364" s="46" t="s">
        <v>90</v>
      </c>
      <c r="J364" s="47" t="s">
        <v>101</v>
      </c>
      <c r="K364" s="48"/>
      <c r="L364" s="49"/>
      <c r="M364" s="50" t="str">
        <f>IF(O364&lt;&gt;O363,MAX(1,MIN(AA364,ROUNDUP(SUMPRODUCT(($O$5:$O$546=O364)*($I$5:$I$546="Ja")*($E$5:$E$546-$D$5:$D$546))*24/REGLER!$B$8,0))),"")</f>
        <v/>
      </c>
      <c r="N364" s="50" t="str">
        <f t="shared" si="75"/>
        <v>Klar</v>
      </c>
      <c r="O364" s="15" t="s">
        <v>144</v>
      </c>
      <c r="P364" s="16">
        <v>0.33333333333333298</v>
      </c>
      <c r="Q364" s="16">
        <v>0.66666666666666696</v>
      </c>
      <c r="R364" s="15">
        <f>IFERROR(MATCH(1,INDEX((MATCHER!$B$5:$B$504=A364)*(MATCHER!$D$5:$D$504=C364)*(MATCHER!$K$5:$K$504="Ja")*(MATCHER!$C$5:$C$504&lt;E364)*(MATCHER!$M$5:$M$504&gt;D364),0),0),"")</f>
        <v>136</v>
      </c>
      <c r="S364" s="15" t="str">
        <f>IF(R364="","",IFERROR(MATCH(1,INDEX((MATCHER!$B$5:$B$504=A364)*(MATCHER!$D$5:$D$504=C364)*(MATCHER!$K$5:$K$504="Ja")*(MATCHER!$C$5:$C$504&lt;E364)*(MATCHER!$M$5:$M$504&gt;D364)*(ROW(MATCHER!$A$5:$A$504)-ROW(MATCHER!$A$5)+1&gt;R364),0),0),""))</f>
        <v/>
      </c>
      <c r="T364" s="15" t="str">
        <f>IF(S364="","",IFERROR(MATCH(1,INDEX((MATCHER!$B$5:$B$504=A364)*(MATCHER!$D$5:$D$504=C364)*(MATCHER!$K$5:$K$504="Ja")*(MATCHER!$C$5:$C$504&lt;E364)*(MATCHER!$M$5:$M$504&gt;D364)*(ROW(MATCHER!$A$5:$A$504)-ROW(MATCHER!$A$5)+1&gt;S364),0),0),""))</f>
        <v/>
      </c>
      <c r="U364" s="15">
        <f t="shared" si="76"/>
        <v>0</v>
      </c>
      <c r="V364" s="15">
        <f>IF(OR(I364&lt;&gt;"Ja",J364=""),"",COUNTIFS($O$5:O364,O364,$U$5:U364,1))</f>
        <v>10</v>
      </c>
      <c r="W364" s="15" t="str">
        <f t="shared" si="77"/>
        <v>2027-01-23 | Ulriksdalshallen|10</v>
      </c>
      <c r="X364" s="16" t="str">
        <f t="shared" si="78"/>
        <v/>
      </c>
      <c r="Y364" s="15">
        <f>IF(OR(I364&lt;&gt;"Ja",J364=""),0,IF(COUNTIFS($O$5:O364,O364,$I$5:I364,"Ja",$J$5:J364,"&lt;&gt;")=1,1,0))</f>
        <v>0</v>
      </c>
      <c r="Z364" s="15">
        <f>IF(OR(I364&lt;&gt;"Ja",J364=""),0,IF(COUNTIFS(O364:$O$546,O364,I364:$I$546,"Ja",J364:$J$546,"&lt;&gt;")=1,1,0))</f>
        <v>0</v>
      </c>
      <c r="AA364" s="15">
        <f t="shared" si="85"/>
        <v>1</v>
      </c>
      <c r="AB364" s="15" t="str">
        <f>IF(U364&lt;&gt;1,"",COUNTIF($U$5:U364,1))</f>
        <v/>
      </c>
      <c r="AC364" s="15" t="str">
        <f t="shared" si="79"/>
        <v/>
      </c>
      <c r="AD364" s="15" t="str">
        <f t="shared" si="80"/>
        <v>Vanligt café</v>
      </c>
      <c r="AE364" s="15" t="str">
        <f t="shared" si="81"/>
        <v/>
      </c>
      <c r="AF364" t="str">
        <f>IF(T364="","",IFERROR(MATCH(1,INDEX((MATCHER!$B$5:$B$504=A364)*(MATCHER!$D$5:$D$504=C364)*(MATCHER!$K$5:$K$504="Ja")*(MATCHER!$C$5:$C$504&lt;E364)*(MATCHER!$M$5:$M$504&gt;D364)*(ROW(MATCHER!$A$5:$A$504)-ROW(MATCHER!$A$5)+1&gt;T364),0),0),""))</f>
        <v/>
      </c>
    </row>
    <row r="365" spans="1:32" ht="26.5" thickBot="1">
      <c r="A365" s="52">
        <v>46410</v>
      </c>
      <c r="B365" s="53" t="s">
        <v>85</v>
      </c>
      <c r="C365" s="53" t="s">
        <v>86</v>
      </c>
      <c r="D365" s="54">
        <v>0.64583333333333304</v>
      </c>
      <c r="E365" s="54">
        <v>0.66666666666666696</v>
      </c>
      <c r="F365" s="55" t="str">
        <f>IF(R365="","",HOUR(INDEX(MATCHER!$C$5:$C$504,R365))&amp;":"&amp;IF(MINUTE(INDEX(MATCHER!$C$5:$C$504,R365))&lt;10,"0","")&amp;MINUTE(INDEX(MATCHER!$C$5:$C$504,R365))&amp;" "&amp;INDEX(MATCHER!$H$5:$H$504,R365)&amp;" – "&amp;INDEX(MATCHER!$I$5:$I$504,R365))&amp;IF(S365="",""," | "&amp;HOUR(INDEX(MATCHER!$C$5:$C$504,S365))&amp;":"&amp;IF(MINUTE(INDEX(MATCHER!$C$5:$C$504,S365))&lt;10,"0","")&amp;MINUTE(INDEX(MATCHER!$C$5:$C$504,S365))&amp;" "&amp;INDEX(MATCHER!$H$5:$H$504,S365)&amp;" – "&amp;INDEX(MATCHER!$I$5:$I$504,S365))&amp;IF(T365="",""," | "&amp;HOUR(INDEX(MATCHER!$C$5:$C$504,T365))&amp;":"&amp;IF(MINUTE(INDEX(MATCHER!$C$5:$C$504,T365))&lt;10,"0","")&amp;MINUTE(INDEX(MATCHER!$C$5:$C$504,T365))&amp;" "&amp;INDEX(MATCHER!$H$5:$H$504,T365)&amp;" – "&amp;INDEX(MATCHER!$I$5:$I$504,T365))&amp;IF(AF365="",""," | "&amp;HOUR(INDEX(MATCHER!$C$5:$C$504,AF365))&amp;":"&amp;IF(MINUTE(INDEX(MATCHER!$C$5:$C$504,AF365))&lt;10,"0","")&amp;MINUTE(INDEX(MATCHER!$C$5:$C$504,AF365))&amp;" "&amp;INDEX(MATCHER!$H$5:$H$504,AF365)&amp;" – "&amp;INDEX(MATCHER!$I$5:$I$504,AF365))</f>
        <v>15:10 AIK – Åkersberga HK Röd</v>
      </c>
      <c r="G365" s="55" t="str">
        <f>MID(IF(R365="","",IF(OR(INDEX(MATCHER!$J$5:$J$504,R365)=""),""," / "&amp;INDEX(MATCHER!$J$5:$J$504,R365)))&amp;IF(S365="","",IF(OR(INDEX(MATCHER!$J$5:$J$504,S365)="",INDEX(MATCHER!$J$5:$J$504,S365)=IFERROR(INDEX(MATCHER!$J$5:$J$504,R365),"")),""," / "&amp;INDEX(MATCHER!$J$5:$J$504,S365)))&amp;IF(T365="","",IF(OR(INDEX(MATCHER!$J$5:$J$504,T365)="",INDEX(MATCHER!$J$5:$J$504,T365)=IFERROR(INDEX(MATCHER!$J$5:$J$504,R365),""),INDEX(MATCHER!$J$5:$J$504,T365)=IFERROR(INDEX(MATCHER!$J$5:$J$504,S365),"")),""," / "&amp;INDEX(MATCHER!$J$5:$J$504,T365)))&amp;IF(AF365="","",IF(OR(INDEX(MATCHER!$J$5:$J$504,AF365)="",INDEX(MATCHER!$J$5:$J$504,AF365)=IFERROR(INDEX(MATCHER!$J$5:$J$504,R365),""),INDEX(MATCHER!$J$5:$J$504,AF365)=IFERROR(INDEX(MATCHER!$J$5:$J$504,S365),""),INDEX(MATCHER!$J$5:$J$504,AF365)=IFERROR(INDEX(MATCHER!$J$5:$J$504,T365),"")),""," / "&amp;INDEX(MATCHER!$J$5:$J$504,AF365))),4,1000)</f>
        <v>F12</v>
      </c>
      <c r="H365" s="55" t="str">
        <f t="shared" si="84"/>
        <v>F12</v>
      </c>
      <c r="I365" s="56" t="s">
        <v>90</v>
      </c>
      <c r="J365" s="57" t="s">
        <v>101</v>
      </c>
      <c r="K365" s="58"/>
      <c r="L365" s="59"/>
      <c r="M365" s="60" t="str">
        <f>IF(O365&lt;&gt;O364,MAX(1,MIN(AA365,ROUNDUP(SUMPRODUCT(($O$5:$O$546=O365)*($I$5:$I$546="Ja")*($E$5:$E$546-$D$5:$D$546))*24/REGLER!$B$8,0))),"")</f>
        <v/>
      </c>
      <c r="N365" s="60" t="str">
        <f t="shared" si="75"/>
        <v>Klar</v>
      </c>
      <c r="O365" s="15" t="s">
        <v>144</v>
      </c>
      <c r="P365" s="16">
        <v>0.33333333333333298</v>
      </c>
      <c r="Q365" s="16">
        <v>0.66666666666666696</v>
      </c>
      <c r="R365" s="15">
        <f>IFERROR(MATCH(1,INDEX((MATCHER!$B$5:$B$504=A365)*(MATCHER!$D$5:$D$504=C365)*(MATCHER!$K$5:$K$504="Ja")*(MATCHER!$C$5:$C$504&lt;E365)*(MATCHER!$M$5:$M$504&gt;D365),0),0),"")</f>
        <v>136</v>
      </c>
      <c r="S365" s="15" t="str">
        <f>IF(R365="","",IFERROR(MATCH(1,INDEX((MATCHER!$B$5:$B$504=A365)*(MATCHER!$D$5:$D$504=C365)*(MATCHER!$K$5:$K$504="Ja")*(MATCHER!$C$5:$C$504&lt;E365)*(MATCHER!$M$5:$M$504&gt;D365)*(ROW(MATCHER!$A$5:$A$504)-ROW(MATCHER!$A$5)+1&gt;R365),0),0),""))</f>
        <v/>
      </c>
      <c r="T365" s="15" t="str">
        <f>IF(S365="","",IFERROR(MATCH(1,INDEX((MATCHER!$B$5:$B$504=A365)*(MATCHER!$D$5:$D$504=C365)*(MATCHER!$K$5:$K$504="Ja")*(MATCHER!$C$5:$C$504&lt;E365)*(MATCHER!$M$5:$M$504&gt;D365)*(ROW(MATCHER!$A$5:$A$504)-ROW(MATCHER!$A$5)+1&gt;S365),0),0),""))</f>
        <v/>
      </c>
      <c r="U365" s="15">
        <f t="shared" si="76"/>
        <v>0</v>
      </c>
      <c r="V365" s="15">
        <f>IF(OR(I365&lt;&gt;"Ja",J365=""),"",COUNTIFS($O$5:O365,O365,$U$5:U365,1))</f>
        <v>10</v>
      </c>
      <c r="W365" s="15" t="str">
        <f t="shared" si="77"/>
        <v>2027-01-23 | Ulriksdalshallen|10</v>
      </c>
      <c r="X365" s="16">
        <f t="shared" si="78"/>
        <v>0.66666666666666696</v>
      </c>
      <c r="Y365" s="15">
        <f>IF(OR(I365&lt;&gt;"Ja",J365=""),0,IF(COUNTIFS($O$5:O365,O365,$I$5:I365,"Ja",$J$5:J365,"&lt;&gt;")=1,1,0))</f>
        <v>0</v>
      </c>
      <c r="Z365" s="15">
        <f>IF(OR(I365&lt;&gt;"Ja",J365=""),0,IF(COUNTIFS(O365:$O$546,O365,I365:$I$546,"Ja",J365:$J$546,"&lt;&gt;")=1,1,0))</f>
        <v>1</v>
      </c>
      <c r="AA365" s="15">
        <f t="shared" si="85"/>
        <v>1</v>
      </c>
      <c r="AB365" s="15" t="str">
        <f>IF(U365&lt;&gt;1,"",COUNTIF($U$5:U365,1))</f>
        <v/>
      </c>
      <c r="AC365" s="15" t="str">
        <f t="shared" si="79"/>
        <v>2027-01-23 | Ulriksdalshallen|10</v>
      </c>
      <c r="AD365" s="15" t="str">
        <f t="shared" si="80"/>
        <v>Vanligt café</v>
      </c>
      <c r="AE365" s="15" t="str">
        <f t="shared" si="81"/>
        <v/>
      </c>
      <c r="AF365" t="str">
        <f>IF(T365="","",IFERROR(MATCH(1,INDEX((MATCHER!$B$5:$B$504=A365)*(MATCHER!$D$5:$D$504=C365)*(MATCHER!$K$5:$K$504="Ja")*(MATCHER!$C$5:$C$504&lt;E365)*(MATCHER!$M$5:$M$504&gt;D365)*(ROW(MATCHER!$A$5:$A$504)-ROW(MATCHER!$A$5)+1&gt;T365),0),0),""))</f>
        <v/>
      </c>
    </row>
    <row r="366" spans="1:32" ht="13">
      <c r="A366" s="42">
        <v>46413</v>
      </c>
      <c r="B366" s="43" t="s">
        <v>104</v>
      </c>
      <c r="C366" s="43" t="s">
        <v>94</v>
      </c>
      <c r="D366" s="44">
        <v>0.83333333333333304</v>
      </c>
      <c r="E366" s="44">
        <v>0.85416666666666696</v>
      </c>
      <c r="F366" s="45" t="str">
        <f>IF(R366="","",HOUR(INDEX(MATCHER!$C$5:$C$504,R366))&amp;":"&amp;IF(MINUTE(INDEX(MATCHER!$C$5:$C$504,R366))&lt;10,"0","")&amp;MINUTE(INDEX(MATCHER!$C$5:$C$504,R366))&amp;" "&amp;INDEX(MATCHER!$H$5:$H$504,R366)&amp;" – "&amp;INDEX(MATCHER!$I$5:$I$504,R366))&amp;IF(S366="",""," | "&amp;HOUR(INDEX(MATCHER!$C$5:$C$504,S366))&amp;":"&amp;IF(MINUTE(INDEX(MATCHER!$C$5:$C$504,S366))&lt;10,"0","")&amp;MINUTE(INDEX(MATCHER!$C$5:$C$504,S366))&amp;" "&amp;INDEX(MATCHER!$H$5:$H$504,S366)&amp;" – "&amp;INDEX(MATCHER!$I$5:$I$504,S366))&amp;IF(T366="",""," | "&amp;HOUR(INDEX(MATCHER!$C$5:$C$504,T366))&amp;":"&amp;IF(MINUTE(INDEX(MATCHER!$C$5:$C$504,T366))&lt;10,"0","")&amp;MINUTE(INDEX(MATCHER!$C$5:$C$504,T366))&amp;" "&amp;INDEX(MATCHER!$H$5:$H$504,T366)&amp;" – "&amp;INDEX(MATCHER!$I$5:$I$504,T366))&amp;IF(AF366="",""," | "&amp;HOUR(INDEX(MATCHER!$C$5:$C$504,AF366))&amp;":"&amp;IF(MINUTE(INDEX(MATCHER!$C$5:$C$504,AF366))&lt;10,"0","")&amp;MINUTE(INDEX(MATCHER!$C$5:$C$504,AF366))&amp;" "&amp;INDEX(MATCHER!$H$5:$H$504,AF366)&amp;" – "&amp;INDEX(MATCHER!$I$5:$I$504,AF366))</f>
        <v/>
      </c>
      <c r="G366" s="45" t="str">
        <f>MID(IF(R366="","",IF(OR(INDEX(MATCHER!$J$5:$J$504,R366)=""),""," / "&amp;INDEX(MATCHER!$J$5:$J$504,R366)))&amp;IF(S366="","",IF(OR(INDEX(MATCHER!$J$5:$J$504,S366)="",INDEX(MATCHER!$J$5:$J$504,S366)=IFERROR(INDEX(MATCHER!$J$5:$J$504,R366),"")),""," / "&amp;INDEX(MATCHER!$J$5:$J$504,S366)))&amp;IF(T366="","",IF(OR(INDEX(MATCHER!$J$5:$J$504,T366)="",INDEX(MATCHER!$J$5:$J$504,T366)=IFERROR(INDEX(MATCHER!$J$5:$J$504,R366),""),INDEX(MATCHER!$J$5:$J$504,T366)=IFERROR(INDEX(MATCHER!$J$5:$J$504,S366),"")),""," / "&amp;INDEX(MATCHER!$J$5:$J$504,T366)))&amp;IF(AF366="","",IF(OR(INDEX(MATCHER!$J$5:$J$504,AF366)="",INDEX(MATCHER!$J$5:$J$504,AF366)=IFERROR(INDEX(MATCHER!$J$5:$J$504,R366),""),INDEX(MATCHER!$J$5:$J$504,AF366)=IFERROR(INDEX(MATCHER!$J$5:$J$504,S366),""),INDEX(MATCHER!$J$5:$J$504,AF366)=IFERROR(INDEX(MATCHER!$J$5:$J$504,T366),"")),""," / "&amp;INDEX(MATCHER!$J$5:$J$504,AF366))),4,1000)</f>
        <v/>
      </c>
      <c r="H366" s="45" t="str">
        <f>MID(IF(COUNTIFS(MATCHER!$B$5:$B$504,A366,MATCHER!$D$5:$D$504,C366,MATCHER!$J$5:$J$504,REGLER!$I$6,MATCHER!$K$5:$K$504,"Ja")+COUNTIFS(MATCHER!$B$5:$B$504,A366,MATCHER!$D$5:$D$504,C366,MATCHER!$J$5:$J$504,REGLER!$I$6&amp;" 2",MATCHER!$K$5:$K$504,"Ja")&gt;0,", "&amp;REGLER!$I$6,"")&amp;IF(COUNTIFS(MATCHER!$B$5:$B$504,A366,MATCHER!$D$5:$D$504,C366,MATCHER!$J$5:$J$504,REGLER!$I$7,MATCHER!$K$5:$K$504,"Ja")+COUNTIFS(MATCHER!$B$5:$B$504,A366,MATCHER!$D$5:$D$504,C366,MATCHER!$J$5:$J$504,REGLER!$I$7&amp;" 2",MATCHER!$K$5:$K$504,"Ja")&gt;0,", "&amp;REGLER!$I$7,"")&amp;IF(COUNTIFS(MATCHER!$B$5:$B$504,A366,MATCHER!$D$5:$D$504,C366,MATCHER!$J$5:$J$504,REGLER!$I$8,MATCHER!$K$5:$K$504,"Ja")+COUNTIFS(MATCHER!$B$5:$B$504,A366,MATCHER!$D$5:$D$504,C366,MATCHER!$J$5:$J$504,REGLER!$I$8&amp;" 2",MATCHER!$K$5:$K$504,"Ja")&gt;0,", "&amp;REGLER!$I$8,"")&amp;IF(COUNTIFS(MATCHER!$B$5:$B$504,A366,MATCHER!$D$5:$D$504,C366,MATCHER!$J$5:$J$504,REGLER!$I$9,MATCHER!$K$5:$K$504,"Ja")+COUNTIFS(MATCHER!$B$5:$B$504,A366,MATCHER!$D$5:$D$504,C366,MATCHER!$J$5:$J$504,REGLER!$I$9&amp;" 2",MATCHER!$K$5:$K$504,"Ja")&gt;0,", "&amp;REGLER!$I$9,"")&amp;IF(COUNTIFS(MATCHER!$B$5:$B$504,A366,MATCHER!$D$5:$D$504,C366,MATCHER!$J$5:$J$504,REGLER!$I$10,MATCHER!$K$5:$K$504,"Ja")+COUNTIFS(MATCHER!$B$5:$B$504,A366,MATCHER!$D$5:$D$504,C366,MATCHER!$J$5:$J$504,REGLER!$I$10&amp;" 2",MATCHER!$K$5:$K$504,"Ja")&gt;0,", "&amp;REGLER!$I$10,"")&amp;IF(COUNTIFS(MATCHER!$B$5:$B$504,A366,MATCHER!$D$5:$D$504,C366,MATCHER!$J$5:$J$504,REGLER!$I$11,MATCHER!$K$5:$K$504,"Ja")+COUNTIFS(MATCHER!$B$5:$B$504,A366,MATCHER!$D$5:$D$504,C366,MATCHER!$J$5:$J$504,REGLER!$I$11&amp;" 2",MATCHER!$K$5:$K$504,"Ja")&gt;0,", "&amp;REGLER!$I$11,"")&amp;IF(COUNTIFS(MATCHER!$B$5:$B$504,A366,MATCHER!$D$5:$D$504,C366,MATCHER!$J$5:$J$504,REGLER!$I$12,MATCHER!$K$5:$K$504,"Ja")+COUNTIFS(MATCHER!$B$5:$B$504,A366,MATCHER!$D$5:$D$504,C366,MATCHER!$J$5:$J$504,REGLER!$I$12&amp;" 2",MATCHER!$K$5:$K$504,"Ja")&gt;0,", "&amp;REGLER!$I$12,"")&amp;IF(COUNTIFS(MATCHER!$B$5:$B$504,A366,MATCHER!$D$5:$D$504,C366,MATCHER!$J$5:$J$504,REGLER!$I$13,MATCHER!$K$5:$K$504,"Ja")+COUNTIFS(MATCHER!$B$5:$B$504,A366,MATCHER!$D$5:$D$504,C366,MATCHER!$J$5:$J$504,REGLER!$I$13&amp;" 2",MATCHER!$K$5:$K$504,"Ja")&gt;0,", "&amp;REGLER!$I$13,"")&amp;IF(COUNTIFS(MATCHER!$B$5:$B$504,A366,MATCHER!$D$5:$D$504,C366,MATCHER!$J$5:$J$504,REGLER!$I$14,MATCHER!$K$5:$K$504,"Ja")+COUNTIFS(MATCHER!$B$5:$B$504,A366,MATCHER!$D$5:$D$504,C366,MATCHER!$J$5:$J$504,REGLER!$I$14&amp;" 2",MATCHER!$K$5:$K$504,"Ja")&gt;0,", "&amp;REGLER!$I$14,"")&amp;IF(COUNTIFS(MATCHER!$B$5:$B$504,A366,MATCHER!$D$5:$D$504,C366,MATCHER!$J$5:$J$504,REGLER!$I$15,MATCHER!$K$5:$K$504,"Ja")+COUNTIFS(MATCHER!$B$5:$B$504,A366,MATCHER!$D$5:$D$504,C366,MATCHER!$J$5:$J$504,REGLER!$I$15&amp;" 2",MATCHER!$K$5:$K$504,"Ja")&gt;0,", "&amp;REGLER!$I$15,"")&amp;IF(COUNTIFS(MATCHER!$B$5:$B$504,A366,MATCHER!$D$5:$D$504,C366,MATCHER!$J$5:$J$504,REGLER!$I$16,MATCHER!$K$5:$K$504,"Ja")+COUNTIFS(MATCHER!$B$5:$B$504,A366,MATCHER!$D$5:$D$504,C366,MATCHER!$J$5:$J$504,REGLER!$I$16&amp;" 2",MATCHER!$K$5:$K$504,"Ja")&gt;0,", "&amp;REGLER!$I$16,"")&amp;IF(COUNTIFS(MATCHER!$B$5:$B$504,A366,MATCHER!$D$5:$D$504,C366,MATCHER!$J$5:$J$504,REGLER!$I$17,MATCHER!$K$5:$K$504,"Ja")+COUNTIFS(MATCHER!$B$5:$B$504,A366,MATCHER!$D$5:$D$504,C366,MATCHER!$J$5:$J$504,REGLER!$I$17&amp;" 2",MATCHER!$K$5:$K$504,"Ja")&gt;0,", "&amp;REGLER!$I$17,"")&amp;IF(COUNTIFS(MATCHER!$B$5:$B$504,A366,MATCHER!$D$5:$D$504,C366,MATCHER!$J$5:$J$504,REGLER!$I$18,MATCHER!$K$5:$K$504,"Ja")+COUNTIFS(MATCHER!$B$5:$B$504,A366,MATCHER!$D$5:$D$504,C366,MATCHER!$J$5:$J$504,REGLER!$I$18&amp;" 2",MATCHER!$K$5:$K$504,"Ja")&gt;0,", "&amp;REGLER!$I$18,"")&amp;IF(COUNTIFS(MATCHER!$B$5:$B$504,A366,MATCHER!$D$5:$D$504,C366,MATCHER!$J$5:$J$504,REGLER!$I$19,MATCHER!$K$5:$K$504,"Ja")+COUNTIFS(MATCHER!$B$5:$B$504,A366,MATCHER!$D$5:$D$504,C366,MATCHER!$J$5:$J$504,REGLER!$I$19&amp;" 2",MATCHER!$K$5:$K$504,"Ja")&gt;0,", "&amp;REGLER!$I$19,"")&amp;IF(COUNTIFS(MATCHER!$B$5:$B$504,A366,MATCHER!$D$5:$D$504,C366,MATCHER!$J$5:$J$504,REGLER!$I$20,MATCHER!$K$5:$K$504,"Ja")+COUNTIFS(MATCHER!$B$5:$B$504,A366,MATCHER!$D$5:$D$504,C366,MATCHER!$J$5:$J$504,REGLER!$I$20&amp;" 2",MATCHER!$K$5:$K$504,"Ja")&gt;0,", "&amp;REGLER!$I$20,"")&amp;IF(COUNTIFS(MATCHER!$B$5:$B$504,A366,MATCHER!$D$5:$D$504,C366,MATCHER!$J$5:$J$504,REGLER!$I$21,MATCHER!$K$5:$K$504,"Ja")+COUNTIFS(MATCHER!$B$5:$B$504,A366,MATCHER!$D$5:$D$504,C366,MATCHER!$J$5:$J$504,REGLER!$I$21&amp;" 2",MATCHER!$K$5:$K$504,"Ja")&gt;0,", "&amp;REGLER!$I$21,"")&amp;IF(COUNTIFS(MATCHER!$B$5:$B$504,A366,MATCHER!$D$5:$D$504,C366,MATCHER!$J$5:$J$504,REGLER!$I$22,MATCHER!$K$5:$K$504,"Ja")+COUNTIFS(MATCHER!$B$5:$B$504,A366,MATCHER!$D$5:$D$504,C366,MATCHER!$J$5:$J$504,REGLER!$I$22&amp;" 2",MATCHER!$K$5:$K$504,"Ja")&gt;0,", "&amp;REGLER!$I$22,"")&amp;IF(COUNTIFS(MATCHER!$B$5:$B$504,A366,MATCHER!$D$5:$D$504,C366,MATCHER!$J$5:$J$504,REGLER!$I$23,MATCHER!$K$5:$K$504,"Ja")+COUNTIFS(MATCHER!$B$5:$B$504,A366,MATCHER!$D$5:$D$504,C366,MATCHER!$J$5:$J$504,REGLER!$I$23&amp;" 2",MATCHER!$K$5:$K$504,"Ja")&gt;0,", "&amp;REGLER!$I$23,"")&amp;IF(COUNTIFS(MATCHER!$B$5:$B$504,A366,MATCHER!$D$5:$D$504,C366,MATCHER!$J$5:$J$504,REGLER!$I$24,MATCHER!$K$5:$K$504,"Ja")+COUNTIFS(MATCHER!$B$5:$B$504,A366,MATCHER!$D$5:$D$504,C366,MATCHER!$J$5:$J$504,REGLER!$I$24&amp;" 2",MATCHER!$K$5:$K$504,"Ja")&gt;0,", "&amp;REGLER!$I$24,"")&amp;IF(COUNTIFS(MATCHER!$B$5:$B$504,A366,MATCHER!$D$5:$D$504,C366,MATCHER!$J$5:$J$504,REGLER!$I$25,MATCHER!$K$5:$K$504,"Ja")+COUNTIFS(MATCHER!$B$5:$B$504,A366,MATCHER!$D$5:$D$504,C366,MATCHER!$J$5:$J$504,REGLER!$I$25&amp;" 2",MATCHER!$K$5:$K$504,"Ja")&gt;0,", "&amp;REGLER!$I$25,"")&amp;IF(COUNTIFS(MATCHER!$B$5:$B$504,A366,MATCHER!$D$5:$D$504,C366,MATCHER!$J$5:$J$504,REGLER!$I$26,MATCHER!$K$5:$K$504,"Ja")+COUNTIFS(MATCHER!$B$5:$B$504,A366,MATCHER!$D$5:$D$504,C366,MATCHER!$J$5:$J$504,REGLER!$I$26&amp;" 2",MATCHER!$K$5:$K$504,"Ja")&gt;0,", "&amp;REGLER!$I$26,""),3,1000)</f>
        <v>F19</v>
      </c>
      <c r="I366" s="46" t="s">
        <v>90</v>
      </c>
      <c r="J366" s="47" t="s">
        <v>105</v>
      </c>
      <c r="K366" s="48" t="s">
        <v>98</v>
      </c>
      <c r="L366" s="49"/>
      <c r="M366" s="50">
        <f>IF(O366&lt;&gt;O365,MAX(1,MIN(AA366,ROUNDUP(SUMPRODUCT(($O$5:$O$546=O366)*($I$5:$I$546="Ja")*($E$5:$E$546-$D$5:$D$546))*24/REGLER!$B$8,0))),"")</f>
        <v>1</v>
      </c>
      <c r="N366" s="50" t="str">
        <f t="shared" si="75"/>
        <v>Klar</v>
      </c>
      <c r="O366" s="15" t="s">
        <v>145</v>
      </c>
      <c r="P366" s="16">
        <v>0.83333333333333304</v>
      </c>
      <c r="Q366" s="16">
        <v>0.91666666666666696</v>
      </c>
      <c r="R366" s="15" t="str">
        <f>IFERROR(MATCH(1,INDEX((MATCHER!$B$5:$B$504=A366)*(MATCHER!$D$5:$D$504=C366)*(MATCHER!$K$5:$K$504="Ja")*(MATCHER!$C$5:$C$504&lt;E366)*(MATCHER!$M$5:$M$504&gt;D366),0),0),"")</f>
        <v/>
      </c>
      <c r="S366" s="15" t="str">
        <f>IF(R366="","",IFERROR(MATCH(1,INDEX((MATCHER!$B$5:$B$504=A366)*(MATCHER!$D$5:$D$504=C366)*(MATCHER!$K$5:$K$504="Ja")*(MATCHER!$C$5:$C$504&lt;E366)*(MATCHER!$M$5:$M$504&gt;D366)*(ROW(MATCHER!$A$5:$A$504)-ROW(MATCHER!$A$5)+1&gt;R366),0),0),""))</f>
        <v/>
      </c>
      <c r="T366" s="15" t="str">
        <f>IF(S366="","",IFERROR(MATCH(1,INDEX((MATCHER!$B$5:$B$504=A366)*(MATCHER!$D$5:$D$504=C366)*(MATCHER!$K$5:$K$504="Ja")*(MATCHER!$C$5:$C$504&lt;E366)*(MATCHER!$M$5:$M$504&gt;D366)*(ROW(MATCHER!$A$5:$A$504)-ROW(MATCHER!$A$5)+1&gt;S366),0),0),""))</f>
        <v/>
      </c>
      <c r="U366" s="15">
        <f t="shared" si="76"/>
        <v>1</v>
      </c>
      <c r="V366" s="15">
        <f>IF(OR(I366&lt;&gt;"Ja",J366=""),"",COUNTIFS($O$5:O366,O366,$U$5:U366,1))</f>
        <v>1</v>
      </c>
      <c r="W366" s="15" t="str">
        <f t="shared" si="77"/>
        <v>2027-01-26 | Råsta Park|1</v>
      </c>
      <c r="X366" s="16" t="str">
        <f t="shared" si="78"/>
        <v/>
      </c>
      <c r="Y366" s="15">
        <f>IF(OR(I366&lt;&gt;"Ja",J366=""),0,IF(COUNTIFS($O$5:O366,O366,$I$5:I366,"Ja",$J$5:J366,"&lt;&gt;")=1,1,0))</f>
        <v>1</v>
      </c>
      <c r="Z366" s="15">
        <f>IF(OR(I366&lt;&gt;"Ja",J366=""),0,IF(COUNTIFS(O366:$O$546,O366,I366:$I$546,"Ja",J366:$J$546,"&lt;&gt;")=1,1,0))</f>
        <v>0</v>
      </c>
      <c r="AA366" s="15">
        <f>IF(COUNTIFS(MATCHER!$B$5:$B$504,A366,MATCHER!$D$5:$D$504,C366,MATCHER!$J$5:$J$504,REGLER!$I$6,MATCHER!$K$5:$K$504,"Ja")+COUNTIFS(MATCHER!$B$5:$B$504,A366,MATCHER!$D$5:$D$504,C366,MATCHER!$J$5:$J$504,REGLER!$I$6&amp;" 2",MATCHER!$K$5:$K$504,"Ja")&gt;0,1,0)+IF(COUNTIFS(MATCHER!$B$5:$B$504,A366,MATCHER!$D$5:$D$504,C366,MATCHER!$J$5:$J$504,REGLER!$I$7,MATCHER!$K$5:$K$504,"Ja")+COUNTIFS(MATCHER!$B$5:$B$504,A366,MATCHER!$D$5:$D$504,C366,MATCHER!$J$5:$J$504,REGLER!$I$7&amp;" 2",MATCHER!$K$5:$K$504,"Ja")&gt;0,1,0)+IF(COUNTIFS(MATCHER!$B$5:$B$504,A366,MATCHER!$D$5:$D$504,C366,MATCHER!$J$5:$J$504,REGLER!$I$8,MATCHER!$K$5:$K$504,"Ja")+COUNTIFS(MATCHER!$B$5:$B$504,A366,MATCHER!$D$5:$D$504,C366,MATCHER!$J$5:$J$504,REGLER!$I$8&amp;" 2",MATCHER!$K$5:$K$504,"Ja")&gt;0,1,0)+IF(COUNTIFS(MATCHER!$B$5:$B$504,A366,MATCHER!$D$5:$D$504,C366,MATCHER!$J$5:$J$504,REGLER!$I$9,MATCHER!$K$5:$K$504,"Ja")+COUNTIFS(MATCHER!$B$5:$B$504,A366,MATCHER!$D$5:$D$504,C366,MATCHER!$J$5:$J$504,REGLER!$I$9&amp;" 2",MATCHER!$K$5:$K$504,"Ja")&gt;0,1,0)+IF(COUNTIFS(MATCHER!$B$5:$B$504,A366,MATCHER!$D$5:$D$504,C366,MATCHER!$J$5:$J$504,REGLER!$I$10,MATCHER!$K$5:$K$504,"Ja")+COUNTIFS(MATCHER!$B$5:$B$504,A366,MATCHER!$D$5:$D$504,C366,MATCHER!$J$5:$J$504,REGLER!$I$10&amp;" 2",MATCHER!$K$5:$K$504,"Ja")&gt;0,1,0)+IF(COUNTIFS(MATCHER!$B$5:$B$504,A366,MATCHER!$D$5:$D$504,C366,MATCHER!$J$5:$J$504,REGLER!$I$11,MATCHER!$K$5:$K$504,"Ja")+COUNTIFS(MATCHER!$B$5:$B$504,A366,MATCHER!$D$5:$D$504,C366,MATCHER!$J$5:$J$504,REGLER!$I$11&amp;" 2",MATCHER!$K$5:$K$504,"Ja")&gt;0,1,0)+IF(COUNTIFS(MATCHER!$B$5:$B$504,A366,MATCHER!$D$5:$D$504,C366,MATCHER!$J$5:$J$504,REGLER!$I$12,MATCHER!$K$5:$K$504,"Ja")+COUNTIFS(MATCHER!$B$5:$B$504,A366,MATCHER!$D$5:$D$504,C366,MATCHER!$J$5:$J$504,REGLER!$I$12&amp;" 2",MATCHER!$K$5:$K$504,"Ja")&gt;0,1,0)+IF(COUNTIFS(MATCHER!$B$5:$B$504,A366,MATCHER!$D$5:$D$504,C366,MATCHER!$J$5:$J$504,REGLER!$I$13,MATCHER!$K$5:$K$504,"Ja")+COUNTIFS(MATCHER!$B$5:$B$504,A366,MATCHER!$D$5:$D$504,C366,MATCHER!$J$5:$J$504,REGLER!$I$13&amp;" 2",MATCHER!$K$5:$K$504,"Ja")&gt;0,1,0)+IF(COUNTIFS(MATCHER!$B$5:$B$504,A366,MATCHER!$D$5:$D$504,C366,MATCHER!$J$5:$J$504,REGLER!$I$14,MATCHER!$K$5:$K$504,"Ja")+COUNTIFS(MATCHER!$B$5:$B$504,A366,MATCHER!$D$5:$D$504,C366,MATCHER!$J$5:$J$504,REGLER!$I$14&amp;" 2",MATCHER!$K$5:$K$504,"Ja")&gt;0,1,0)+IF(COUNTIFS(MATCHER!$B$5:$B$504,A366,MATCHER!$D$5:$D$504,C366,MATCHER!$J$5:$J$504,REGLER!$I$15,MATCHER!$K$5:$K$504,"Ja")+COUNTIFS(MATCHER!$B$5:$B$504,A366,MATCHER!$D$5:$D$504,C366,MATCHER!$J$5:$J$504,REGLER!$I$15&amp;" 2",MATCHER!$K$5:$K$504,"Ja")&gt;0,1,0)+IF(COUNTIFS(MATCHER!$B$5:$B$504,A366,MATCHER!$D$5:$D$504,C366,MATCHER!$J$5:$J$504,REGLER!$I$16,MATCHER!$K$5:$K$504,"Ja")+COUNTIFS(MATCHER!$B$5:$B$504,A366,MATCHER!$D$5:$D$504,C366,MATCHER!$J$5:$J$504,REGLER!$I$16&amp;" 2",MATCHER!$K$5:$K$504,"Ja")&gt;0,1,0)+IF(COUNTIFS(MATCHER!$B$5:$B$504,A366,MATCHER!$D$5:$D$504,C366,MATCHER!$J$5:$J$504,REGLER!$I$17,MATCHER!$K$5:$K$504,"Ja")+COUNTIFS(MATCHER!$B$5:$B$504,A366,MATCHER!$D$5:$D$504,C366,MATCHER!$J$5:$J$504,REGLER!$I$17&amp;" 2",MATCHER!$K$5:$K$504,"Ja")&gt;0,1,0)+IF(COUNTIFS(MATCHER!$B$5:$B$504,A366,MATCHER!$D$5:$D$504,C366,MATCHER!$J$5:$J$504,REGLER!$I$18,MATCHER!$K$5:$K$504,"Ja")+COUNTIFS(MATCHER!$B$5:$B$504,A366,MATCHER!$D$5:$D$504,C366,MATCHER!$J$5:$J$504,REGLER!$I$18&amp;" 2",MATCHER!$K$5:$K$504,"Ja")&gt;0,1,0)+IF(COUNTIFS(MATCHER!$B$5:$B$504,A366,MATCHER!$D$5:$D$504,C366,MATCHER!$J$5:$J$504,REGLER!$I$19,MATCHER!$K$5:$K$504,"Ja")+COUNTIFS(MATCHER!$B$5:$B$504,A366,MATCHER!$D$5:$D$504,C366,MATCHER!$J$5:$J$504,REGLER!$I$19&amp;" 2",MATCHER!$K$5:$K$504,"Ja")&gt;0,1,0)+IF(COUNTIFS(MATCHER!$B$5:$B$504,A366,MATCHER!$D$5:$D$504,C366,MATCHER!$J$5:$J$504,REGLER!$I$20,MATCHER!$K$5:$K$504,"Ja")+COUNTIFS(MATCHER!$B$5:$B$504,A366,MATCHER!$D$5:$D$504,C366,MATCHER!$J$5:$J$504,REGLER!$I$20&amp;" 2",MATCHER!$K$5:$K$504,"Ja")&gt;0,1,0)+IF(COUNTIFS(MATCHER!$B$5:$B$504,A366,MATCHER!$D$5:$D$504,C366,MATCHER!$J$5:$J$504,REGLER!$I$21,MATCHER!$K$5:$K$504,"Ja")+COUNTIFS(MATCHER!$B$5:$B$504,A366,MATCHER!$D$5:$D$504,C366,MATCHER!$J$5:$J$504,REGLER!$I$21&amp;" 2",MATCHER!$K$5:$K$504,"Ja")&gt;0,1,0)+IF(COUNTIFS(MATCHER!$B$5:$B$504,A366,MATCHER!$D$5:$D$504,C366,MATCHER!$J$5:$J$504,REGLER!$I$22,MATCHER!$K$5:$K$504,"Ja")+COUNTIFS(MATCHER!$B$5:$B$504,A366,MATCHER!$D$5:$D$504,C366,MATCHER!$J$5:$J$504,REGLER!$I$22&amp;" 2",MATCHER!$K$5:$K$504,"Ja")&gt;0,1,0)+IF(COUNTIFS(MATCHER!$B$5:$B$504,A366,MATCHER!$D$5:$D$504,C366,MATCHER!$J$5:$J$504,REGLER!$I$23,MATCHER!$K$5:$K$504,"Ja")+COUNTIFS(MATCHER!$B$5:$B$504,A366,MATCHER!$D$5:$D$504,C366,MATCHER!$J$5:$J$504,REGLER!$I$23&amp;" 2",MATCHER!$K$5:$K$504,"Ja")&gt;0,1,0)+IF(COUNTIFS(MATCHER!$B$5:$B$504,A366,MATCHER!$D$5:$D$504,C366,MATCHER!$J$5:$J$504,REGLER!$I$24,MATCHER!$K$5:$K$504,"Ja")+COUNTIFS(MATCHER!$B$5:$B$504,A366,MATCHER!$D$5:$D$504,C366,MATCHER!$J$5:$J$504,REGLER!$I$24&amp;" 2",MATCHER!$K$5:$K$504,"Ja")&gt;0,1,0)+IF(COUNTIFS(MATCHER!$B$5:$B$504,A366,MATCHER!$D$5:$D$504,C366,MATCHER!$J$5:$J$504,REGLER!$I$25,MATCHER!$K$5:$K$504,"Ja")+COUNTIFS(MATCHER!$B$5:$B$504,A366,MATCHER!$D$5:$D$504,C366,MATCHER!$J$5:$J$504,REGLER!$I$25&amp;" 2",MATCHER!$K$5:$K$504,"Ja")&gt;0,1,0)+IF(COUNTIFS(MATCHER!$B$5:$B$504,A366,MATCHER!$D$5:$D$504,C366,MATCHER!$J$5:$J$504,REGLER!$I$26,MATCHER!$K$5:$K$504,"Ja")+COUNTIFS(MATCHER!$B$5:$B$504,A366,MATCHER!$D$5:$D$504,C366,MATCHER!$J$5:$J$504,REGLER!$I$26&amp;" 2",MATCHER!$K$5:$K$504,"Ja")&gt;0,1,0)</f>
        <v>1</v>
      </c>
      <c r="AB366" s="15">
        <f>IF(U366&lt;&gt;1,"",COUNTIF($U$5:U366,1))</f>
        <v>52</v>
      </c>
      <c r="AC366" s="15" t="str">
        <f t="shared" si="79"/>
        <v/>
      </c>
      <c r="AD366" s="15" t="str">
        <f t="shared" si="80"/>
        <v>Minicafé</v>
      </c>
      <c r="AE366" s="15">
        <f t="shared" si="81"/>
        <v>2.0000000000000142</v>
      </c>
      <c r="AF366" t="str">
        <f>IF(T366="","",IFERROR(MATCH(1,INDEX((MATCHER!$B$5:$B$504=A366)*(MATCHER!$D$5:$D$504=C366)*(MATCHER!$K$5:$K$504="Ja")*(MATCHER!$C$5:$C$504&lt;E366)*(MATCHER!$M$5:$M$504&gt;D366)*(ROW(MATCHER!$A$5:$A$504)-ROW(MATCHER!$A$5)+1&gt;T366),0),0),""))</f>
        <v/>
      </c>
    </row>
    <row r="367" spans="1:32" ht="13">
      <c r="A367" s="42">
        <v>46413</v>
      </c>
      <c r="B367" s="43" t="s">
        <v>104</v>
      </c>
      <c r="C367" s="43" t="s">
        <v>94</v>
      </c>
      <c r="D367" s="44">
        <v>0.85416666666666696</v>
      </c>
      <c r="E367" s="44">
        <v>0.875</v>
      </c>
      <c r="F367" s="45" t="str">
        <f>IF(R367="","",HOUR(INDEX(MATCHER!$C$5:$C$504,R367))&amp;":"&amp;IF(MINUTE(INDEX(MATCHER!$C$5:$C$504,R367))&lt;10,"0","")&amp;MINUTE(INDEX(MATCHER!$C$5:$C$504,R367))&amp;" "&amp;INDEX(MATCHER!$H$5:$H$504,R367)&amp;" – "&amp;INDEX(MATCHER!$I$5:$I$504,R367))&amp;IF(S367="",""," | "&amp;HOUR(INDEX(MATCHER!$C$5:$C$504,S367))&amp;":"&amp;IF(MINUTE(INDEX(MATCHER!$C$5:$C$504,S367))&lt;10,"0","")&amp;MINUTE(INDEX(MATCHER!$C$5:$C$504,S367))&amp;" "&amp;INDEX(MATCHER!$H$5:$H$504,S367)&amp;" – "&amp;INDEX(MATCHER!$I$5:$I$504,S367))&amp;IF(T367="",""," | "&amp;HOUR(INDEX(MATCHER!$C$5:$C$504,T367))&amp;":"&amp;IF(MINUTE(INDEX(MATCHER!$C$5:$C$504,T367))&lt;10,"0","")&amp;MINUTE(INDEX(MATCHER!$C$5:$C$504,T367))&amp;" "&amp;INDEX(MATCHER!$H$5:$H$504,T367)&amp;" – "&amp;INDEX(MATCHER!$I$5:$I$504,T367))&amp;IF(AF367="",""," | "&amp;HOUR(INDEX(MATCHER!$C$5:$C$504,AF367))&amp;":"&amp;IF(MINUTE(INDEX(MATCHER!$C$5:$C$504,AF367))&lt;10,"0","")&amp;MINUTE(INDEX(MATCHER!$C$5:$C$504,AF367))&amp;" "&amp;INDEX(MATCHER!$H$5:$H$504,AF367)&amp;" – "&amp;INDEX(MATCHER!$I$5:$I$504,AF367))</f>
        <v>20:45 AIK – IFK Tumba HK</v>
      </c>
      <c r="G367" s="45" t="str">
        <f>MID(IF(R367="","",IF(OR(INDEX(MATCHER!$J$5:$J$504,R367)=""),""," / "&amp;INDEX(MATCHER!$J$5:$J$504,R367)))&amp;IF(S367="","",IF(OR(INDEX(MATCHER!$J$5:$J$504,S367)="",INDEX(MATCHER!$J$5:$J$504,S367)=IFERROR(INDEX(MATCHER!$J$5:$J$504,R367),"")),""," / "&amp;INDEX(MATCHER!$J$5:$J$504,S367)))&amp;IF(T367="","",IF(OR(INDEX(MATCHER!$J$5:$J$504,T367)="",INDEX(MATCHER!$J$5:$J$504,T367)=IFERROR(INDEX(MATCHER!$J$5:$J$504,R367),""),INDEX(MATCHER!$J$5:$J$504,T367)=IFERROR(INDEX(MATCHER!$J$5:$J$504,S367),"")),""," / "&amp;INDEX(MATCHER!$J$5:$J$504,T367)))&amp;IF(AF367="","",IF(OR(INDEX(MATCHER!$J$5:$J$504,AF367)="",INDEX(MATCHER!$J$5:$J$504,AF367)=IFERROR(INDEX(MATCHER!$J$5:$J$504,R367),""),INDEX(MATCHER!$J$5:$J$504,AF367)=IFERROR(INDEX(MATCHER!$J$5:$J$504,S367),""),INDEX(MATCHER!$J$5:$J$504,AF367)=IFERROR(INDEX(MATCHER!$J$5:$J$504,T367),"")),""," / "&amp;INDEX(MATCHER!$J$5:$J$504,AF367))),4,1000)</f>
        <v>F19</v>
      </c>
      <c r="H367" s="45" t="str">
        <f>H366</f>
        <v>F19</v>
      </c>
      <c r="I367" s="46" t="s">
        <v>90</v>
      </c>
      <c r="J367" s="47" t="s">
        <v>105</v>
      </c>
      <c r="K367" s="48"/>
      <c r="L367" s="49"/>
      <c r="M367" s="50" t="str">
        <f>IF(O367&lt;&gt;O366,MAX(1,MIN(AA367,ROUNDUP(SUMPRODUCT(($O$5:$O$546=O367)*($I$5:$I$546="Ja")*($E$5:$E$546-$D$5:$D$546))*24/REGLER!$B$8,0))),"")</f>
        <v/>
      </c>
      <c r="N367" s="50" t="str">
        <f t="shared" si="75"/>
        <v>Klar</v>
      </c>
      <c r="O367" s="15" t="s">
        <v>145</v>
      </c>
      <c r="P367" s="16">
        <v>0.83333333333333304</v>
      </c>
      <c r="Q367" s="16">
        <v>0.91666666666666696</v>
      </c>
      <c r="R367" s="15">
        <f>IFERROR(MATCH(1,INDEX((MATCHER!$B$5:$B$504=A367)*(MATCHER!$D$5:$D$504=C367)*(MATCHER!$K$5:$K$504="Ja")*(MATCHER!$C$5:$C$504&lt;E367)*(MATCHER!$M$5:$M$504&gt;D367),0),0),"")</f>
        <v>139</v>
      </c>
      <c r="S367" s="15" t="str">
        <f>IF(R367="","",IFERROR(MATCH(1,INDEX((MATCHER!$B$5:$B$504=A367)*(MATCHER!$D$5:$D$504=C367)*(MATCHER!$K$5:$K$504="Ja")*(MATCHER!$C$5:$C$504&lt;E367)*(MATCHER!$M$5:$M$504&gt;D367)*(ROW(MATCHER!$A$5:$A$504)-ROW(MATCHER!$A$5)+1&gt;R367),0),0),""))</f>
        <v/>
      </c>
      <c r="T367" s="15" t="str">
        <f>IF(S367="","",IFERROR(MATCH(1,INDEX((MATCHER!$B$5:$B$504=A367)*(MATCHER!$D$5:$D$504=C367)*(MATCHER!$K$5:$K$504="Ja")*(MATCHER!$C$5:$C$504&lt;E367)*(MATCHER!$M$5:$M$504&gt;D367)*(ROW(MATCHER!$A$5:$A$504)-ROW(MATCHER!$A$5)+1&gt;S367),0),0),""))</f>
        <v/>
      </c>
      <c r="U367" s="15">
        <f t="shared" si="76"/>
        <v>0</v>
      </c>
      <c r="V367" s="15">
        <f>IF(OR(I367&lt;&gt;"Ja",J367=""),"",COUNTIFS($O$5:O367,O367,$U$5:U367,1))</f>
        <v>1</v>
      </c>
      <c r="W367" s="15" t="str">
        <f t="shared" si="77"/>
        <v>2027-01-26 | Råsta Park|1</v>
      </c>
      <c r="X367" s="16" t="str">
        <f t="shared" si="78"/>
        <v/>
      </c>
      <c r="Y367" s="15">
        <f>IF(OR(I367&lt;&gt;"Ja",J367=""),0,IF(COUNTIFS($O$5:O367,O367,$I$5:I367,"Ja",$J$5:J367,"&lt;&gt;")=1,1,0))</f>
        <v>0</v>
      </c>
      <c r="Z367" s="15">
        <f>IF(OR(I367&lt;&gt;"Ja",J367=""),0,IF(COUNTIFS(O367:$O$546,O367,I367:$I$546,"Ja",J367:$J$546,"&lt;&gt;")=1,1,0))</f>
        <v>0</v>
      </c>
      <c r="AA367" s="15">
        <f>AA366</f>
        <v>1</v>
      </c>
      <c r="AB367" s="15" t="str">
        <f>IF(U367&lt;&gt;1,"",COUNTIF($U$5:U367,1))</f>
        <v/>
      </c>
      <c r="AC367" s="15" t="str">
        <f t="shared" si="79"/>
        <v/>
      </c>
      <c r="AD367" s="15" t="str">
        <f t="shared" si="80"/>
        <v>Minicafé</v>
      </c>
      <c r="AE367" s="15" t="str">
        <f t="shared" si="81"/>
        <v/>
      </c>
      <c r="AF367" t="str">
        <f>IF(T367="","",IFERROR(MATCH(1,INDEX((MATCHER!$B$5:$B$504=A367)*(MATCHER!$D$5:$D$504=C367)*(MATCHER!$K$5:$K$504="Ja")*(MATCHER!$C$5:$C$504&lt;E367)*(MATCHER!$M$5:$M$504&gt;D367)*(ROW(MATCHER!$A$5:$A$504)-ROW(MATCHER!$A$5)+1&gt;T367),0),0),""))</f>
        <v/>
      </c>
    </row>
    <row r="368" spans="1:32" ht="13">
      <c r="A368" s="42">
        <v>46413</v>
      </c>
      <c r="B368" s="43" t="s">
        <v>104</v>
      </c>
      <c r="C368" s="43" t="s">
        <v>94</v>
      </c>
      <c r="D368" s="44">
        <v>0.875</v>
      </c>
      <c r="E368" s="44">
        <v>0.89583333333333304</v>
      </c>
      <c r="F368" s="45" t="str">
        <f>IF(R368="","",HOUR(INDEX(MATCHER!$C$5:$C$504,R368))&amp;":"&amp;IF(MINUTE(INDEX(MATCHER!$C$5:$C$504,R368))&lt;10,"0","")&amp;MINUTE(INDEX(MATCHER!$C$5:$C$504,R368))&amp;" "&amp;INDEX(MATCHER!$H$5:$H$504,R368)&amp;" – "&amp;INDEX(MATCHER!$I$5:$I$504,R368))&amp;IF(S368="",""," | "&amp;HOUR(INDEX(MATCHER!$C$5:$C$504,S368))&amp;":"&amp;IF(MINUTE(INDEX(MATCHER!$C$5:$C$504,S368))&lt;10,"0","")&amp;MINUTE(INDEX(MATCHER!$C$5:$C$504,S368))&amp;" "&amp;INDEX(MATCHER!$H$5:$H$504,S368)&amp;" – "&amp;INDEX(MATCHER!$I$5:$I$504,S368))&amp;IF(T368="",""," | "&amp;HOUR(INDEX(MATCHER!$C$5:$C$504,T368))&amp;":"&amp;IF(MINUTE(INDEX(MATCHER!$C$5:$C$504,T368))&lt;10,"0","")&amp;MINUTE(INDEX(MATCHER!$C$5:$C$504,T368))&amp;" "&amp;INDEX(MATCHER!$H$5:$H$504,T368)&amp;" – "&amp;INDEX(MATCHER!$I$5:$I$504,T368))&amp;IF(AF368="",""," | "&amp;HOUR(INDEX(MATCHER!$C$5:$C$504,AF368))&amp;":"&amp;IF(MINUTE(INDEX(MATCHER!$C$5:$C$504,AF368))&lt;10,"0","")&amp;MINUTE(INDEX(MATCHER!$C$5:$C$504,AF368))&amp;" "&amp;INDEX(MATCHER!$H$5:$H$504,AF368)&amp;" – "&amp;INDEX(MATCHER!$I$5:$I$504,AF368))</f>
        <v>20:45 AIK – IFK Tumba HK</v>
      </c>
      <c r="G368" s="45" t="str">
        <f>MID(IF(R368="","",IF(OR(INDEX(MATCHER!$J$5:$J$504,R368)=""),""," / "&amp;INDEX(MATCHER!$J$5:$J$504,R368)))&amp;IF(S368="","",IF(OR(INDEX(MATCHER!$J$5:$J$504,S368)="",INDEX(MATCHER!$J$5:$J$504,S368)=IFERROR(INDEX(MATCHER!$J$5:$J$504,R368),"")),""," / "&amp;INDEX(MATCHER!$J$5:$J$504,S368)))&amp;IF(T368="","",IF(OR(INDEX(MATCHER!$J$5:$J$504,T368)="",INDEX(MATCHER!$J$5:$J$504,T368)=IFERROR(INDEX(MATCHER!$J$5:$J$504,R368),""),INDEX(MATCHER!$J$5:$J$504,T368)=IFERROR(INDEX(MATCHER!$J$5:$J$504,S368),"")),""," / "&amp;INDEX(MATCHER!$J$5:$J$504,T368)))&amp;IF(AF368="","",IF(OR(INDEX(MATCHER!$J$5:$J$504,AF368)="",INDEX(MATCHER!$J$5:$J$504,AF368)=IFERROR(INDEX(MATCHER!$J$5:$J$504,R368),""),INDEX(MATCHER!$J$5:$J$504,AF368)=IFERROR(INDEX(MATCHER!$J$5:$J$504,S368),""),INDEX(MATCHER!$J$5:$J$504,AF368)=IFERROR(INDEX(MATCHER!$J$5:$J$504,T368),"")),""," / "&amp;INDEX(MATCHER!$J$5:$J$504,AF368))),4,1000)</f>
        <v>F19</v>
      </c>
      <c r="H368" s="45" t="str">
        <f>H367</f>
        <v>F19</v>
      </c>
      <c r="I368" s="46" t="s">
        <v>90</v>
      </c>
      <c r="J368" s="47" t="s">
        <v>105</v>
      </c>
      <c r="K368" s="48"/>
      <c r="L368" s="49"/>
      <c r="M368" s="50" t="str">
        <f>IF(O368&lt;&gt;O367,MAX(1,MIN(AA368,ROUNDUP(SUMPRODUCT(($O$5:$O$546=O368)*($I$5:$I$546="Ja")*($E$5:$E$546-$D$5:$D$546))*24/REGLER!$B$8,0))),"")</f>
        <v/>
      </c>
      <c r="N368" s="50" t="str">
        <f t="shared" si="75"/>
        <v>Klar</v>
      </c>
      <c r="O368" s="15" t="s">
        <v>145</v>
      </c>
      <c r="P368" s="16">
        <v>0.83333333333333304</v>
      </c>
      <c r="Q368" s="16">
        <v>0.91666666666666696</v>
      </c>
      <c r="R368" s="15">
        <f>IFERROR(MATCH(1,INDEX((MATCHER!$B$5:$B$504=A368)*(MATCHER!$D$5:$D$504=C368)*(MATCHER!$K$5:$K$504="Ja")*(MATCHER!$C$5:$C$504&lt;E368)*(MATCHER!$M$5:$M$504&gt;D368),0),0),"")</f>
        <v>139</v>
      </c>
      <c r="S368" s="15" t="str">
        <f>IF(R368="","",IFERROR(MATCH(1,INDEX((MATCHER!$B$5:$B$504=A368)*(MATCHER!$D$5:$D$504=C368)*(MATCHER!$K$5:$K$504="Ja")*(MATCHER!$C$5:$C$504&lt;E368)*(MATCHER!$M$5:$M$504&gt;D368)*(ROW(MATCHER!$A$5:$A$504)-ROW(MATCHER!$A$5)+1&gt;R368),0),0),""))</f>
        <v/>
      </c>
      <c r="T368" s="15" t="str">
        <f>IF(S368="","",IFERROR(MATCH(1,INDEX((MATCHER!$B$5:$B$504=A368)*(MATCHER!$D$5:$D$504=C368)*(MATCHER!$K$5:$K$504="Ja")*(MATCHER!$C$5:$C$504&lt;E368)*(MATCHER!$M$5:$M$504&gt;D368)*(ROW(MATCHER!$A$5:$A$504)-ROW(MATCHER!$A$5)+1&gt;S368),0),0),""))</f>
        <v/>
      </c>
      <c r="U368" s="15">
        <f t="shared" si="76"/>
        <v>0</v>
      </c>
      <c r="V368" s="15">
        <f>IF(OR(I368&lt;&gt;"Ja",J368=""),"",COUNTIFS($O$5:O368,O368,$U$5:U368,1))</f>
        <v>1</v>
      </c>
      <c r="W368" s="15" t="str">
        <f t="shared" si="77"/>
        <v>2027-01-26 | Råsta Park|1</v>
      </c>
      <c r="X368" s="16" t="str">
        <f t="shared" si="78"/>
        <v/>
      </c>
      <c r="Y368" s="15">
        <f>IF(OR(I368&lt;&gt;"Ja",J368=""),0,IF(COUNTIFS($O$5:O368,O368,$I$5:I368,"Ja",$J$5:J368,"&lt;&gt;")=1,1,0))</f>
        <v>0</v>
      </c>
      <c r="Z368" s="15">
        <f>IF(OR(I368&lt;&gt;"Ja",J368=""),0,IF(COUNTIFS(O368:$O$546,O368,I368:$I$546,"Ja",J368:$J$546,"&lt;&gt;")=1,1,0))</f>
        <v>0</v>
      </c>
      <c r="AA368" s="15">
        <f>AA367</f>
        <v>1</v>
      </c>
      <c r="AB368" s="15" t="str">
        <f>IF(U368&lt;&gt;1,"",COUNTIF($U$5:U368,1))</f>
        <v/>
      </c>
      <c r="AC368" s="15" t="str">
        <f t="shared" si="79"/>
        <v/>
      </c>
      <c r="AD368" s="15" t="str">
        <f t="shared" si="80"/>
        <v>Minicafé</v>
      </c>
      <c r="AE368" s="15" t="str">
        <f t="shared" si="81"/>
        <v/>
      </c>
      <c r="AF368" t="str">
        <f>IF(T368="","",IFERROR(MATCH(1,INDEX((MATCHER!$B$5:$B$504=A368)*(MATCHER!$D$5:$D$504=C368)*(MATCHER!$K$5:$K$504="Ja")*(MATCHER!$C$5:$C$504&lt;E368)*(MATCHER!$M$5:$M$504&gt;D368)*(ROW(MATCHER!$A$5:$A$504)-ROW(MATCHER!$A$5)+1&gt;T368),0),0),""))</f>
        <v/>
      </c>
    </row>
    <row r="369" spans="1:32" ht="13.5" thickBot="1">
      <c r="A369" s="52">
        <v>46413</v>
      </c>
      <c r="B369" s="53" t="s">
        <v>104</v>
      </c>
      <c r="C369" s="53" t="s">
        <v>94</v>
      </c>
      <c r="D369" s="54">
        <v>0.89583333333333304</v>
      </c>
      <c r="E369" s="54">
        <v>0.91666666666666696</v>
      </c>
      <c r="F369" s="55" t="str">
        <f>IF(R369="","",HOUR(INDEX(MATCHER!$C$5:$C$504,R369))&amp;":"&amp;IF(MINUTE(INDEX(MATCHER!$C$5:$C$504,R369))&lt;10,"0","")&amp;MINUTE(INDEX(MATCHER!$C$5:$C$504,R369))&amp;" "&amp;INDEX(MATCHER!$H$5:$H$504,R369)&amp;" – "&amp;INDEX(MATCHER!$I$5:$I$504,R369))&amp;IF(S369="",""," | "&amp;HOUR(INDEX(MATCHER!$C$5:$C$504,S369))&amp;":"&amp;IF(MINUTE(INDEX(MATCHER!$C$5:$C$504,S369))&lt;10,"0","")&amp;MINUTE(INDEX(MATCHER!$C$5:$C$504,S369))&amp;" "&amp;INDEX(MATCHER!$H$5:$H$504,S369)&amp;" – "&amp;INDEX(MATCHER!$I$5:$I$504,S369))&amp;IF(T369="",""," | "&amp;HOUR(INDEX(MATCHER!$C$5:$C$504,T369))&amp;":"&amp;IF(MINUTE(INDEX(MATCHER!$C$5:$C$504,T369))&lt;10,"0","")&amp;MINUTE(INDEX(MATCHER!$C$5:$C$504,T369))&amp;" "&amp;INDEX(MATCHER!$H$5:$H$504,T369)&amp;" – "&amp;INDEX(MATCHER!$I$5:$I$504,T369))&amp;IF(AF369="",""," | "&amp;HOUR(INDEX(MATCHER!$C$5:$C$504,AF369))&amp;":"&amp;IF(MINUTE(INDEX(MATCHER!$C$5:$C$504,AF369))&lt;10,"0","")&amp;MINUTE(INDEX(MATCHER!$C$5:$C$504,AF369))&amp;" "&amp;INDEX(MATCHER!$H$5:$H$504,AF369)&amp;" – "&amp;INDEX(MATCHER!$I$5:$I$504,AF369))</f>
        <v>20:45 AIK – IFK Tumba HK</v>
      </c>
      <c r="G369" s="55" t="str">
        <f>MID(IF(R369="","",IF(OR(INDEX(MATCHER!$J$5:$J$504,R369)=""),""," / "&amp;INDEX(MATCHER!$J$5:$J$504,R369)))&amp;IF(S369="","",IF(OR(INDEX(MATCHER!$J$5:$J$504,S369)="",INDEX(MATCHER!$J$5:$J$504,S369)=IFERROR(INDEX(MATCHER!$J$5:$J$504,R369),"")),""," / "&amp;INDEX(MATCHER!$J$5:$J$504,S369)))&amp;IF(T369="","",IF(OR(INDEX(MATCHER!$J$5:$J$504,T369)="",INDEX(MATCHER!$J$5:$J$504,T369)=IFERROR(INDEX(MATCHER!$J$5:$J$504,R369),""),INDEX(MATCHER!$J$5:$J$504,T369)=IFERROR(INDEX(MATCHER!$J$5:$J$504,S369),"")),""," / "&amp;INDEX(MATCHER!$J$5:$J$504,T369)))&amp;IF(AF369="","",IF(OR(INDEX(MATCHER!$J$5:$J$504,AF369)="",INDEX(MATCHER!$J$5:$J$504,AF369)=IFERROR(INDEX(MATCHER!$J$5:$J$504,R369),""),INDEX(MATCHER!$J$5:$J$504,AF369)=IFERROR(INDEX(MATCHER!$J$5:$J$504,S369),""),INDEX(MATCHER!$J$5:$J$504,AF369)=IFERROR(INDEX(MATCHER!$J$5:$J$504,T369),"")),""," / "&amp;INDEX(MATCHER!$J$5:$J$504,AF369))),4,1000)</f>
        <v>F19</v>
      </c>
      <c r="H369" s="55" t="str">
        <f>H368</f>
        <v>F19</v>
      </c>
      <c r="I369" s="56" t="s">
        <v>90</v>
      </c>
      <c r="J369" s="57" t="s">
        <v>105</v>
      </c>
      <c r="K369" s="58"/>
      <c r="L369" s="59"/>
      <c r="M369" s="60" t="str">
        <f>IF(O369&lt;&gt;O368,MAX(1,MIN(AA369,ROUNDUP(SUMPRODUCT(($O$5:$O$546=O369)*($I$5:$I$546="Ja")*($E$5:$E$546-$D$5:$D$546))*24/REGLER!$B$8,0))),"")</f>
        <v/>
      </c>
      <c r="N369" s="60" t="str">
        <f t="shared" si="75"/>
        <v>Klar</v>
      </c>
      <c r="O369" s="15" t="s">
        <v>145</v>
      </c>
      <c r="P369" s="16">
        <v>0.83333333333333304</v>
      </c>
      <c r="Q369" s="16">
        <v>0.91666666666666696</v>
      </c>
      <c r="R369" s="15">
        <f>IFERROR(MATCH(1,INDEX((MATCHER!$B$5:$B$504=A369)*(MATCHER!$D$5:$D$504=C369)*(MATCHER!$K$5:$K$504="Ja")*(MATCHER!$C$5:$C$504&lt;E369)*(MATCHER!$M$5:$M$504&gt;D369),0),0),"")</f>
        <v>139</v>
      </c>
      <c r="S369" s="15" t="str">
        <f>IF(R369="","",IFERROR(MATCH(1,INDEX((MATCHER!$B$5:$B$504=A369)*(MATCHER!$D$5:$D$504=C369)*(MATCHER!$K$5:$K$504="Ja")*(MATCHER!$C$5:$C$504&lt;E369)*(MATCHER!$M$5:$M$504&gt;D369)*(ROW(MATCHER!$A$5:$A$504)-ROW(MATCHER!$A$5)+1&gt;R369),0),0),""))</f>
        <v/>
      </c>
      <c r="T369" s="15" t="str">
        <f>IF(S369="","",IFERROR(MATCH(1,INDEX((MATCHER!$B$5:$B$504=A369)*(MATCHER!$D$5:$D$504=C369)*(MATCHER!$K$5:$K$504="Ja")*(MATCHER!$C$5:$C$504&lt;E369)*(MATCHER!$M$5:$M$504&gt;D369)*(ROW(MATCHER!$A$5:$A$504)-ROW(MATCHER!$A$5)+1&gt;S369),0),0),""))</f>
        <v/>
      </c>
      <c r="U369" s="15">
        <f t="shared" si="76"/>
        <v>0</v>
      </c>
      <c r="V369" s="15">
        <f>IF(OR(I369&lt;&gt;"Ja",J369=""),"",COUNTIFS($O$5:O369,O369,$U$5:U369,1))</f>
        <v>1</v>
      </c>
      <c r="W369" s="15" t="str">
        <f t="shared" si="77"/>
        <v>2027-01-26 | Råsta Park|1</v>
      </c>
      <c r="X369" s="16">
        <f t="shared" si="78"/>
        <v>0.91666666666666696</v>
      </c>
      <c r="Y369" s="15">
        <f>IF(OR(I369&lt;&gt;"Ja",J369=""),0,IF(COUNTIFS($O$5:O369,O369,$I$5:I369,"Ja",$J$5:J369,"&lt;&gt;")=1,1,0))</f>
        <v>0</v>
      </c>
      <c r="Z369" s="15">
        <f>IF(OR(I369&lt;&gt;"Ja",J369=""),0,IF(COUNTIFS(O369:$O$546,O369,I369:$I$546,"Ja",J369:$J$546,"&lt;&gt;")=1,1,0))</f>
        <v>1</v>
      </c>
      <c r="AA369" s="15">
        <f>AA368</f>
        <v>1</v>
      </c>
      <c r="AB369" s="15" t="str">
        <f>IF(U369&lt;&gt;1,"",COUNTIF($U$5:U369,1))</f>
        <v/>
      </c>
      <c r="AC369" s="15" t="str">
        <f t="shared" si="79"/>
        <v>2027-01-26 | Råsta Park|1</v>
      </c>
      <c r="AD369" s="15" t="str">
        <f t="shared" si="80"/>
        <v>Minicafé</v>
      </c>
      <c r="AE369" s="15" t="str">
        <f t="shared" si="81"/>
        <v/>
      </c>
      <c r="AF369" t="str">
        <f>IF(T369="","",IFERROR(MATCH(1,INDEX((MATCHER!$B$5:$B$504=A369)*(MATCHER!$D$5:$D$504=C369)*(MATCHER!$K$5:$K$504="Ja")*(MATCHER!$C$5:$C$504&lt;E369)*(MATCHER!$M$5:$M$504&gt;D369)*(ROW(MATCHER!$A$5:$A$504)-ROW(MATCHER!$A$5)+1&gt;T369),0),0),""))</f>
        <v/>
      </c>
    </row>
    <row r="370" spans="1:32" ht="26">
      <c r="A370" s="61">
        <v>46413</v>
      </c>
      <c r="B370" s="62" t="s">
        <v>104</v>
      </c>
      <c r="C370" s="62" t="s">
        <v>110</v>
      </c>
      <c r="D370" s="63">
        <v>0.83333333333333304</v>
      </c>
      <c r="E370" s="63">
        <v>0.85416666666666696</v>
      </c>
      <c r="F370" s="64" t="str">
        <f>IF(R370="","",HOUR(INDEX(MATCHER!$C$5:$C$504,R370))&amp;":"&amp;IF(MINUTE(INDEX(MATCHER!$C$5:$C$504,R370))&lt;10,"0","")&amp;MINUTE(INDEX(MATCHER!$C$5:$C$504,R370))&amp;" "&amp;INDEX(MATCHER!$H$5:$H$504,R370)&amp;" – "&amp;INDEX(MATCHER!$I$5:$I$504,R370))&amp;IF(S370="",""," | "&amp;HOUR(INDEX(MATCHER!$C$5:$C$504,S370))&amp;":"&amp;IF(MINUTE(INDEX(MATCHER!$C$5:$C$504,S370))&lt;10,"0","")&amp;MINUTE(INDEX(MATCHER!$C$5:$C$504,S370))&amp;" "&amp;INDEX(MATCHER!$H$5:$H$504,S370)&amp;" – "&amp;INDEX(MATCHER!$I$5:$I$504,S370))&amp;IF(T370="",""," | "&amp;HOUR(INDEX(MATCHER!$C$5:$C$504,T370))&amp;":"&amp;IF(MINUTE(INDEX(MATCHER!$C$5:$C$504,T370))&lt;10,"0","")&amp;MINUTE(INDEX(MATCHER!$C$5:$C$504,T370))&amp;" "&amp;INDEX(MATCHER!$H$5:$H$504,T370)&amp;" – "&amp;INDEX(MATCHER!$I$5:$I$504,T370))&amp;IF(AF370="",""," | "&amp;HOUR(INDEX(MATCHER!$C$5:$C$504,AF370))&amp;":"&amp;IF(MINUTE(INDEX(MATCHER!$C$5:$C$504,AF370))&lt;10,"0","")&amp;MINUTE(INDEX(MATCHER!$C$5:$C$504,AF370))&amp;" "&amp;INDEX(MATCHER!$H$5:$H$504,AF370)&amp;" – "&amp;INDEX(MATCHER!$I$5:$I$504,AF370))</f>
        <v/>
      </c>
      <c r="G370" s="64" t="str">
        <f>MID(IF(R370="","",IF(OR(INDEX(MATCHER!$J$5:$J$504,R370)=""),""," / "&amp;INDEX(MATCHER!$J$5:$J$504,R370)))&amp;IF(S370="","",IF(OR(INDEX(MATCHER!$J$5:$J$504,S370)="",INDEX(MATCHER!$J$5:$J$504,S370)=IFERROR(INDEX(MATCHER!$J$5:$J$504,R370),"")),""," / "&amp;INDEX(MATCHER!$J$5:$J$504,S370)))&amp;IF(T370="","",IF(OR(INDEX(MATCHER!$J$5:$J$504,T370)="",INDEX(MATCHER!$J$5:$J$504,T370)=IFERROR(INDEX(MATCHER!$J$5:$J$504,R370),""),INDEX(MATCHER!$J$5:$J$504,T370)=IFERROR(INDEX(MATCHER!$J$5:$J$504,S370),"")),""," / "&amp;INDEX(MATCHER!$J$5:$J$504,T370)))&amp;IF(AF370="","",IF(OR(INDEX(MATCHER!$J$5:$J$504,AF370)="",INDEX(MATCHER!$J$5:$J$504,AF370)=IFERROR(INDEX(MATCHER!$J$5:$J$504,R370),""),INDEX(MATCHER!$J$5:$J$504,AF370)=IFERROR(INDEX(MATCHER!$J$5:$J$504,S370),""),INDEX(MATCHER!$J$5:$J$504,AF370)=IFERROR(INDEX(MATCHER!$J$5:$J$504,T370),"")),""," / "&amp;INDEX(MATCHER!$J$5:$J$504,AF370))),4,1000)</f>
        <v/>
      </c>
      <c r="H370" s="64" t="str">
        <f>MID(IF(COUNTIFS(MATCHER!$B$5:$B$504,A370,MATCHER!$D$5:$D$504,C370,MATCHER!$J$5:$J$504,REGLER!$I$6,MATCHER!$K$5:$K$504,"Ja")+COUNTIFS(MATCHER!$B$5:$B$504,A370,MATCHER!$D$5:$D$504,C370,MATCHER!$J$5:$J$504,REGLER!$I$6&amp;" 2",MATCHER!$K$5:$K$504,"Ja")&gt;0,", "&amp;REGLER!$I$6,"")&amp;IF(COUNTIFS(MATCHER!$B$5:$B$504,A370,MATCHER!$D$5:$D$504,C370,MATCHER!$J$5:$J$504,REGLER!$I$7,MATCHER!$K$5:$K$504,"Ja")+COUNTIFS(MATCHER!$B$5:$B$504,A370,MATCHER!$D$5:$D$504,C370,MATCHER!$J$5:$J$504,REGLER!$I$7&amp;" 2",MATCHER!$K$5:$K$504,"Ja")&gt;0,", "&amp;REGLER!$I$7,"")&amp;IF(COUNTIFS(MATCHER!$B$5:$B$504,A370,MATCHER!$D$5:$D$504,C370,MATCHER!$J$5:$J$504,REGLER!$I$8,MATCHER!$K$5:$K$504,"Ja")+COUNTIFS(MATCHER!$B$5:$B$504,A370,MATCHER!$D$5:$D$504,C370,MATCHER!$J$5:$J$504,REGLER!$I$8&amp;" 2",MATCHER!$K$5:$K$504,"Ja")&gt;0,", "&amp;REGLER!$I$8,"")&amp;IF(COUNTIFS(MATCHER!$B$5:$B$504,A370,MATCHER!$D$5:$D$504,C370,MATCHER!$J$5:$J$504,REGLER!$I$9,MATCHER!$K$5:$K$504,"Ja")+COUNTIFS(MATCHER!$B$5:$B$504,A370,MATCHER!$D$5:$D$504,C370,MATCHER!$J$5:$J$504,REGLER!$I$9&amp;" 2",MATCHER!$K$5:$K$504,"Ja")&gt;0,", "&amp;REGLER!$I$9,"")&amp;IF(COUNTIFS(MATCHER!$B$5:$B$504,A370,MATCHER!$D$5:$D$504,C370,MATCHER!$J$5:$J$504,REGLER!$I$10,MATCHER!$K$5:$K$504,"Ja")+COUNTIFS(MATCHER!$B$5:$B$504,A370,MATCHER!$D$5:$D$504,C370,MATCHER!$J$5:$J$504,REGLER!$I$10&amp;" 2",MATCHER!$K$5:$K$504,"Ja")&gt;0,", "&amp;REGLER!$I$10,"")&amp;IF(COUNTIFS(MATCHER!$B$5:$B$504,A370,MATCHER!$D$5:$D$504,C370,MATCHER!$J$5:$J$504,REGLER!$I$11,MATCHER!$K$5:$K$504,"Ja")+COUNTIFS(MATCHER!$B$5:$B$504,A370,MATCHER!$D$5:$D$504,C370,MATCHER!$J$5:$J$504,REGLER!$I$11&amp;" 2",MATCHER!$K$5:$K$504,"Ja")&gt;0,", "&amp;REGLER!$I$11,"")&amp;IF(COUNTIFS(MATCHER!$B$5:$B$504,A370,MATCHER!$D$5:$D$504,C370,MATCHER!$J$5:$J$504,REGLER!$I$12,MATCHER!$K$5:$K$504,"Ja")+COUNTIFS(MATCHER!$B$5:$B$504,A370,MATCHER!$D$5:$D$504,C370,MATCHER!$J$5:$J$504,REGLER!$I$12&amp;" 2",MATCHER!$K$5:$K$504,"Ja")&gt;0,", "&amp;REGLER!$I$12,"")&amp;IF(COUNTIFS(MATCHER!$B$5:$B$504,A370,MATCHER!$D$5:$D$504,C370,MATCHER!$J$5:$J$504,REGLER!$I$13,MATCHER!$K$5:$K$504,"Ja")+COUNTIFS(MATCHER!$B$5:$B$504,A370,MATCHER!$D$5:$D$504,C370,MATCHER!$J$5:$J$504,REGLER!$I$13&amp;" 2",MATCHER!$K$5:$K$504,"Ja")&gt;0,", "&amp;REGLER!$I$13,"")&amp;IF(COUNTIFS(MATCHER!$B$5:$B$504,A370,MATCHER!$D$5:$D$504,C370,MATCHER!$J$5:$J$504,REGLER!$I$14,MATCHER!$K$5:$K$504,"Ja")+COUNTIFS(MATCHER!$B$5:$B$504,A370,MATCHER!$D$5:$D$504,C370,MATCHER!$J$5:$J$504,REGLER!$I$14&amp;" 2",MATCHER!$K$5:$K$504,"Ja")&gt;0,", "&amp;REGLER!$I$14,"")&amp;IF(COUNTIFS(MATCHER!$B$5:$B$504,A370,MATCHER!$D$5:$D$504,C370,MATCHER!$J$5:$J$504,REGLER!$I$15,MATCHER!$K$5:$K$504,"Ja")+COUNTIFS(MATCHER!$B$5:$B$504,A370,MATCHER!$D$5:$D$504,C370,MATCHER!$J$5:$J$504,REGLER!$I$15&amp;" 2",MATCHER!$K$5:$K$504,"Ja")&gt;0,", "&amp;REGLER!$I$15,"")&amp;IF(COUNTIFS(MATCHER!$B$5:$B$504,A370,MATCHER!$D$5:$D$504,C370,MATCHER!$J$5:$J$504,REGLER!$I$16,MATCHER!$K$5:$K$504,"Ja")+COUNTIFS(MATCHER!$B$5:$B$504,A370,MATCHER!$D$5:$D$504,C370,MATCHER!$J$5:$J$504,REGLER!$I$16&amp;" 2",MATCHER!$K$5:$K$504,"Ja")&gt;0,", "&amp;REGLER!$I$16,"")&amp;IF(COUNTIFS(MATCHER!$B$5:$B$504,A370,MATCHER!$D$5:$D$504,C370,MATCHER!$J$5:$J$504,REGLER!$I$17,MATCHER!$K$5:$K$504,"Ja")+COUNTIFS(MATCHER!$B$5:$B$504,A370,MATCHER!$D$5:$D$504,C370,MATCHER!$J$5:$J$504,REGLER!$I$17&amp;" 2",MATCHER!$K$5:$K$504,"Ja")&gt;0,", "&amp;REGLER!$I$17,"")&amp;IF(COUNTIFS(MATCHER!$B$5:$B$504,A370,MATCHER!$D$5:$D$504,C370,MATCHER!$J$5:$J$504,REGLER!$I$18,MATCHER!$K$5:$K$504,"Ja")+COUNTIFS(MATCHER!$B$5:$B$504,A370,MATCHER!$D$5:$D$504,C370,MATCHER!$J$5:$J$504,REGLER!$I$18&amp;" 2",MATCHER!$K$5:$K$504,"Ja")&gt;0,", "&amp;REGLER!$I$18,"")&amp;IF(COUNTIFS(MATCHER!$B$5:$B$504,A370,MATCHER!$D$5:$D$504,C370,MATCHER!$J$5:$J$504,REGLER!$I$19,MATCHER!$K$5:$K$504,"Ja")+COUNTIFS(MATCHER!$B$5:$B$504,A370,MATCHER!$D$5:$D$504,C370,MATCHER!$J$5:$J$504,REGLER!$I$19&amp;" 2",MATCHER!$K$5:$K$504,"Ja")&gt;0,", "&amp;REGLER!$I$19,"")&amp;IF(COUNTIFS(MATCHER!$B$5:$B$504,A370,MATCHER!$D$5:$D$504,C370,MATCHER!$J$5:$J$504,REGLER!$I$20,MATCHER!$K$5:$K$504,"Ja")+COUNTIFS(MATCHER!$B$5:$B$504,A370,MATCHER!$D$5:$D$504,C370,MATCHER!$J$5:$J$504,REGLER!$I$20&amp;" 2",MATCHER!$K$5:$K$504,"Ja")&gt;0,", "&amp;REGLER!$I$20,"")&amp;IF(COUNTIFS(MATCHER!$B$5:$B$504,A370,MATCHER!$D$5:$D$504,C370,MATCHER!$J$5:$J$504,REGLER!$I$21,MATCHER!$K$5:$K$504,"Ja")+COUNTIFS(MATCHER!$B$5:$B$504,A370,MATCHER!$D$5:$D$504,C370,MATCHER!$J$5:$J$504,REGLER!$I$21&amp;" 2",MATCHER!$K$5:$K$504,"Ja")&gt;0,", "&amp;REGLER!$I$21,"")&amp;IF(COUNTIFS(MATCHER!$B$5:$B$504,A370,MATCHER!$D$5:$D$504,C370,MATCHER!$J$5:$J$504,REGLER!$I$22,MATCHER!$K$5:$K$504,"Ja")+COUNTIFS(MATCHER!$B$5:$B$504,A370,MATCHER!$D$5:$D$504,C370,MATCHER!$J$5:$J$504,REGLER!$I$22&amp;" 2",MATCHER!$K$5:$K$504,"Ja")&gt;0,", "&amp;REGLER!$I$22,"")&amp;IF(COUNTIFS(MATCHER!$B$5:$B$504,A370,MATCHER!$D$5:$D$504,C370,MATCHER!$J$5:$J$504,REGLER!$I$23,MATCHER!$K$5:$K$504,"Ja")+COUNTIFS(MATCHER!$B$5:$B$504,A370,MATCHER!$D$5:$D$504,C370,MATCHER!$J$5:$J$504,REGLER!$I$23&amp;" 2",MATCHER!$K$5:$K$504,"Ja")&gt;0,", "&amp;REGLER!$I$23,"")&amp;IF(COUNTIFS(MATCHER!$B$5:$B$504,A370,MATCHER!$D$5:$D$504,C370,MATCHER!$J$5:$J$504,REGLER!$I$24,MATCHER!$K$5:$K$504,"Ja")+COUNTIFS(MATCHER!$B$5:$B$504,A370,MATCHER!$D$5:$D$504,C370,MATCHER!$J$5:$J$504,REGLER!$I$24&amp;" 2",MATCHER!$K$5:$K$504,"Ja")&gt;0,", "&amp;REGLER!$I$24,"")&amp;IF(COUNTIFS(MATCHER!$B$5:$B$504,A370,MATCHER!$D$5:$D$504,C370,MATCHER!$J$5:$J$504,REGLER!$I$25,MATCHER!$K$5:$K$504,"Ja")+COUNTIFS(MATCHER!$B$5:$B$504,A370,MATCHER!$D$5:$D$504,C370,MATCHER!$J$5:$J$504,REGLER!$I$25&amp;" 2",MATCHER!$K$5:$K$504,"Ja")&gt;0,", "&amp;REGLER!$I$25,"")&amp;IF(COUNTIFS(MATCHER!$B$5:$B$504,A370,MATCHER!$D$5:$D$504,C370,MATCHER!$J$5:$J$504,REGLER!$I$26,MATCHER!$K$5:$K$504,"Ja")+COUNTIFS(MATCHER!$B$5:$B$504,A370,MATCHER!$D$5:$D$504,C370,MATCHER!$J$5:$J$504,REGLER!$I$26&amp;" 2",MATCHER!$K$5:$K$504,"Ja")&gt;0,", "&amp;REGLER!$I$26,""),3,1000)</f>
        <v>Dam</v>
      </c>
      <c r="I370" s="65" t="s">
        <v>87</v>
      </c>
      <c r="J370" s="66"/>
      <c r="K370" s="67" t="s">
        <v>98</v>
      </c>
      <c r="L370" s="68"/>
      <c r="M370" s="69">
        <f>IF(O370&lt;&gt;O369,MAX(1,MIN(AA370,ROUNDUP(SUMPRODUCT(($O$5:$O$546=O370)*($I$5:$I$546="Ja")*($E$5:$E$546-$D$5:$D$546))*24/REGLER!$B$8,0))),"")</f>
        <v>1</v>
      </c>
      <c r="N370" s="70" t="str">
        <f t="shared" si="75"/>
        <v>Ej öppet</v>
      </c>
      <c r="O370" s="15" t="s">
        <v>146</v>
      </c>
      <c r="P370" s="16">
        <v>0.83333333333333304</v>
      </c>
      <c r="Q370" s="16">
        <v>0.9375</v>
      </c>
      <c r="R370" s="15" t="str">
        <f>IFERROR(MATCH(1,INDEX((MATCHER!$B$5:$B$504=A370)*(MATCHER!$D$5:$D$504=C370)*(MATCHER!$K$5:$K$504="Ja")*(MATCHER!$C$5:$C$504&lt;E370)*(MATCHER!$M$5:$M$504&gt;D370),0),0),"")</f>
        <v/>
      </c>
      <c r="S370" s="15" t="str">
        <f>IF(R370="","",IFERROR(MATCH(1,INDEX((MATCHER!$B$5:$B$504=A370)*(MATCHER!$D$5:$D$504=C370)*(MATCHER!$K$5:$K$504="Ja")*(MATCHER!$C$5:$C$504&lt;E370)*(MATCHER!$M$5:$M$504&gt;D370)*(ROW(MATCHER!$A$5:$A$504)-ROW(MATCHER!$A$5)+1&gt;R370),0),0),""))</f>
        <v/>
      </c>
      <c r="T370" s="15" t="str">
        <f>IF(S370="","",IFERROR(MATCH(1,INDEX((MATCHER!$B$5:$B$504=A370)*(MATCHER!$D$5:$D$504=C370)*(MATCHER!$K$5:$K$504="Ja")*(MATCHER!$C$5:$C$504&lt;E370)*(MATCHER!$M$5:$M$504&gt;D370)*(ROW(MATCHER!$A$5:$A$504)-ROW(MATCHER!$A$5)+1&gt;S370),0),0),""))</f>
        <v/>
      </c>
      <c r="U370" s="15" t="str">
        <f t="shared" si="76"/>
        <v/>
      </c>
      <c r="V370" s="15" t="str">
        <f>IF(OR(I370&lt;&gt;"Ja",J370=""),"",COUNTIFS($O$5:O370,O370,$U$5:U370,1))</f>
        <v/>
      </c>
      <c r="W370" s="15" t="str">
        <f t="shared" si="77"/>
        <v/>
      </c>
      <c r="X370" s="16" t="str">
        <f t="shared" si="78"/>
        <v/>
      </c>
      <c r="Y370" s="15">
        <f>IF(OR(I370&lt;&gt;"Ja",J370=""),0,IF(COUNTIFS($O$5:O370,O370,$I$5:I370,"Ja",$J$5:J370,"&lt;&gt;")=1,1,0))</f>
        <v>0</v>
      </c>
      <c r="Z370" s="15">
        <f>IF(OR(I370&lt;&gt;"Ja",J370=""),0,IF(COUNTIFS(O370:$O$546,O370,I370:$I$546,"Ja",J370:$J$546,"&lt;&gt;")=1,1,0))</f>
        <v>0</v>
      </c>
      <c r="AA370" s="15">
        <f>IF(COUNTIFS(MATCHER!$B$5:$B$504,A370,MATCHER!$D$5:$D$504,C370,MATCHER!$J$5:$J$504,REGLER!$I$6,MATCHER!$K$5:$K$504,"Ja")+COUNTIFS(MATCHER!$B$5:$B$504,A370,MATCHER!$D$5:$D$504,C370,MATCHER!$J$5:$J$504,REGLER!$I$6&amp;" 2",MATCHER!$K$5:$K$504,"Ja")&gt;0,1,0)+IF(COUNTIFS(MATCHER!$B$5:$B$504,A370,MATCHER!$D$5:$D$504,C370,MATCHER!$J$5:$J$504,REGLER!$I$7,MATCHER!$K$5:$K$504,"Ja")+COUNTIFS(MATCHER!$B$5:$B$504,A370,MATCHER!$D$5:$D$504,C370,MATCHER!$J$5:$J$504,REGLER!$I$7&amp;" 2",MATCHER!$K$5:$K$504,"Ja")&gt;0,1,0)+IF(COUNTIFS(MATCHER!$B$5:$B$504,A370,MATCHER!$D$5:$D$504,C370,MATCHER!$J$5:$J$504,REGLER!$I$8,MATCHER!$K$5:$K$504,"Ja")+COUNTIFS(MATCHER!$B$5:$B$504,A370,MATCHER!$D$5:$D$504,C370,MATCHER!$J$5:$J$504,REGLER!$I$8&amp;" 2",MATCHER!$K$5:$K$504,"Ja")&gt;0,1,0)+IF(COUNTIFS(MATCHER!$B$5:$B$504,A370,MATCHER!$D$5:$D$504,C370,MATCHER!$J$5:$J$504,REGLER!$I$9,MATCHER!$K$5:$K$504,"Ja")+COUNTIFS(MATCHER!$B$5:$B$504,A370,MATCHER!$D$5:$D$504,C370,MATCHER!$J$5:$J$504,REGLER!$I$9&amp;" 2",MATCHER!$K$5:$K$504,"Ja")&gt;0,1,0)+IF(COUNTIFS(MATCHER!$B$5:$B$504,A370,MATCHER!$D$5:$D$504,C370,MATCHER!$J$5:$J$504,REGLER!$I$10,MATCHER!$K$5:$K$504,"Ja")+COUNTIFS(MATCHER!$B$5:$B$504,A370,MATCHER!$D$5:$D$504,C370,MATCHER!$J$5:$J$504,REGLER!$I$10&amp;" 2",MATCHER!$K$5:$K$504,"Ja")&gt;0,1,0)+IF(COUNTIFS(MATCHER!$B$5:$B$504,A370,MATCHER!$D$5:$D$504,C370,MATCHER!$J$5:$J$504,REGLER!$I$11,MATCHER!$K$5:$K$504,"Ja")+COUNTIFS(MATCHER!$B$5:$B$504,A370,MATCHER!$D$5:$D$504,C370,MATCHER!$J$5:$J$504,REGLER!$I$11&amp;" 2",MATCHER!$K$5:$K$504,"Ja")&gt;0,1,0)+IF(COUNTIFS(MATCHER!$B$5:$B$504,A370,MATCHER!$D$5:$D$504,C370,MATCHER!$J$5:$J$504,REGLER!$I$12,MATCHER!$K$5:$K$504,"Ja")+COUNTIFS(MATCHER!$B$5:$B$504,A370,MATCHER!$D$5:$D$504,C370,MATCHER!$J$5:$J$504,REGLER!$I$12&amp;" 2",MATCHER!$K$5:$K$504,"Ja")&gt;0,1,0)+IF(COUNTIFS(MATCHER!$B$5:$B$504,A370,MATCHER!$D$5:$D$504,C370,MATCHER!$J$5:$J$504,REGLER!$I$13,MATCHER!$K$5:$K$504,"Ja")+COUNTIFS(MATCHER!$B$5:$B$504,A370,MATCHER!$D$5:$D$504,C370,MATCHER!$J$5:$J$504,REGLER!$I$13&amp;" 2",MATCHER!$K$5:$K$504,"Ja")&gt;0,1,0)+IF(COUNTIFS(MATCHER!$B$5:$B$504,A370,MATCHER!$D$5:$D$504,C370,MATCHER!$J$5:$J$504,REGLER!$I$14,MATCHER!$K$5:$K$504,"Ja")+COUNTIFS(MATCHER!$B$5:$B$504,A370,MATCHER!$D$5:$D$504,C370,MATCHER!$J$5:$J$504,REGLER!$I$14&amp;" 2",MATCHER!$K$5:$K$504,"Ja")&gt;0,1,0)+IF(COUNTIFS(MATCHER!$B$5:$B$504,A370,MATCHER!$D$5:$D$504,C370,MATCHER!$J$5:$J$504,REGLER!$I$15,MATCHER!$K$5:$K$504,"Ja")+COUNTIFS(MATCHER!$B$5:$B$504,A370,MATCHER!$D$5:$D$504,C370,MATCHER!$J$5:$J$504,REGLER!$I$15&amp;" 2",MATCHER!$K$5:$K$504,"Ja")&gt;0,1,0)+IF(COUNTIFS(MATCHER!$B$5:$B$504,A370,MATCHER!$D$5:$D$504,C370,MATCHER!$J$5:$J$504,REGLER!$I$16,MATCHER!$K$5:$K$504,"Ja")+COUNTIFS(MATCHER!$B$5:$B$504,A370,MATCHER!$D$5:$D$504,C370,MATCHER!$J$5:$J$504,REGLER!$I$16&amp;" 2",MATCHER!$K$5:$K$504,"Ja")&gt;0,1,0)+IF(COUNTIFS(MATCHER!$B$5:$B$504,A370,MATCHER!$D$5:$D$504,C370,MATCHER!$J$5:$J$504,REGLER!$I$17,MATCHER!$K$5:$K$504,"Ja")+COUNTIFS(MATCHER!$B$5:$B$504,A370,MATCHER!$D$5:$D$504,C370,MATCHER!$J$5:$J$504,REGLER!$I$17&amp;" 2",MATCHER!$K$5:$K$504,"Ja")&gt;0,1,0)+IF(COUNTIFS(MATCHER!$B$5:$B$504,A370,MATCHER!$D$5:$D$504,C370,MATCHER!$J$5:$J$504,REGLER!$I$18,MATCHER!$K$5:$K$504,"Ja")+COUNTIFS(MATCHER!$B$5:$B$504,A370,MATCHER!$D$5:$D$504,C370,MATCHER!$J$5:$J$504,REGLER!$I$18&amp;" 2",MATCHER!$K$5:$K$504,"Ja")&gt;0,1,0)+IF(COUNTIFS(MATCHER!$B$5:$B$504,A370,MATCHER!$D$5:$D$504,C370,MATCHER!$J$5:$J$504,REGLER!$I$19,MATCHER!$K$5:$K$504,"Ja")+COUNTIFS(MATCHER!$B$5:$B$504,A370,MATCHER!$D$5:$D$504,C370,MATCHER!$J$5:$J$504,REGLER!$I$19&amp;" 2",MATCHER!$K$5:$K$504,"Ja")&gt;0,1,0)+IF(COUNTIFS(MATCHER!$B$5:$B$504,A370,MATCHER!$D$5:$D$504,C370,MATCHER!$J$5:$J$504,REGLER!$I$20,MATCHER!$K$5:$K$504,"Ja")+COUNTIFS(MATCHER!$B$5:$B$504,A370,MATCHER!$D$5:$D$504,C370,MATCHER!$J$5:$J$504,REGLER!$I$20&amp;" 2",MATCHER!$K$5:$K$504,"Ja")&gt;0,1,0)+IF(COUNTIFS(MATCHER!$B$5:$B$504,A370,MATCHER!$D$5:$D$504,C370,MATCHER!$J$5:$J$504,REGLER!$I$21,MATCHER!$K$5:$K$504,"Ja")+COUNTIFS(MATCHER!$B$5:$B$504,A370,MATCHER!$D$5:$D$504,C370,MATCHER!$J$5:$J$504,REGLER!$I$21&amp;" 2",MATCHER!$K$5:$K$504,"Ja")&gt;0,1,0)+IF(COUNTIFS(MATCHER!$B$5:$B$504,A370,MATCHER!$D$5:$D$504,C370,MATCHER!$J$5:$J$504,REGLER!$I$22,MATCHER!$K$5:$K$504,"Ja")+COUNTIFS(MATCHER!$B$5:$B$504,A370,MATCHER!$D$5:$D$504,C370,MATCHER!$J$5:$J$504,REGLER!$I$22&amp;" 2",MATCHER!$K$5:$K$504,"Ja")&gt;0,1,0)+IF(COUNTIFS(MATCHER!$B$5:$B$504,A370,MATCHER!$D$5:$D$504,C370,MATCHER!$J$5:$J$504,REGLER!$I$23,MATCHER!$K$5:$K$504,"Ja")+COUNTIFS(MATCHER!$B$5:$B$504,A370,MATCHER!$D$5:$D$504,C370,MATCHER!$J$5:$J$504,REGLER!$I$23&amp;" 2",MATCHER!$K$5:$K$504,"Ja")&gt;0,1,0)+IF(COUNTIFS(MATCHER!$B$5:$B$504,A370,MATCHER!$D$5:$D$504,C370,MATCHER!$J$5:$J$504,REGLER!$I$24,MATCHER!$K$5:$K$504,"Ja")+COUNTIFS(MATCHER!$B$5:$B$504,A370,MATCHER!$D$5:$D$504,C370,MATCHER!$J$5:$J$504,REGLER!$I$24&amp;" 2",MATCHER!$K$5:$K$504,"Ja")&gt;0,1,0)+IF(COUNTIFS(MATCHER!$B$5:$B$504,A370,MATCHER!$D$5:$D$504,C370,MATCHER!$J$5:$J$504,REGLER!$I$25,MATCHER!$K$5:$K$504,"Ja")+COUNTIFS(MATCHER!$B$5:$B$504,A370,MATCHER!$D$5:$D$504,C370,MATCHER!$J$5:$J$504,REGLER!$I$25&amp;" 2",MATCHER!$K$5:$K$504,"Ja")&gt;0,1,0)+IF(COUNTIFS(MATCHER!$B$5:$B$504,A370,MATCHER!$D$5:$D$504,C370,MATCHER!$J$5:$J$504,REGLER!$I$26,MATCHER!$K$5:$K$504,"Ja")+COUNTIFS(MATCHER!$B$5:$B$504,A370,MATCHER!$D$5:$D$504,C370,MATCHER!$J$5:$J$504,REGLER!$I$26&amp;" 2",MATCHER!$K$5:$K$504,"Ja")&gt;0,1,0)</f>
        <v>1</v>
      </c>
      <c r="AB370" s="15" t="str">
        <f>IF(U370&lt;&gt;1,"",COUNTIF($U$5:U370,1))</f>
        <v/>
      </c>
      <c r="AC370" s="15" t="str">
        <f t="shared" si="79"/>
        <v/>
      </c>
      <c r="AD370" s="15" t="str">
        <f t="shared" si="80"/>
        <v>Minicafé</v>
      </c>
      <c r="AE370" s="15" t="str">
        <f t="shared" si="81"/>
        <v/>
      </c>
      <c r="AF370" t="str">
        <f>IF(T370="","",IFERROR(MATCH(1,INDEX((MATCHER!$B$5:$B$504=A370)*(MATCHER!$D$5:$D$504=C370)*(MATCHER!$K$5:$K$504="Ja")*(MATCHER!$C$5:$C$504&lt;E370)*(MATCHER!$M$5:$M$504&gt;D370)*(ROW(MATCHER!$A$5:$A$504)-ROW(MATCHER!$A$5)+1&gt;T370),0),0),""))</f>
        <v/>
      </c>
    </row>
    <row r="371" spans="1:32" ht="26">
      <c r="A371" s="42">
        <v>46413</v>
      </c>
      <c r="B371" s="43" t="s">
        <v>104</v>
      </c>
      <c r="C371" s="43" t="s">
        <v>110</v>
      </c>
      <c r="D371" s="44">
        <v>0.85416666666666696</v>
      </c>
      <c r="E371" s="44">
        <v>0.875</v>
      </c>
      <c r="F371" s="45" t="str">
        <f>IF(R371="","",HOUR(INDEX(MATCHER!$C$5:$C$504,R371))&amp;":"&amp;IF(MINUTE(INDEX(MATCHER!$C$5:$C$504,R371))&lt;10,"0","")&amp;MINUTE(INDEX(MATCHER!$C$5:$C$504,R371))&amp;" "&amp;INDEX(MATCHER!$H$5:$H$504,R371)&amp;" – "&amp;INDEX(MATCHER!$I$5:$I$504,R371))&amp;IF(S371="",""," | "&amp;HOUR(INDEX(MATCHER!$C$5:$C$504,S371))&amp;":"&amp;IF(MINUTE(INDEX(MATCHER!$C$5:$C$504,S371))&lt;10,"0","")&amp;MINUTE(INDEX(MATCHER!$C$5:$C$504,S371))&amp;" "&amp;INDEX(MATCHER!$H$5:$H$504,S371)&amp;" – "&amp;INDEX(MATCHER!$I$5:$I$504,S371))&amp;IF(T371="",""," | "&amp;HOUR(INDEX(MATCHER!$C$5:$C$504,T371))&amp;":"&amp;IF(MINUTE(INDEX(MATCHER!$C$5:$C$504,T371))&lt;10,"0","")&amp;MINUTE(INDEX(MATCHER!$C$5:$C$504,T371))&amp;" "&amp;INDEX(MATCHER!$H$5:$H$504,T371)&amp;" – "&amp;INDEX(MATCHER!$I$5:$I$504,T371))&amp;IF(AF371="",""," | "&amp;HOUR(INDEX(MATCHER!$C$5:$C$504,AF371))&amp;":"&amp;IF(MINUTE(INDEX(MATCHER!$C$5:$C$504,AF371))&lt;10,"0","")&amp;MINUTE(INDEX(MATCHER!$C$5:$C$504,AF371))&amp;" "&amp;INDEX(MATCHER!$H$5:$H$504,AF371)&amp;" – "&amp;INDEX(MATCHER!$I$5:$I$504,AF371))</f>
        <v/>
      </c>
      <c r="G371" s="45" t="str">
        <f>MID(IF(R371="","",IF(OR(INDEX(MATCHER!$J$5:$J$504,R371)=""),""," / "&amp;INDEX(MATCHER!$J$5:$J$504,R371)))&amp;IF(S371="","",IF(OR(INDEX(MATCHER!$J$5:$J$504,S371)="",INDEX(MATCHER!$J$5:$J$504,S371)=IFERROR(INDEX(MATCHER!$J$5:$J$504,R371),"")),""," / "&amp;INDEX(MATCHER!$J$5:$J$504,S371)))&amp;IF(T371="","",IF(OR(INDEX(MATCHER!$J$5:$J$504,T371)="",INDEX(MATCHER!$J$5:$J$504,T371)=IFERROR(INDEX(MATCHER!$J$5:$J$504,R371),""),INDEX(MATCHER!$J$5:$J$504,T371)=IFERROR(INDEX(MATCHER!$J$5:$J$504,S371),"")),""," / "&amp;INDEX(MATCHER!$J$5:$J$504,T371)))&amp;IF(AF371="","",IF(OR(INDEX(MATCHER!$J$5:$J$504,AF371)="",INDEX(MATCHER!$J$5:$J$504,AF371)=IFERROR(INDEX(MATCHER!$J$5:$J$504,R371),""),INDEX(MATCHER!$J$5:$J$504,AF371)=IFERROR(INDEX(MATCHER!$J$5:$J$504,S371),""),INDEX(MATCHER!$J$5:$J$504,AF371)=IFERROR(INDEX(MATCHER!$J$5:$J$504,T371),"")),""," / "&amp;INDEX(MATCHER!$J$5:$J$504,AF371))),4,1000)</f>
        <v/>
      </c>
      <c r="H371" s="45" t="str">
        <f>H370</f>
        <v>Dam</v>
      </c>
      <c r="I371" s="46" t="s">
        <v>87</v>
      </c>
      <c r="J371" s="47"/>
      <c r="K371" s="48"/>
      <c r="L371" s="49"/>
      <c r="M371" s="50" t="str">
        <f>IF(O371&lt;&gt;O370,MAX(1,MIN(AA371,ROUNDUP(SUMPRODUCT(($O$5:$O$546=O371)*($I$5:$I$546="Ja")*($E$5:$E$546-$D$5:$D$546))*24/REGLER!$B$8,0))),"")</f>
        <v/>
      </c>
      <c r="N371" s="50" t="str">
        <f t="shared" si="75"/>
        <v>Ej öppet</v>
      </c>
      <c r="O371" s="15" t="s">
        <v>146</v>
      </c>
      <c r="P371" s="16">
        <v>0.83333333333333304</v>
      </c>
      <c r="Q371" s="16">
        <v>0.9375</v>
      </c>
      <c r="R371" s="15" t="str">
        <f>IFERROR(MATCH(1,INDEX((MATCHER!$B$5:$B$504=A371)*(MATCHER!$D$5:$D$504=C371)*(MATCHER!$K$5:$K$504="Ja")*(MATCHER!$C$5:$C$504&lt;E371)*(MATCHER!$M$5:$M$504&gt;D371),0),0),"")</f>
        <v/>
      </c>
      <c r="S371" s="15" t="str">
        <f>IF(R371="","",IFERROR(MATCH(1,INDEX((MATCHER!$B$5:$B$504=A371)*(MATCHER!$D$5:$D$504=C371)*(MATCHER!$K$5:$K$504="Ja")*(MATCHER!$C$5:$C$504&lt;E371)*(MATCHER!$M$5:$M$504&gt;D371)*(ROW(MATCHER!$A$5:$A$504)-ROW(MATCHER!$A$5)+1&gt;R371),0),0),""))</f>
        <v/>
      </c>
      <c r="T371" s="15" t="str">
        <f>IF(S371="","",IFERROR(MATCH(1,INDEX((MATCHER!$B$5:$B$504=A371)*(MATCHER!$D$5:$D$504=C371)*(MATCHER!$K$5:$K$504="Ja")*(MATCHER!$C$5:$C$504&lt;E371)*(MATCHER!$M$5:$M$504&gt;D371)*(ROW(MATCHER!$A$5:$A$504)-ROW(MATCHER!$A$5)+1&gt;S371),0),0),""))</f>
        <v/>
      </c>
      <c r="U371" s="15" t="str">
        <f t="shared" si="76"/>
        <v/>
      </c>
      <c r="V371" s="15" t="str">
        <f>IF(OR(I371&lt;&gt;"Ja",J371=""),"",COUNTIFS($O$5:O371,O371,$U$5:U371,1))</f>
        <v/>
      </c>
      <c r="W371" s="15" t="str">
        <f t="shared" si="77"/>
        <v/>
      </c>
      <c r="X371" s="16" t="str">
        <f t="shared" si="78"/>
        <v/>
      </c>
      <c r="Y371" s="15">
        <f>IF(OR(I371&lt;&gt;"Ja",J371=""),0,IF(COUNTIFS($O$5:O371,O371,$I$5:I371,"Ja",$J$5:J371,"&lt;&gt;")=1,1,0))</f>
        <v>0</v>
      </c>
      <c r="Z371" s="15">
        <f>IF(OR(I371&lt;&gt;"Ja",J371=""),0,IF(COUNTIFS(O371:$O$546,O371,I371:$I$546,"Ja",J371:$J$546,"&lt;&gt;")=1,1,0))</f>
        <v>0</v>
      </c>
      <c r="AA371" s="15">
        <f>AA370</f>
        <v>1</v>
      </c>
      <c r="AB371" s="15" t="str">
        <f>IF(U371&lt;&gt;1,"",COUNTIF($U$5:U371,1))</f>
        <v/>
      </c>
      <c r="AC371" s="15" t="str">
        <f t="shared" si="79"/>
        <v/>
      </c>
      <c r="AD371" s="15" t="str">
        <f t="shared" si="80"/>
        <v>Minicafé</v>
      </c>
      <c r="AE371" s="15" t="str">
        <f t="shared" si="81"/>
        <v/>
      </c>
      <c r="AF371" t="str">
        <f>IF(T371="","",IFERROR(MATCH(1,INDEX((MATCHER!$B$5:$B$504=A371)*(MATCHER!$D$5:$D$504=C371)*(MATCHER!$K$5:$K$504="Ja")*(MATCHER!$C$5:$C$504&lt;E371)*(MATCHER!$M$5:$M$504&gt;D371)*(ROW(MATCHER!$A$5:$A$504)-ROW(MATCHER!$A$5)+1&gt;T371),0),0),""))</f>
        <v/>
      </c>
    </row>
    <row r="372" spans="1:32" ht="26">
      <c r="A372" s="42">
        <v>46413</v>
      </c>
      <c r="B372" s="43" t="s">
        <v>104</v>
      </c>
      <c r="C372" s="43" t="s">
        <v>110</v>
      </c>
      <c r="D372" s="44">
        <v>0.875</v>
      </c>
      <c r="E372" s="44">
        <v>0.89583333333333304</v>
      </c>
      <c r="F372" s="45" t="str">
        <f>IF(R372="","",HOUR(INDEX(MATCHER!$C$5:$C$504,R372))&amp;":"&amp;IF(MINUTE(INDEX(MATCHER!$C$5:$C$504,R372))&lt;10,"0","")&amp;MINUTE(INDEX(MATCHER!$C$5:$C$504,R372))&amp;" "&amp;INDEX(MATCHER!$H$5:$H$504,R372)&amp;" – "&amp;INDEX(MATCHER!$I$5:$I$504,R372))&amp;IF(S372="",""," | "&amp;HOUR(INDEX(MATCHER!$C$5:$C$504,S372))&amp;":"&amp;IF(MINUTE(INDEX(MATCHER!$C$5:$C$504,S372))&lt;10,"0","")&amp;MINUTE(INDEX(MATCHER!$C$5:$C$504,S372))&amp;" "&amp;INDEX(MATCHER!$H$5:$H$504,S372)&amp;" – "&amp;INDEX(MATCHER!$I$5:$I$504,S372))&amp;IF(T372="",""," | "&amp;HOUR(INDEX(MATCHER!$C$5:$C$504,T372))&amp;":"&amp;IF(MINUTE(INDEX(MATCHER!$C$5:$C$504,T372))&lt;10,"0","")&amp;MINUTE(INDEX(MATCHER!$C$5:$C$504,T372))&amp;" "&amp;INDEX(MATCHER!$H$5:$H$504,T372)&amp;" – "&amp;INDEX(MATCHER!$I$5:$I$504,T372))&amp;IF(AF372="",""," | "&amp;HOUR(INDEX(MATCHER!$C$5:$C$504,AF372))&amp;":"&amp;IF(MINUTE(INDEX(MATCHER!$C$5:$C$504,AF372))&lt;10,"0","")&amp;MINUTE(INDEX(MATCHER!$C$5:$C$504,AF372))&amp;" "&amp;INDEX(MATCHER!$H$5:$H$504,AF372)&amp;" – "&amp;INDEX(MATCHER!$I$5:$I$504,AF372))</f>
        <v>21:00 AIK – HF Rimbo</v>
      </c>
      <c r="G372" s="45" t="str">
        <f>MID(IF(R372="","",IF(OR(INDEX(MATCHER!$J$5:$J$504,R372)=""),""," / "&amp;INDEX(MATCHER!$J$5:$J$504,R372)))&amp;IF(S372="","",IF(OR(INDEX(MATCHER!$J$5:$J$504,S372)="",INDEX(MATCHER!$J$5:$J$504,S372)=IFERROR(INDEX(MATCHER!$J$5:$J$504,R372),"")),""," / "&amp;INDEX(MATCHER!$J$5:$J$504,S372)))&amp;IF(T372="","",IF(OR(INDEX(MATCHER!$J$5:$J$504,T372)="",INDEX(MATCHER!$J$5:$J$504,T372)=IFERROR(INDEX(MATCHER!$J$5:$J$504,R372),""),INDEX(MATCHER!$J$5:$J$504,T372)=IFERROR(INDEX(MATCHER!$J$5:$J$504,S372),"")),""," / "&amp;INDEX(MATCHER!$J$5:$J$504,T372)))&amp;IF(AF372="","",IF(OR(INDEX(MATCHER!$J$5:$J$504,AF372)="",INDEX(MATCHER!$J$5:$J$504,AF372)=IFERROR(INDEX(MATCHER!$J$5:$J$504,R372),""),INDEX(MATCHER!$J$5:$J$504,AF372)=IFERROR(INDEX(MATCHER!$J$5:$J$504,S372),""),INDEX(MATCHER!$J$5:$J$504,AF372)=IFERROR(INDEX(MATCHER!$J$5:$J$504,T372),"")),""," / "&amp;INDEX(MATCHER!$J$5:$J$504,AF372))),4,1000)</f>
        <v>Dam</v>
      </c>
      <c r="H372" s="45" t="str">
        <f>H371</f>
        <v>Dam</v>
      </c>
      <c r="I372" s="46" t="s">
        <v>87</v>
      </c>
      <c r="J372" s="47"/>
      <c r="K372" s="48"/>
      <c r="L372" s="49"/>
      <c r="M372" s="50" t="str">
        <f>IF(O372&lt;&gt;O371,MAX(1,MIN(AA372,ROUNDUP(SUMPRODUCT(($O$5:$O$546=O372)*($I$5:$I$546="Ja")*($E$5:$E$546-$D$5:$D$546))*24/REGLER!$B$8,0))),"")</f>
        <v/>
      </c>
      <c r="N372" s="50" t="str">
        <f t="shared" si="75"/>
        <v>Ej öppet</v>
      </c>
      <c r="O372" s="15" t="s">
        <v>146</v>
      </c>
      <c r="P372" s="16">
        <v>0.83333333333333304</v>
      </c>
      <c r="Q372" s="16">
        <v>0.9375</v>
      </c>
      <c r="R372" s="15">
        <f>IFERROR(MATCH(1,INDEX((MATCHER!$B$5:$B$504=A372)*(MATCHER!$D$5:$D$504=C372)*(MATCHER!$K$5:$K$504="Ja")*(MATCHER!$C$5:$C$504&lt;E372)*(MATCHER!$M$5:$M$504&gt;D372),0),0),"")</f>
        <v>140</v>
      </c>
      <c r="S372" s="15" t="str">
        <f>IF(R372="","",IFERROR(MATCH(1,INDEX((MATCHER!$B$5:$B$504=A372)*(MATCHER!$D$5:$D$504=C372)*(MATCHER!$K$5:$K$504="Ja")*(MATCHER!$C$5:$C$504&lt;E372)*(MATCHER!$M$5:$M$504&gt;D372)*(ROW(MATCHER!$A$5:$A$504)-ROW(MATCHER!$A$5)+1&gt;R372),0),0),""))</f>
        <v/>
      </c>
      <c r="T372" s="15" t="str">
        <f>IF(S372="","",IFERROR(MATCH(1,INDEX((MATCHER!$B$5:$B$504=A372)*(MATCHER!$D$5:$D$504=C372)*(MATCHER!$K$5:$K$504="Ja")*(MATCHER!$C$5:$C$504&lt;E372)*(MATCHER!$M$5:$M$504&gt;D372)*(ROW(MATCHER!$A$5:$A$504)-ROW(MATCHER!$A$5)+1&gt;S372),0),0),""))</f>
        <v/>
      </c>
      <c r="U372" s="15" t="str">
        <f t="shared" si="76"/>
        <v/>
      </c>
      <c r="V372" s="15" t="str">
        <f>IF(OR(I372&lt;&gt;"Ja",J372=""),"",COUNTIFS($O$5:O372,O372,$U$5:U372,1))</f>
        <v/>
      </c>
      <c r="W372" s="15" t="str">
        <f t="shared" si="77"/>
        <v/>
      </c>
      <c r="X372" s="16" t="str">
        <f t="shared" si="78"/>
        <v/>
      </c>
      <c r="Y372" s="15">
        <f>IF(OR(I372&lt;&gt;"Ja",J372=""),0,IF(COUNTIFS($O$5:O372,O372,$I$5:I372,"Ja",$J$5:J372,"&lt;&gt;")=1,1,0))</f>
        <v>0</v>
      </c>
      <c r="Z372" s="15">
        <f>IF(OR(I372&lt;&gt;"Ja",J372=""),0,IF(COUNTIFS(O372:$O$546,O372,I372:$I$546,"Ja",J372:$J$546,"&lt;&gt;")=1,1,0))</f>
        <v>0</v>
      </c>
      <c r="AA372" s="15">
        <f>AA371</f>
        <v>1</v>
      </c>
      <c r="AB372" s="15" t="str">
        <f>IF(U372&lt;&gt;1,"",COUNTIF($U$5:U372,1))</f>
        <v/>
      </c>
      <c r="AC372" s="15" t="str">
        <f t="shared" si="79"/>
        <v/>
      </c>
      <c r="AD372" s="15" t="str">
        <f t="shared" si="80"/>
        <v>Minicafé</v>
      </c>
      <c r="AE372" s="15" t="str">
        <f t="shared" si="81"/>
        <v/>
      </c>
      <c r="AF372" t="str">
        <f>IF(T372="","",IFERROR(MATCH(1,INDEX((MATCHER!$B$5:$B$504=A372)*(MATCHER!$D$5:$D$504=C372)*(MATCHER!$K$5:$K$504="Ja")*(MATCHER!$C$5:$C$504&lt;E372)*(MATCHER!$M$5:$M$504&gt;D372)*(ROW(MATCHER!$A$5:$A$504)-ROW(MATCHER!$A$5)+1&gt;T372),0),0),""))</f>
        <v/>
      </c>
    </row>
    <row r="373" spans="1:32" ht="26">
      <c r="A373" s="42">
        <v>46413</v>
      </c>
      <c r="B373" s="43" t="s">
        <v>104</v>
      </c>
      <c r="C373" s="43" t="s">
        <v>110</v>
      </c>
      <c r="D373" s="44">
        <v>0.89583333333333304</v>
      </c>
      <c r="E373" s="44">
        <v>0.91666666666666696</v>
      </c>
      <c r="F373" s="45" t="str">
        <f>IF(R373="","",HOUR(INDEX(MATCHER!$C$5:$C$504,R373))&amp;":"&amp;IF(MINUTE(INDEX(MATCHER!$C$5:$C$504,R373))&lt;10,"0","")&amp;MINUTE(INDEX(MATCHER!$C$5:$C$504,R373))&amp;" "&amp;INDEX(MATCHER!$H$5:$H$504,R373)&amp;" – "&amp;INDEX(MATCHER!$I$5:$I$504,R373))&amp;IF(S373="",""," | "&amp;HOUR(INDEX(MATCHER!$C$5:$C$504,S373))&amp;":"&amp;IF(MINUTE(INDEX(MATCHER!$C$5:$C$504,S373))&lt;10,"0","")&amp;MINUTE(INDEX(MATCHER!$C$5:$C$504,S373))&amp;" "&amp;INDEX(MATCHER!$H$5:$H$504,S373)&amp;" – "&amp;INDEX(MATCHER!$I$5:$I$504,S373))&amp;IF(T373="",""," | "&amp;HOUR(INDEX(MATCHER!$C$5:$C$504,T373))&amp;":"&amp;IF(MINUTE(INDEX(MATCHER!$C$5:$C$504,T373))&lt;10,"0","")&amp;MINUTE(INDEX(MATCHER!$C$5:$C$504,T373))&amp;" "&amp;INDEX(MATCHER!$H$5:$H$504,T373)&amp;" – "&amp;INDEX(MATCHER!$I$5:$I$504,T373))&amp;IF(AF373="",""," | "&amp;HOUR(INDEX(MATCHER!$C$5:$C$504,AF373))&amp;":"&amp;IF(MINUTE(INDEX(MATCHER!$C$5:$C$504,AF373))&lt;10,"0","")&amp;MINUTE(INDEX(MATCHER!$C$5:$C$504,AF373))&amp;" "&amp;INDEX(MATCHER!$H$5:$H$504,AF373)&amp;" – "&amp;INDEX(MATCHER!$I$5:$I$504,AF373))</f>
        <v>21:00 AIK – HF Rimbo</v>
      </c>
      <c r="G373" s="45" t="str">
        <f>MID(IF(R373="","",IF(OR(INDEX(MATCHER!$J$5:$J$504,R373)=""),""," / "&amp;INDEX(MATCHER!$J$5:$J$504,R373)))&amp;IF(S373="","",IF(OR(INDEX(MATCHER!$J$5:$J$504,S373)="",INDEX(MATCHER!$J$5:$J$504,S373)=IFERROR(INDEX(MATCHER!$J$5:$J$504,R373),"")),""," / "&amp;INDEX(MATCHER!$J$5:$J$504,S373)))&amp;IF(T373="","",IF(OR(INDEX(MATCHER!$J$5:$J$504,T373)="",INDEX(MATCHER!$J$5:$J$504,T373)=IFERROR(INDEX(MATCHER!$J$5:$J$504,R373),""),INDEX(MATCHER!$J$5:$J$504,T373)=IFERROR(INDEX(MATCHER!$J$5:$J$504,S373),"")),""," / "&amp;INDEX(MATCHER!$J$5:$J$504,T373)))&amp;IF(AF373="","",IF(OR(INDEX(MATCHER!$J$5:$J$504,AF373)="",INDEX(MATCHER!$J$5:$J$504,AF373)=IFERROR(INDEX(MATCHER!$J$5:$J$504,R373),""),INDEX(MATCHER!$J$5:$J$504,AF373)=IFERROR(INDEX(MATCHER!$J$5:$J$504,S373),""),INDEX(MATCHER!$J$5:$J$504,AF373)=IFERROR(INDEX(MATCHER!$J$5:$J$504,T373),"")),""," / "&amp;INDEX(MATCHER!$J$5:$J$504,AF373))),4,1000)</f>
        <v>Dam</v>
      </c>
      <c r="H373" s="45" t="str">
        <f>H372</f>
        <v>Dam</v>
      </c>
      <c r="I373" s="46" t="s">
        <v>87</v>
      </c>
      <c r="J373" s="47"/>
      <c r="K373" s="48"/>
      <c r="L373" s="49"/>
      <c r="M373" s="50" t="str">
        <f>IF(O373&lt;&gt;O372,MAX(1,MIN(AA373,ROUNDUP(SUMPRODUCT(($O$5:$O$546=O373)*($I$5:$I$546="Ja")*($E$5:$E$546-$D$5:$D$546))*24/REGLER!$B$8,0))),"")</f>
        <v/>
      </c>
      <c r="N373" s="50" t="str">
        <f t="shared" si="75"/>
        <v>Ej öppet</v>
      </c>
      <c r="O373" s="15" t="s">
        <v>146</v>
      </c>
      <c r="P373" s="16">
        <v>0.83333333333333304</v>
      </c>
      <c r="Q373" s="16">
        <v>0.9375</v>
      </c>
      <c r="R373" s="15">
        <f>IFERROR(MATCH(1,INDEX((MATCHER!$B$5:$B$504=A373)*(MATCHER!$D$5:$D$504=C373)*(MATCHER!$K$5:$K$504="Ja")*(MATCHER!$C$5:$C$504&lt;E373)*(MATCHER!$M$5:$M$504&gt;D373),0),0),"")</f>
        <v>140</v>
      </c>
      <c r="S373" s="15" t="str">
        <f>IF(R373="","",IFERROR(MATCH(1,INDEX((MATCHER!$B$5:$B$504=A373)*(MATCHER!$D$5:$D$504=C373)*(MATCHER!$K$5:$K$504="Ja")*(MATCHER!$C$5:$C$504&lt;E373)*(MATCHER!$M$5:$M$504&gt;D373)*(ROW(MATCHER!$A$5:$A$504)-ROW(MATCHER!$A$5)+1&gt;R373),0),0),""))</f>
        <v/>
      </c>
      <c r="T373" s="15" t="str">
        <f>IF(S373="","",IFERROR(MATCH(1,INDEX((MATCHER!$B$5:$B$504=A373)*(MATCHER!$D$5:$D$504=C373)*(MATCHER!$K$5:$K$504="Ja")*(MATCHER!$C$5:$C$504&lt;E373)*(MATCHER!$M$5:$M$504&gt;D373)*(ROW(MATCHER!$A$5:$A$504)-ROW(MATCHER!$A$5)+1&gt;S373),0),0),""))</f>
        <v/>
      </c>
      <c r="U373" s="15" t="str">
        <f t="shared" si="76"/>
        <v/>
      </c>
      <c r="V373" s="15" t="str">
        <f>IF(OR(I373&lt;&gt;"Ja",J373=""),"",COUNTIFS($O$5:O373,O373,$U$5:U373,1))</f>
        <v/>
      </c>
      <c r="W373" s="15" t="str">
        <f t="shared" si="77"/>
        <v/>
      </c>
      <c r="X373" s="16" t="str">
        <f t="shared" si="78"/>
        <v/>
      </c>
      <c r="Y373" s="15">
        <f>IF(OR(I373&lt;&gt;"Ja",J373=""),0,IF(COUNTIFS($O$5:O373,O373,$I$5:I373,"Ja",$J$5:J373,"&lt;&gt;")=1,1,0))</f>
        <v>0</v>
      </c>
      <c r="Z373" s="15">
        <f>IF(OR(I373&lt;&gt;"Ja",J373=""),0,IF(COUNTIFS(O373:$O$546,O373,I373:$I$546,"Ja",J373:$J$546,"&lt;&gt;")=1,1,0))</f>
        <v>0</v>
      </c>
      <c r="AA373" s="15">
        <f>AA372</f>
        <v>1</v>
      </c>
      <c r="AB373" s="15" t="str">
        <f>IF(U373&lt;&gt;1,"",COUNTIF($U$5:U373,1))</f>
        <v/>
      </c>
      <c r="AC373" s="15" t="str">
        <f t="shared" si="79"/>
        <v/>
      </c>
      <c r="AD373" s="15" t="str">
        <f t="shared" si="80"/>
        <v>Minicafé</v>
      </c>
      <c r="AE373" s="15" t="str">
        <f t="shared" si="81"/>
        <v/>
      </c>
      <c r="AF373" t="str">
        <f>IF(T373="","",IFERROR(MATCH(1,INDEX((MATCHER!$B$5:$B$504=A373)*(MATCHER!$D$5:$D$504=C373)*(MATCHER!$K$5:$K$504="Ja")*(MATCHER!$C$5:$C$504&lt;E373)*(MATCHER!$M$5:$M$504&gt;D373)*(ROW(MATCHER!$A$5:$A$504)-ROW(MATCHER!$A$5)+1&gt;T373),0),0),""))</f>
        <v/>
      </c>
    </row>
    <row r="374" spans="1:32" ht="26.5" thickBot="1">
      <c r="A374" s="52">
        <v>46413</v>
      </c>
      <c r="B374" s="53" t="s">
        <v>104</v>
      </c>
      <c r="C374" s="53" t="s">
        <v>110</v>
      </c>
      <c r="D374" s="54">
        <v>0.91666666666666696</v>
      </c>
      <c r="E374" s="54">
        <v>0.9375</v>
      </c>
      <c r="F374" s="55" t="str">
        <f>IF(R374="","",HOUR(INDEX(MATCHER!$C$5:$C$504,R374))&amp;":"&amp;IF(MINUTE(INDEX(MATCHER!$C$5:$C$504,R374))&lt;10,"0","")&amp;MINUTE(INDEX(MATCHER!$C$5:$C$504,R374))&amp;" "&amp;INDEX(MATCHER!$H$5:$H$504,R374)&amp;" – "&amp;INDEX(MATCHER!$I$5:$I$504,R374))&amp;IF(S374="",""," | "&amp;HOUR(INDEX(MATCHER!$C$5:$C$504,S374))&amp;":"&amp;IF(MINUTE(INDEX(MATCHER!$C$5:$C$504,S374))&lt;10,"0","")&amp;MINUTE(INDEX(MATCHER!$C$5:$C$504,S374))&amp;" "&amp;INDEX(MATCHER!$H$5:$H$504,S374)&amp;" – "&amp;INDEX(MATCHER!$I$5:$I$504,S374))&amp;IF(T374="",""," | "&amp;HOUR(INDEX(MATCHER!$C$5:$C$504,T374))&amp;":"&amp;IF(MINUTE(INDEX(MATCHER!$C$5:$C$504,T374))&lt;10,"0","")&amp;MINUTE(INDEX(MATCHER!$C$5:$C$504,T374))&amp;" "&amp;INDEX(MATCHER!$H$5:$H$504,T374)&amp;" – "&amp;INDEX(MATCHER!$I$5:$I$504,T374))&amp;IF(AF374="",""," | "&amp;HOUR(INDEX(MATCHER!$C$5:$C$504,AF374))&amp;":"&amp;IF(MINUTE(INDEX(MATCHER!$C$5:$C$504,AF374))&lt;10,"0","")&amp;MINUTE(INDEX(MATCHER!$C$5:$C$504,AF374))&amp;" "&amp;INDEX(MATCHER!$H$5:$H$504,AF374)&amp;" – "&amp;INDEX(MATCHER!$I$5:$I$504,AF374))</f>
        <v>21:00 AIK – HF Rimbo</v>
      </c>
      <c r="G374" s="55" t="str">
        <f>MID(IF(R374="","",IF(OR(INDEX(MATCHER!$J$5:$J$504,R374)=""),""," / "&amp;INDEX(MATCHER!$J$5:$J$504,R374)))&amp;IF(S374="","",IF(OR(INDEX(MATCHER!$J$5:$J$504,S374)="",INDEX(MATCHER!$J$5:$J$504,S374)=IFERROR(INDEX(MATCHER!$J$5:$J$504,R374),"")),""," / "&amp;INDEX(MATCHER!$J$5:$J$504,S374)))&amp;IF(T374="","",IF(OR(INDEX(MATCHER!$J$5:$J$504,T374)="",INDEX(MATCHER!$J$5:$J$504,T374)=IFERROR(INDEX(MATCHER!$J$5:$J$504,R374),""),INDEX(MATCHER!$J$5:$J$504,T374)=IFERROR(INDEX(MATCHER!$J$5:$J$504,S374),"")),""," / "&amp;INDEX(MATCHER!$J$5:$J$504,T374)))&amp;IF(AF374="","",IF(OR(INDEX(MATCHER!$J$5:$J$504,AF374)="",INDEX(MATCHER!$J$5:$J$504,AF374)=IFERROR(INDEX(MATCHER!$J$5:$J$504,R374),""),INDEX(MATCHER!$J$5:$J$504,AF374)=IFERROR(INDEX(MATCHER!$J$5:$J$504,S374),""),INDEX(MATCHER!$J$5:$J$504,AF374)=IFERROR(INDEX(MATCHER!$J$5:$J$504,T374),"")),""," / "&amp;INDEX(MATCHER!$J$5:$J$504,AF374))),4,1000)</f>
        <v>Dam</v>
      </c>
      <c r="H374" s="55" t="str">
        <f>H373</f>
        <v>Dam</v>
      </c>
      <c r="I374" s="56" t="s">
        <v>87</v>
      </c>
      <c r="J374" s="57"/>
      <c r="K374" s="58"/>
      <c r="L374" s="59"/>
      <c r="M374" s="60" t="str">
        <f>IF(O374&lt;&gt;O373,MAX(1,MIN(AA374,ROUNDUP(SUMPRODUCT(($O$5:$O$546=O374)*($I$5:$I$546="Ja")*($E$5:$E$546-$D$5:$D$546))*24/REGLER!$B$8,0))),"")</f>
        <v/>
      </c>
      <c r="N374" s="60" t="str">
        <f t="shared" si="75"/>
        <v>Ej öppet</v>
      </c>
      <c r="O374" s="15" t="s">
        <v>146</v>
      </c>
      <c r="P374" s="16">
        <v>0.83333333333333304</v>
      </c>
      <c r="Q374" s="16">
        <v>0.9375</v>
      </c>
      <c r="R374" s="15">
        <f>IFERROR(MATCH(1,INDEX((MATCHER!$B$5:$B$504=A374)*(MATCHER!$D$5:$D$504=C374)*(MATCHER!$K$5:$K$504="Ja")*(MATCHER!$C$5:$C$504&lt;E374)*(MATCHER!$M$5:$M$504&gt;D374),0),0),"")</f>
        <v>140</v>
      </c>
      <c r="S374" s="15" t="str">
        <f>IF(R374="","",IFERROR(MATCH(1,INDEX((MATCHER!$B$5:$B$504=A374)*(MATCHER!$D$5:$D$504=C374)*(MATCHER!$K$5:$K$504="Ja")*(MATCHER!$C$5:$C$504&lt;E374)*(MATCHER!$M$5:$M$504&gt;D374)*(ROW(MATCHER!$A$5:$A$504)-ROW(MATCHER!$A$5)+1&gt;R374),0),0),""))</f>
        <v/>
      </c>
      <c r="T374" s="15" t="str">
        <f>IF(S374="","",IFERROR(MATCH(1,INDEX((MATCHER!$B$5:$B$504=A374)*(MATCHER!$D$5:$D$504=C374)*(MATCHER!$K$5:$K$504="Ja")*(MATCHER!$C$5:$C$504&lt;E374)*(MATCHER!$M$5:$M$504&gt;D374)*(ROW(MATCHER!$A$5:$A$504)-ROW(MATCHER!$A$5)+1&gt;S374),0),0),""))</f>
        <v/>
      </c>
      <c r="U374" s="15" t="str">
        <f t="shared" si="76"/>
        <v/>
      </c>
      <c r="V374" s="15" t="str">
        <f>IF(OR(I374&lt;&gt;"Ja",J374=""),"",COUNTIFS($O$5:O374,O374,$U$5:U374,1))</f>
        <v/>
      </c>
      <c r="W374" s="15" t="str">
        <f t="shared" si="77"/>
        <v/>
      </c>
      <c r="X374" s="16" t="str">
        <f t="shared" si="78"/>
        <v/>
      </c>
      <c r="Y374" s="15">
        <f>IF(OR(I374&lt;&gt;"Ja",J374=""),0,IF(COUNTIFS($O$5:O374,O374,$I$5:I374,"Ja",$J$5:J374,"&lt;&gt;")=1,1,0))</f>
        <v>0</v>
      </c>
      <c r="Z374" s="15">
        <f>IF(OR(I374&lt;&gt;"Ja",J374=""),0,IF(COUNTIFS(O374:$O$546,O374,I374:$I$546,"Ja",J374:$J$546,"&lt;&gt;")=1,1,0))</f>
        <v>0</v>
      </c>
      <c r="AA374" s="15">
        <f>AA373</f>
        <v>1</v>
      </c>
      <c r="AB374" s="15" t="str">
        <f>IF(U374&lt;&gt;1,"",COUNTIF($U$5:U374,1))</f>
        <v/>
      </c>
      <c r="AC374" s="15" t="str">
        <f t="shared" si="79"/>
        <v/>
      </c>
      <c r="AD374" s="15" t="str">
        <f t="shared" si="80"/>
        <v>Minicafé</v>
      </c>
      <c r="AE374" s="15" t="str">
        <f t="shared" si="81"/>
        <v/>
      </c>
      <c r="AF374" t="str">
        <f>IF(T374="","",IFERROR(MATCH(1,INDEX((MATCHER!$B$5:$B$504=A374)*(MATCHER!$D$5:$D$504=C374)*(MATCHER!$K$5:$K$504="Ja")*(MATCHER!$C$5:$C$504&lt;E374)*(MATCHER!$M$5:$M$504&gt;D374)*(ROW(MATCHER!$A$5:$A$504)-ROW(MATCHER!$A$5)+1&gt;T374),0),0),""))</f>
        <v/>
      </c>
    </row>
    <row r="375" spans="1:32" ht="13">
      <c r="A375" s="42">
        <v>46417</v>
      </c>
      <c r="B375" s="43" t="s">
        <v>85</v>
      </c>
      <c r="C375" s="43" t="s">
        <v>94</v>
      </c>
      <c r="D375" s="44">
        <v>0.39583333333333298</v>
      </c>
      <c r="E375" s="44">
        <v>0.41666666666666702</v>
      </c>
      <c r="F375" s="45" t="str">
        <f>IF(R375="","",HOUR(INDEX(MATCHER!$C$5:$C$504,R375))&amp;":"&amp;IF(MINUTE(INDEX(MATCHER!$C$5:$C$504,R375))&lt;10,"0","")&amp;MINUTE(INDEX(MATCHER!$C$5:$C$504,R375))&amp;" "&amp;INDEX(MATCHER!$H$5:$H$504,R375)&amp;" – "&amp;INDEX(MATCHER!$I$5:$I$504,R375))&amp;IF(S375="",""," | "&amp;HOUR(INDEX(MATCHER!$C$5:$C$504,S375))&amp;":"&amp;IF(MINUTE(INDEX(MATCHER!$C$5:$C$504,S375))&lt;10,"0","")&amp;MINUTE(INDEX(MATCHER!$C$5:$C$504,S375))&amp;" "&amp;INDEX(MATCHER!$H$5:$H$504,S375)&amp;" – "&amp;INDEX(MATCHER!$I$5:$I$504,S375))&amp;IF(T375="",""," | "&amp;HOUR(INDEX(MATCHER!$C$5:$C$504,T375))&amp;":"&amp;IF(MINUTE(INDEX(MATCHER!$C$5:$C$504,T375))&lt;10,"0","")&amp;MINUTE(INDEX(MATCHER!$C$5:$C$504,T375))&amp;" "&amp;INDEX(MATCHER!$H$5:$H$504,T375)&amp;" – "&amp;INDEX(MATCHER!$I$5:$I$504,T375))&amp;IF(AF375="",""," | "&amp;HOUR(INDEX(MATCHER!$C$5:$C$504,AF375))&amp;":"&amp;IF(MINUTE(INDEX(MATCHER!$C$5:$C$504,AF375))&lt;10,"0","")&amp;MINUTE(INDEX(MATCHER!$C$5:$C$504,AF375))&amp;" "&amp;INDEX(MATCHER!$H$5:$H$504,AF375)&amp;" – "&amp;INDEX(MATCHER!$I$5:$I$504,AF375))</f>
        <v/>
      </c>
      <c r="G375" s="45" t="str">
        <f>MID(IF(R375="","",IF(OR(INDEX(MATCHER!$J$5:$J$504,R375)=""),""," / "&amp;INDEX(MATCHER!$J$5:$J$504,R375)))&amp;IF(S375="","",IF(OR(INDEX(MATCHER!$J$5:$J$504,S375)="",INDEX(MATCHER!$J$5:$J$504,S375)=IFERROR(INDEX(MATCHER!$J$5:$J$504,R375),"")),""," / "&amp;INDEX(MATCHER!$J$5:$J$504,S375)))&amp;IF(T375="","",IF(OR(INDEX(MATCHER!$J$5:$J$504,T375)="",INDEX(MATCHER!$J$5:$J$504,T375)=IFERROR(INDEX(MATCHER!$J$5:$J$504,R375),""),INDEX(MATCHER!$J$5:$J$504,T375)=IFERROR(INDEX(MATCHER!$J$5:$J$504,S375),"")),""," / "&amp;INDEX(MATCHER!$J$5:$J$504,T375)))&amp;IF(AF375="","",IF(OR(INDEX(MATCHER!$J$5:$J$504,AF375)="",INDEX(MATCHER!$J$5:$J$504,AF375)=IFERROR(INDEX(MATCHER!$J$5:$J$504,R375),""),INDEX(MATCHER!$J$5:$J$504,AF375)=IFERROR(INDEX(MATCHER!$J$5:$J$504,S375),""),INDEX(MATCHER!$J$5:$J$504,AF375)=IFERROR(INDEX(MATCHER!$J$5:$J$504,T375),"")),""," / "&amp;INDEX(MATCHER!$J$5:$J$504,AF375))),4,1000)</f>
        <v/>
      </c>
      <c r="H375" s="45" t="str">
        <f>MID(IF(COUNTIFS(MATCHER!$B$5:$B$504,A375,MATCHER!$D$5:$D$504,C375,MATCHER!$J$5:$J$504,REGLER!$I$6,MATCHER!$K$5:$K$504,"Ja")+COUNTIFS(MATCHER!$B$5:$B$504,A375,MATCHER!$D$5:$D$504,C375,MATCHER!$J$5:$J$504,REGLER!$I$6&amp;" 2",MATCHER!$K$5:$K$504,"Ja")&gt;0,", "&amp;REGLER!$I$6,"")&amp;IF(COUNTIFS(MATCHER!$B$5:$B$504,A375,MATCHER!$D$5:$D$504,C375,MATCHER!$J$5:$J$504,REGLER!$I$7,MATCHER!$K$5:$K$504,"Ja")+COUNTIFS(MATCHER!$B$5:$B$504,A375,MATCHER!$D$5:$D$504,C375,MATCHER!$J$5:$J$504,REGLER!$I$7&amp;" 2",MATCHER!$K$5:$K$504,"Ja")&gt;0,", "&amp;REGLER!$I$7,"")&amp;IF(COUNTIFS(MATCHER!$B$5:$B$504,A375,MATCHER!$D$5:$D$504,C375,MATCHER!$J$5:$J$504,REGLER!$I$8,MATCHER!$K$5:$K$504,"Ja")+COUNTIFS(MATCHER!$B$5:$B$504,A375,MATCHER!$D$5:$D$504,C375,MATCHER!$J$5:$J$504,REGLER!$I$8&amp;" 2",MATCHER!$K$5:$K$504,"Ja")&gt;0,", "&amp;REGLER!$I$8,"")&amp;IF(COUNTIFS(MATCHER!$B$5:$B$504,A375,MATCHER!$D$5:$D$504,C375,MATCHER!$J$5:$J$504,REGLER!$I$9,MATCHER!$K$5:$K$504,"Ja")+COUNTIFS(MATCHER!$B$5:$B$504,A375,MATCHER!$D$5:$D$504,C375,MATCHER!$J$5:$J$504,REGLER!$I$9&amp;" 2",MATCHER!$K$5:$K$504,"Ja")&gt;0,", "&amp;REGLER!$I$9,"")&amp;IF(COUNTIFS(MATCHER!$B$5:$B$504,A375,MATCHER!$D$5:$D$504,C375,MATCHER!$J$5:$J$504,REGLER!$I$10,MATCHER!$K$5:$K$504,"Ja")+COUNTIFS(MATCHER!$B$5:$B$504,A375,MATCHER!$D$5:$D$504,C375,MATCHER!$J$5:$J$504,REGLER!$I$10&amp;" 2",MATCHER!$K$5:$K$504,"Ja")&gt;0,", "&amp;REGLER!$I$10,"")&amp;IF(COUNTIFS(MATCHER!$B$5:$B$504,A375,MATCHER!$D$5:$D$504,C375,MATCHER!$J$5:$J$504,REGLER!$I$11,MATCHER!$K$5:$K$504,"Ja")+COUNTIFS(MATCHER!$B$5:$B$504,A375,MATCHER!$D$5:$D$504,C375,MATCHER!$J$5:$J$504,REGLER!$I$11&amp;" 2",MATCHER!$K$5:$K$504,"Ja")&gt;0,", "&amp;REGLER!$I$11,"")&amp;IF(COUNTIFS(MATCHER!$B$5:$B$504,A375,MATCHER!$D$5:$D$504,C375,MATCHER!$J$5:$J$504,REGLER!$I$12,MATCHER!$K$5:$K$504,"Ja")+COUNTIFS(MATCHER!$B$5:$B$504,A375,MATCHER!$D$5:$D$504,C375,MATCHER!$J$5:$J$504,REGLER!$I$12&amp;" 2",MATCHER!$K$5:$K$504,"Ja")&gt;0,", "&amp;REGLER!$I$12,"")&amp;IF(COUNTIFS(MATCHER!$B$5:$B$504,A375,MATCHER!$D$5:$D$504,C375,MATCHER!$J$5:$J$504,REGLER!$I$13,MATCHER!$K$5:$K$504,"Ja")+COUNTIFS(MATCHER!$B$5:$B$504,A375,MATCHER!$D$5:$D$504,C375,MATCHER!$J$5:$J$504,REGLER!$I$13&amp;" 2",MATCHER!$K$5:$K$504,"Ja")&gt;0,", "&amp;REGLER!$I$13,"")&amp;IF(COUNTIFS(MATCHER!$B$5:$B$504,A375,MATCHER!$D$5:$D$504,C375,MATCHER!$J$5:$J$504,REGLER!$I$14,MATCHER!$K$5:$K$504,"Ja")+COUNTIFS(MATCHER!$B$5:$B$504,A375,MATCHER!$D$5:$D$504,C375,MATCHER!$J$5:$J$504,REGLER!$I$14&amp;" 2",MATCHER!$K$5:$K$504,"Ja")&gt;0,", "&amp;REGLER!$I$14,"")&amp;IF(COUNTIFS(MATCHER!$B$5:$B$504,A375,MATCHER!$D$5:$D$504,C375,MATCHER!$J$5:$J$504,REGLER!$I$15,MATCHER!$K$5:$K$504,"Ja")+COUNTIFS(MATCHER!$B$5:$B$504,A375,MATCHER!$D$5:$D$504,C375,MATCHER!$J$5:$J$504,REGLER!$I$15&amp;" 2",MATCHER!$K$5:$K$504,"Ja")&gt;0,", "&amp;REGLER!$I$15,"")&amp;IF(COUNTIFS(MATCHER!$B$5:$B$504,A375,MATCHER!$D$5:$D$504,C375,MATCHER!$J$5:$J$504,REGLER!$I$16,MATCHER!$K$5:$K$504,"Ja")+COUNTIFS(MATCHER!$B$5:$B$504,A375,MATCHER!$D$5:$D$504,C375,MATCHER!$J$5:$J$504,REGLER!$I$16&amp;" 2",MATCHER!$K$5:$K$504,"Ja")&gt;0,", "&amp;REGLER!$I$16,"")&amp;IF(COUNTIFS(MATCHER!$B$5:$B$504,A375,MATCHER!$D$5:$D$504,C375,MATCHER!$J$5:$J$504,REGLER!$I$17,MATCHER!$K$5:$K$504,"Ja")+COUNTIFS(MATCHER!$B$5:$B$504,A375,MATCHER!$D$5:$D$504,C375,MATCHER!$J$5:$J$504,REGLER!$I$17&amp;" 2",MATCHER!$K$5:$K$504,"Ja")&gt;0,", "&amp;REGLER!$I$17,"")&amp;IF(COUNTIFS(MATCHER!$B$5:$B$504,A375,MATCHER!$D$5:$D$504,C375,MATCHER!$J$5:$J$504,REGLER!$I$18,MATCHER!$K$5:$K$504,"Ja")+COUNTIFS(MATCHER!$B$5:$B$504,A375,MATCHER!$D$5:$D$504,C375,MATCHER!$J$5:$J$504,REGLER!$I$18&amp;" 2",MATCHER!$K$5:$K$504,"Ja")&gt;0,", "&amp;REGLER!$I$18,"")&amp;IF(COUNTIFS(MATCHER!$B$5:$B$504,A375,MATCHER!$D$5:$D$504,C375,MATCHER!$J$5:$J$504,REGLER!$I$19,MATCHER!$K$5:$K$504,"Ja")+COUNTIFS(MATCHER!$B$5:$B$504,A375,MATCHER!$D$5:$D$504,C375,MATCHER!$J$5:$J$504,REGLER!$I$19&amp;" 2",MATCHER!$K$5:$K$504,"Ja")&gt;0,", "&amp;REGLER!$I$19,"")&amp;IF(COUNTIFS(MATCHER!$B$5:$B$504,A375,MATCHER!$D$5:$D$504,C375,MATCHER!$J$5:$J$504,REGLER!$I$20,MATCHER!$K$5:$K$504,"Ja")+COUNTIFS(MATCHER!$B$5:$B$504,A375,MATCHER!$D$5:$D$504,C375,MATCHER!$J$5:$J$504,REGLER!$I$20&amp;" 2",MATCHER!$K$5:$K$504,"Ja")&gt;0,", "&amp;REGLER!$I$20,"")&amp;IF(COUNTIFS(MATCHER!$B$5:$B$504,A375,MATCHER!$D$5:$D$504,C375,MATCHER!$J$5:$J$504,REGLER!$I$21,MATCHER!$K$5:$K$504,"Ja")+COUNTIFS(MATCHER!$B$5:$B$504,A375,MATCHER!$D$5:$D$504,C375,MATCHER!$J$5:$J$504,REGLER!$I$21&amp;" 2",MATCHER!$K$5:$K$504,"Ja")&gt;0,", "&amp;REGLER!$I$21,"")&amp;IF(COUNTIFS(MATCHER!$B$5:$B$504,A375,MATCHER!$D$5:$D$504,C375,MATCHER!$J$5:$J$504,REGLER!$I$22,MATCHER!$K$5:$K$504,"Ja")+COUNTIFS(MATCHER!$B$5:$B$504,A375,MATCHER!$D$5:$D$504,C375,MATCHER!$J$5:$J$504,REGLER!$I$22&amp;" 2",MATCHER!$K$5:$K$504,"Ja")&gt;0,", "&amp;REGLER!$I$22,"")&amp;IF(COUNTIFS(MATCHER!$B$5:$B$504,A375,MATCHER!$D$5:$D$504,C375,MATCHER!$J$5:$J$504,REGLER!$I$23,MATCHER!$K$5:$K$504,"Ja")+COUNTIFS(MATCHER!$B$5:$B$504,A375,MATCHER!$D$5:$D$504,C375,MATCHER!$J$5:$J$504,REGLER!$I$23&amp;" 2",MATCHER!$K$5:$K$504,"Ja")&gt;0,", "&amp;REGLER!$I$23,"")&amp;IF(COUNTIFS(MATCHER!$B$5:$B$504,A375,MATCHER!$D$5:$D$504,C375,MATCHER!$J$5:$J$504,REGLER!$I$24,MATCHER!$K$5:$K$504,"Ja")+COUNTIFS(MATCHER!$B$5:$B$504,A375,MATCHER!$D$5:$D$504,C375,MATCHER!$J$5:$J$504,REGLER!$I$24&amp;" 2",MATCHER!$K$5:$K$504,"Ja")&gt;0,", "&amp;REGLER!$I$24,"")&amp;IF(COUNTIFS(MATCHER!$B$5:$B$504,A375,MATCHER!$D$5:$D$504,C375,MATCHER!$J$5:$J$504,REGLER!$I$25,MATCHER!$K$5:$K$504,"Ja")+COUNTIFS(MATCHER!$B$5:$B$504,A375,MATCHER!$D$5:$D$504,C375,MATCHER!$J$5:$J$504,REGLER!$I$25&amp;" 2",MATCHER!$K$5:$K$504,"Ja")&gt;0,", "&amp;REGLER!$I$25,"")&amp;IF(COUNTIFS(MATCHER!$B$5:$B$504,A375,MATCHER!$D$5:$D$504,C375,MATCHER!$J$5:$J$504,REGLER!$I$26,MATCHER!$K$5:$K$504,"Ja")+COUNTIFS(MATCHER!$B$5:$B$504,A375,MATCHER!$D$5:$D$504,C375,MATCHER!$J$5:$J$504,REGLER!$I$26&amp;" 2",MATCHER!$K$5:$K$504,"Ja")&gt;0,", "&amp;REGLER!$I$26,""),3,1000)</f>
        <v>F16</v>
      </c>
      <c r="I375" s="46" t="s">
        <v>87</v>
      </c>
      <c r="J375" s="47"/>
      <c r="K375" s="48" t="s">
        <v>98</v>
      </c>
      <c r="L375" s="49"/>
      <c r="M375" s="50">
        <f>IF(O375&lt;&gt;O374,MAX(1,MIN(AA375,ROUNDUP(SUMPRODUCT(($O$5:$O$546=O375)*($I$5:$I$546="Ja")*($E$5:$E$546-$D$5:$D$546))*24/REGLER!$B$8,0))),"")</f>
        <v>1</v>
      </c>
      <c r="N375" s="50" t="str">
        <f t="shared" si="75"/>
        <v>Ej öppet</v>
      </c>
      <c r="O375" s="15" t="s">
        <v>147</v>
      </c>
      <c r="P375" s="16">
        <v>0.39583333333333298</v>
      </c>
      <c r="Q375" s="16">
        <v>0.47916666666666702</v>
      </c>
      <c r="R375" s="15" t="str">
        <f>IFERROR(MATCH(1,INDEX((MATCHER!$B$5:$B$504=A375)*(MATCHER!$D$5:$D$504=C375)*(MATCHER!$K$5:$K$504="Ja")*(MATCHER!$C$5:$C$504&lt;E375)*(MATCHER!$M$5:$M$504&gt;D375),0),0),"")</f>
        <v/>
      </c>
      <c r="S375" s="15" t="str">
        <f>IF(R375="","",IFERROR(MATCH(1,INDEX((MATCHER!$B$5:$B$504=A375)*(MATCHER!$D$5:$D$504=C375)*(MATCHER!$K$5:$K$504="Ja")*(MATCHER!$C$5:$C$504&lt;E375)*(MATCHER!$M$5:$M$504&gt;D375)*(ROW(MATCHER!$A$5:$A$504)-ROW(MATCHER!$A$5)+1&gt;R375),0),0),""))</f>
        <v/>
      </c>
      <c r="T375" s="15" t="str">
        <f>IF(S375="","",IFERROR(MATCH(1,INDEX((MATCHER!$B$5:$B$504=A375)*(MATCHER!$D$5:$D$504=C375)*(MATCHER!$K$5:$K$504="Ja")*(MATCHER!$C$5:$C$504&lt;E375)*(MATCHER!$M$5:$M$504&gt;D375)*(ROW(MATCHER!$A$5:$A$504)-ROW(MATCHER!$A$5)+1&gt;S375),0),0),""))</f>
        <v/>
      </c>
      <c r="U375" s="15" t="str">
        <f t="shared" si="76"/>
        <v/>
      </c>
      <c r="V375" s="15" t="str">
        <f>IF(OR(I375&lt;&gt;"Ja",J375=""),"",COUNTIFS($O$5:O375,O375,$U$5:U375,1))</f>
        <v/>
      </c>
      <c r="W375" s="15" t="str">
        <f t="shared" si="77"/>
        <v/>
      </c>
      <c r="X375" s="16" t="str">
        <f t="shared" si="78"/>
        <v/>
      </c>
      <c r="Y375" s="15">
        <f>IF(OR(I375&lt;&gt;"Ja",J375=""),0,IF(COUNTIFS($O$5:O375,O375,$I$5:I375,"Ja",$J$5:J375,"&lt;&gt;")=1,1,0))</f>
        <v>0</v>
      </c>
      <c r="Z375" s="15">
        <f>IF(OR(I375&lt;&gt;"Ja",J375=""),0,IF(COUNTIFS(O375:$O$546,O375,I375:$I$546,"Ja",J375:$J$546,"&lt;&gt;")=1,1,0))</f>
        <v>0</v>
      </c>
      <c r="AA375" s="15">
        <f>IF(COUNTIFS(MATCHER!$B$5:$B$504,A375,MATCHER!$D$5:$D$504,C375,MATCHER!$J$5:$J$504,REGLER!$I$6,MATCHER!$K$5:$K$504,"Ja")+COUNTIFS(MATCHER!$B$5:$B$504,A375,MATCHER!$D$5:$D$504,C375,MATCHER!$J$5:$J$504,REGLER!$I$6&amp;" 2",MATCHER!$K$5:$K$504,"Ja")&gt;0,1,0)+IF(COUNTIFS(MATCHER!$B$5:$B$504,A375,MATCHER!$D$5:$D$504,C375,MATCHER!$J$5:$J$504,REGLER!$I$7,MATCHER!$K$5:$K$504,"Ja")+COUNTIFS(MATCHER!$B$5:$B$504,A375,MATCHER!$D$5:$D$504,C375,MATCHER!$J$5:$J$504,REGLER!$I$7&amp;" 2",MATCHER!$K$5:$K$504,"Ja")&gt;0,1,0)+IF(COUNTIFS(MATCHER!$B$5:$B$504,A375,MATCHER!$D$5:$D$504,C375,MATCHER!$J$5:$J$504,REGLER!$I$8,MATCHER!$K$5:$K$504,"Ja")+COUNTIFS(MATCHER!$B$5:$B$504,A375,MATCHER!$D$5:$D$504,C375,MATCHER!$J$5:$J$504,REGLER!$I$8&amp;" 2",MATCHER!$K$5:$K$504,"Ja")&gt;0,1,0)+IF(COUNTIFS(MATCHER!$B$5:$B$504,A375,MATCHER!$D$5:$D$504,C375,MATCHER!$J$5:$J$504,REGLER!$I$9,MATCHER!$K$5:$K$504,"Ja")+COUNTIFS(MATCHER!$B$5:$B$504,A375,MATCHER!$D$5:$D$504,C375,MATCHER!$J$5:$J$504,REGLER!$I$9&amp;" 2",MATCHER!$K$5:$K$504,"Ja")&gt;0,1,0)+IF(COUNTIFS(MATCHER!$B$5:$B$504,A375,MATCHER!$D$5:$D$504,C375,MATCHER!$J$5:$J$504,REGLER!$I$10,MATCHER!$K$5:$K$504,"Ja")+COUNTIFS(MATCHER!$B$5:$B$504,A375,MATCHER!$D$5:$D$504,C375,MATCHER!$J$5:$J$504,REGLER!$I$10&amp;" 2",MATCHER!$K$5:$K$504,"Ja")&gt;0,1,0)+IF(COUNTIFS(MATCHER!$B$5:$B$504,A375,MATCHER!$D$5:$D$504,C375,MATCHER!$J$5:$J$504,REGLER!$I$11,MATCHER!$K$5:$K$504,"Ja")+COUNTIFS(MATCHER!$B$5:$B$504,A375,MATCHER!$D$5:$D$504,C375,MATCHER!$J$5:$J$504,REGLER!$I$11&amp;" 2",MATCHER!$K$5:$K$504,"Ja")&gt;0,1,0)+IF(COUNTIFS(MATCHER!$B$5:$B$504,A375,MATCHER!$D$5:$D$504,C375,MATCHER!$J$5:$J$504,REGLER!$I$12,MATCHER!$K$5:$K$504,"Ja")+COUNTIFS(MATCHER!$B$5:$B$504,A375,MATCHER!$D$5:$D$504,C375,MATCHER!$J$5:$J$504,REGLER!$I$12&amp;" 2",MATCHER!$K$5:$K$504,"Ja")&gt;0,1,0)+IF(COUNTIFS(MATCHER!$B$5:$B$504,A375,MATCHER!$D$5:$D$504,C375,MATCHER!$J$5:$J$504,REGLER!$I$13,MATCHER!$K$5:$K$504,"Ja")+COUNTIFS(MATCHER!$B$5:$B$504,A375,MATCHER!$D$5:$D$504,C375,MATCHER!$J$5:$J$504,REGLER!$I$13&amp;" 2",MATCHER!$K$5:$K$504,"Ja")&gt;0,1,0)+IF(COUNTIFS(MATCHER!$B$5:$B$504,A375,MATCHER!$D$5:$D$504,C375,MATCHER!$J$5:$J$504,REGLER!$I$14,MATCHER!$K$5:$K$504,"Ja")+COUNTIFS(MATCHER!$B$5:$B$504,A375,MATCHER!$D$5:$D$504,C375,MATCHER!$J$5:$J$504,REGLER!$I$14&amp;" 2",MATCHER!$K$5:$K$504,"Ja")&gt;0,1,0)+IF(COUNTIFS(MATCHER!$B$5:$B$504,A375,MATCHER!$D$5:$D$504,C375,MATCHER!$J$5:$J$504,REGLER!$I$15,MATCHER!$K$5:$K$504,"Ja")+COUNTIFS(MATCHER!$B$5:$B$504,A375,MATCHER!$D$5:$D$504,C375,MATCHER!$J$5:$J$504,REGLER!$I$15&amp;" 2",MATCHER!$K$5:$K$504,"Ja")&gt;0,1,0)+IF(COUNTIFS(MATCHER!$B$5:$B$504,A375,MATCHER!$D$5:$D$504,C375,MATCHER!$J$5:$J$504,REGLER!$I$16,MATCHER!$K$5:$K$504,"Ja")+COUNTIFS(MATCHER!$B$5:$B$504,A375,MATCHER!$D$5:$D$504,C375,MATCHER!$J$5:$J$504,REGLER!$I$16&amp;" 2",MATCHER!$K$5:$K$504,"Ja")&gt;0,1,0)+IF(COUNTIFS(MATCHER!$B$5:$B$504,A375,MATCHER!$D$5:$D$504,C375,MATCHER!$J$5:$J$504,REGLER!$I$17,MATCHER!$K$5:$K$504,"Ja")+COUNTIFS(MATCHER!$B$5:$B$504,A375,MATCHER!$D$5:$D$504,C375,MATCHER!$J$5:$J$504,REGLER!$I$17&amp;" 2",MATCHER!$K$5:$K$504,"Ja")&gt;0,1,0)+IF(COUNTIFS(MATCHER!$B$5:$B$504,A375,MATCHER!$D$5:$D$504,C375,MATCHER!$J$5:$J$504,REGLER!$I$18,MATCHER!$K$5:$K$504,"Ja")+COUNTIFS(MATCHER!$B$5:$B$504,A375,MATCHER!$D$5:$D$504,C375,MATCHER!$J$5:$J$504,REGLER!$I$18&amp;" 2",MATCHER!$K$5:$K$504,"Ja")&gt;0,1,0)+IF(COUNTIFS(MATCHER!$B$5:$B$504,A375,MATCHER!$D$5:$D$504,C375,MATCHER!$J$5:$J$504,REGLER!$I$19,MATCHER!$K$5:$K$504,"Ja")+COUNTIFS(MATCHER!$B$5:$B$504,A375,MATCHER!$D$5:$D$504,C375,MATCHER!$J$5:$J$504,REGLER!$I$19&amp;" 2",MATCHER!$K$5:$K$504,"Ja")&gt;0,1,0)+IF(COUNTIFS(MATCHER!$B$5:$B$504,A375,MATCHER!$D$5:$D$504,C375,MATCHER!$J$5:$J$504,REGLER!$I$20,MATCHER!$K$5:$K$504,"Ja")+COUNTIFS(MATCHER!$B$5:$B$504,A375,MATCHER!$D$5:$D$504,C375,MATCHER!$J$5:$J$504,REGLER!$I$20&amp;" 2",MATCHER!$K$5:$K$504,"Ja")&gt;0,1,0)+IF(COUNTIFS(MATCHER!$B$5:$B$504,A375,MATCHER!$D$5:$D$504,C375,MATCHER!$J$5:$J$504,REGLER!$I$21,MATCHER!$K$5:$K$504,"Ja")+COUNTIFS(MATCHER!$B$5:$B$504,A375,MATCHER!$D$5:$D$504,C375,MATCHER!$J$5:$J$504,REGLER!$I$21&amp;" 2",MATCHER!$K$5:$K$504,"Ja")&gt;0,1,0)+IF(COUNTIFS(MATCHER!$B$5:$B$504,A375,MATCHER!$D$5:$D$504,C375,MATCHER!$J$5:$J$504,REGLER!$I$22,MATCHER!$K$5:$K$504,"Ja")+COUNTIFS(MATCHER!$B$5:$B$504,A375,MATCHER!$D$5:$D$504,C375,MATCHER!$J$5:$J$504,REGLER!$I$22&amp;" 2",MATCHER!$K$5:$K$504,"Ja")&gt;0,1,0)+IF(COUNTIFS(MATCHER!$B$5:$B$504,A375,MATCHER!$D$5:$D$504,C375,MATCHER!$J$5:$J$504,REGLER!$I$23,MATCHER!$K$5:$K$504,"Ja")+COUNTIFS(MATCHER!$B$5:$B$504,A375,MATCHER!$D$5:$D$504,C375,MATCHER!$J$5:$J$504,REGLER!$I$23&amp;" 2",MATCHER!$K$5:$K$504,"Ja")&gt;0,1,0)+IF(COUNTIFS(MATCHER!$B$5:$B$504,A375,MATCHER!$D$5:$D$504,C375,MATCHER!$J$5:$J$504,REGLER!$I$24,MATCHER!$K$5:$K$504,"Ja")+COUNTIFS(MATCHER!$B$5:$B$504,A375,MATCHER!$D$5:$D$504,C375,MATCHER!$J$5:$J$504,REGLER!$I$24&amp;" 2",MATCHER!$K$5:$K$504,"Ja")&gt;0,1,0)+IF(COUNTIFS(MATCHER!$B$5:$B$504,A375,MATCHER!$D$5:$D$504,C375,MATCHER!$J$5:$J$504,REGLER!$I$25,MATCHER!$K$5:$K$504,"Ja")+COUNTIFS(MATCHER!$B$5:$B$504,A375,MATCHER!$D$5:$D$504,C375,MATCHER!$J$5:$J$504,REGLER!$I$25&amp;" 2",MATCHER!$K$5:$K$504,"Ja")&gt;0,1,0)+IF(COUNTIFS(MATCHER!$B$5:$B$504,A375,MATCHER!$D$5:$D$504,C375,MATCHER!$J$5:$J$504,REGLER!$I$26,MATCHER!$K$5:$K$504,"Ja")+COUNTIFS(MATCHER!$B$5:$B$504,A375,MATCHER!$D$5:$D$504,C375,MATCHER!$J$5:$J$504,REGLER!$I$26&amp;" 2",MATCHER!$K$5:$K$504,"Ja")&gt;0,1,0)</f>
        <v>1</v>
      </c>
      <c r="AB375" s="15" t="str">
        <f>IF(U375&lt;&gt;1,"",COUNTIF($U$5:U375,1))</f>
        <v/>
      </c>
      <c r="AC375" s="15" t="str">
        <f t="shared" si="79"/>
        <v/>
      </c>
      <c r="AD375" s="15" t="str">
        <f t="shared" si="80"/>
        <v>Minicafé</v>
      </c>
      <c r="AE375" s="15" t="str">
        <f t="shared" si="81"/>
        <v/>
      </c>
      <c r="AF375" t="str">
        <f>IF(T375="","",IFERROR(MATCH(1,INDEX((MATCHER!$B$5:$B$504=A375)*(MATCHER!$D$5:$D$504=C375)*(MATCHER!$K$5:$K$504="Ja")*(MATCHER!$C$5:$C$504&lt;E375)*(MATCHER!$M$5:$M$504&gt;D375)*(ROW(MATCHER!$A$5:$A$504)-ROW(MATCHER!$A$5)+1&gt;T375),0),0),""))</f>
        <v/>
      </c>
    </row>
    <row r="376" spans="1:32" ht="13">
      <c r="A376" s="42">
        <v>46417</v>
      </c>
      <c r="B376" s="43" t="s">
        <v>85</v>
      </c>
      <c r="C376" s="43" t="s">
        <v>94</v>
      </c>
      <c r="D376" s="44">
        <v>0.41666666666666702</v>
      </c>
      <c r="E376" s="44">
        <v>0.4375</v>
      </c>
      <c r="F376" s="45" t="str">
        <f>IF(R376="","",HOUR(INDEX(MATCHER!$C$5:$C$504,R376))&amp;":"&amp;IF(MINUTE(INDEX(MATCHER!$C$5:$C$504,R376))&lt;10,"0","")&amp;MINUTE(INDEX(MATCHER!$C$5:$C$504,R376))&amp;" "&amp;INDEX(MATCHER!$H$5:$H$504,R376)&amp;" – "&amp;INDEX(MATCHER!$I$5:$I$504,R376))&amp;IF(S376="",""," | "&amp;HOUR(INDEX(MATCHER!$C$5:$C$504,S376))&amp;":"&amp;IF(MINUTE(INDEX(MATCHER!$C$5:$C$504,S376))&lt;10,"0","")&amp;MINUTE(INDEX(MATCHER!$C$5:$C$504,S376))&amp;" "&amp;INDEX(MATCHER!$H$5:$H$504,S376)&amp;" – "&amp;INDEX(MATCHER!$I$5:$I$504,S376))&amp;IF(T376="",""," | "&amp;HOUR(INDEX(MATCHER!$C$5:$C$504,T376))&amp;":"&amp;IF(MINUTE(INDEX(MATCHER!$C$5:$C$504,T376))&lt;10,"0","")&amp;MINUTE(INDEX(MATCHER!$C$5:$C$504,T376))&amp;" "&amp;INDEX(MATCHER!$H$5:$H$504,T376)&amp;" – "&amp;INDEX(MATCHER!$I$5:$I$504,T376))&amp;IF(AF376="",""," | "&amp;HOUR(INDEX(MATCHER!$C$5:$C$504,AF376))&amp;":"&amp;IF(MINUTE(INDEX(MATCHER!$C$5:$C$504,AF376))&lt;10,"0","")&amp;MINUTE(INDEX(MATCHER!$C$5:$C$504,AF376))&amp;" "&amp;INDEX(MATCHER!$H$5:$H$504,AF376)&amp;" – "&amp;INDEX(MATCHER!$I$5:$I$504,AF376))</f>
        <v>10:15 AIK 2 – Sannadals SK</v>
      </c>
      <c r="G376" s="45" t="str">
        <f>MID(IF(R376="","",IF(OR(INDEX(MATCHER!$J$5:$J$504,R376)=""),""," / "&amp;INDEX(MATCHER!$J$5:$J$504,R376)))&amp;IF(S376="","",IF(OR(INDEX(MATCHER!$J$5:$J$504,S376)="",INDEX(MATCHER!$J$5:$J$504,S376)=IFERROR(INDEX(MATCHER!$J$5:$J$504,R376),"")),""," / "&amp;INDEX(MATCHER!$J$5:$J$504,S376)))&amp;IF(T376="","",IF(OR(INDEX(MATCHER!$J$5:$J$504,T376)="",INDEX(MATCHER!$J$5:$J$504,T376)=IFERROR(INDEX(MATCHER!$J$5:$J$504,R376),""),INDEX(MATCHER!$J$5:$J$504,T376)=IFERROR(INDEX(MATCHER!$J$5:$J$504,S376),"")),""," / "&amp;INDEX(MATCHER!$J$5:$J$504,T376)))&amp;IF(AF376="","",IF(OR(INDEX(MATCHER!$J$5:$J$504,AF376)="",INDEX(MATCHER!$J$5:$J$504,AF376)=IFERROR(INDEX(MATCHER!$J$5:$J$504,R376),""),INDEX(MATCHER!$J$5:$J$504,AF376)=IFERROR(INDEX(MATCHER!$J$5:$J$504,S376),""),INDEX(MATCHER!$J$5:$J$504,AF376)=IFERROR(INDEX(MATCHER!$J$5:$J$504,T376),"")),""," / "&amp;INDEX(MATCHER!$J$5:$J$504,AF376))),4,1000)</f>
        <v>F16 2</v>
      </c>
      <c r="H376" s="45" t="str">
        <f>H375</f>
        <v>F16</v>
      </c>
      <c r="I376" s="46" t="s">
        <v>90</v>
      </c>
      <c r="J376" s="47" t="s">
        <v>128</v>
      </c>
      <c r="K376" s="48"/>
      <c r="L376" s="49"/>
      <c r="M376" s="50" t="str">
        <f>IF(O376&lt;&gt;O375,MAX(1,MIN(AA376,ROUNDUP(SUMPRODUCT(($O$5:$O$546=O376)*($I$5:$I$546="Ja")*($E$5:$E$546-$D$5:$D$546))*24/REGLER!$B$8,0))),"")</f>
        <v/>
      </c>
      <c r="N376" s="50" t="str">
        <f t="shared" si="75"/>
        <v>Klar</v>
      </c>
      <c r="O376" s="15" t="s">
        <v>147</v>
      </c>
      <c r="P376" s="16">
        <v>0.39583333333333298</v>
      </c>
      <c r="Q376" s="16">
        <v>0.47916666666666702</v>
      </c>
      <c r="R376" s="15">
        <f>IFERROR(MATCH(1,INDEX((MATCHER!$B$5:$B$504=A376)*(MATCHER!$D$5:$D$504=C376)*(MATCHER!$K$5:$K$504="Ja")*(MATCHER!$C$5:$C$504&lt;E376)*(MATCHER!$M$5:$M$504&gt;D376),0),0),"")</f>
        <v>141</v>
      </c>
      <c r="S376" s="15" t="str">
        <f>IF(R376="","",IFERROR(MATCH(1,INDEX((MATCHER!$B$5:$B$504=A376)*(MATCHER!$D$5:$D$504=C376)*(MATCHER!$K$5:$K$504="Ja")*(MATCHER!$C$5:$C$504&lt;E376)*(MATCHER!$M$5:$M$504&gt;D376)*(ROW(MATCHER!$A$5:$A$504)-ROW(MATCHER!$A$5)+1&gt;R376),0),0),""))</f>
        <v/>
      </c>
      <c r="T376" s="15" t="str">
        <f>IF(S376="","",IFERROR(MATCH(1,INDEX((MATCHER!$B$5:$B$504=A376)*(MATCHER!$D$5:$D$504=C376)*(MATCHER!$K$5:$K$504="Ja")*(MATCHER!$C$5:$C$504&lt;E376)*(MATCHER!$M$5:$M$504&gt;D376)*(ROW(MATCHER!$A$5:$A$504)-ROW(MATCHER!$A$5)+1&gt;S376),0),0),""))</f>
        <v/>
      </c>
      <c r="U376" s="15">
        <f t="shared" si="76"/>
        <v>1</v>
      </c>
      <c r="V376" s="15">
        <f>IF(OR(I376&lt;&gt;"Ja",J376=""),"",COUNTIFS($O$5:O376,O376,$U$5:U376,1))</f>
        <v>1</v>
      </c>
      <c r="W376" s="15" t="str">
        <f t="shared" si="77"/>
        <v>2027-01-30 | Råsta Park|1</v>
      </c>
      <c r="X376" s="16" t="str">
        <f t="shared" si="78"/>
        <v/>
      </c>
      <c r="Y376" s="15">
        <f>IF(OR(I376&lt;&gt;"Ja",J376=""),0,IF(COUNTIFS($O$5:O376,O376,$I$5:I376,"Ja",$J$5:J376,"&lt;&gt;")=1,1,0))</f>
        <v>1</v>
      </c>
      <c r="Z376" s="15">
        <f>IF(OR(I376&lt;&gt;"Ja",J376=""),0,IF(COUNTIFS(O376:$O$546,O376,I376:$I$546,"Ja",J376:$J$546,"&lt;&gt;")=1,1,0))</f>
        <v>0</v>
      </c>
      <c r="AA376" s="15">
        <f>AA375</f>
        <v>1</v>
      </c>
      <c r="AB376" s="15">
        <f>IF(U376&lt;&gt;1,"",COUNTIF($U$5:U376,1))</f>
        <v>53</v>
      </c>
      <c r="AC376" s="15" t="str">
        <f t="shared" si="79"/>
        <v/>
      </c>
      <c r="AD376" s="15" t="str">
        <f t="shared" si="80"/>
        <v>Minicafé</v>
      </c>
      <c r="AE376" s="15">
        <f t="shared" si="81"/>
        <v>1.5</v>
      </c>
      <c r="AF376" t="str">
        <f>IF(T376="","",IFERROR(MATCH(1,INDEX((MATCHER!$B$5:$B$504=A376)*(MATCHER!$D$5:$D$504=C376)*(MATCHER!$K$5:$K$504="Ja")*(MATCHER!$C$5:$C$504&lt;E376)*(MATCHER!$M$5:$M$504&gt;D376)*(ROW(MATCHER!$A$5:$A$504)-ROW(MATCHER!$A$5)+1&gt;T376),0),0),""))</f>
        <v/>
      </c>
    </row>
    <row r="377" spans="1:32" ht="13">
      <c r="A377" s="42">
        <v>46417</v>
      </c>
      <c r="B377" s="43" t="s">
        <v>85</v>
      </c>
      <c r="C377" s="43" t="s">
        <v>94</v>
      </c>
      <c r="D377" s="44">
        <v>0.4375</v>
      </c>
      <c r="E377" s="44">
        <v>0.45833333333333298</v>
      </c>
      <c r="F377" s="45" t="str">
        <f>IF(R377="","",HOUR(INDEX(MATCHER!$C$5:$C$504,R377))&amp;":"&amp;IF(MINUTE(INDEX(MATCHER!$C$5:$C$504,R377))&lt;10,"0","")&amp;MINUTE(INDEX(MATCHER!$C$5:$C$504,R377))&amp;" "&amp;INDEX(MATCHER!$H$5:$H$504,R377)&amp;" – "&amp;INDEX(MATCHER!$I$5:$I$504,R377))&amp;IF(S377="",""," | "&amp;HOUR(INDEX(MATCHER!$C$5:$C$504,S377))&amp;":"&amp;IF(MINUTE(INDEX(MATCHER!$C$5:$C$504,S377))&lt;10,"0","")&amp;MINUTE(INDEX(MATCHER!$C$5:$C$504,S377))&amp;" "&amp;INDEX(MATCHER!$H$5:$H$504,S377)&amp;" – "&amp;INDEX(MATCHER!$I$5:$I$504,S377))&amp;IF(T377="",""," | "&amp;HOUR(INDEX(MATCHER!$C$5:$C$504,T377))&amp;":"&amp;IF(MINUTE(INDEX(MATCHER!$C$5:$C$504,T377))&lt;10,"0","")&amp;MINUTE(INDEX(MATCHER!$C$5:$C$504,T377))&amp;" "&amp;INDEX(MATCHER!$H$5:$H$504,T377)&amp;" – "&amp;INDEX(MATCHER!$I$5:$I$504,T377))&amp;IF(AF377="",""," | "&amp;HOUR(INDEX(MATCHER!$C$5:$C$504,AF377))&amp;":"&amp;IF(MINUTE(INDEX(MATCHER!$C$5:$C$504,AF377))&lt;10,"0","")&amp;MINUTE(INDEX(MATCHER!$C$5:$C$504,AF377))&amp;" "&amp;INDEX(MATCHER!$H$5:$H$504,AF377)&amp;" – "&amp;INDEX(MATCHER!$I$5:$I$504,AF377))</f>
        <v>10:15 AIK 2 – Sannadals SK</v>
      </c>
      <c r="G377" s="45" t="str">
        <f>MID(IF(R377="","",IF(OR(INDEX(MATCHER!$J$5:$J$504,R377)=""),""," / "&amp;INDEX(MATCHER!$J$5:$J$504,R377)))&amp;IF(S377="","",IF(OR(INDEX(MATCHER!$J$5:$J$504,S377)="",INDEX(MATCHER!$J$5:$J$504,S377)=IFERROR(INDEX(MATCHER!$J$5:$J$504,R377),"")),""," / "&amp;INDEX(MATCHER!$J$5:$J$504,S377)))&amp;IF(T377="","",IF(OR(INDEX(MATCHER!$J$5:$J$504,T377)="",INDEX(MATCHER!$J$5:$J$504,T377)=IFERROR(INDEX(MATCHER!$J$5:$J$504,R377),""),INDEX(MATCHER!$J$5:$J$504,T377)=IFERROR(INDEX(MATCHER!$J$5:$J$504,S377),"")),""," / "&amp;INDEX(MATCHER!$J$5:$J$504,T377)))&amp;IF(AF377="","",IF(OR(INDEX(MATCHER!$J$5:$J$504,AF377)="",INDEX(MATCHER!$J$5:$J$504,AF377)=IFERROR(INDEX(MATCHER!$J$5:$J$504,R377),""),INDEX(MATCHER!$J$5:$J$504,AF377)=IFERROR(INDEX(MATCHER!$J$5:$J$504,S377),""),INDEX(MATCHER!$J$5:$J$504,AF377)=IFERROR(INDEX(MATCHER!$J$5:$J$504,T377),"")),""," / "&amp;INDEX(MATCHER!$J$5:$J$504,AF377))),4,1000)</f>
        <v>F16 2</v>
      </c>
      <c r="H377" s="45" t="str">
        <f>H376</f>
        <v>F16</v>
      </c>
      <c r="I377" s="46" t="s">
        <v>90</v>
      </c>
      <c r="J377" s="47" t="s">
        <v>128</v>
      </c>
      <c r="K377" s="48"/>
      <c r="L377" s="49"/>
      <c r="M377" s="50" t="str">
        <f>IF(O377&lt;&gt;O376,MAX(1,MIN(AA377,ROUNDUP(SUMPRODUCT(($O$5:$O$546=O377)*($I$5:$I$546="Ja")*($E$5:$E$546-$D$5:$D$546))*24/REGLER!$B$8,0))),"")</f>
        <v/>
      </c>
      <c r="N377" s="50" t="str">
        <f t="shared" si="75"/>
        <v>Klar</v>
      </c>
      <c r="O377" s="15" t="s">
        <v>147</v>
      </c>
      <c r="P377" s="16">
        <v>0.39583333333333298</v>
      </c>
      <c r="Q377" s="16">
        <v>0.47916666666666702</v>
      </c>
      <c r="R377" s="15">
        <f>IFERROR(MATCH(1,INDEX((MATCHER!$B$5:$B$504=A377)*(MATCHER!$D$5:$D$504=C377)*(MATCHER!$K$5:$K$504="Ja")*(MATCHER!$C$5:$C$504&lt;E377)*(MATCHER!$M$5:$M$504&gt;D377),0),0),"")</f>
        <v>141</v>
      </c>
      <c r="S377" s="15" t="str">
        <f>IF(R377="","",IFERROR(MATCH(1,INDEX((MATCHER!$B$5:$B$504=A377)*(MATCHER!$D$5:$D$504=C377)*(MATCHER!$K$5:$K$504="Ja")*(MATCHER!$C$5:$C$504&lt;E377)*(MATCHER!$M$5:$M$504&gt;D377)*(ROW(MATCHER!$A$5:$A$504)-ROW(MATCHER!$A$5)+1&gt;R377),0),0),""))</f>
        <v/>
      </c>
      <c r="T377" s="15" t="str">
        <f>IF(S377="","",IFERROR(MATCH(1,INDEX((MATCHER!$B$5:$B$504=A377)*(MATCHER!$D$5:$D$504=C377)*(MATCHER!$K$5:$K$504="Ja")*(MATCHER!$C$5:$C$504&lt;E377)*(MATCHER!$M$5:$M$504&gt;D377)*(ROW(MATCHER!$A$5:$A$504)-ROW(MATCHER!$A$5)+1&gt;S377),0),0),""))</f>
        <v/>
      </c>
      <c r="U377" s="15">
        <f t="shared" si="76"/>
        <v>0</v>
      </c>
      <c r="V377" s="15">
        <f>IF(OR(I377&lt;&gt;"Ja",J377=""),"",COUNTIFS($O$5:O377,O377,$U$5:U377,1))</f>
        <v>1</v>
      </c>
      <c r="W377" s="15" t="str">
        <f t="shared" si="77"/>
        <v>2027-01-30 | Råsta Park|1</v>
      </c>
      <c r="X377" s="16" t="str">
        <f t="shared" si="78"/>
        <v/>
      </c>
      <c r="Y377" s="15">
        <f>IF(OR(I377&lt;&gt;"Ja",J377=""),0,IF(COUNTIFS($O$5:O377,O377,$I$5:I377,"Ja",$J$5:J377,"&lt;&gt;")=1,1,0))</f>
        <v>0</v>
      </c>
      <c r="Z377" s="15">
        <f>IF(OR(I377&lt;&gt;"Ja",J377=""),0,IF(COUNTIFS(O377:$O$546,O377,I377:$I$546,"Ja",J377:$J$546,"&lt;&gt;")=1,1,0))</f>
        <v>0</v>
      </c>
      <c r="AA377" s="15">
        <f>AA376</f>
        <v>1</v>
      </c>
      <c r="AB377" s="15" t="str">
        <f>IF(U377&lt;&gt;1,"",COUNTIF($U$5:U377,1))</f>
        <v/>
      </c>
      <c r="AC377" s="15" t="str">
        <f t="shared" si="79"/>
        <v/>
      </c>
      <c r="AD377" s="15" t="str">
        <f t="shared" si="80"/>
        <v>Minicafé</v>
      </c>
      <c r="AE377" s="15" t="str">
        <f t="shared" si="81"/>
        <v/>
      </c>
      <c r="AF377" t="str">
        <f>IF(T377="","",IFERROR(MATCH(1,INDEX((MATCHER!$B$5:$B$504=A377)*(MATCHER!$D$5:$D$504=C377)*(MATCHER!$K$5:$K$504="Ja")*(MATCHER!$C$5:$C$504&lt;E377)*(MATCHER!$M$5:$M$504&gt;D377)*(ROW(MATCHER!$A$5:$A$504)-ROW(MATCHER!$A$5)+1&gt;T377),0),0),""))</f>
        <v/>
      </c>
    </row>
    <row r="378" spans="1:32" ht="13.5" thickBot="1">
      <c r="A378" s="52">
        <v>46417</v>
      </c>
      <c r="B378" s="53" t="s">
        <v>85</v>
      </c>
      <c r="C378" s="53" t="s">
        <v>94</v>
      </c>
      <c r="D378" s="54">
        <v>0.45833333333333298</v>
      </c>
      <c r="E378" s="54">
        <v>0.47916666666666702</v>
      </c>
      <c r="F378" s="55" t="str">
        <f>IF(R378="","",HOUR(INDEX(MATCHER!$C$5:$C$504,R378))&amp;":"&amp;IF(MINUTE(INDEX(MATCHER!$C$5:$C$504,R378))&lt;10,"0","")&amp;MINUTE(INDEX(MATCHER!$C$5:$C$504,R378))&amp;" "&amp;INDEX(MATCHER!$H$5:$H$504,R378)&amp;" – "&amp;INDEX(MATCHER!$I$5:$I$504,R378))&amp;IF(S378="",""," | "&amp;HOUR(INDEX(MATCHER!$C$5:$C$504,S378))&amp;":"&amp;IF(MINUTE(INDEX(MATCHER!$C$5:$C$504,S378))&lt;10,"0","")&amp;MINUTE(INDEX(MATCHER!$C$5:$C$504,S378))&amp;" "&amp;INDEX(MATCHER!$H$5:$H$504,S378)&amp;" – "&amp;INDEX(MATCHER!$I$5:$I$504,S378))&amp;IF(T378="",""," | "&amp;HOUR(INDEX(MATCHER!$C$5:$C$504,T378))&amp;":"&amp;IF(MINUTE(INDEX(MATCHER!$C$5:$C$504,T378))&lt;10,"0","")&amp;MINUTE(INDEX(MATCHER!$C$5:$C$504,T378))&amp;" "&amp;INDEX(MATCHER!$H$5:$H$504,T378)&amp;" – "&amp;INDEX(MATCHER!$I$5:$I$504,T378))&amp;IF(AF378="",""," | "&amp;HOUR(INDEX(MATCHER!$C$5:$C$504,AF378))&amp;":"&amp;IF(MINUTE(INDEX(MATCHER!$C$5:$C$504,AF378))&lt;10,"0","")&amp;MINUTE(INDEX(MATCHER!$C$5:$C$504,AF378))&amp;" "&amp;INDEX(MATCHER!$H$5:$H$504,AF378)&amp;" – "&amp;INDEX(MATCHER!$I$5:$I$504,AF378))</f>
        <v>10:15 AIK 2 – Sannadals SK</v>
      </c>
      <c r="G378" s="55" t="str">
        <f>MID(IF(R378="","",IF(OR(INDEX(MATCHER!$J$5:$J$504,R378)=""),""," / "&amp;INDEX(MATCHER!$J$5:$J$504,R378)))&amp;IF(S378="","",IF(OR(INDEX(MATCHER!$J$5:$J$504,S378)="",INDEX(MATCHER!$J$5:$J$504,S378)=IFERROR(INDEX(MATCHER!$J$5:$J$504,R378),"")),""," / "&amp;INDEX(MATCHER!$J$5:$J$504,S378)))&amp;IF(T378="","",IF(OR(INDEX(MATCHER!$J$5:$J$504,T378)="",INDEX(MATCHER!$J$5:$J$504,T378)=IFERROR(INDEX(MATCHER!$J$5:$J$504,R378),""),INDEX(MATCHER!$J$5:$J$504,T378)=IFERROR(INDEX(MATCHER!$J$5:$J$504,S378),"")),""," / "&amp;INDEX(MATCHER!$J$5:$J$504,T378)))&amp;IF(AF378="","",IF(OR(INDEX(MATCHER!$J$5:$J$504,AF378)="",INDEX(MATCHER!$J$5:$J$504,AF378)=IFERROR(INDEX(MATCHER!$J$5:$J$504,R378),""),INDEX(MATCHER!$J$5:$J$504,AF378)=IFERROR(INDEX(MATCHER!$J$5:$J$504,S378),""),INDEX(MATCHER!$J$5:$J$504,AF378)=IFERROR(INDEX(MATCHER!$J$5:$J$504,T378),"")),""," / "&amp;INDEX(MATCHER!$J$5:$J$504,AF378))),4,1000)</f>
        <v>F16 2</v>
      </c>
      <c r="H378" s="55" t="str">
        <f>H377</f>
        <v>F16</v>
      </c>
      <c r="I378" s="56" t="s">
        <v>90</v>
      </c>
      <c r="J378" s="57" t="s">
        <v>128</v>
      </c>
      <c r="K378" s="58"/>
      <c r="L378" s="59"/>
      <c r="M378" s="60" t="str">
        <f>IF(O378&lt;&gt;O377,MAX(1,MIN(AA378,ROUNDUP(SUMPRODUCT(($O$5:$O$546=O378)*($I$5:$I$546="Ja")*($E$5:$E$546-$D$5:$D$546))*24/REGLER!$B$8,0))),"")</f>
        <v/>
      </c>
      <c r="N378" s="60" t="str">
        <f t="shared" si="75"/>
        <v>Klar</v>
      </c>
      <c r="O378" s="15" t="s">
        <v>147</v>
      </c>
      <c r="P378" s="16">
        <v>0.39583333333333298</v>
      </c>
      <c r="Q378" s="16">
        <v>0.47916666666666702</v>
      </c>
      <c r="R378" s="15">
        <f>IFERROR(MATCH(1,INDEX((MATCHER!$B$5:$B$504=A378)*(MATCHER!$D$5:$D$504=C378)*(MATCHER!$K$5:$K$504="Ja")*(MATCHER!$C$5:$C$504&lt;E378)*(MATCHER!$M$5:$M$504&gt;D378),0),0),"")</f>
        <v>141</v>
      </c>
      <c r="S378" s="15" t="str">
        <f>IF(R378="","",IFERROR(MATCH(1,INDEX((MATCHER!$B$5:$B$504=A378)*(MATCHER!$D$5:$D$504=C378)*(MATCHER!$K$5:$K$504="Ja")*(MATCHER!$C$5:$C$504&lt;E378)*(MATCHER!$M$5:$M$504&gt;D378)*(ROW(MATCHER!$A$5:$A$504)-ROW(MATCHER!$A$5)+1&gt;R378),0),0),""))</f>
        <v/>
      </c>
      <c r="T378" s="15" t="str">
        <f>IF(S378="","",IFERROR(MATCH(1,INDEX((MATCHER!$B$5:$B$504=A378)*(MATCHER!$D$5:$D$504=C378)*(MATCHER!$K$5:$K$504="Ja")*(MATCHER!$C$5:$C$504&lt;E378)*(MATCHER!$M$5:$M$504&gt;D378)*(ROW(MATCHER!$A$5:$A$504)-ROW(MATCHER!$A$5)+1&gt;S378),0),0),""))</f>
        <v/>
      </c>
      <c r="U378" s="15">
        <f t="shared" si="76"/>
        <v>0</v>
      </c>
      <c r="V378" s="15">
        <f>IF(OR(I378&lt;&gt;"Ja",J378=""),"",COUNTIFS($O$5:O378,O378,$U$5:U378,1))</f>
        <v>1</v>
      </c>
      <c r="W378" s="15" t="str">
        <f t="shared" si="77"/>
        <v>2027-01-30 | Råsta Park|1</v>
      </c>
      <c r="X378" s="16">
        <f t="shared" si="78"/>
        <v>0.47916666666666702</v>
      </c>
      <c r="Y378" s="15">
        <f>IF(OR(I378&lt;&gt;"Ja",J378=""),0,IF(COUNTIFS($O$5:O378,O378,$I$5:I378,"Ja",$J$5:J378,"&lt;&gt;")=1,1,0))</f>
        <v>0</v>
      </c>
      <c r="Z378" s="15">
        <f>IF(OR(I378&lt;&gt;"Ja",J378=""),0,IF(COUNTIFS(O378:$O$546,O378,I378:$I$546,"Ja",J378:$J$546,"&lt;&gt;")=1,1,0))</f>
        <v>1</v>
      </c>
      <c r="AA378" s="15">
        <f>AA377</f>
        <v>1</v>
      </c>
      <c r="AB378" s="15" t="str">
        <f>IF(U378&lt;&gt;1,"",COUNTIF($U$5:U378,1))</f>
        <v/>
      </c>
      <c r="AC378" s="15" t="str">
        <f t="shared" si="79"/>
        <v>2027-01-30 | Råsta Park|1</v>
      </c>
      <c r="AD378" s="15" t="str">
        <f t="shared" si="80"/>
        <v>Minicafé</v>
      </c>
      <c r="AE378" s="15" t="str">
        <f t="shared" si="81"/>
        <v/>
      </c>
      <c r="AF378" t="str">
        <f>IF(T378="","",IFERROR(MATCH(1,INDEX((MATCHER!$B$5:$B$504=A378)*(MATCHER!$D$5:$D$504=C378)*(MATCHER!$K$5:$K$504="Ja")*(MATCHER!$C$5:$C$504&lt;E378)*(MATCHER!$M$5:$M$504&gt;D378)*(ROW(MATCHER!$A$5:$A$504)-ROW(MATCHER!$A$5)+1&gt;T378),0),0),""))</f>
        <v/>
      </c>
    </row>
    <row r="379" spans="1:32" ht="26">
      <c r="A379" s="42">
        <v>46417</v>
      </c>
      <c r="B379" s="43" t="s">
        <v>85</v>
      </c>
      <c r="C379" s="43" t="s">
        <v>86</v>
      </c>
      <c r="D379" s="44">
        <v>0.33333333333333298</v>
      </c>
      <c r="E379" s="44">
        <v>0.35416666666666702</v>
      </c>
      <c r="F379" s="45" t="str">
        <f>IF(R379="","",HOUR(INDEX(MATCHER!$C$5:$C$504,R379))&amp;":"&amp;IF(MINUTE(INDEX(MATCHER!$C$5:$C$504,R379))&lt;10,"0","")&amp;MINUTE(INDEX(MATCHER!$C$5:$C$504,R379))&amp;" "&amp;INDEX(MATCHER!$H$5:$H$504,R379)&amp;" – "&amp;INDEX(MATCHER!$I$5:$I$504,R379))&amp;IF(S379="",""," | "&amp;HOUR(INDEX(MATCHER!$C$5:$C$504,S379))&amp;":"&amp;IF(MINUTE(INDEX(MATCHER!$C$5:$C$504,S379))&lt;10,"0","")&amp;MINUTE(INDEX(MATCHER!$C$5:$C$504,S379))&amp;" "&amp;INDEX(MATCHER!$H$5:$H$504,S379)&amp;" – "&amp;INDEX(MATCHER!$I$5:$I$504,S379))&amp;IF(T379="",""," | "&amp;HOUR(INDEX(MATCHER!$C$5:$C$504,T379))&amp;":"&amp;IF(MINUTE(INDEX(MATCHER!$C$5:$C$504,T379))&lt;10,"0","")&amp;MINUTE(INDEX(MATCHER!$C$5:$C$504,T379))&amp;" "&amp;INDEX(MATCHER!$H$5:$H$504,T379)&amp;" – "&amp;INDEX(MATCHER!$I$5:$I$504,T379))&amp;IF(AF379="",""," | "&amp;HOUR(INDEX(MATCHER!$C$5:$C$504,AF379))&amp;":"&amp;IF(MINUTE(INDEX(MATCHER!$C$5:$C$504,AF379))&lt;10,"0","")&amp;MINUTE(INDEX(MATCHER!$C$5:$C$504,AF379))&amp;" "&amp;INDEX(MATCHER!$H$5:$H$504,AF379)&amp;" – "&amp;INDEX(MATCHER!$I$5:$I$504,AF379))</f>
        <v/>
      </c>
      <c r="G379" s="45" t="str">
        <f>MID(IF(R379="","",IF(OR(INDEX(MATCHER!$J$5:$J$504,R379)=""),""," / "&amp;INDEX(MATCHER!$J$5:$J$504,R379)))&amp;IF(S379="","",IF(OR(INDEX(MATCHER!$J$5:$J$504,S379)="",INDEX(MATCHER!$J$5:$J$504,S379)=IFERROR(INDEX(MATCHER!$J$5:$J$504,R379),"")),""," / "&amp;INDEX(MATCHER!$J$5:$J$504,S379)))&amp;IF(T379="","",IF(OR(INDEX(MATCHER!$J$5:$J$504,T379)="",INDEX(MATCHER!$J$5:$J$504,T379)=IFERROR(INDEX(MATCHER!$J$5:$J$504,R379),""),INDEX(MATCHER!$J$5:$J$504,T379)=IFERROR(INDEX(MATCHER!$J$5:$J$504,S379),"")),""," / "&amp;INDEX(MATCHER!$J$5:$J$504,T379)))&amp;IF(AF379="","",IF(OR(INDEX(MATCHER!$J$5:$J$504,AF379)="",INDEX(MATCHER!$J$5:$J$504,AF379)=IFERROR(INDEX(MATCHER!$J$5:$J$504,R379),""),INDEX(MATCHER!$J$5:$J$504,AF379)=IFERROR(INDEX(MATCHER!$J$5:$J$504,S379),""),INDEX(MATCHER!$J$5:$J$504,AF379)=IFERROR(INDEX(MATCHER!$J$5:$J$504,T379),"")),""," / "&amp;INDEX(MATCHER!$J$5:$J$504,AF379))),4,1000)</f>
        <v/>
      </c>
      <c r="H379" s="45" t="str">
        <f>MID(IF(COUNTIFS(MATCHER!$B$5:$B$504,A379,MATCHER!$D$5:$D$504,C379,MATCHER!$J$5:$J$504,REGLER!$I$6,MATCHER!$K$5:$K$504,"Ja")+COUNTIFS(MATCHER!$B$5:$B$504,A379,MATCHER!$D$5:$D$504,C379,MATCHER!$J$5:$J$504,REGLER!$I$6&amp;" 2",MATCHER!$K$5:$K$504,"Ja")&gt;0,", "&amp;REGLER!$I$6,"")&amp;IF(COUNTIFS(MATCHER!$B$5:$B$504,A379,MATCHER!$D$5:$D$504,C379,MATCHER!$J$5:$J$504,REGLER!$I$7,MATCHER!$K$5:$K$504,"Ja")+COUNTIFS(MATCHER!$B$5:$B$504,A379,MATCHER!$D$5:$D$504,C379,MATCHER!$J$5:$J$504,REGLER!$I$7&amp;" 2",MATCHER!$K$5:$K$504,"Ja")&gt;0,", "&amp;REGLER!$I$7,"")&amp;IF(COUNTIFS(MATCHER!$B$5:$B$504,A379,MATCHER!$D$5:$D$504,C379,MATCHER!$J$5:$J$504,REGLER!$I$8,MATCHER!$K$5:$K$504,"Ja")+COUNTIFS(MATCHER!$B$5:$B$504,A379,MATCHER!$D$5:$D$504,C379,MATCHER!$J$5:$J$504,REGLER!$I$8&amp;" 2",MATCHER!$K$5:$K$504,"Ja")&gt;0,", "&amp;REGLER!$I$8,"")&amp;IF(COUNTIFS(MATCHER!$B$5:$B$504,A379,MATCHER!$D$5:$D$504,C379,MATCHER!$J$5:$J$504,REGLER!$I$9,MATCHER!$K$5:$K$504,"Ja")+COUNTIFS(MATCHER!$B$5:$B$504,A379,MATCHER!$D$5:$D$504,C379,MATCHER!$J$5:$J$504,REGLER!$I$9&amp;" 2",MATCHER!$K$5:$K$504,"Ja")&gt;0,", "&amp;REGLER!$I$9,"")&amp;IF(COUNTIFS(MATCHER!$B$5:$B$504,A379,MATCHER!$D$5:$D$504,C379,MATCHER!$J$5:$J$504,REGLER!$I$10,MATCHER!$K$5:$K$504,"Ja")+COUNTIFS(MATCHER!$B$5:$B$504,A379,MATCHER!$D$5:$D$504,C379,MATCHER!$J$5:$J$504,REGLER!$I$10&amp;" 2",MATCHER!$K$5:$K$504,"Ja")&gt;0,", "&amp;REGLER!$I$10,"")&amp;IF(COUNTIFS(MATCHER!$B$5:$B$504,A379,MATCHER!$D$5:$D$504,C379,MATCHER!$J$5:$J$504,REGLER!$I$11,MATCHER!$K$5:$K$504,"Ja")+COUNTIFS(MATCHER!$B$5:$B$504,A379,MATCHER!$D$5:$D$504,C379,MATCHER!$J$5:$J$504,REGLER!$I$11&amp;" 2",MATCHER!$K$5:$K$504,"Ja")&gt;0,", "&amp;REGLER!$I$11,"")&amp;IF(COUNTIFS(MATCHER!$B$5:$B$504,A379,MATCHER!$D$5:$D$504,C379,MATCHER!$J$5:$J$504,REGLER!$I$12,MATCHER!$K$5:$K$504,"Ja")+COUNTIFS(MATCHER!$B$5:$B$504,A379,MATCHER!$D$5:$D$504,C379,MATCHER!$J$5:$J$504,REGLER!$I$12&amp;" 2",MATCHER!$K$5:$K$504,"Ja")&gt;0,", "&amp;REGLER!$I$12,"")&amp;IF(COUNTIFS(MATCHER!$B$5:$B$504,A379,MATCHER!$D$5:$D$504,C379,MATCHER!$J$5:$J$504,REGLER!$I$13,MATCHER!$K$5:$K$504,"Ja")+COUNTIFS(MATCHER!$B$5:$B$504,A379,MATCHER!$D$5:$D$504,C379,MATCHER!$J$5:$J$504,REGLER!$I$13&amp;" 2",MATCHER!$K$5:$K$504,"Ja")&gt;0,", "&amp;REGLER!$I$13,"")&amp;IF(COUNTIFS(MATCHER!$B$5:$B$504,A379,MATCHER!$D$5:$D$504,C379,MATCHER!$J$5:$J$504,REGLER!$I$14,MATCHER!$K$5:$K$504,"Ja")+COUNTIFS(MATCHER!$B$5:$B$504,A379,MATCHER!$D$5:$D$504,C379,MATCHER!$J$5:$J$504,REGLER!$I$14&amp;" 2",MATCHER!$K$5:$K$504,"Ja")&gt;0,", "&amp;REGLER!$I$14,"")&amp;IF(COUNTIFS(MATCHER!$B$5:$B$504,A379,MATCHER!$D$5:$D$504,C379,MATCHER!$J$5:$J$504,REGLER!$I$15,MATCHER!$K$5:$K$504,"Ja")+COUNTIFS(MATCHER!$B$5:$B$504,A379,MATCHER!$D$5:$D$504,C379,MATCHER!$J$5:$J$504,REGLER!$I$15&amp;" 2",MATCHER!$K$5:$K$504,"Ja")&gt;0,", "&amp;REGLER!$I$15,"")&amp;IF(COUNTIFS(MATCHER!$B$5:$B$504,A379,MATCHER!$D$5:$D$504,C379,MATCHER!$J$5:$J$504,REGLER!$I$16,MATCHER!$K$5:$K$504,"Ja")+COUNTIFS(MATCHER!$B$5:$B$504,A379,MATCHER!$D$5:$D$504,C379,MATCHER!$J$5:$J$504,REGLER!$I$16&amp;" 2",MATCHER!$K$5:$K$504,"Ja")&gt;0,", "&amp;REGLER!$I$16,"")&amp;IF(COUNTIFS(MATCHER!$B$5:$B$504,A379,MATCHER!$D$5:$D$504,C379,MATCHER!$J$5:$J$504,REGLER!$I$17,MATCHER!$K$5:$K$504,"Ja")+COUNTIFS(MATCHER!$B$5:$B$504,A379,MATCHER!$D$5:$D$504,C379,MATCHER!$J$5:$J$504,REGLER!$I$17&amp;" 2",MATCHER!$K$5:$K$504,"Ja")&gt;0,", "&amp;REGLER!$I$17,"")&amp;IF(COUNTIFS(MATCHER!$B$5:$B$504,A379,MATCHER!$D$5:$D$504,C379,MATCHER!$J$5:$J$504,REGLER!$I$18,MATCHER!$K$5:$K$504,"Ja")+COUNTIFS(MATCHER!$B$5:$B$504,A379,MATCHER!$D$5:$D$504,C379,MATCHER!$J$5:$J$504,REGLER!$I$18&amp;" 2",MATCHER!$K$5:$K$504,"Ja")&gt;0,", "&amp;REGLER!$I$18,"")&amp;IF(COUNTIFS(MATCHER!$B$5:$B$504,A379,MATCHER!$D$5:$D$504,C379,MATCHER!$J$5:$J$504,REGLER!$I$19,MATCHER!$K$5:$K$504,"Ja")+COUNTIFS(MATCHER!$B$5:$B$504,A379,MATCHER!$D$5:$D$504,C379,MATCHER!$J$5:$J$504,REGLER!$I$19&amp;" 2",MATCHER!$K$5:$K$504,"Ja")&gt;0,", "&amp;REGLER!$I$19,"")&amp;IF(COUNTIFS(MATCHER!$B$5:$B$504,A379,MATCHER!$D$5:$D$504,C379,MATCHER!$J$5:$J$504,REGLER!$I$20,MATCHER!$K$5:$K$504,"Ja")+COUNTIFS(MATCHER!$B$5:$B$504,A379,MATCHER!$D$5:$D$504,C379,MATCHER!$J$5:$J$504,REGLER!$I$20&amp;" 2",MATCHER!$K$5:$K$504,"Ja")&gt;0,", "&amp;REGLER!$I$20,"")&amp;IF(COUNTIFS(MATCHER!$B$5:$B$504,A379,MATCHER!$D$5:$D$504,C379,MATCHER!$J$5:$J$504,REGLER!$I$21,MATCHER!$K$5:$K$504,"Ja")+COUNTIFS(MATCHER!$B$5:$B$504,A379,MATCHER!$D$5:$D$504,C379,MATCHER!$J$5:$J$504,REGLER!$I$21&amp;" 2",MATCHER!$K$5:$K$504,"Ja")&gt;0,", "&amp;REGLER!$I$21,"")&amp;IF(COUNTIFS(MATCHER!$B$5:$B$504,A379,MATCHER!$D$5:$D$504,C379,MATCHER!$J$5:$J$504,REGLER!$I$22,MATCHER!$K$5:$K$504,"Ja")+COUNTIFS(MATCHER!$B$5:$B$504,A379,MATCHER!$D$5:$D$504,C379,MATCHER!$J$5:$J$504,REGLER!$I$22&amp;" 2",MATCHER!$K$5:$K$504,"Ja")&gt;0,", "&amp;REGLER!$I$22,"")&amp;IF(COUNTIFS(MATCHER!$B$5:$B$504,A379,MATCHER!$D$5:$D$504,C379,MATCHER!$J$5:$J$504,REGLER!$I$23,MATCHER!$K$5:$K$504,"Ja")+COUNTIFS(MATCHER!$B$5:$B$504,A379,MATCHER!$D$5:$D$504,C379,MATCHER!$J$5:$J$504,REGLER!$I$23&amp;" 2",MATCHER!$K$5:$K$504,"Ja")&gt;0,", "&amp;REGLER!$I$23,"")&amp;IF(COUNTIFS(MATCHER!$B$5:$B$504,A379,MATCHER!$D$5:$D$504,C379,MATCHER!$J$5:$J$504,REGLER!$I$24,MATCHER!$K$5:$K$504,"Ja")+COUNTIFS(MATCHER!$B$5:$B$504,A379,MATCHER!$D$5:$D$504,C379,MATCHER!$J$5:$J$504,REGLER!$I$24&amp;" 2",MATCHER!$K$5:$K$504,"Ja")&gt;0,", "&amp;REGLER!$I$24,"")&amp;IF(COUNTIFS(MATCHER!$B$5:$B$504,A379,MATCHER!$D$5:$D$504,C379,MATCHER!$J$5:$J$504,REGLER!$I$25,MATCHER!$K$5:$K$504,"Ja")+COUNTIFS(MATCHER!$B$5:$B$504,A379,MATCHER!$D$5:$D$504,C379,MATCHER!$J$5:$J$504,REGLER!$I$25&amp;" 2",MATCHER!$K$5:$K$504,"Ja")&gt;0,", "&amp;REGLER!$I$25,"")&amp;IF(COUNTIFS(MATCHER!$B$5:$B$504,A379,MATCHER!$D$5:$D$504,C379,MATCHER!$J$5:$J$504,REGLER!$I$26,MATCHER!$K$5:$K$504,"Ja")+COUNTIFS(MATCHER!$B$5:$B$504,A379,MATCHER!$D$5:$D$504,C379,MATCHER!$J$5:$J$504,REGLER!$I$26&amp;" 2",MATCHER!$K$5:$K$504,"Ja")&gt;0,", "&amp;REGLER!$I$26,""),3,1000)</f>
        <v>F13, F14</v>
      </c>
      <c r="I379" s="46" t="s">
        <v>90</v>
      </c>
      <c r="J379" s="47" t="s">
        <v>148</v>
      </c>
      <c r="K379" s="48" t="s">
        <v>88</v>
      </c>
      <c r="L379" s="49"/>
      <c r="M379" s="50">
        <f>IF(O379&lt;&gt;O378,MAX(1,MIN(AA379,ROUNDUP(SUMPRODUCT(($O$5:$O$546=O379)*($I$5:$I$546="Ja")*($E$5:$E$546-$D$5:$D$546))*24/REGLER!$B$8,0))),"")</f>
        <v>2</v>
      </c>
      <c r="N379" s="50" t="str">
        <f t="shared" si="75"/>
        <v>Kontrollera lag</v>
      </c>
      <c r="O379" s="15" t="s">
        <v>149</v>
      </c>
      <c r="P379" s="16">
        <v>0.33333333333333298</v>
      </c>
      <c r="Q379" s="16">
        <v>0.79166666666666696</v>
      </c>
      <c r="R379" s="15" t="str">
        <f>IFERROR(MATCH(1,INDEX((MATCHER!$B$5:$B$504=A379)*(MATCHER!$D$5:$D$504=C379)*(MATCHER!$K$5:$K$504="Ja")*(MATCHER!$C$5:$C$504&lt;E379)*(MATCHER!$M$5:$M$504&gt;D379),0),0),"")</f>
        <v/>
      </c>
      <c r="S379" s="15" t="str">
        <f>IF(R379="","",IFERROR(MATCH(1,INDEX((MATCHER!$B$5:$B$504=A379)*(MATCHER!$D$5:$D$504=C379)*(MATCHER!$K$5:$K$504="Ja")*(MATCHER!$C$5:$C$504&lt;E379)*(MATCHER!$M$5:$M$504&gt;D379)*(ROW(MATCHER!$A$5:$A$504)-ROW(MATCHER!$A$5)+1&gt;R379),0),0),""))</f>
        <v/>
      </c>
      <c r="T379" s="15" t="str">
        <f>IF(S379="","",IFERROR(MATCH(1,INDEX((MATCHER!$B$5:$B$504=A379)*(MATCHER!$D$5:$D$504=C379)*(MATCHER!$K$5:$K$504="Ja")*(MATCHER!$C$5:$C$504&lt;E379)*(MATCHER!$M$5:$M$504&gt;D379)*(ROW(MATCHER!$A$5:$A$504)-ROW(MATCHER!$A$5)+1&gt;S379),0),0),""))</f>
        <v/>
      </c>
      <c r="U379" s="15">
        <f t="shared" si="76"/>
        <v>1</v>
      </c>
      <c r="V379" s="15">
        <f>IF(OR(I379&lt;&gt;"Ja",J379=""),"",COUNTIFS($O$5:O379,O379,$U$5:U379,1))</f>
        <v>1</v>
      </c>
      <c r="W379" s="15" t="str">
        <f t="shared" si="77"/>
        <v>2027-01-30 | Ulriksdalshallen|1</v>
      </c>
      <c r="X379" s="16" t="str">
        <f t="shared" si="78"/>
        <v/>
      </c>
      <c r="Y379" s="15">
        <f>IF(OR(I379&lt;&gt;"Ja",J379=""),0,IF(COUNTIFS($O$5:O379,O379,$I$5:I379,"Ja",$J$5:J379,"&lt;&gt;")=1,1,0))</f>
        <v>1</v>
      </c>
      <c r="Z379" s="15">
        <f>IF(OR(I379&lt;&gt;"Ja",J379=""),0,IF(COUNTIFS(O379:$O$546,O379,I379:$I$546,"Ja",J379:$J$546,"&lt;&gt;")=1,1,0))</f>
        <v>0</v>
      </c>
      <c r="AA379" s="15">
        <f>IF(COUNTIFS(MATCHER!$B$5:$B$504,A379,MATCHER!$D$5:$D$504,C379,MATCHER!$J$5:$J$504,REGLER!$I$6,MATCHER!$K$5:$K$504,"Ja")+COUNTIFS(MATCHER!$B$5:$B$504,A379,MATCHER!$D$5:$D$504,C379,MATCHER!$J$5:$J$504,REGLER!$I$6&amp;" 2",MATCHER!$K$5:$K$504,"Ja")&gt;0,1,0)+IF(COUNTIFS(MATCHER!$B$5:$B$504,A379,MATCHER!$D$5:$D$504,C379,MATCHER!$J$5:$J$504,REGLER!$I$7,MATCHER!$K$5:$K$504,"Ja")+COUNTIFS(MATCHER!$B$5:$B$504,A379,MATCHER!$D$5:$D$504,C379,MATCHER!$J$5:$J$504,REGLER!$I$7&amp;" 2",MATCHER!$K$5:$K$504,"Ja")&gt;0,1,0)+IF(COUNTIFS(MATCHER!$B$5:$B$504,A379,MATCHER!$D$5:$D$504,C379,MATCHER!$J$5:$J$504,REGLER!$I$8,MATCHER!$K$5:$K$504,"Ja")+COUNTIFS(MATCHER!$B$5:$B$504,A379,MATCHER!$D$5:$D$504,C379,MATCHER!$J$5:$J$504,REGLER!$I$8&amp;" 2",MATCHER!$K$5:$K$504,"Ja")&gt;0,1,0)+IF(COUNTIFS(MATCHER!$B$5:$B$504,A379,MATCHER!$D$5:$D$504,C379,MATCHER!$J$5:$J$504,REGLER!$I$9,MATCHER!$K$5:$K$504,"Ja")+COUNTIFS(MATCHER!$B$5:$B$504,A379,MATCHER!$D$5:$D$504,C379,MATCHER!$J$5:$J$504,REGLER!$I$9&amp;" 2",MATCHER!$K$5:$K$504,"Ja")&gt;0,1,0)+IF(COUNTIFS(MATCHER!$B$5:$B$504,A379,MATCHER!$D$5:$D$504,C379,MATCHER!$J$5:$J$504,REGLER!$I$10,MATCHER!$K$5:$K$504,"Ja")+COUNTIFS(MATCHER!$B$5:$B$504,A379,MATCHER!$D$5:$D$504,C379,MATCHER!$J$5:$J$504,REGLER!$I$10&amp;" 2",MATCHER!$K$5:$K$504,"Ja")&gt;0,1,0)+IF(COUNTIFS(MATCHER!$B$5:$B$504,A379,MATCHER!$D$5:$D$504,C379,MATCHER!$J$5:$J$504,REGLER!$I$11,MATCHER!$K$5:$K$504,"Ja")+COUNTIFS(MATCHER!$B$5:$B$504,A379,MATCHER!$D$5:$D$504,C379,MATCHER!$J$5:$J$504,REGLER!$I$11&amp;" 2",MATCHER!$K$5:$K$504,"Ja")&gt;0,1,0)+IF(COUNTIFS(MATCHER!$B$5:$B$504,A379,MATCHER!$D$5:$D$504,C379,MATCHER!$J$5:$J$504,REGLER!$I$12,MATCHER!$K$5:$K$504,"Ja")+COUNTIFS(MATCHER!$B$5:$B$504,A379,MATCHER!$D$5:$D$504,C379,MATCHER!$J$5:$J$504,REGLER!$I$12&amp;" 2",MATCHER!$K$5:$K$504,"Ja")&gt;0,1,0)+IF(COUNTIFS(MATCHER!$B$5:$B$504,A379,MATCHER!$D$5:$D$504,C379,MATCHER!$J$5:$J$504,REGLER!$I$13,MATCHER!$K$5:$K$504,"Ja")+COUNTIFS(MATCHER!$B$5:$B$504,A379,MATCHER!$D$5:$D$504,C379,MATCHER!$J$5:$J$504,REGLER!$I$13&amp;" 2",MATCHER!$K$5:$K$504,"Ja")&gt;0,1,0)+IF(COUNTIFS(MATCHER!$B$5:$B$504,A379,MATCHER!$D$5:$D$504,C379,MATCHER!$J$5:$J$504,REGLER!$I$14,MATCHER!$K$5:$K$504,"Ja")+COUNTIFS(MATCHER!$B$5:$B$504,A379,MATCHER!$D$5:$D$504,C379,MATCHER!$J$5:$J$504,REGLER!$I$14&amp;" 2",MATCHER!$K$5:$K$504,"Ja")&gt;0,1,0)+IF(COUNTIFS(MATCHER!$B$5:$B$504,A379,MATCHER!$D$5:$D$504,C379,MATCHER!$J$5:$J$504,REGLER!$I$15,MATCHER!$K$5:$K$504,"Ja")+COUNTIFS(MATCHER!$B$5:$B$504,A379,MATCHER!$D$5:$D$504,C379,MATCHER!$J$5:$J$504,REGLER!$I$15&amp;" 2",MATCHER!$K$5:$K$504,"Ja")&gt;0,1,0)+IF(COUNTIFS(MATCHER!$B$5:$B$504,A379,MATCHER!$D$5:$D$504,C379,MATCHER!$J$5:$J$504,REGLER!$I$16,MATCHER!$K$5:$K$504,"Ja")+COUNTIFS(MATCHER!$B$5:$B$504,A379,MATCHER!$D$5:$D$504,C379,MATCHER!$J$5:$J$504,REGLER!$I$16&amp;" 2",MATCHER!$K$5:$K$504,"Ja")&gt;0,1,0)+IF(COUNTIFS(MATCHER!$B$5:$B$504,A379,MATCHER!$D$5:$D$504,C379,MATCHER!$J$5:$J$504,REGLER!$I$17,MATCHER!$K$5:$K$504,"Ja")+COUNTIFS(MATCHER!$B$5:$B$504,A379,MATCHER!$D$5:$D$504,C379,MATCHER!$J$5:$J$504,REGLER!$I$17&amp;" 2",MATCHER!$K$5:$K$504,"Ja")&gt;0,1,0)+IF(COUNTIFS(MATCHER!$B$5:$B$504,A379,MATCHER!$D$5:$D$504,C379,MATCHER!$J$5:$J$504,REGLER!$I$18,MATCHER!$K$5:$K$504,"Ja")+COUNTIFS(MATCHER!$B$5:$B$504,A379,MATCHER!$D$5:$D$504,C379,MATCHER!$J$5:$J$504,REGLER!$I$18&amp;" 2",MATCHER!$K$5:$K$504,"Ja")&gt;0,1,0)+IF(COUNTIFS(MATCHER!$B$5:$B$504,A379,MATCHER!$D$5:$D$504,C379,MATCHER!$J$5:$J$504,REGLER!$I$19,MATCHER!$K$5:$K$504,"Ja")+COUNTIFS(MATCHER!$B$5:$B$504,A379,MATCHER!$D$5:$D$504,C379,MATCHER!$J$5:$J$504,REGLER!$I$19&amp;" 2",MATCHER!$K$5:$K$504,"Ja")&gt;0,1,0)+IF(COUNTIFS(MATCHER!$B$5:$B$504,A379,MATCHER!$D$5:$D$504,C379,MATCHER!$J$5:$J$504,REGLER!$I$20,MATCHER!$K$5:$K$504,"Ja")+COUNTIFS(MATCHER!$B$5:$B$504,A379,MATCHER!$D$5:$D$504,C379,MATCHER!$J$5:$J$504,REGLER!$I$20&amp;" 2",MATCHER!$K$5:$K$504,"Ja")&gt;0,1,0)+IF(COUNTIFS(MATCHER!$B$5:$B$504,A379,MATCHER!$D$5:$D$504,C379,MATCHER!$J$5:$J$504,REGLER!$I$21,MATCHER!$K$5:$K$504,"Ja")+COUNTIFS(MATCHER!$B$5:$B$504,A379,MATCHER!$D$5:$D$504,C379,MATCHER!$J$5:$J$504,REGLER!$I$21&amp;" 2",MATCHER!$K$5:$K$504,"Ja")&gt;0,1,0)+IF(COUNTIFS(MATCHER!$B$5:$B$504,A379,MATCHER!$D$5:$D$504,C379,MATCHER!$J$5:$J$504,REGLER!$I$22,MATCHER!$K$5:$K$504,"Ja")+COUNTIFS(MATCHER!$B$5:$B$504,A379,MATCHER!$D$5:$D$504,C379,MATCHER!$J$5:$J$504,REGLER!$I$22&amp;" 2",MATCHER!$K$5:$K$504,"Ja")&gt;0,1,0)+IF(COUNTIFS(MATCHER!$B$5:$B$504,A379,MATCHER!$D$5:$D$504,C379,MATCHER!$J$5:$J$504,REGLER!$I$23,MATCHER!$K$5:$K$504,"Ja")+COUNTIFS(MATCHER!$B$5:$B$504,A379,MATCHER!$D$5:$D$504,C379,MATCHER!$J$5:$J$504,REGLER!$I$23&amp;" 2",MATCHER!$K$5:$K$504,"Ja")&gt;0,1,0)+IF(COUNTIFS(MATCHER!$B$5:$B$504,A379,MATCHER!$D$5:$D$504,C379,MATCHER!$J$5:$J$504,REGLER!$I$24,MATCHER!$K$5:$K$504,"Ja")+COUNTIFS(MATCHER!$B$5:$B$504,A379,MATCHER!$D$5:$D$504,C379,MATCHER!$J$5:$J$504,REGLER!$I$24&amp;" 2",MATCHER!$K$5:$K$504,"Ja")&gt;0,1,0)+IF(COUNTIFS(MATCHER!$B$5:$B$504,A379,MATCHER!$D$5:$D$504,C379,MATCHER!$J$5:$J$504,REGLER!$I$25,MATCHER!$K$5:$K$504,"Ja")+COUNTIFS(MATCHER!$B$5:$B$504,A379,MATCHER!$D$5:$D$504,C379,MATCHER!$J$5:$J$504,REGLER!$I$25&amp;" 2",MATCHER!$K$5:$K$504,"Ja")&gt;0,1,0)+IF(COUNTIFS(MATCHER!$B$5:$B$504,A379,MATCHER!$D$5:$D$504,C379,MATCHER!$J$5:$J$504,REGLER!$I$26,MATCHER!$K$5:$K$504,"Ja")+COUNTIFS(MATCHER!$B$5:$B$504,A379,MATCHER!$D$5:$D$504,C379,MATCHER!$J$5:$J$504,REGLER!$I$26&amp;" 2",MATCHER!$K$5:$K$504,"Ja")&gt;0,1,0)</f>
        <v>2</v>
      </c>
      <c r="AB379" s="15">
        <f>IF(U379&lt;&gt;1,"",COUNTIF($U$5:U379,1))</f>
        <v>54</v>
      </c>
      <c r="AC379" s="15" t="str">
        <f t="shared" si="79"/>
        <v/>
      </c>
      <c r="AD379" s="15" t="str">
        <f t="shared" si="80"/>
        <v>Vanligt café</v>
      </c>
      <c r="AE379" s="15">
        <f t="shared" si="81"/>
        <v>4.0000000000000089</v>
      </c>
      <c r="AF379" t="str">
        <f>IF(T379="","",IFERROR(MATCH(1,INDEX((MATCHER!$B$5:$B$504=A379)*(MATCHER!$D$5:$D$504=C379)*(MATCHER!$K$5:$K$504="Ja")*(MATCHER!$C$5:$C$504&lt;E379)*(MATCHER!$M$5:$M$504&gt;D379)*(ROW(MATCHER!$A$5:$A$504)-ROW(MATCHER!$A$5)+1&gt;T379),0),0),""))</f>
        <v/>
      </c>
    </row>
    <row r="380" spans="1:32" ht="26">
      <c r="A380" s="42">
        <v>46417</v>
      </c>
      <c r="B380" s="43" t="s">
        <v>85</v>
      </c>
      <c r="C380" s="43" t="s">
        <v>86</v>
      </c>
      <c r="D380" s="44">
        <v>0.35416666666666702</v>
      </c>
      <c r="E380" s="44">
        <v>0.375</v>
      </c>
      <c r="F380" s="45" t="str">
        <f>IF(R380="","",HOUR(INDEX(MATCHER!$C$5:$C$504,R380))&amp;":"&amp;IF(MINUTE(INDEX(MATCHER!$C$5:$C$504,R380))&lt;10,"0","")&amp;MINUTE(INDEX(MATCHER!$C$5:$C$504,R380))&amp;" "&amp;INDEX(MATCHER!$H$5:$H$504,R380)&amp;" – "&amp;INDEX(MATCHER!$I$5:$I$504,R380))&amp;IF(S380="",""," | "&amp;HOUR(INDEX(MATCHER!$C$5:$C$504,S380))&amp;":"&amp;IF(MINUTE(INDEX(MATCHER!$C$5:$C$504,S380))&lt;10,"0","")&amp;MINUTE(INDEX(MATCHER!$C$5:$C$504,S380))&amp;" "&amp;INDEX(MATCHER!$H$5:$H$504,S380)&amp;" – "&amp;INDEX(MATCHER!$I$5:$I$504,S380))&amp;IF(T380="",""," | "&amp;HOUR(INDEX(MATCHER!$C$5:$C$504,T380))&amp;":"&amp;IF(MINUTE(INDEX(MATCHER!$C$5:$C$504,T380))&lt;10,"0","")&amp;MINUTE(INDEX(MATCHER!$C$5:$C$504,T380))&amp;" "&amp;INDEX(MATCHER!$H$5:$H$504,T380)&amp;" – "&amp;INDEX(MATCHER!$I$5:$I$504,T380))&amp;IF(AF380="",""," | "&amp;HOUR(INDEX(MATCHER!$C$5:$C$504,AF380))&amp;":"&amp;IF(MINUTE(INDEX(MATCHER!$C$5:$C$504,AF380))&lt;10,"0","")&amp;MINUTE(INDEX(MATCHER!$C$5:$C$504,AF380))&amp;" "&amp;INDEX(MATCHER!$H$5:$H$504,AF380)&amp;" – "&amp;INDEX(MATCHER!$I$5:$I$504,AF380))</f>
        <v/>
      </c>
      <c r="G380" s="45" t="str">
        <f>MID(IF(R380="","",IF(OR(INDEX(MATCHER!$J$5:$J$504,R380)=""),""," / "&amp;INDEX(MATCHER!$J$5:$J$504,R380)))&amp;IF(S380="","",IF(OR(INDEX(MATCHER!$J$5:$J$504,S380)="",INDEX(MATCHER!$J$5:$J$504,S380)=IFERROR(INDEX(MATCHER!$J$5:$J$504,R380),"")),""," / "&amp;INDEX(MATCHER!$J$5:$J$504,S380)))&amp;IF(T380="","",IF(OR(INDEX(MATCHER!$J$5:$J$504,T380)="",INDEX(MATCHER!$J$5:$J$504,T380)=IFERROR(INDEX(MATCHER!$J$5:$J$504,R380),""),INDEX(MATCHER!$J$5:$J$504,T380)=IFERROR(INDEX(MATCHER!$J$5:$J$504,S380),"")),""," / "&amp;INDEX(MATCHER!$J$5:$J$504,T380)))&amp;IF(AF380="","",IF(OR(INDEX(MATCHER!$J$5:$J$504,AF380)="",INDEX(MATCHER!$J$5:$J$504,AF380)=IFERROR(INDEX(MATCHER!$J$5:$J$504,R380),""),INDEX(MATCHER!$J$5:$J$504,AF380)=IFERROR(INDEX(MATCHER!$J$5:$J$504,S380),""),INDEX(MATCHER!$J$5:$J$504,AF380)=IFERROR(INDEX(MATCHER!$J$5:$J$504,T380),"")),""," / "&amp;INDEX(MATCHER!$J$5:$J$504,AF380))),4,1000)</f>
        <v/>
      </c>
      <c r="H380" s="45" t="str">
        <f t="shared" ref="H380:H400" si="86">H379</f>
        <v>F13, F14</v>
      </c>
      <c r="I380" s="46" t="s">
        <v>90</v>
      </c>
      <c r="J380" s="47" t="s">
        <v>148</v>
      </c>
      <c r="K380" s="48"/>
      <c r="L380" s="49"/>
      <c r="M380" s="50" t="str">
        <f>IF(O380&lt;&gt;O379,MAX(1,MIN(AA380,ROUNDUP(SUMPRODUCT(($O$5:$O$546=O380)*($I$5:$I$546="Ja")*($E$5:$E$546-$D$5:$D$546))*24/REGLER!$B$8,0))),"")</f>
        <v/>
      </c>
      <c r="N380" s="50" t="str">
        <f t="shared" si="75"/>
        <v>Kontrollera lag</v>
      </c>
      <c r="O380" s="15" t="s">
        <v>149</v>
      </c>
      <c r="P380" s="16">
        <v>0.33333333333333298</v>
      </c>
      <c r="Q380" s="16">
        <v>0.79166666666666696</v>
      </c>
      <c r="R380" s="15" t="str">
        <f>IFERROR(MATCH(1,INDEX((MATCHER!$B$5:$B$504=A380)*(MATCHER!$D$5:$D$504=C380)*(MATCHER!$K$5:$K$504="Ja")*(MATCHER!$C$5:$C$504&lt;E380)*(MATCHER!$M$5:$M$504&gt;D380),0),0),"")</f>
        <v/>
      </c>
      <c r="S380" s="15" t="str">
        <f>IF(R380="","",IFERROR(MATCH(1,INDEX((MATCHER!$B$5:$B$504=A380)*(MATCHER!$D$5:$D$504=C380)*(MATCHER!$K$5:$K$504="Ja")*(MATCHER!$C$5:$C$504&lt;E380)*(MATCHER!$M$5:$M$504&gt;D380)*(ROW(MATCHER!$A$5:$A$504)-ROW(MATCHER!$A$5)+1&gt;R380),0),0),""))</f>
        <v/>
      </c>
      <c r="T380" s="15" t="str">
        <f>IF(S380="","",IFERROR(MATCH(1,INDEX((MATCHER!$B$5:$B$504=A380)*(MATCHER!$D$5:$D$504=C380)*(MATCHER!$K$5:$K$504="Ja")*(MATCHER!$C$5:$C$504&lt;E380)*(MATCHER!$M$5:$M$504&gt;D380)*(ROW(MATCHER!$A$5:$A$504)-ROW(MATCHER!$A$5)+1&gt;S380),0),0),""))</f>
        <v/>
      </c>
      <c r="U380" s="15">
        <f t="shared" si="76"/>
        <v>0</v>
      </c>
      <c r="V380" s="15">
        <f>IF(OR(I380&lt;&gt;"Ja",J380=""),"",COUNTIFS($O$5:O380,O380,$U$5:U380,1))</f>
        <v>1</v>
      </c>
      <c r="W380" s="15" t="str">
        <f t="shared" si="77"/>
        <v>2027-01-30 | Ulriksdalshallen|1</v>
      </c>
      <c r="X380" s="16" t="str">
        <f t="shared" si="78"/>
        <v/>
      </c>
      <c r="Y380" s="15">
        <f>IF(OR(I380&lt;&gt;"Ja",J380=""),0,IF(COUNTIFS($O$5:O380,O380,$I$5:I380,"Ja",$J$5:J380,"&lt;&gt;")=1,1,0))</f>
        <v>0</v>
      </c>
      <c r="Z380" s="15">
        <f>IF(OR(I380&lt;&gt;"Ja",J380=""),0,IF(COUNTIFS(O380:$O$546,O380,I380:$I$546,"Ja",J380:$J$546,"&lt;&gt;")=1,1,0))</f>
        <v>0</v>
      </c>
      <c r="AA380" s="15">
        <f t="shared" ref="AA380:AA400" si="87">AA379</f>
        <v>2</v>
      </c>
      <c r="AB380" s="15" t="str">
        <f>IF(U380&lt;&gt;1,"",COUNTIF($U$5:U380,1))</f>
        <v/>
      </c>
      <c r="AC380" s="15" t="str">
        <f t="shared" si="79"/>
        <v/>
      </c>
      <c r="AD380" s="15" t="str">
        <f t="shared" si="80"/>
        <v>Vanligt café</v>
      </c>
      <c r="AE380" s="15" t="str">
        <f t="shared" si="81"/>
        <v/>
      </c>
      <c r="AF380" t="str">
        <f>IF(T380="","",IFERROR(MATCH(1,INDEX((MATCHER!$B$5:$B$504=A380)*(MATCHER!$D$5:$D$504=C380)*(MATCHER!$K$5:$K$504="Ja")*(MATCHER!$C$5:$C$504&lt;E380)*(MATCHER!$M$5:$M$504&gt;D380)*(ROW(MATCHER!$A$5:$A$504)-ROW(MATCHER!$A$5)+1&gt;T380),0),0),""))</f>
        <v/>
      </c>
    </row>
    <row r="381" spans="1:32" ht="26">
      <c r="A381" s="42">
        <v>46417</v>
      </c>
      <c r="B381" s="43" t="s">
        <v>85</v>
      </c>
      <c r="C381" s="43" t="s">
        <v>86</v>
      </c>
      <c r="D381" s="44">
        <v>0.375</v>
      </c>
      <c r="E381" s="44">
        <v>0.39583333333333298</v>
      </c>
      <c r="F381" s="45" t="str">
        <f>IF(R381="","",HOUR(INDEX(MATCHER!$C$5:$C$504,R381))&amp;":"&amp;IF(MINUTE(INDEX(MATCHER!$C$5:$C$504,R381))&lt;10,"0","")&amp;MINUTE(INDEX(MATCHER!$C$5:$C$504,R381))&amp;" "&amp;INDEX(MATCHER!$H$5:$H$504,R381)&amp;" – "&amp;INDEX(MATCHER!$I$5:$I$504,R381))&amp;IF(S381="",""," | "&amp;HOUR(INDEX(MATCHER!$C$5:$C$504,S381))&amp;":"&amp;IF(MINUTE(INDEX(MATCHER!$C$5:$C$504,S381))&lt;10,"0","")&amp;MINUTE(INDEX(MATCHER!$C$5:$C$504,S381))&amp;" "&amp;INDEX(MATCHER!$H$5:$H$504,S381)&amp;" – "&amp;INDEX(MATCHER!$I$5:$I$504,S381))&amp;IF(T381="",""," | "&amp;HOUR(INDEX(MATCHER!$C$5:$C$504,T381))&amp;":"&amp;IF(MINUTE(INDEX(MATCHER!$C$5:$C$504,T381))&lt;10,"0","")&amp;MINUTE(INDEX(MATCHER!$C$5:$C$504,T381))&amp;" "&amp;INDEX(MATCHER!$H$5:$H$504,T381)&amp;" – "&amp;INDEX(MATCHER!$I$5:$I$504,T381))&amp;IF(AF381="",""," | "&amp;HOUR(INDEX(MATCHER!$C$5:$C$504,AF381))&amp;":"&amp;IF(MINUTE(INDEX(MATCHER!$C$5:$C$504,AF381))&lt;10,"0","")&amp;MINUTE(INDEX(MATCHER!$C$5:$C$504,AF381))&amp;" "&amp;INDEX(MATCHER!$H$5:$H$504,AF381)&amp;" – "&amp;INDEX(MATCHER!$I$5:$I$504,AF381))</f>
        <v>9:00 HF Öst – HF Öst 2</v>
      </c>
      <c r="G381" s="45" t="str">
        <f>MID(IF(R381="","",IF(OR(INDEX(MATCHER!$J$5:$J$504,R381)=""),""," / "&amp;INDEX(MATCHER!$J$5:$J$504,R381)))&amp;IF(S381="","",IF(OR(INDEX(MATCHER!$J$5:$J$504,S381)="",INDEX(MATCHER!$J$5:$J$504,S381)=IFERROR(INDEX(MATCHER!$J$5:$J$504,R381),"")),""," / "&amp;INDEX(MATCHER!$J$5:$J$504,S381)))&amp;IF(T381="","",IF(OR(INDEX(MATCHER!$J$5:$J$504,T381)="",INDEX(MATCHER!$J$5:$J$504,T381)=IFERROR(INDEX(MATCHER!$J$5:$J$504,R381),""),INDEX(MATCHER!$J$5:$J$504,T381)=IFERROR(INDEX(MATCHER!$J$5:$J$504,S381),"")),""," / "&amp;INDEX(MATCHER!$J$5:$J$504,T381)))&amp;IF(AF381="","",IF(OR(INDEX(MATCHER!$J$5:$J$504,AF381)="",INDEX(MATCHER!$J$5:$J$504,AF381)=IFERROR(INDEX(MATCHER!$J$5:$J$504,R381),""),INDEX(MATCHER!$J$5:$J$504,AF381)=IFERROR(INDEX(MATCHER!$J$5:$J$504,S381),""),INDEX(MATCHER!$J$5:$J$504,AF381)=IFERROR(INDEX(MATCHER!$J$5:$J$504,T381),"")),""," / "&amp;INDEX(MATCHER!$J$5:$J$504,AF381))),4,1000)</f>
        <v/>
      </c>
      <c r="H381" s="45" t="str">
        <f t="shared" si="86"/>
        <v>F13, F14</v>
      </c>
      <c r="I381" s="46" t="s">
        <v>90</v>
      </c>
      <c r="J381" s="47" t="s">
        <v>148</v>
      </c>
      <c r="K381" s="48"/>
      <c r="L381" s="49"/>
      <c r="M381" s="50" t="str">
        <f>IF(O381&lt;&gt;O380,MAX(1,MIN(AA381,ROUNDUP(SUMPRODUCT(($O$5:$O$546=O381)*($I$5:$I$546="Ja")*($E$5:$E$546-$D$5:$D$546))*24/REGLER!$B$8,0))),"")</f>
        <v/>
      </c>
      <c r="N381" s="50" t="str">
        <f t="shared" si="75"/>
        <v>Kontrollera lag</v>
      </c>
      <c r="O381" s="15" t="s">
        <v>149</v>
      </c>
      <c r="P381" s="16">
        <v>0.33333333333333298</v>
      </c>
      <c r="Q381" s="16">
        <v>0.79166666666666696</v>
      </c>
      <c r="R381" s="15">
        <f>IFERROR(MATCH(1,INDEX((MATCHER!$B$5:$B$504=A381)*(MATCHER!$D$5:$D$504=C381)*(MATCHER!$K$5:$K$504="Ja")*(MATCHER!$C$5:$C$504&lt;E381)*(MATCHER!$M$5:$M$504&gt;D381),0),0),"")</f>
        <v>142</v>
      </c>
      <c r="S381" s="15" t="str">
        <f>IF(R381="","",IFERROR(MATCH(1,INDEX((MATCHER!$B$5:$B$504=A381)*(MATCHER!$D$5:$D$504=C381)*(MATCHER!$K$5:$K$504="Ja")*(MATCHER!$C$5:$C$504&lt;E381)*(MATCHER!$M$5:$M$504&gt;D381)*(ROW(MATCHER!$A$5:$A$504)-ROW(MATCHER!$A$5)+1&gt;R381),0),0),""))</f>
        <v/>
      </c>
      <c r="T381" s="15" t="str">
        <f>IF(S381="","",IFERROR(MATCH(1,INDEX((MATCHER!$B$5:$B$504=A381)*(MATCHER!$D$5:$D$504=C381)*(MATCHER!$K$5:$K$504="Ja")*(MATCHER!$C$5:$C$504&lt;E381)*(MATCHER!$M$5:$M$504&gt;D381)*(ROW(MATCHER!$A$5:$A$504)-ROW(MATCHER!$A$5)+1&gt;S381),0),0),""))</f>
        <v/>
      </c>
      <c r="U381" s="15">
        <f t="shared" si="76"/>
        <v>0</v>
      </c>
      <c r="V381" s="15">
        <f>IF(OR(I381&lt;&gt;"Ja",J381=""),"",COUNTIFS($O$5:O381,O381,$U$5:U381,1))</f>
        <v>1</v>
      </c>
      <c r="W381" s="15" t="str">
        <f t="shared" si="77"/>
        <v>2027-01-30 | Ulriksdalshallen|1</v>
      </c>
      <c r="X381" s="16" t="str">
        <f t="shared" si="78"/>
        <v/>
      </c>
      <c r="Y381" s="15">
        <f>IF(OR(I381&lt;&gt;"Ja",J381=""),0,IF(COUNTIFS($O$5:O381,O381,$I$5:I381,"Ja",$J$5:J381,"&lt;&gt;")=1,1,0))</f>
        <v>0</v>
      </c>
      <c r="Z381" s="15">
        <f>IF(OR(I381&lt;&gt;"Ja",J381=""),0,IF(COUNTIFS(O381:$O$546,O381,I381:$I$546,"Ja",J381:$J$546,"&lt;&gt;")=1,1,0))</f>
        <v>0</v>
      </c>
      <c r="AA381" s="15">
        <f t="shared" si="87"/>
        <v>2</v>
      </c>
      <c r="AB381" s="15" t="str">
        <f>IF(U381&lt;&gt;1,"",COUNTIF($U$5:U381,1))</f>
        <v/>
      </c>
      <c r="AC381" s="15" t="str">
        <f t="shared" si="79"/>
        <v/>
      </c>
      <c r="AD381" s="15" t="str">
        <f t="shared" si="80"/>
        <v>Vanligt café</v>
      </c>
      <c r="AE381" s="15" t="str">
        <f t="shared" si="81"/>
        <v/>
      </c>
      <c r="AF381" t="str">
        <f>IF(T381="","",IFERROR(MATCH(1,INDEX((MATCHER!$B$5:$B$504=A381)*(MATCHER!$D$5:$D$504=C381)*(MATCHER!$K$5:$K$504="Ja")*(MATCHER!$C$5:$C$504&lt;E381)*(MATCHER!$M$5:$M$504&gt;D381)*(ROW(MATCHER!$A$5:$A$504)-ROW(MATCHER!$A$5)+1&gt;T381),0),0),""))</f>
        <v/>
      </c>
    </row>
    <row r="382" spans="1:32" ht="26">
      <c r="A382" s="42">
        <v>46417</v>
      </c>
      <c r="B382" s="43" t="s">
        <v>85</v>
      </c>
      <c r="C382" s="43" t="s">
        <v>86</v>
      </c>
      <c r="D382" s="44">
        <v>0.39583333333333298</v>
      </c>
      <c r="E382" s="44">
        <v>0.41666666666666702</v>
      </c>
      <c r="F382" s="45" t="str">
        <f>IF(R382="","",HOUR(INDEX(MATCHER!$C$5:$C$504,R382))&amp;":"&amp;IF(MINUTE(INDEX(MATCHER!$C$5:$C$504,R382))&lt;10,"0","")&amp;MINUTE(INDEX(MATCHER!$C$5:$C$504,R382))&amp;" "&amp;INDEX(MATCHER!$H$5:$H$504,R382)&amp;" – "&amp;INDEX(MATCHER!$I$5:$I$504,R382))&amp;IF(S382="",""," | "&amp;HOUR(INDEX(MATCHER!$C$5:$C$504,S382))&amp;":"&amp;IF(MINUTE(INDEX(MATCHER!$C$5:$C$504,S382))&lt;10,"0","")&amp;MINUTE(INDEX(MATCHER!$C$5:$C$504,S382))&amp;" "&amp;INDEX(MATCHER!$H$5:$H$504,S382)&amp;" – "&amp;INDEX(MATCHER!$I$5:$I$504,S382))&amp;IF(T382="",""," | "&amp;HOUR(INDEX(MATCHER!$C$5:$C$504,T382))&amp;":"&amp;IF(MINUTE(INDEX(MATCHER!$C$5:$C$504,T382))&lt;10,"0","")&amp;MINUTE(INDEX(MATCHER!$C$5:$C$504,T382))&amp;" "&amp;INDEX(MATCHER!$H$5:$H$504,T382)&amp;" – "&amp;INDEX(MATCHER!$I$5:$I$504,T382))&amp;IF(AF382="",""," | "&amp;HOUR(INDEX(MATCHER!$C$5:$C$504,AF382))&amp;":"&amp;IF(MINUTE(INDEX(MATCHER!$C$5:$C$504,AF382))&lt;10,"0","")&amp;MINUTE(INDEX(MATCHER!$C$5:$C$504,AF382))&amp;" "&amp;INDEX(MATCHER!$H$5:$H$504,AF382)&amp;" – "&amp;INDEX(MATCHER!$I$5:$I$504,AF382))</f>
        <v>9:00 HF Öst – HF Öst 2</v>
      </c>
      <c r="G382" s="45" t="str">
        <f>MID(IF(R382="","",IF(OR(INDEX(MATCHER!$J$5:$J$504,R382)=""),""," / "&amp;INDEX(MATCHER!$J$5:$J$504,R382)))&amp;IF(S382="","",IF(OR(INDEX(MATCHER!$J$5:$J$504,S382)="",INDEX(MATCHER!$J$5:$J$504,S382)=IFERROR(INDEX(MATCHER!$J$5:$J$504,R382),"")),""," / "&amp;INDEX(MATCHER!$J$5:$J$504,S382)))&amp;IF(T382="","",IF(OR(INDEX(MATCHER!$J$5:$J$504,T382)="",INDEX(MATCHER!$J$5:$J$504,T382)=IFERROR(INDEX(MATCHER!$J$5:$J$504,R382),""),INDEX(MATCHER!$J$5:$J$504,T382)=IFERROR(INDEX(MATCHER!$J$5:$J$504,S382),"")),""," / "&amp;INDEX(MATCHER!$J$5:$J$504,T382)))&amp;IF(AF382="","",IF(OR(INDEX(MATCHER!$J$5:$J$504,AF382)="",INDEX(MATCHER!$J$5:$J$504,AF382)=IFERROR(INDEX(MATCHER!$J$5:$J$504,R382),""),INDEX(MATCHER!$J$5:$J$504,AF382)=IFERROR(INDEX(MATCHER!$J$5:$J$504,S382),""),INDEX(MATCHER!$J$5:$J$504,AF382)=IFERROR(INDEX(MATCHER!$J$5:$J$504,T382),"")),""," / "&amp;INDEX(MATCHER!$J$5:$J$504,AF382))),4,1000)</f>
        <v/>
      </c>
      <c r="H382" s="45" t="str">
        <f t="shared" si="86"/>
        <v>F13, F14</v>
      </c>
      <c r="I382" s="46" t="s">
        <v>90</v>
      </c>
      <c r="J382" s="47" t="s">
        <v>148</v>
      </c>
      <c r="K382" s="48"/>
      <c r="L382" s="49"/>
      <c r="M382" s="50" t="str">
        <f>IF(O382&lt;&gt;O381,MAX(1,MIN(AA382,ROUNDUP(SUMPRODUCT(($O$5:$O$546=O382)*($I$5:$I$546="Ja")*($E$5:$E$546-$D$5:$D$546))*24/REGLER!$B$8,0))),"")</f>
        <v/>
      </c>
      <c r="N382" s="50" t="str">
        <f t="shared" si="75"/>
        <v>Kontrollera lag</v>
      </c>
      <c r="O382" s="15" t="s">
        <v>149</v>
      </c>
      <c r="P382" s="16">
        <v>0.33333333333333298</v>
      </c>
      <c r="Q382" s="16">
        <v>0.79166666666666696</v>
      </c>
      <c r="R382" s="15">
        <f>IFERROR(MATCH(1,INDEX((MATCHER!$B$5:$B$504=A382)*(MATCHER!$D$5:$D$504=C382)*(MATCHER!$K$5:$K$504="Ja")*(MATCHER!$C$5:$C$504&lt;E382)*(MATCHER!$M$5:$M$504&gt;D382),0),0),"")</f>
        <v>142</v>
      </c>
      <c r="S382" s="15" t="str">
        <f>IF(R382="","",IFERROR(MATCH(1,INDEX((MATCHER!$B$5:$B$504=A382)*(MATCHER!$D$5:$D$504=C382)*(MATCHER!$K$5:$K$504="Ja")*(MATCHER!$C$5:$C$504&lt;E382)*(MATCHER!$M$5:$M$504&gt;D382)*(ROW(MATCHER!$A$5:$A$504)-ROW(MATCHER!$A$5)+1&gt;R382),0),0),""))</f>
        <v/>
      </c>
      <c r="T382" s="15" t="str">
        <f>IF(S382="","",IFERROR(MATCH(1,INDEX((MATCHER!$B$5:$B$504=A382)*(MATCHER!$D$5:$D$504=C382)*(MATCHER!$K$5:$K$504="Ja")*(MATCHER!$C$5:$C$504&lt;E382)*(MATCHER!$M$5:$M$504&gt;D382)*(ROW(MATCHER!$A$5:$A$504)-ROW(MATCHER!$A$5)+1&gt;S382),0),0),""))</f>
        <v/>
      </c>
      <c r="U382" s="15">
        <f t="shared" si="76"/>
        <v>0</v>
      </c>
      <c r="V382" s="15">
        <f>IF(OR(I382&lt;&gt;"Ja",J382=""),"",COUNTIFS($O$5:O382,O382,$U$5:U382,1))</f>
        <v>1</v>
      </c>
      <c r="W382" s="15" t="str">
        <f t="shared" si="77"/>
        <v>2027-01-30 | Ulriksdalshallen|1</v>
      </c>
      <c r="X382" s="16" t="str">
        <f t="shared" si="78"/>
        <v/>
      </c>
      <c r="Y382" s="15">
        <f>IF(OR(I382&lt;&gt;"Ja",J382=""),0,IF(COUNTIFS($O$5:O382,O382,$I$5:I382,"Ja",$J$5:J382,"&lt;&gt;")=1,1,0))</f>
        <v>0</v>
      </c>
      <c r="Z382" s="15">
        <f>IF(OR(I382&lt;&gt;"Ja",J382=""),0,IF(COUNTIFS(O382:$O$546,O382,I382:$I$546,"Ja",J382:$J$546,"&lt;&gt;")=1,1,0))</f>
        <v>0</v>
      </c>
      <c r="AA382" s="15">
        <f t="shared" si="87"/>
        <v>2</v>
      </c>
      <c r="AB382" s="15" t="str">
        <f>IF(U382&lt;&gt;1,"",COUNTIF($U$5:U382,1))</f>
        <v/>
      </c>
      <c r="AC382" s="15" t="str">
        <f t="shared" si="79"/>
        <v/>
      </c>
      <c r="AD382" s="15" t="str">
        <f t="shared" si="80"/>
        <v>Vanligt café</v>
      </c>
      <c r="AE382" s="15" t="str">
        <f t="shared" si="81"/>
        <v/>
      </c>
      <c r="AF382" t="str">
        <f>IF(T382="","",IFERROR(MATCH(1,INDEX((MATCHER!$B$5:$B$504=A382)*(MATCHER!$D$5:$D$504=C382)*(MATCHER!$K$5:$K$504="Ja")*(MATCHER!$C$5:$C$504&lt;E382)*(MATCHER!$M$5:$M$504&gt;D382)*(ROW(MATCHER!$A$5:$A$504)-ROW(MATCHER!$A$5)+1&gt;T382),0),0),""))</f>
        <v/>
      </c>
    </row>
    <row r="383" spans="1:32" ht="26">
      <c r="A383" s="42">
        <v>46417</v>
      </c>
      <c r="B383" s="43" t="s">
        <v>85</v>
      </c>
      <c r="C383" s="43" t="s">
        <v>86</v>
      </c>
      <c r="D383" s="44">
        <v>0.41666666666666702</v>
      </c>
      <c r="E383" s="44">
        <v>0.4375</v>
      </c>
      <c r="F383" s="45" t="str">
        <f>IF(R383="","",HOUR(INDEX(MATCHER!$C$5:$C$504,R383))&amp;":"&amp;IF(MINUTE(INDEX(MATCHER!$C$5:$C$504,R383))&lt;10,"0","")&amp;MINUTE(INDEX(MATCHER!$C$5:$C$504,R383))&amp;" "&amp;INDEX(MATCHER!$H$5:$H$504,R383)&amp;" – "&amp;INDEX(MATCHER!$I$5:$I$504,R383))&amp;IF(S383="",""," | "&amp;HOUR(INDEX(MATCHER!$C$5:$C$504,S383))&amp;":"&amp;IF(MINUTE(INDEX(MATCHER!$C$5:$C$504,S383))&lt;10,"0","")&amp;MINUTE(INDEX(MATCHER!$C$5:$C$504,S383))&amp;" "&amp;INDEX(MATCHER!$H$5:$H$504,S383)&amp;" – "&amp;INDEX(MATCHER!$I$5:$I$504,S383))&amp;IF(T383="",""," | "&amp;HOUR(INDEX(MATCHER!$C$5:$C$504,T383))&amp;":"&amp;IF(MINUTE(INDEX(MATCHER!$C$5:$C$504,T383))&lt;10,"0","")&amp;MINUTE(INDEX(MATCHER!$C$5:$C$504,T383))&amp;" "&amp;INDEX(MATCHER!$H$5:$H$504,T383)&amp;" – "&amp;INDEX(MATCHER!$I$5:$I$504,T383))&amp;IF(AF383="",""," | "&amp;HOUR(INDEX(MATCHER!$C$5:$C$504,AF383))&amp;":"&amp;IF(MINUTE(INDEX(MATCHER!$C$5:$C$504,AF383))&lt;10,"0","")&amp;MINUTE(INDEX(MATCHER!$C$5:$C$504,AF383))&amp;" "&amp;INDEX(MATCHER!$H$5:$H$504,AF383)&amp;" – "&amp;INDEX(MATCHER!$I$5:$I$504,AF383))</f>
        <v>9:00 HF Öst – HF Öst 2</v>
      </c>
      <c r="G383" s="45" t="str">
        <f>MID(IF(R383="","",IF(OR(INDEX(MATCHER!$J$5:$J$504,R383)=""),""," / "&amp;INDEX(MATCHER!$J$5:$J$504,R383)))&amp;IF(S383="","",IF(OR(INDEX(MATCHER!$J$5:$J$504,S383)="",INDEX(MATCHER!$J$5:$J$504,S383)=IFERROR(INDEX(MATCHER!$J$5:$J$504,R383),"")),""," / "&amp;INDEX(MATCHER!$J$5:$J$504,S383)))&amp;IF(T383="","",IF(OR(INDEX(MATCHER!$J$5:$J$504,T383)="",INDEX(MATCHER!$J$5:$J$504,T383)=IFERROR(INDEX(MATCHER!$J$5:$J$504,R383),""),INDEX(MATCHER!$J$5:$J$504,T383)=IFERROR(INDEX(MATCHER!$J$5:$J$504,S383),"")),""," / "&amp;INDEX(MATCHER!$J$5:$J$504,T383)))&amp;IF(AF383="","",IF(OR(INDEX(MATCHER!$J$5:$J$504,AF383)="",INDEX(MATCHER!$J$5:$J$504,AF383)=IFERROR(INDEX(MATCHER!$J$5:$J$504,R383),""),INDEX(MATCHER!$J$5:$J$504,AF383)=IFERROR(INDEX(MATCHER!$J$5:$J$504,S383),""),INDEX(MATCHER!$J$5:$J$504,AF383)=IFERROR(INDEX(MATCHER!$J$5:$J$504,T383),"")),""," / "&amp;INDEX(MATCHER!$J$5:$J$504,AF383))),4,1000)</f>
        <v/>
      </c>
      <c r="H383" s="45" t="str">
        <f t="shared" si="86"/>
        <v>F13, F14</v>
      </c>
      <c r="I383" s="46" t="s">
        <v>90</v>
      </c>
      <c r="J383" s="47" t="s">
        <v>148</v>
      </c>
      <c r="K383" s="48"/>
      <c r="L383" s="49"/>
      <c r="M383" s="50" t="str">
        <f>IF(O383&lt;&gt;O382,MAX(1,MIN(AA383,ROUNDUP(SUMPRODUCT(($O$5:$O$546=O383)*($I$5:$I$546="Ja")*($E$5:$E$546-$D$5:$D$546))*24/REGLER!$B$8,0))),"")</f>
        <v/>
      </c>
      <c r="N383" s="50" t="str">
        <f t="shared" si="75"/>
        <v>Kontrollera lag</v>
      </c>
      <c r="O383" s="15" t="s">
        <v>149</v>
      </c>
      <c r="P383" s="16">
        <v>0.33333333333333298</v>
      </c>
      <c r="Q383" s="16">
        <v>0.79166666666666696</v>
      </c>
      <c r="R383" s="15">
        <f>IFERROR(MATCH(1,INDEX((MATCHER!$B$5:$B$504=A383)*(MATCHER!$D$5:$D$504=C383)*(MATCHER!$K$5:$K$504="Ja")*(MATCHER!$C$5:$C$504&lt;E383)*(MATCHER!$M$5:$M$504&gt;D383),0),0),"")</f>
        <v>142</v>
      </c>
      <c r="S383" s="15" t="str">
        <f>IF(R383="","",IFERROR(MATCH(1,INDEX((MATCHER!$B$5:$B$504=A383)*(MATCHER!$D$5:$D$504=C383)*(MATCHER!$K$5:$K$504="Ja")*(MATCHER!$C$5:$C$504&lt;E383)*(MATCHER!$M$5:$M$504&gt;D383)*(ROW(MATCHER!$A$5:$A$504)-ROW(MATCHER!$A$5)+1&gt;R383),0),0),""))</f>
        <v/>
      </c>
      <c r="T383" s="15" t="str">
        <f>IF(S383="","",IFERROR(MATCH(1,INDEX((MATCHER!$B$5:$B$504=A383)*(MATCHER!$D$5:$D$504=C383)*(MATCHER!$K$5:$K$504="Ja")*(MATCHER!$C$5:$C$504&lt;E383)*(MATCHER!$M$5:$M$504&gt;D383)*(ROW(MATCHER!$A$5:$A$504)-ROW(MATCHER!$A$5)+1&gt;S383),0),0),""))</f>
        <v/>
      </c>
      <c r="U383" s="15">
        <f t="shared" si="76"/>
        <v>0</v>
      </c>
      <c r="V383" s="15">
        <f>IF(OR(I383&lt;&gt;"Ja",J383=""),"",COUNTIFS($O$5:O383,O383,$U$5:U383,1))</f>
        <v>1</v>
      </c>
      <c r="W383" s="15" t="str">
        <f t="shared" si="77"/>
        <v>2027-01-30 | Ulriksdalshallen|1</v>
      </c>
      <c r="X383" s="16" t="str">
        <f t="shared" si="78"/>
        <v/>
      </c>
      <c r="Y383" s="15">
        <f>IF(OR(I383&lt;&gt;"Ja",J383=""),0,IF(COUNTIFS($O$5:O383,O383,$I$5:I383,"Ja",$J$5:J383,"&lt;&gt;")=1,1,0))</f>
        <v>0</v>
      </c>
      <c r="Z383" s="15">
        <f>IF(OR(I383&lt;&gt;"Ja",J383=""),0,IF(COUNTIFS(O383:$O$546,O383,I383:$I$546,"Ja",J383:$J$546,"&lt;&gt;")=1,1,0))</f>
        <v>0</v>
      </c>
      <c r="AA383" s="15">
        <f t="shared" si="87"/>
        <v>2</v>
      </c>
      <c r="AB383" s="15" t="str">
        <f>IF(U383&lt;&gt;1,"",COUNTIF($U$5:U383,1))</f>
        <v/>
      </c>
      <c r="AC383" s="15" t="str">
        <f t="shared" si="79"/>
        <v/>
      </c>
      <c r="AD383" s="15" t="str">
        <f t="shared" si="80"/>
        <v>Vanligt café</v>
      </c>
      <c r="AE383" s="15" t="str">
        <f t="shared" si="81"/>
        <v/>
      </c>
      <c r="AF383" t="str">
        <f>IF(T383="","",IFERROR(MATCH(1,INDEX((MATCHER!$B$5:$B$504=A383)*(MATCHER!$D$5:$D$504=C383)*(MATCHER!$K$5:$K$504="Ja")*(MATCHER!$C$5:$C$504&lt;E383)*(MATCHER!$M$5:$M$504&gt;D383)*(ROW(MATCHER!$A$5:$A$504)-ROW(MATCHER!$A$5)+1&gt;T383),0),0),""))</f>
        <v/>
      </c>
    </row>
    <row r="384" spans="1:32" ht="26">
      <c r="A384" s="42">
        <v>46417</v>
      </c>
      <c r="B384" s="43" t="s">
        <v>85</v>
      </c>
      <c r="C384" s="43" t="s">
        <v>86</v>
      </c>
      <c r="D384" s="44">
        <v>0.4375</v>
      </c>
      <c r="E384" s="44">
        <v>0.45833333333333298</v>
      </c>
      <c r="F384" s="45" t="str">
        <f>IF(R384="","",HOUR(INDEX(MATCHER!$C$5:$C$504,R384))&amp;":"&amp;IF(MINUTE(INDEX(MATCHER!$C$5:$C$504,R384))&lt;10,"0","")&amp;MINUTE(INDEX(MATCHER!$C$5:$C$504,R384))&amp;" "&amp;INDEX(MATCHER!$H$5:$H$504,R384)&amp;" – "&amp;INDEX(MATCHER!$I$5:$I$504,R384))&amp;IF(S384="",""," | "&amp;HOUR(INDEX(MATCHER!$C$5:$C$504,S384))&amp;":"&amp;IF(MINUTE(INDEX(MATCHER!$C$5:$C$504,S384))&lt;10,"0","")&amp;MINUTE(INDEX(MATCHER!$C$5:$C$504,S384))&amp;" "&amp;INDEX(MATCHER!$H$5:$H$504,S384)&amp;" – "&amp;INDEX(MATCHER!$I$5:$I$504,S384))&amp;IF(T384="",""," | "&amp;HOUR(INDEX(MATCHER!$C$5:$C$504,T384))&amp;":"&amp;IF(MINUTE(INDEX(MATCHER!$C$5:$C$504,T384))&lt;10,"0","")&amp;MINUTE(INDEX(MATCHER!$C$5:$C$504,T384))&amp;" "&amp;INDEX(MATCHER!$H$5:$H$504,T384)&amp;" – "&amp;INDEX(MATCHER!$I$5:$I$504,T384))&amp;IF(AF384="",""," | "&amp;HOUR(INDEX(MATCHER!$C$5:$C$504,AF384))&amp;":"&amp;IF(MINUTE(INDEX(MATCHER!$C$5:$C$504,AF384))&lt;10,"0","")&amp;MINUTE(INDEX(MATCHER!$C$5:$C$504,AF384))&amp;" "&amp;INDEX(MATCHER!$H$5:$H$504,AF384)&amp;" – "&amp;INDEX(MATCHER!$I$5:$I$504,AF384))</f>
        <v>9:00 HF Öst – HF Öst 2</v>
      </c>
      <c r="G384" s="45" t="str">
        <f>MID(IF(R384="","",IF(OR(INDEX(MATCHER!$J$5:$J$504,R384)=""),""," / "&amp;INDEX(MATCHER!$J$5:$J$504,R384)))&amp;IF(S384="","",IF(OR(INDEX(MATCHER!$J$5:$J$504,S384)="",INDEX(MATCHER!$J$5:$J$504,S384)=IFERROR(INDEX(MATCHER!$J$5:$J$504,R384),"")),""," / "&amp;INDEX(MATCHER!$J$5:$J$504,S384)))&amp;IF(T384="","",IF(OR(INDEX(MATCHER!$J$5:$J$504,T384)="",INDEX(MATCHER!$J$5:$J$504,T384)=IFERROR(INDEX(MATCHER!$J$5:$J$504,R384),""),INDEX(MATCHER!$J$5:$J$504,T384)=IFERROR(INDEX(MATCHER!$J$5:$J$504,S384),"")),""," / "&amp;INDEX(MATCHER!$J$5:$J$504,T384)))&amp;IF(AF384="","",IF(OR(INDEX(MATCHER!$J$5:$J$504,AF384)="",INDEX(MATCHER!$J$5:$J$504,AF384)=IFERROR(INDEX(MATCHER!$J$5:$J$504,R384),""),INDEX(MATCHER!$J$5:$J$504,AF384)=IFERROR(INDEX(MATCHER!$J$5:$J$504,S384),""),INDEX(MATCHER!$J$5:$J$504,AF384)=IFERROR(INDEX(MATCHER!$J$5:$J$504,T384),"")),""," / "&amp;INDEX(MATCHER!$J$5:$J$504,AF384))),4,1000)</f>
        <v/>
      </c>
      <c r="H384" s="45" t="str">
        <f t="shared" si="86"/>
        <v>F13, F14</v>
      </c>
      <c r="I384" s="46" t="s">
        <v>90</v>
      </c>
      <c r="J384" s="47" t="s">
        <v>148</v>
      </c>
      <c r="K384" s="48"/>
      <c r="L384" s="49"/>
      <c r="M384" s="50" t="str">
        <f>IF(O384&lt;&gt;O383,MAX(1,MIN(AA384,ROUNDUP(SUMPRODUCT(($O$5:$O$546=O384)*($I$5:$I$546="Ja")*($E$5:$E$546-$D$5:$D$546))*24/REGLER!$B$8,0))),"")</f>
        <v/>
      </c>
      <c r="N384" s="50" t="str">
        <f t="shared" si="75"/>
        <v>Kontrollera lag</v>
      </c>
      <c r="O384" s="15" t="s">
        <v>149</v>
      </c>
      <c r="P384" s="16">
        <v>0.33333333333333298</v>
      </c>
      <c r="Q384" s="16">
        <v>0.79166666666666696</v>
      </c>
      <c r="R384" s="15">
        <f>IFERROR(MATCH(1,INDEX((MATCHER!$B$5:$B$504=A384)*(MATCHER!$D$5:$D$504=C384)*(MATCHER!$K$5:$K$504="Ja")*(MATCHER!$C$5:$C$504&lt;E384)*(MATCHER!$M$5:$M$504&gt;D384),0),0),"")</f>
        <v>142</v>
      </c>
      <c r="S384" s="15" t="str">
        <f>IF(R384="","",IFERROR(MATCH(1,INDEX((MATCHER!$B$5:$B$504=A384)*(MATCHER!$D$5:$D$504=C384)*(MATCHER!$K$5:$K$504="Ja")*(MATCHER!$C$5:$C$504&lt;E384)*(MATCHER!$M$5:$M$504&gt;D384)*(ROW(MATCHER!$A$5:$A$504)-ROW(MATCHER!$A$5)+1&gt;R384),0),0),""))</f>
        <v/>
      </c>
      <c r="T384" s="15" t="str">
        <f>IF(S384="","",IFERROR(MATCH(1,INDEX((MATCHER!$B$5:$B$504=A384)*(MATCHER!$D$5:$D$504=C384)*(MATCHER!$K$5:$K$504="Ja")*(MATCHER!$C$5:$C$504&lt;E384)*(MATCHER!$M$5:$M$504&gt;D384)*(ROW(MATCHER!$A$5:$A$504)-ROW(MATCHER!$A$5)+1&gt;S384),0),0),""))</f>
        <v/>
      </c>
      <c r="U384" s="15">
        <f t="shared" si="76"/>
        <v>0</v>
      </c>
      <c r="V384" s="15">
        <f>IF(OR(I384&lt;&gt;"Ja",J384=""),"",COUNTIFS($O$5:O384,O384,$U$5:U384,1))</f>
        <v>1</v>
      </c>
      <c r="W384" s="15" t="str">
        <f t="shared" si="77"/>
        <v>2027-01-30 | Ulriksdalshallen|1</v>
      </c>
      <c r="X384" s="16" t="str">
        <f t="shared" si="78"/>
        <v/>
      </c>
      <c r="Y384" s="15">
        <f>IF(OR(I384&lt;&gt;"Ja",J384=""),0,IF(COUNTIFS($O$5:O384,O384,$I$5:I384,"Ja",$J$5:J384,"&lt;&gt;")=1,1,0))</f>
        <v>0</v>
      </c>
      <c r="Z384" s="15">
        <f>IF(OR(I384&lt;&gt;"Ja",J384=""),0,IF(COUNTIFS(O384:$O$546,O384,I384:$I$546,"Ja",J384:$J$546,"&lt;&gt;")=1,1,0))</f>
        <v>0</v>
      </c>
      <c r="AA384" s="15">
        <f t="shared" si="87"/>
        <v>2</v>
      </c>
      <c r="AB384" s="15" t="str">
        <f>IF(U384&lt;&gt;1,"",COUNTIF($U$5:U384,1))</f>
        <v/>
      </c>
      <c r="AC384" s="15" t="str">
        <f t="shared" si="79"/>
        <v/>
      </c>
      <c r="AD384" s="15" t="str">
        <f t="shared" si="80"/>
        <v>Vanligt café</v>
      </c>
      <c r="AE384" s="15" t="str">
        <f t="shared" si="81"/>
        <v/>
      </c>
      <c r="AF384" t="str">
        <f>IF(T384="","",IFERROR(MATCH(1,INDEX((MATCHER!$B$5:$B$504=A384)*(MATCHER!$D$5:$D$504=C384)*(MATCHER!$K$5:$K$504="Ja")*(MATCHER!$C$5:$C$504&lt;E384)*(MATCHER!$M$5:$M$504&gt;D384)*(ROW(MATCHER!$A$5:$A$504)-ROW(MATCHER!$A$5)+1&gt;T384),0),0),""))</f>
        <v/>
      </c>
    </row>
    <row r="385" spans="1:32" ht="26">
      <c r="A385" s="42">
        <v>46417</v>
      </c>
      <c r="B385" s="43" t="s">
        <v>85</v>
      </c>
      <c r="C385" s="43" t="s">
        <v>86</v>
      </c>
      <c r="D385" s="44">
        <v>0.45833333333333298</v>
      </c>
      <c r="E385" s="44">
        <v>0.47916666666666702</v>
      </c>
      <c r="F385" s="45" t="str">
        <f>IF(R385="","",HOUR(INDEX(MATCHER!$C$5:$C$504,R385))&amp;":"&amp;IF(MINUTE(INDEX(MATCHER!$C$5:$C$504,R385))&lt;10,"0","")&amp;MINUTE(INDEX(MATCHER!$C$5:$C$504,R385))&amp;" "&amp;INDEX(MATCHER!$H$5:$H$504,R385)&amp;" – "&amp;INDEX(MATCHER!$I$5:$I$504,R385))&amp;IF(S385="",""," | "&amp;HOUR(INDEX(MATCHER!$C$5:$C$504,S385))&amp;":"&amp;IF(MINUTE(INDEX(MATCHER!$C$5:$C$504,S385))&lt;10,"0","")&amp;MINUTE(INDEX(MATCHER!$C$5:$C$504,S385))&amp;" "&amp;INDEX(MATCHER!$H$5:$H$504,S385)&amp;" – "&amp;INDEX(MATCHER!$I$5:$I$504,S385))&amp;IF(T385="",""," | "&amp;HOUR(INDEX(MATCHER!$C$5:$C$504,T385))&amp;":"&amp;IF(MINUTE(INDEX(MATCHER!$C$5:$C$504,T385))&lt;10,"0","")&amp;MINUTE(INDEX(MATCHER!$C$5:$C$504,T385))&amp;" "&amp;INDEX(MATCHER!$H$5:$H$504,T385)&amp;" – "&amp;INDEX(MATCHER!$I$5:$I$504,T385))&amp;IF(AF385="",""," | "&amp;HOUR(INDEX(MATCHER!$C$5:$C$504,AF385))&amp;":"&amp;IF(MINUTE(INDEX(MATCHER!$C$5:$C$504,AF385))&lt;10,"0","")&amp;MINUTE(INDEX(MATCHER!$C$5:$C$504,AF385))&amp;" "&amp;INDEX(MATCHER!$H$5:$H$504,AF385)&amp;" – "&amp;INDEX(MATCHER!$I$5:$I$504,AF385))</f>
        <v>9:00 HF Öst – HF Öst 2</v>
      </c>
      <c r="G385" s="45" t="str">
        <f>MID(IF(R385="","",IF(OR(INDEX(MATCHER!$J$5:$J$504,R385)=""),""," / "&amp;INDEX(MATCHER!$J$5:$J$504,R385)))&amp;IF(S385="","",IF(OR(INDEX(MATCHER!$J$5:$J$504,S385)="",INDEX(MATCHER!$J$5:$J$504,S385)=IFERROR(INDEX(MATCHER!$J$5:$J$504,R385),"")),""," / "&amp;INDEX(MATCHER!$J$5:$J$504,S385)))&amp;IF(T385="","",IF(OR(INDEX(MATCHER!$J$5:$J$504,T385)="",INDEX(MATCHER!$J$5:$J$504,T385)=IFERROR(INDEX(MATCHER!$J$5:$J$504,R385),""),INDEX(MATCHER!$J$5:$J$504,T385)=IFERROR(INDEX(MATCHER!$J$5:$J$504,S385),"")),""," / "&amp;INDEX(MATCHER!$J$5:$J$504,T385)))&amp;IF(AF385="","",IF(OR(INDEX(MATCHER!$J$5:$J$504,AF385)="",INDEX(MATCHER!$J$5:$J$504,AF385)=IFERROR(INDEX(MATCHER!$J$5:$J$504,R385),""),INDEX(MATCHER!$J$5:$J$504,AF385)=IFERROR(INDEX(MATCHER!$J$5:$J$504,S385),""),INDEX(MATCHER!$J$5:$J$504,AF385)=IFERROR(INDEX(MATCHER!$J$5:$J$504,T385),"")),""," / "&amp;INDEX(MATCHER!$J$5:$J$504,AF385))),4,1000)</f>
        <v/>
      </c>
      <c r="H385" s="45" t="str">
        <f t="shared" si="86"/>
        <v>F13, F14</v>
      </c>
      <c r="I385" s="46" t="s">
        <v>90</v>
      </c>
      <c r="J385" s="47" t="s">
        <v>148</v>
      </c>
      <c r="K385" s="48"/>
      <c r="L385" s="49"/>
      <c r="M385" s="50" t="str">
        <f>IF(O385&lt;&gt;O384,MAX(1,MIN(AA385,ROUNDUP(SUMPRODUCT(($O$5:$O$546=O385)*($I$5:$I$546="Ja")*($E$5:$E$546-$D$5:$D$546))*24/REGLER!$B$8,0))),"")</f>
        <v/>
      </c>
      <c r="N385" s="50" t="str">
        <f t="shared" si="75"/>
        <v>Kontrollera lag</v>
      </c>
      <c r="O385" s="15" t="s">
        <v>149</v>
      </c>
      <c r="P385" s="16">
        <v>0.33333333333333298</v>
      </c>
      <c r="Q385" s="16">
        <v>0.79166666666666696</v>
      </c>
      <c r="R385" s="15">
        <f>IFERROR(MATCH(1,INDEX((MATCHER!$B$5:$B$504=A385)*(MATCHER!$D$5:$D$504=C385)*(MATCHER!$K$5:$K$504="Ja")*(MATCHER!$C$5:$C$504&lt;E385)*(MATCHER!$M$5:$M$504&gt;D385),0),0),"")</f>
        <v>142</v>
      </c>
      <c r="S385" s="15" t="str">
        <f>IF(R385="","",IFERROR(MATCH(1,INDEX((MATCHER!$B$5:$B$504=A385)*(MATCHER!$D$5:$D$504=C385)*(MATCHER!$K$5:$K$504="Ja")*(MATCHER!$C$5:$C$504&lt;E385)*(MATCHER!$M$5:$M$504&gt;D385)*(ROW(MATCHER!$A$5:$A$504)-ROW(MATCHER!$A$5)+1&gt;R385),0),0),""))</f>
        <v/>
      </c>
      <c r="T385" s="15" t="str">
        <f>IF(S385="","",IFERROR(MATCH(1,INDEX((MATCHER!$B$5:$B$504=A385)*(MATCHER!$D$5:$D$504=C385)*(MATCHER!$K$5:$K$504="Ja")*(MATCHER!$C$5:$C$504&lt;E385)*(MATCHER!$M$5:$M$504&gt;D385)*(ROW(MATCHER!$A$5:$A$504)-ROW(MATCHER!$A$5)+1&gt;S385),0),0),""))</f>
        <v/>
      </c>
      <c r="U385" s="15">
        <f t="shared" si="76"/>
        <v>0</v>
      </c>
      <c r="V385" s="15">
        <f>IF(OR(I385&lt;&gt;"Ja",J385=""),"",COUNTIFS($O$5:O385,O385,$U$5:U385,1))</f>
        <v>1</v>
      </c>
      <c r="W385" s="15" t="str">
        <f t="shared" si="77"/>
        <v>2027-01-30 | Ulriksdalshallen|1</v>
      </c>
      <c r="X385" s="16" t="str">
        <f t="shared" si="78"/>
        <v/>
      </c>
      <c r="Y385" s="15">
        <f>IF(OR(I385&lt;&gt;"Ja",J385=""),0,IF(COUNTIFS($O$5:O385,O385,$I$5:I385,"Ja",$J$5:J385,"&lt;&gt;")=1,1,0))</f>
        <v>0</v>
      </c>
      <c r="Z385" s="15">
        <f>IF(OR(I385&lt;&gt;"Ja",J385=""),0,IF(COUNTIFS(O385:$O$546,O385,I385:$I$546,"Ja",J385:$J$546,"&lt;&gt;")=1,1,0))</f>
        <v>0</v>
      </c>
      <c r="AA385" s="15">
        <f t="shared" si="87"/>
        <v>2</v>
      </c>
      <c r="AB385" s="15" t="str">
        <f>IF(U385&lt;&gt;1,"",COUNTIF($U$5:U385,1))</f>
        <v/>
      </c>
      <c r="AC385" s="15" t="str">
        <f t="shared" si="79"/>
        <v/>
      </c>
      <c r="AD385" s="15" t="str">
        <f t="shared" si="80"/>
        <v>Vanligt café</v>
      </c>
      <c r="AE385" s="15" t="str">
        <f t="shared" si="81"/>
        <v/>
      </c>
      <c r="AF385" t="str">
        <f>IF(T385="","",IFERROR(MATCH(1,INDEX((MATCHER!$B$5:$B$504=A385)*(MATCHER!$D$5:$D$504=C385)*(MATCHER!$K$5:$K$504="Ja")*(MATCHER!$C$5:$C$504&lt;E385)*(MATCHER!$M$5:$M$504&gt;D385)*(ROW(MATCHER!$A$5:$A$504)-ROW(MATCHER!$A$5)+1&gt;T385),0),0),""))</f>
        <v/>
      </c>
    </row>
    <row r="386" spans="1:32" ht="26">
      <c r="A386" s="42">
        <v>46417</v>
      </c>
      <c r="B386" s="43" t="s">
        <v>85</v>
      </c>
      <c r="C386" s="43" t="s">
        <v>86</v>
      </c>
      <c r="D386" s="44">
        <v>0.47916666666666702</v>
      </c>
      <c r="E386" s="44">
        <v>0.5</v>
      </c>
      <c r="F386" s="45" t="str">
        <f>IF(R386="","",HOUR(INDEX(MATCHER!$C$5:$C$504,R386))&amp;":"&amp;IF(MINUTE(INDEX(MATCHER!$C$5:$C$504,R386))&lt;10,"0","")&amp;MINUTE(INDEX(MATCHER!$C$5:$C$504,R386))&amp;" "&amp;INDEX(MATCHER!$H$5:$H$504,R386)&amp;" – "&amp;INDEX(MATCHER!$I$5:$I$504,R386))&amp;IF(S386="",""," | "&amp;HOUR(INDEX(MATCHER!$C$5:$C$504,S386))&amp;":"&amp;IF(MINUTE(INDEX(MATCHER!$C$5:$C$504,S386))&lt;10,"0","")&amp;MINUTE(INDEX(MATCHER!$C$5:$C$504,S386))&amp;" "&amp;INDEX(MATCHER!$H$5:$H$504,S386)&amp;" – "&amp;INDEX(MATCHER!$I$5:$I$504,S386))&amp;IF(T386="",""," | "&amp;HOUR(INDEX(MATCHER!$C$5:$C$504,T386))&amp;":"&amp;IF(MINUTE(INDEX(MATCHER!$C$5:$C$504,T386))&lt;10,"0","")&amp;MINUTE(INDEX(MATCHER!$C$5:$C$504,T386))&amp;" "&amp;INDEX(MATCHER!$H$5:$H$504,T386)&amp;" – "&amp;INDEX(MATCHER!$I$5:$I$504,T386))&amp;IF(AF386="",""," | "&amp;HOUR(INDEX(MATCHER!$C$5:$C$504,AF386))&amp;":"&amp;IF(MINUTE(INDEX(MATCHER!$C$5:$C$504,AF386))&lt;10,"0","")&amp;MINUTE(INDEX(MATCHER!$C$5:$C$504,AF386))&amp;" "&amp;INDEX(MATCHER!$H$5:$H$504,AF386)&amp;" – "&amp;INDEX(MATCHER!$I$5:$I$504,AF386))</f>
        <v>9:00 HF Öst – HF Öst 2</v>
      </c>
      <c r="G386" s="45" t="str">
        <f>MID(IF(R386="","",IF(OR(INDEX(MATCHER!$J$5:$J$504,R386)=""),""," / "&amp;INDEX(MATCHER!$J$5:$J$504,R386)))&amp;IF(S386="","",IF(OR(INDEX(MATCHER!$J$5:$J$504,S386)="",INDEX(MATCHER!$J$5:$J$504,S386)=IFERROR(INDEX(MATCHER!$J$5:$J$504,R386),"")),""," / "&amp;INDEX(MATCHER!$J$5:$J$504,S386)))&amp;IF(T386="","",IF(OR(INDEX(MATCHER!$J$5:$J$504,T386)="",INDEX(MATCHER!$J$5:$J$504,T386)=IFERROR(INDEX(MATCHER!$J$5:$J$504,R386),""),INDEX(MATCHER!$J$5:$J$504,T386)=IFERROR(INDEX(MATCHER!$J$5:$J$504,S386),"")),""," / "&amp;INDEX(MATCHER!$J$5:$J$504,T386)))&amp;IF(AF386="","",IF(OR(INDEX(MATCHER!$J$5:$J$504,AF386)="",INDEX(MATCHER!$J$5:$J$504,AF386)=IFERROR(INDEX(MATCHER!$J$5:$J$504,R386),""),INDEX(MATCHER!$J$5:$J$504,AF386)=IFERROR(INDEX(MATCHER!$J$5:$J$504,S386),""),INDEX(MATCHER!$J$5:$J$504,AF386)=IFERROR(INDEX(MATCHER!$J$5:$J$504,T386),"")),""," / "&amp;INDEX(MATCHER!$J$5:$J$504,AF386))),4,1000)</f>
        <v/>
      </c>
      <c r="H386" s="45" t="str">
        <f t="shared" si="86"/>
        <v>F13, F14</v>
      </c>
      <c r="I386" s="46" t="s">
        <v>90</v>
      </c>
      <c r="J386" s="47" t="s">
        <v>148</v>
      </c>
      <c r="K386" s="48"/>
      <c r="L386" s="49"/>
      <c r="M386" s="50" t="str">
        <f>IF(O386&lt;&gt;O385,MAX(1,MIN(AA386,ROUNDUP(SUMPRODUCT(($O$5:$O$546=O386)*($I$5:$I$546="Ja")*($E$5:$E$546-$D$5:$D$546))*24/REGLER!$B$8,0))),"")</f>
        <v/>
      </c>
      <c r="N386" s="50" t="str">
        <f t="shared" si="75"/>
        <v>Kontrollera lag</v>
      </c>
      <c r="O386" s="15" t="s">
        <v>149</v>
      </c>
      <c r="P386" s="16">
        <v>0.33333333333333298</v>
      </c>
      <c r="Q386" s="16">
        <v>0.79166666666666696</v>
      </c>
      <c r="R386" s="15">
        <f>IFERROR(MATCH(1,INDEX((MATCHER!$B$5:$B$504=A386)*(MATCHER!$D$5:$D$504=C386)*(MATCHER!$K$5:$K$504="Ja")*(MATCHER!$C$5:$C$504&lt;E386)*(MATCHER!$M$5:$M$504&gt;D386),0),0),"")</f>
        <v>142</v>
      </c>
      <c r="S386" s="15" t="str">
        <f>IF(R386="","",IFERROR(MATCH(1,INDEX((MATCHER!$B$5:$B$504=A386)*(MATCHER!$D$5:$D$504=C386)*(MATCHER!$K$5:$K$504="Ja")*(MATCHER!$C$5:$C$504&lt;E386)*(MATCHER!$M$5:$M$504&gt;D386)*(ROW(MATCHER!$A$5:$A$504)-ROW(MATCHER!$A$5)+1&gt;R386),0),0),""))</f>
        <v/>
      </c>
      <c r="T386" s="15" t="str">
        <f>IF(S386="","",IFERROR(MATCH(1,INDEX((MATCHER!$B$5:$B$504=A386)*(MATCHER!$D$5:$D$504=C386)*(MATCHER!$K$5:$K$504="Ja")*(MATCHER!$C$5:$C$504&lt;E386)*(MATCHER!$M$5:$M$504&gt;D386)*(ROW(MATCHER!$A$5:$A$504)-ROW(MATCHER!$A$5)+1&gt;S386),0),0),""))</f>
        <v/>
      </c>
      <c r="U386" s="15">
        <f t="shared" si="76"/>
        <v>0</v>
      </c>
      <c r="V386" s="15">
        <f>IF(OR(I386&lt;&gt;"Ja",J386=""),"",COUNTIFS($O$5:O386,O386,$U$5:U386,1))</f>
        <v>1</v>
      </c>
      <c r="W386" s="15" t="str">
        <f t="shared" si="77"/>
        <v>2027-01-30 | Ulriksdalshallen|1</v>
      </c>
      <c r="X386" s="16">
        <f t="shared" si="78"/>
        <v>0.5</v>
      </c>
      <c r="Y386" s="15">
        <f>IF(OR(I386&lt;&gt;"Ja",J386=""),0,IF(COUNTIFS($O$5:O386,O386,$I$5:I386,"Ja",$J$5:J386,"&lt;&gt;")=1,1,0))</f>
        <v>0</v>
      </c>
      <c r="Z386" s="15">
        <f>IF(OR(I386&lt;&gt;"Ja",J386=""),0,IF(COUNTIFS(O386:$O$546,O386,I386:$I$546,"Ja",J386:$J$546,"&lt;&gt;")=1,1,0))</f>
        <v>0</v>
      </c>
      <c r="AA386" s="15">
        <f t="shared" si="87"/>
        <v>2</v>
      </c>
      <c r="AB386" s="15" t="str">
        <f>IF(U386&lt;&gt;1,"",COUNTIF($U$5:U386,1))</f>
        <v/>
      </c>
      <c r="AC386" s="15" t="str">
        <f t="shared" si="79"/>
        <v>2027-01-30 | Ulriksdalshallen|1</v>
      </c>
      <c r="AD386" s="15" t="str">
        <f t="shared" si="80"/>
        <v>Vanligt café</v>
      </c>
      <c r="AE386" s="15" t="str">
        <f t="shared" si="81"/>
        <v/>
      </c>
      <c r="AF386" t="str">
        <f>IF(T386="","",IFERROR(MATCH(1,INDEX((MATCHER!$B$5:$B$504=A386)*(MATCHER!$D$5:$D$504=C386)*(MATCHER!$K$5:$K$504="Ja")*(MATCHER!$C$5:$C$504&lt;E386)*(MATCHER!$M$5:$M$504&gt;D386)*(ROW(MATCHER!$A$5:$A$504)-ROW(MATCHER!$A$5)+1&gt;T386),0),0),""))</f>
        <v/>
      </c>
    </row>
    <row r="387" spans="1:32" ht="26">
      <c r="A387" s="42">
        <v>46417</v>
      </c>
      <c r="B387" s="43" t="s">
        <v>85</v>
      </c>
      <c r="C387" s="43" t="s">
        <v>86</v>
      </c>
      <c r="D387" s="44">
        <v>0.5</v>
      </c>
      <c r="E387" s="44">
        <v>0.52083333333333304</v>
      </c>
      <c r="F387" s="45" t="str">
        <f>IF(R387="","",HOUR(INDEX(MATCHER!$C$5:$C$504,R387))&amp;":"&amp;IF(MINUTE(INDEX(MATCHER!$C$5:$C$504,R387))&lt;10,"0","")&amp;MINUTE(INDEX(MATCHER!$C$5:$C$504,R387))&amp;" "&amp;INDEX(MATCHER!$H$5:$H$504,R387)&amp;" – "&amp;INDEX(MATCHER!$I$5:$I$504,R387))&amp;IF(S387="",""," | "&amp;HOUR(INDEX(MATCHER!$C$5:$C$504,S387))&amp;":"&amp;IF(MINUTE(INDEX(MATCHER!$C$5:$C$504,S387))&lt;10,"0","")&amp;MINUTE(INDEX(MATCHER!$C$5:$C$504,S387))&amp;" "&amp;INDEX(MATCHER!$H$5:$H$504,S387)&amp;" – "&amp;INDEX(MATCHER!$I$5:$I$504,S387))&amp;IF(T387="",""," | "&amp;HOUR(INDEX(MATCHER!$C$5:$C$504,T387))&amp;":"&amp;IF(MINUTE(INDEX(MATCHER!$C$5:$C$504,T387))&lt;10,"0","")&amp;MINUTE(INDEX(MATCHER!$C$5:$C$504,T387))&amp;" "&amp;INDEX(MATCHER!$H$5:$H$504,T387)&amp;" – "&amp;INDEX(MATCHER!$I$5:$I$504,T387))&amp;IF(AF387="",""," | "&amp;HOUR(INDEX(MATCHER!$C$5:$C$504,AF387))&amp;":"&amp;IF(MINUTE(INDEX(MATCHER!$C$5:$C$504,AF387))&lt;10,"0","")&amp;MINUTE(INDEX(MATCHER!$C$5:$C$504,AF387))&amp;" "&amp;INDEX(MATCHER!$H$5:$H$504,AF387)&amp;" – "&amp;INDEX(MATCHER!$I$5:$I$504,AF387))</f>
        <v>12:15 HF Öst 2 – HF Öst</v>
      </c>
      <c r="G387" s="45" t="str">
        <f>MID(IF(R387="","",IF(OR(INDEX(MATCHER!$J$5:$J$504,R387)=""),""," / "&amp;INDEX(MATCHER!$J$5:$J$504,R387)))&amp;IF(S387="","",IF(OR(INDEX(MATCHER!$J$5:$J$504,S387)="",INDEX(MATCHER!$J$5:$J$504,S387)=IFERROR(INDEX(MATCHER!$J$5:$J$504,R387),"")),""," / "&amp;INDEX(MATCHER!$J$5:$J$504,S387)))&amp;IF(T387="","",IF(OR(INDEX(MATCHER!$J$5:$J$504,T387)="",INDEX(MATCHER!$J$5:$J$504,T387)=IFERROR(INDEX(MATCHER!$J$5:$J$504,R387),""),INDEX(MATCHER!$J$5:$J$504,T387)=IFERROR(INDEX(MATCHER!$J$5:$J$504,S387),"")),""," / "&amp;INDEX(MATCHER!$J$5:$J$504,T387)))&amp;IF(AF387="","",IF(OR(INDEX(MATCHER!$J$5:$J$504,AF387)="",INDEX(MATCHER!$J$5:$J$504,AF387)=IFERROR(INDEX(MATCHER!$J$5:$J$504,R387),""),INDEX(MATCHER!$J$5:$J$504,AF387)=IFERROR(INDEX(MATCHER!$J$5:$J$504,S387),""),INDEX(MATCHER!$J$5:$J$504,AF387)=IFERROR(INDEX(MATCHER!$J$5:$J$504,T387),"")),""," / "&amp;INDEX(MATCHER!$J$5:$J$504,AF387))),4,1000)</f>
        <v/>
      </c>
      <c r="H387" s="45" t="str">
        <f t="shared" si="86"/>
        <v>F13, F14</v>
      </c>
      <c r="I387" s="46" t="s">
        <v>90</v>
      </c>
      <c r="J387" s="47" t="s">
        <v>135</v>
      </c>
      <c r="K387" s="48"/>
      <c r="L387" s="49" t="s">
        <v>858</v>
      </c>
      <c r="M387" s="50" t="str">
        <f>IF(O387&lt;&gt;O386,MAX(1,MIN(AA387,ROUNDUP(SUMPRODUCT(($O$5:$O$546=O387)*($I$5:$I$546="Ja")*($E$5:$E$546-$D$5:$D$546))*24/REGLER!$B$8,0))),"")</f>
        <v/>
      </c>
      <c r="N387" s="50" t="str">
        <f t="shared" si="75"/>
        <v>Kontrollera lag</v>
      </c>
      <c r="O387" s="15" t="s">
        <v>149</v>
      </c>
      <c r="P387" s="16">
        <v>0.33333333333333298</v>
      </c>
      <c r="Q387" s="16">
        <v>0.79166666666666696</v>
      </c>
      <c r="R387" s="15">
        <f>IFERROR(MATCH(1,INDEX((MATCHER!$B$5:$B$504=A387)*(MATCHER!$D$5:$D$504=C387)*(MATCHER!$K$5:$K$504="Ja")*(MATCHER!$C$5:$C$504&lt;E387)*(MATCHER!$M$5:$M$504&gt;D387),0),0),"")</f>
        <v>143</v>
      </c>
      <c r="S387" s="15" t="str">
        <f>IF(R387="","",IFERROR(MATCH(1,INDEX((MATCHER!$B$5:$B$504=A387)*(MATCHER!$D$5:$D$504=C387)*(MATCHER!$K$5:$K$504="Ja")*(MATCHER!$C$5:$C$504&lt;E387)*(MATCHER!$M$5:$M$504&gt;D387)*(ROW(MATCHER!$A$5:$A$504)-ROW(MATCHER!$A$5)+1&gt;R387),0),0),""))</f>
        <v/>
      </c>
      <c r="T387" s="15" t="str">
        <f>IF(S387="","",IFERROR(MATCH(1,INDEX((MATCHER!$B$5:$B$504=A387)*(MATCHER!$D$5:$D$504=C387)*(MATCHER!$K$5:$K$504="Ja")*(MATCHER!$C$5:$C$504&lt;E387)*(MATCHER!$M$5:$M$504&gt;D387)*(ROW(MATCHER!$A$5:$A$504)-ROW(MATCHER!$A$5)+1&gt;S387),0),0),""))</f>
        <v/>
      </c>
      <c r="U387" s="15">
        <f t="shared" si="76"/>
        <v>1</v>
      </c>
      <c r="V387" s="15">
        <f>IF(OR(I387&lt;&gt;"Ja",J387=""),"",COUNTIFS($O$5:O387,O387,$U$5:U387,1))</f>
        <v>2</v>
      </c>
      <c r="W387" s="15" t="str">
        <f t="shared" si="77"/>
        <v>2027-01-30 | Ulriksdalshallen|2</v>
      </c>
      <c r="X387" s="16">
        <f t="shared" si="78"/>
        <v>0.52083333333333304</v>
      </c>
      <c r="Y387" s="15">
        <f>IF(OR(I387&lt;&gt;"Ja",J387=""),0,IF(COUNTIFS($O$5:O387,O387,$I$5:I387,"Ja",$J$5:J387,"&lt;&gt;")=1,1,0))</f>
        <v>0</v>
      </c>
      <c r="Z387" s="15">
        <f>IF(OR(I387&lt;&gt;"Ja",J387=""),0,IF(COUNTIFS(O387:$O$546,O387,I387:$I$546,"Ja",J387:$J$546,"&lt;&gt;")=1,1,0))</f>
        <v>0</v>
      </c>
      <c r="AA387" s="15">
        <f t="shared" si="87"/>
        <v>2</v>
      </c>
      <c r="AB387" s="15">
        <f>IF(U387&lt;&gt;1,"",COUNTIF($U$5:U387,1))</f>
        <v>55</v>
      </c>
      <c r="AC387" s="15" t="str">
        <f t="shared" si="79"/>
        <v>2027-01-30 | Ulriksdalshallen|2</v>
      </c>
      <c r="AD387" s="15" t="str">
        <f t="shared" si="80"/>
        <v>Vanligt café</v>
      </c>
      <c r="AE387" s="15">
        <f t="shared" si="81"/>
        <v>0.49999999999999289</v>
      </c>
      <c r="AF387" t="str">
        <f>IF(T387="","",IFERROR(MATCH(1,INDEX((MATCHER!$B$5:$B$504=A387)*(MATCHER!$D$5:$D$504=C387)*(MATCHER!$K$5:$K$504="Ja")*(MATCHER!$C$5:$C$504&lt;E387)*(MATCHER!$M$5:$M$504&gt;D387)*(ROW(MATCHER!$A$5:$A$504)-ROW(MATCHER!$A$5)+1&gt;T387),0),0),""))</f>
        <v/>
      </c>
    </row>
    <row r="388" spans="1:32" ht="26">
      <c r="A388" s="42">
        <v>46417</v>
      </c>
      <c r="B388" s="43" t="s">
        <v>85</v>
      </c>
      <c r="C388" s="43" t="s">
        <v>86</v>
      </c>
      <c r="D388" s="44">
        <v>0.52083333333333304</v>
      </c>
      <c r="E388" s="44">
        <v>0.54166666666666696</v>
      </c>
      <c r="F388" s="45" t="str">
        <f>IF(R388="","",HOUR(INDEX(MATCHER!$C$5:$C$504,R388))&amp;":"&amp;IF(MINUTE(INDEX(MATCHER!$C$5:$C$504,R388))&lt;10,"0","")&amp;MINUTE(INDEX(MATCHER!$C$5:$C$504,R388))&amp;" "&amp;INDEX(MATCHER!$H$5:$H$504,R388)&amp;" – "&amp;INDEX(MATCHER!$I$5:$I$504,R388))&amp;IF(S388="",""," | "&amp;HOUR(INDEX(MATCHER!$C$5:$C$504,S388))&amp;":"&amp;IF(MINUTE(INDEX(MATCHER!$C$5:$C$504,S388))&lt;10,"0","")&amp;MINUTE(INDEX(MATCHER!$C$5:$C$504,S388))&amp;" "&amp;INDEX(MATCHER!$H$5:$H$504,S388)&amp;" – "&amp;INDEX(MATCHER!$I$5:$I$504,S388))&amp;IF(T388="",""," | "&amp;HOUR(INDEX(MATCHER!$C$5:$C$504,T388))&amp;":"&amp;IF(MINUTE(INDEX(MATCHER!$C$5:$C$504,T388))&lt;10,"0","")&amp;MINUTE(INDEX(MATCHER!$C$5:$C$504,T388))&amp;" "&amp;INDEX(MATCHER!$H$5:$H$504,T388)&amp;" – "&amp;INDEX(MATCHER!$I$5:$I$504,T388))&amp;IF(AF388="",""," | "&amp;HOUR(INDEX(MATCHER!$C$5:$C$504,AF388))&amp;":"&amp;IF(MINUTE(INDEX(MATCHER!$C$5:$C$504,AF388))&lt;10,"0","")&amp;MINUTE(INDEX(MATCHER!$C$5:$C$504,AF388))&amp;" "&amp;INDEX(MATCHER!$H$5:$H$504,AF388)&amp;" – "&amp;INDEX(MATCHER!$I$5:$I$504,AF388))</f>
        <v>12:15 HF Öst 2 – HF Öst</v>
      </c>
      <c r="G388" s="45" t="str">
        <f>MID(IF(R388="","",IF(OR(INDEX(MATCHER!$J$5:$J$504,R388)=""),""," / "&amp;INDEX(MATCHER!$J$5:$J$504,R388)))&amp;IF(S388="","",IF(OR(INDEX(MATCHER!$J$5:$J$504,S388)="",INDEX(MATCHER!$J$5:$J$504,S388)=IFERROR(INDEX(MATCHER!$J$5:$J$504,R388),"")),""," / "&amp;INDEX(MATCHER!$J$5:$J$504,S388)))&amp;IF(T388="","",IF(OR(INDEX(MATCHER!$J$5:$J$504,T388)="",INDEX(MATCHER!$J$5:$J$504,T388)=IFERROR(INDEX(MATCHER!$J$5:$J$504,R388),""),INDEX(MATCHER!$J$5:$J$504,T388)=IFERROR(INDEX(MATCHER!$J$5:$J$504,S388),"")),""," / "&amp;INDEX(MATCHER!$J$5:$J$504,T388)))&amp;IF(AF388="","",IF(OR(INDEX(MATCHER!$J$5:$J$504,AF388)="",INDEX(MATCHER!$J$5:$J$504,AF388)=IFERROR(INDEX(MATCHER!$J$5:$J$504,R388),""),INDEX(MATCHER!$J$5:$J$504,AF388)=IFERROR(INDEX(MATCHER!$J$5:$J$504,S388),""),INDEX(MATCHER!$J$5:$J$504,AF388)=IFERROR(INDEX(MATCHER!$J$5:$J$504,T388),"")),""," / "&amp;INDEX(MATCHER!$J$5:$J$504,AF388))),4,1000)</f>
        <v/>
      </c>
      <c r="H388" s="45" t="str">
        <f t="shared" si="86"/>
        <v>F13, F14</v>
      </c>
      <c r="I388" s="46" t="s">
        <v>90</v>
      </c>
      <c r="J388" s="47" t="s">
        <v>150</v>
      </c>
      <c r="K388" s="48"/>
      <c r="L388" s="49" t="s">
        <v>858</v>
      </c>
      <c r="M388" s="50" t="str">
        <f>IF(O388&lt;&gt;O387,MAX(1,MIN(AA388,ROUNDUP(SUMPRODUCT(($O$5:$O$546=O388)*($I$5:$I$546="Ja")*($E$5:$E$546-$D$5:$D$546))*24/REGLER!$B$8,0))),"")</f>
        <v/>
      </c>
      <c r="N388" s="50" t="str">
        <f t="shared" si="75"/>
        <v>Kontrollera lag</v>
      </c>
      <c r="O388" s="15" t="s">
        <v>149</v>
      </c>
      <c r="P388" s="16">
        <v>0.33333333333333298</v>
      </c>
      <c r="Q388" s="16">
        <v>0.79166666666666696</v>
      </c>
      <c r="R388" s="15">
        <f>IFERROR(MATCH(1,INDEX((MATCHER!$B$5:$B$504=A388)*(MATCHER!$D$5:$D$504=C388)*(MATCHER!$K$5:$K$504="Ja")*(MATCHER!$C$5:$C$504&lt;E388)*(MATCHER!$M$5:$M$504&gt;D388),0),0),"")</f>
        <v>143</v>
      </c>
      <c r="S388" s="15" t="str">
        <f>IF(R388="","",IFERROR(MATCH(1,INDEX((MATCHER!$B$5:$B$504=A388)*(MATCHER!$D$5:$D$504=C388)*(MATCHER!$K$5:$K$504="Ja")*(MATCHER!$C$5:$C$504&lt;E388)*(MATCHER!$M$5:$M$504&gt;D388)*(ROW(MATCHER!$A$5:$A$504)-ROW(MATCHER!$A$5)+1&gt;R388),0),0),""))</f>
        <v/>
      </c>
      <c r="T388" s="15" t="str">
        <f>IF(S388="","",IFERROR(MATCH(1,INDEX((MATCHER!$B$5:$B$504=A388)*(MATCHER!$D$5:$D$504=C388)*(MATCHER!$K$5:$K$504="Ja")*(MATCHER!$C$5:$C$504&lt;E388)*(MATCHER!$M$5:$M$504&gt;D388)*(ROW(MATCHER!$A$5:$A$504)-ROW(MATCHER!$A$5)+1&gt;S388),0),0),""))</f>
        <v/>
      </c>
      <c r="U388" s="15">
        <f t="shared" si="76"/>
        <v>1</v>
      </c>
      <c r="V388" s="15">
        <f>IF(OR(I388&lt;&gt;"Ja",J388=""),"",COUNTIFS($O$5:O388,O388,$U$5:U388,1))</f>
        <v>3</v>
      </c>
      <c r="W388" s="15" t="str">
        <f t="shared" si="77"/>
        <v>2027-01-30 | Ulriksdalshallen|3</v>
      </c>
      <c r="X388" s="16">
        <f t="shared" si="78"/>
        <v>0.54166666666666696</v>
      </c>
      <c r="Y388" s="15">
        <f>IF(OR(I388&lt;&gt;"Ja",J388=""),0,IF(COUNTIFS($O$5:O388,O388,$I$5:I388,"Ja",$J$5:J388,"&lt;&gt;")=1,1,0))</f>
        <v>0</v>
      </c>
      <c r="Z388" s="15">
        <f>IF(OR(I388&lt;&gt;"Ja",J388=""),0,IF(COUNTIFS(O388:$O$546,O388,I388:$I$546,"Ja",J388:$J$546,"&lt;&gt;")=1,1,0))</f>
        <v>0</v>
      </c>
      <c r="AA388" s="15">
        <f t="shared" si="87"/>
        <v>2</v>
      </c>
      <c r="AB388" s="15">
        <f>IF(U388&lt;&gt;1,"",COUNTIF($U$5:U388,1))</f>
        <v>56</v>
      </c>
      <c r="AC388" s="15" t="str">
        <f t="shared" si="79"/>
        <v>2027-01-30 | Ulriksdalshallen|3</v>
      </c>
      <c r="AD388" s="15" t="str">
        <f t="shared" si="80"/>
        <v>Vanligt café</v>
      </c>
      <c r="AE388" s="15">
        <f t="shared" si="81"/>
        <v>0.50000000000001421</v>
      </c>
      <c r="AF388" t="str">
        <f>IF(T388="","",IFERROR(MATCH(1,INDEX((MATCHER!$B$5:$B$504=A388)*(MATCHER!$D$5:$D$504=C388)*(MATCHER!$K$5:$K$504="Ja")*(MATCHER!$C$5:$C$504&lt;E388)*(MATCHER!$M$5:$M$504&gt;D388)*(ROW(MATCHER!$A$5:$A$504)-ROW(MATCHER!$A$5)+1&gt;T388),0),0),""))</f>
        <v/>
      </c>
    </row>
    <row r="389" spans="1:32" ht="26">
      <c r="A389" s="42">
        <v>46417</v>
      </c>
      <c r="B389" s="43" t="s">
        <v>85</v>
      </c>
      <c r="C389" s="43" t="s">
        <v>86</v>
      </c>
      <c r="D389" s="44">
        <v>0.54166666666666696</v>
      </c>
      <c r="E389" s="44">
        <v>0.5625</v>
      </c>
      <c r="F389" s="45" t="str">
        <f>IF(R389="","",HOUR(INDEX(MATCHER!$C$5:$C$504,R389))&amp;":"&amp;IF(MINUTE(INDEX(MATCHER!$C$5:$C$504,R389))&lt;10,"0","")&amp;MINUTE(INDEX(MATCHER!$C$5:$C$504,R389))&amp;" "&amp;INDEX(MATCHER!$H$5:$H$504,R389)&amp;" – "&amp;INDEX(MATCHER!$I$5:$I$504,R389))&amp;IF(S389="",""," | "&amp;HOUR(INDEX(MATCHER!$C$5:$C$504,S389))&amp;":"&amp;IF(MINUTE(INDEX(MATCHER!$C$5:$C$504,S389))&lt;10,"0","")&amp;MINUTE(INDEX(MATCHER!$C$5:$C$504,S389))&amp;" "&amp;INDEX(MATCHER!$H$5:$H$504,S389)&amp;" – "&amp;INDEX(MATCHER!$I$5:$I$504,S389))&amp;IF(T389="",""," | "&amp;HOUR(INDEX(MATCHER!$C$5:$C$504,T389))&amp;":"&amp;IF(MINUTE(INDEX(MATCHER!$C$5:$C$504,T389))&lt;10,"0","")&amp;MINUTE(INDEX(MATCHER!$C$5:$C$504,T389))&amp;" "&amp;INDEX(MATCHER!$H$5:$H$504,T389)&amp;" – "&amp;INDEX(MATCHER!$I$5:$I$504,T389))&amp;IF(AF389="",""," | "&amp;HOUR(INDEX(MATCHER!$C$5:$C$504,AF389))&amp;":"&amp;IF(MINUTE(INDEX(MATCHER!$C$5:$C$504,AF389))&lt;10,"0","")&amp;MINUTE(INDEX(MATCHER!$C$5:$C$504,AF389))&amp;" "&amp;INDEX(MATCHER!$H$5:$H$504,AF389)&amp;" – "&amp;INDEX(MATCHER!$I$5:$I$504,AF389))</f>
        <v>12:15 HF Öst 2 – HF Öst</v>
      </c>
      <c r="G389" s="45" t="str">
        <f>MID(IF(R389="","",IF(OR(INDEX(MATCHER!$J$5:$J$504,R389)=""),""," / "&amp;INDEX(MATCHER!$J$5:$J$504,R389)))&amp;IF(S389="","",IF(OR(INDEX(MATCHER!$J$5:$J$504,S389)="",INDEX(MATCHER!$J$5:$J$504,S389)=IFERROR(INDEX(MATCHER!$J$5:$J$504,R389),"")),""," / "&amp;INDEX(MATCHER!$J$5:$J$504,S389)))&amp;IF(T389="","",IF(OR(INDEX(MATCHER!$J$5:$J$504,T389)="",INDEX(MATCHER!$J$5:$J$504,T389)=IFERROR(INDEX(MATCHER!$J$5:$J$504,R389),""),INDEX(MATCHER!$J$5:$J$504,T389)=IFERROR(INDEX(MATCHER!$J$5:$J$504,S389),"")),""," / "&amp;INDEX(MATCHER!$J$5:$J$504,T389)))&amp;IF(AF389="","",IF(OR(INDEX(MATCHER!$J$5:$J$504,AF389)="",INDEX(MATCHER!$J$5:$J$504,AF389)=IFERROR(INDEX(MATCHER!$J$5:$J$504,R389),""),INDEX(MATCHER!$J$5:$J$504,AF389)=IFERROR(INDEX(MATCHER!$J$5:$J$504,S389),""),INDEX(MATCHER!$J$5:$J$504,AF389)=IFERROR(INDEX(MATCHER!$J$5:$J$504,T389),"")),""," / "&amp;INDEX(MATCHER!$J$5:$J$504,AF389))),4,1000)</f>
        <v/>
      </c>
      <c r="H389" s="45" t="str">
        <f t="shared" si="86"/>
        <v>F13, F14</v>
      </c>
      <c r="I389" s="46" t="s">
        <v>90</v>
      </c>
      <c r="J389" s="47" t="s">
        <v>111</v>
      </c>
      <c r="K389" s="48"/>
      <c r="L389" s="157" t="s">
        <v>858</v>
      </c>
      <c r="M389" s="50" t="str">
        <f>IF(O389&lt;&gt;O388,MAX(1,MIN(AA389,ROUNDUP(SUMPRODUCT(($O$5:$O$546=O389)*($I$5:$I$546="Ja")*($E$5:$E$546-$D$5:$D$546))*24/REGLER!$B$8,0))),"")</f>
        <v/>
      </c>
      <c r="N389" s="50" t="str">
        <f t="shared" ref="N389:N452" si="88">IF(I389="Nej",IF(J389="","Ej öppet","Ta bort lag"),IF(J389="","Ej tilldelad",IF(ISNUMBER(SEARCH(", "&amp;J389&amp;", ",", "&amp;H389&amp;", ")),"Klar","Kontrollera lag")))</f>
        <v>Kontrollera lag</v>
      </c>
      <c r="O389" s="15" t="s">
        <v>149</v>
      </c>
      <c r="P389" s="16">
        <v>0.33333333333333298</v>
      </c>
      <c r="Q389" s="16">
        <v>0.79166666666666696</v>
      </c>
      <c r="R389" s="15">
        <f>IFERROR(MATCH(1,INDEX((MATCHER!$B$5:$B$504=A389)*(MATCHER!$D$5:$D$504=C389)*(MATCHER!$K$5:$K$504="Ja")*(MATCHER!$C$5:$C$504&lt;E389)*(MATCHER!$M$5:$M$504&gt;D389),0),0),"")</f>
        <v>143</v>
      </c>
      <c r="S389" s="15" t="str">
        <f>IF(R389="","",IFERROR(MATCH(1,INDEX((MATCHER!$B$5:$B$504=A389)*(MATCHER!$D$5:$D$504=C389)*(MATCHER!$K$5:$K$504="Ja")*(MATCHER!$C$5:$C$504&lt;E389)*(MATCHER!$M$5:$M$504&gt;D389)*(ROW(MATCHER!$A$5:$A$504)-ROW(MATCHER!$A$5)+1&gt;R389),0),0),""))</f>
        <v/>
      </c>
      <c r="T389" s="15" t="str">
        <f>IF(S389="","",IFERROR(MATCH(1,INDEX((MATCHER!$B$5:$B$504=A389)*(MATCHER!$D$5:$D$504=C389)*(MATCHER!$K$5:$K$504="Ja")*(MATCHER!$C$5:$C$504&lt;E389)*(MATCHER!$M$5:$M$504&gt;D389)*(ROW(MATCHER!$A$5:$A$504)-ROW(MATCHER!$A$5)+1&gt;S389),0),0),""))</f>
        <v/>
      </c>
      <c r="U389" s="15">
        <f t="shared" ref="U389:U452" si="89">IF(OR(I389&lt;&gt;"Ja",J389=""),"",IF(OR(O389&lt;&gt;O388,I388&lt;&gt;"Ja",J389&lt;&gt;J388,D389&lt;&gt;E388),1,0))</f>
        <v>1</v>
      </c>
      <c r="V389" s="15">
        <f>IF(OR(I389&lt;&gt;"Ja",J389=""),"",COUNTIFS($O$5:O389,O389,$U$5:U389,1))</f>
        <v>4</v>
      </c>
      <c r="W389" s="15" t="str">
        <f t="shared" ref="W389:W452" si="90">IF(V389="","",O389&amp;"|"&amp;V389)</f>
        <v>2027-01-30 | Ulriksdalshallen|4</v>
      </c>
      <c r="X389" s="16">
        <f t="shared" ref="X389:X452" si="91">IF(OR(I389&lt;&gt;"Ja",J389=""),"",IF(OR(O389&lt;&gt;O390,I390&lt;&gt;"Ja",J389&lt;&gt;J390,E389&lt;&gt;D390),E389,""))</f>
        <v>0.5625</v>
      </c>
      <c r="Y389" s="15">
        <f>IF(OR(I389&lt;&gt;"Ja",J389=""),0,IF(COUNTIFS($O$5:O389,O389,$I$5:I389,"Ja",$J$5:J389,"&lt;&gt;")=1,1,0))</f>
        <v>0</v>
      </c>
      <c r="Z389" s="15">
        <f>IF(OR(I389&lt;&gt;"Ja",J389=""),0,IF(COUNTIFS(O389:$O$546,O389,I389:$I$546,"Ja",J389:$J$546,"&lt;&gt;")=1,1,0))</f>
        <v>0</v>
      </c>
      <c r="AA389" s="15">
        <f t="shared" si="87"/>
        <v>2</v>
      </c>
      <c r="AB389" s="15">
        <f>IF(U389&lt;&gt;1,"",COUNTIF($U$5:U389,1))</f>
        <v>57</v>
      </c>
      <c r="AC389" s="15" t="str">
        <f t="shared" ref="AC389:AC452" si="92">IF(X389="","",W389)</f>
        <v>2027-01-30 | Ulriksdalshallen|4</v>
      </c>
      <c r="AD389" s="15" t="str">
        <f t="shared" ref="AD389:AD452" si="93">IF(O389="","",INDEX($K$5:$K$546,MATCH(O389,$O$5:$O$546,0)))</f>
        <v>Vanligt café</v>
      </c>
      <c r="AE389" s="15">
        <f t="shared" ref="AE389:AE452" si="94">IF(U389&lt;&gt;1,"",(SUMIF($W$5:$W$546,W389,$X$5:$X$546)-D389)*24)</f>
        <v>0.49999999999999289</v>
      </c>
      <c r="AF389" t="str">
        <f>IF(T389="","",IFERROR(MATCH(1,INDEX((MATCHER!$B$5:$B$504=A389)*(MATCHER!$D$5:$D$504=C389)*(MATCHER!$K$5:$K$504="Ja")*(MATCHER!$C$5:$C$504&lt;E389)*(MATCHER!$M$5:$M$504&gt;D389)*(ROW(MATCHER!$A$5:$A$504)-ROW(MATCHER!$A$5)+1&gt;T389),0),0),""))</f>
        <v/>
      </c>
    </row>
    <row r="390" spans="1:32" ht="26">
      <c r="A390" s="42">
        <v>46417</v>
      </c>
      <c r="B390" s="43" t="s">
        <v>85</v>
      </c>
      <c r="C390" s="43" t="s">
        <v>86</v>
      </c>
      <c r="D390" s="44">
        <v>0.5625</v>
      </c>
      <c r="E390" s="44">
        <v>0.58333333333333304</v>
      </c>
      <c r="F390" s="45" t="str">
        <f>IF(R390="","",HOUR(INDEX(MATCHER!$C$5:$C$504,R390))&amp;":"&amp;IF(MINUTE(INDEX(MATCHER!$C$5:$C$504,R390))&lt;10,"0","")&amp;MINUTE(INDEX(MATCHER!$C$5:$C$504,R390))&amp;" "&amp;INDEX(MATCHER!$H$5:$H$504,R390)&amp;" – "&amp;INDEX(MATCHER!$I$5:$I$504,R390))&amp;IF(S390="",""," | "&amp;HOUR(INDEX(MATCHER!$C$5:$C$504,S390))&amp;":"&amp;IF(MINUTE(INDEX(MATCHER!$C$5:$C$504,S390))&lt;10,"0","")&amp;MINUTE(INDEX(MATCHER!$C$5:$C$504,S390))&amp;" "&amp;INDEX(MATCHER!$H$5:$H$504,S390)&amp;" – "&amp;INDEX(MATCHER!$I$5:$I$504,S390))&amp;IF(T390="",""," | "&amp;HOUR(INDEX(MATCHER!$C$5:$C$504,T390))&amp;":"&amp;IF(MINUTE(INDEX(MATCHER!$C$5:$C$504,T390))&lt;10,"0","")&amp;MINUTE(INDEX(MATCHER!$C$5:$C$504,T390))&amp;" "&amp;INDEX(MATCHER!$H$5:$H$504,T390)&amp;" – "&amp;INDEX(MATCHER!$I$5:$I$504,T390))&amp;IF(AF390="",""," | "&amp;HOUR(INDEX(MATCHER!$C$5:$C$504,AF390))&amp;":"&amp;IF(MINUTE(INDEX(MATCHER!$C$5:$C$504,AF390))&lt;10,"0","")&amp;MINUTE(INDEX(MATCHER!$C$5:$C$504,AF390))&amp;" "&amp;INDEX(MATCHER!$H$5:$H$504,AF390)&amp;" – "&amp;INDEX(MATCHER!$I$5:$I$504,AF390))</f>
        <v>12:15 HF Öst 2 – HF Öst</v>
      </c>
      <c r="G390" s="45" t="str">
        <f>MID(IF(R390="","",IF(OR(INDEX(MATCHER!$J$5:$J$504,R390)=""),""," / "&amp;INDEX(MATCHER!$J$5:$J$504,R390)))&amp;IF(S390="","",IF(OR(INDEX(MATCHER!$J$5:$J$504,S390)="",INDEX(MATCHER!$J$5:$J$504,S390)=IFERROR(INDEX(MATCHER!$J$5:$J$504,R390),"")),""," / "&amp;INDEX(MATCHER!$J$5:$J$504,S390)))&amp;IF(T390="","",IF(OR(INDEX(MATCHER!$J$5:$J$504,T390)="",INDEX(MATCHER!$J$5:$J$504,T390)=IFERROR(INDEX(MATCHER!$J$5:$J$504,R390),""),INDEX(MATCHER!$J$5:$J$504,T390)=IFERROR(INDEX(MATCHER!$J$5:$J$504,S390),"")),""," / "&amp;INDEX(MATCHER!$J$5:$J$504,T390)))&amp;IF(AF390="","",IF(OR(INDEX(MATCHER!$J$5:$J$504,AF390)="",INDEX(MATCHER!$J$5:$J$504,AF390)=IFERROR(INDEX(MATCHER!$J$5:$J$504,R390),""),INDEX(MATCHER!$J$5:$J$504,AF390)=IFERROR(INDEX(MATCHER!$J$5:$J$504,S390),""),INDEX(MATCHER!$J$5:$J$504,AF390)=IFERROR(INDEX(MATCHER!$J$5:$J$504,T390),"")),""," / "&amp;INDEX(MATCHER!$J$5:$J$504,AF390))),4,1000)</f>
        <v/>
      </c>
      <c r="H390" s="45" t="str">
        <f t="shared" si="86"/>
        <v>F13, F14</v>
      </c>
      <c r="I390" s="46" t="s">
        <v>90</v>
      </c>
      <c r="J390" s="47" t="s">
        <v>135</v>
      </c>
      <c r="K390" s="48"/>
      <c r="L390" s="49" t="s">
        <v>858</v>
      </c>
      <c r="M390" s="50" t="str">
        <f>IF(O390&lt;&gt;O389,MAX(1,MIN(AA390,ROUNDUP(SUMPRODUCT(($O$5:$O$546=O390)*($I$5:$I$546="Ja")*($E$5:$E$546-$D$5:$D$546))*24/REGLER!$B$8,0))),"")</f>
        <v/>
      </c>
      <c r="N390" s="50" t="str">
        <f t="shared" si="88"/>
        <v>Kontrollera lag</v>
      </c>
      <c r="O390" s="15" t="s">
        <v>149</v>
      </c>
      <c r="P390" s="16">
        <v>0.33333333333333298</v>
      </c>
      <c r="Q390" s="16">
        <v>0.79166666666666696</v>
      </c>
      <c r="R390" s="15">
        <f>IFERROR(MATCH(1,INDEX((MATCHER!$B$5:$B$504=A390)*(MATCHER!$D$5:$D$504=C390)*(MATCHER!$K$5:$K$504="Ja")*(MATCHER!$C$5:$C$504&lt;E390)*(MATCHER!$M$5:$M$504&gt;D390),0),0),"")</f>
        <v>143</v>
      </c>
      <c r="S390" s="15" t="str">
        <f>IF(R390="","",IFERROR(MATCH(1,INDEX((MATCHER!$B$5:$B$504=A390)*(MATCHER!$D$5:$D$504=C390)*(MATCHER!$K$5:$K$504="Ja")*(MATCHER!$C$5:$C$504&lt;E390)*(MATCHER!$M$5:$M$504&gt;D390)*(ROW(MATCHER!$A$5:$A$504)-ROW(MATCHER!$A$5)+1&gt;R390),0),0),""))</f>
        <v/>
      </c>
      <c r="T390" s="15" t="str">
        <f>IF(S390="","",IFERROR(MATCH(1,INDEX((MATCHER!$B$5:$B$504=A390)*(MATCHER!$D$5:$D$504=C390)*(MATCHER!$K$5:$K$504="Ja")*(MATCHER!$C$5:$C$504&lt;E390)*(MATCHER!$M$5:$M$504&gt;D390)*(ROW(MATCHER!$A$5:$A$504)-ROW(MATCHER!$A$5)+1&gt;S390),0),0),""))</f>
        <v/>
      </c>
      <c r="U390" s="15">
        <f t="shared" si="89"/>
        <v>1</v>
      </c>
      <c r="V390" s="15">
        <f>IF(OR(I390&lt;&gt;"Ja",J390=""),"",COUNTIFS($O$5:O390,O390,$U$5:U390,1))</f>
        <v>5</v>
      </c>
      <c r="W390" s="15" t="str">
        <f t="shared" si="90"/>
        <v>2027-01-30 | Ulriksdalshallen|5</v>
      </c>
      <c r="X390" s="16">
        <f t="shared" si="91"/>
        <v>0.58333333333333304</v>
      </c>
      <c r="Y390" s="15">
        <f>IF(OR(I390&lt;&gt;"Ja",J390=""),0,IF(COUNTIFS($O$5:O390,O390,$I$5:I390,"Ja",$J$5:J390,"&lt;&gt;")=1,1,0))</f>
        <v>0</v>
      </c>
      <c r="Z390" s="15">
        <f>IF(OR(I390&lt;&gt;"Ja",J390=""),0,IF(COUNTIFS(O390:$O$546,O390,I390:$I$546,"Ja",J390:$J$546,"&lt;&gt;")=1,1,0))</f>
        <v>0</v>
      </c>
      <c r="AA390" s="15">
        <f t="shared" si="87"/>
        <v>2</v>
      </c>
      <c r="AB390" s="15">
        <f>IF(U390&lt;&gt;1,"",COUNTIF($U$5:U390,1))</f>
        <v>58</v>
      </c>
      <c r="AC390" s="15" t="str">
        <f t="shared" si="92"/>
        <v>2027-01-30 | Ulriksdalshallen|5</v>
      </c>
      <c r="AD390" s="15" t="str">
        <f t="shared" si="93"/>
        <v>Vanligt café</v>
      </c>
      <c r="AE390" s="15">
        <f t="shared" si="94"/>
        <v>0.49999999999999289</v>
      </c>
      <c r="AF390" t="str">
        <f>IF(T390="","",IFERROR(MATCH(1,INDEX((MATCHER!$B$5:$B$504=A390)*(MATCHER!$D$5:$D$504=C390)*(MATCHER!$K$5:$K$504="Ja")*(MATCHER!$C$5:$C$504&lt;E390)*(MATCHER!$M$5:$M$504&gt;D390)*(ROW(MATCHER!$A$5:$A$504)-ROW(MATCHER!$A$5)+1&gt;T390),0),0),""))</f>
        <v/>
      </c>
    </row>
    <row r="391" spans="1:32" ht="26">
      <c r="A391" s="42">
        <v>46417</v>
      </c>
      <c r="B391" s="43" t="s">
        <v>85</v>
      </c>
      <c r="C391" s="43" t="s">
        <v>86</v>
      </c>
      <c r="D391" s="44">
        <v>0.58333333333333304</v>
      </c>
      <c r="E391" s="44">
        <v>0.60416666666666696</v>
      </c>
      <c r="F391" s="45" t="str">
        <f>IF(R391="","",HOUR(INDEX(MATCHER!$C$5:$C$504,R391))&amp;":"&amp;IF(MINUTE(INDEX(MATCHER!$C$5:$C$504,R391))&lt;10,"0","")&amp;MINUTE(INDEX(MATCHER!$C$5:$C$504,R391))&amp;" "&amp;INDEX(MATCHER!$H$5:$H$504,R391)&amp;" – "&amp;INDEX(MATCHER!$I$5:$I$504,R391))&amp;IF(S391="",""," | "&amp;HOUR(INDEX(MATCHER!$C$5:$C$504,S391))&amp;":"&amp;IF(MINUTE(INDEX(MATCHER!$C$5:$C$504,S391))&lt;10,"0","")&amp;MINUTE(INDEX(MATCHER!$C$5:$C$504,S391))&amp;" "&amp;INDEX(MATCHER!$H$5:$H$504,S391)&amp;" – "&amp;INDEX(MATCHER!$I$5:$I$504,S391))&amp;IF(T391="",""," | "&amp;HOUR(INDEX(MATCHER!$C$5:$C$504,T391))&amp;":"&amp;IF(MINUTE(INDEX(MATCHER!$C$5:$C$504,T391))&lt;10,"0","")&amp;MINUTE(INDEX(MATCHER!$C$5:$C$504,T391))&amp;" "&amp;INDEX(MATCHER!$H$5:$H$504,T391)&amp;" – "&amp;INDEX(MATCHER!$I$5:$I$504,T391))&amp;IF(AF391="",""," | "&amp;HOUR(INDEX(MATCHER!$C$5:$C$504,AF391))&amp;":"&amp;IF(MINUTE(INDEX(MATCHER!$C$5:$C$504,AF391))&lt;10,"0","")&amp;MINUTE(INDEX(MATCHER!$C$5:$C$504,AF391))&amp;" "&amp;INDEX(MATCHER!$H$5:$H$504,AF391)&amp;" – "&amp;INDEX(MATCHER!$I$5:$I$504,AF391))</f>
        <v>12:15 HF Öst 2 – HF Öst</v>
      </c>
      <c r="G391" s="45" t="str">
        <f>MID(IF(R391="","",IF(OR(INDEX(MATCHER!$J$5:$J$504,R391)=""),""," / "&amp;INDEX(MATCHER!$J$5:$J$504,R391)))&amp;IF(S391="","",IF(OR(INDEX(MATCHER!$J$5:$J$504,S391)="",INDEX(MATCHER!$J$5:$J$504,S391)=IFERROR(INDEX(MATCHER!$J$5:$J$504,R391),"")),""," / "&amp;INDEX(MATCHER!$J$5:$J$504,S391)))&amp;IF(T391="","",IF(OR(INDEX(MATCHER!$J$5:$J$504,T391)="",INDEX(MATCHER!$J$5:$J$504,T391)=IFERROR(INDEX(MATCHER!$J$5:$J$504,R391),""),INDEX(MATCHER!$J$5:$J$504,T391)=IFERROR(INDEX(MATCHER!$J$5:$J$504,S391),"")),""," / "&amp;INDEX(MATCHER!$J$5:$J$504,T391)))&amp;IF(AF391="","",IF(OR(INDEX(MATCHER!$J$5:$J$504,AF391)="",INDEX(MATCHER!$J$5:$J$504,AF391)=IFERROR(INDEX(MATCHER!$J$5:$J$504,R391),""),INDEX(MATCHER!$J$5:$J$504,AF391)=IFERROR(INDEX(MATCHER!$J$5:$J$504,S391),""),INDEX(MATCHER!$J$5:$J$504,AF391)=IFERROR(INDEX(MATCHER!$J$5:$J$504,T391),"")),""," / "&amp;INDEX(MATCHER!$J$5:$J$504,AF391))),4,1000)</f>
        <v/>
      </c>
      <c r="H391" s="45" t="str">
        <f t="shared" si="86"/>
        <v>F13, F14</v>
      </c>
      <c r="I391" s="46" t="s">
        <v>90</v>
      </c>
      <c r="J391" s="47" t="s">
        <v>150</v>
      </c>
      <c r="K391" s="48"/>
      <c r="L391" s="49" t="s">
        <v>858</v>
      </c>
      <c r="M391" s="50" t="str">
        <f>IF(O391&lt;&gt;O390,MAX(1,MIN(AA391,ROUNDUP(SUMPRODUCT(($O$5:$O$546=O391)*($I$5:$I$546="Ja")*($E$5:$E$546-$D$5:$D$546))*24/REGLER!$B$8,0))),"")</f>
        <v/>
      </c>
      <c r="N391" s="50" t="str">
        <f t="shared" si="88"/>
        <v>Kontrollera lag</v>
      </c>
      <c r="O391" s="15" t="s">
        <v>149</v>
      </c>
      <c r="P391" s="16">
        <v>0.33333333333333298</v>
      </c>
      <c r="Q391" s="16">
        <v>0.79166666666666696</v>
      </c>
      <c r="R391" s="15">
        <f>IFERROR(MATCH(1,INDEX((MATCHER!$B$5:$B$504=A391)*(MATCHER!$D$5:$D$504=C391)*(MATCHER!$K$5:$K$504="Ja")*(MATCHER!$C$5:$C$504&lt;E391)*(MATCHER!$M$5:$M$504&gt;D391),0),0),"")</f>
        <v>143</v>
      </c>
      <c r="S391" s="15" t="str">
        <f>IF(R391="","",IFERROR(MATCH(1,INDEX((MATCHER!$B$5:$B$504=A391)*(MATCHER!$D$5:$D$504=C391)*(MATCHER!$K$5:$K$504="Ja")*(MATCHER!$C$5:$C$504&lt;E391)*(MATCHER!$M$5:$M$504&gt;D391)*(ROW(MATCHER!$A$5:$A$504)-ROW(MATCHER!$A$5)+1&gt;R391),0),0),""))</f>
        <v/>
      </c>
      <c r="T391" s="15" t="str">
        <f>IF(S391="","",IFERROR(MATCH(1,INDEX((MATCHER!$B$5:$B$504=A391)*(MATCHER!$D$5:$D$504=C391)*(MATCHER!$K$5:$K$504="Ja")*(MATCHER!$C$5:$C$504&lt;E391)*(MATCHER!$M$5:$M$504&gt;D391)*(ROW(MATCHER!$A$5:$A$504)-ROW(MATCHER!$A$5)+1&gt;S391),0),0),""))</f>
        <v/>
      </c>
      <c r="U391" s="15">
        <f t="shared" si="89"/>
        <v>1</v>
      </c>
      <c r="V391" s="15">
        <f>IF(OR(I391&lt;&gt;"Ja",J391=""),"",COUNTIFS($O$5:O391,O391,$U$5:U391,1))</f>
        <v>6</v>
      </c>
      <c r="W391" s="15" t="str">
        <f t="shared" si="90"/>
        <v>2027-01-30 | Ulriksdalshallen|6</v>
      </c>
      <c r="X391" s="16">
        <f t="shared" si="91"/>
        <v>0.60416666666666696</v>
      </c>
      <c r="Y391" s="15">
        <f>IF(OR(I391&lt;&gt;"Ja",J391=""),0,IF(COUNTIFS($O$5:O391,O391,$I$5:I391,"Ja",$J$5:J391,"&lt;&gt;")=1,1,0))</f>
        <v>0</v>
      </c>
      <c r="Z391" s="15">
        <f>IF(OR(I391&lt;&gt;"Ja",J391=""),0,IF(COUNTIFS(O391:$O$546,O391,I391:$I$546,"Ja",J391:$J$546,"&lt;&gt;")=1,1,0))</f>
        <v>0</v>
      </c>
      <c r="AA391" s="15">
        <f t="shared" si="87"/>
        <v>2</v>
      </c>
      <c r="AB391" s="15">
        <f>IF(U391&lt;&gt;1,"",COUNTIF($U$5:U391,1))</f>
        <v>59</v>
      </c>
      <c r="AC391" s="15" t="str">
        <f t="shared" si="92"/>
        <v>2027-01-30 | Ulriksdalshallen|6</v>
      </c>
      <c r="AD391" s="15" t="str">
        <f t="shared" si="93"/>
        <v>Vanligt café</v>
      </c>
      <c r="AE391" s="15">
        <f t="shared" si="94"/>
        <v>0.50000000000001421</v>
      </c>
      <c r="AF391" t="str">
        <f>IF(T391="","",IFERROR(MATCH(1,INDEX((MATCHER!$B$5:$B$504=A391)*(MATCHER!$D$5:$D$504=C391)*(MATCHER!$K$5:$K$504="Ja")*(MATCHER!$C$5:$C$504&lt;E391)*(MATCHER!$M$5:$M$504&gt;D391)*(ROW(MATCHER!$A$5:$A$504)-ROW(MATCHER!$A$5)+1&gt;T391),0),0),""))</f>
        <v/>
      </c>
    </row>
    <row r="392" spans="1:32" ht="26">
      <c r="A392" s="42">
        <v>46417</v>
      </c>
      <c r="B392" s="43" t="s">
        <v>85</v>
      </c>
      <c r="C392" s="43" t="s">
        <v>86</v>
      </c>
      <c r="D392" s="44">
        <v>0.60416666666666696</v>
      </c>
      <c r="E392" s="44">
        <v>0.625</v>
      </c>
      <c r="F392" s="45" t="str">
        <f>IF(R392="","",HOUR(INDEX(MATCHER!$C$5:$C$504,R392))&amp;":"&amp;IF(MINUTE(INDEX(MATCHER!$C$5:$C$504,R392))&lt;10,"0","")&amp;MINUTE(INDEX(MATCHER!$C$5:$C$504,R392))&amp;" "&amp;INDEX(MATCHER!$H$5:$H$504,R392)&amp;" – "&amp;INDEX(MATCHER!$I$5:$I$504,R392))&amp;IF(S392="",""," | "&amp;HOUR(INDEX(MATCHER!$C$5:$C$504,S392))&amp;":"&amp;IF(MINUTE(INDEX(MATCHER!$C$5:$C$504,S392))&lt;10,"0","")&amp;MINUTE(INDEX(MATCHER!$C$5:$C$504,S392))&amp;" "&amp;INDEX(MATCHER!$H$5:$H$504,S392)&amp;" – "&amp;INDEX(MATCHER!$I$5:$I$504,S392))&amp;IF(T392="",""," | "&amp;HOUR(INDEX(MATCHER!$C$5:$C$504,T392))&amp;":"&amp;IF(MINUTE(INDEX(MATCHER!$C$5:$C$504,T392))&lt;10,"0","")&amp;MINUTE(INDEX(MATCHER!$C$5:$C$504,T392))&amp;" "&amp;INDEX(MATCHER!$H$5:$H$504,T392)&amp;" – "&amp;INDEX(MATCHER!$I$5:$I$504,T392))&amp;IF(AF392="",""," | "&amp;HOUR(INDEX(MATCHER!$C$5:$C$504,AF392))&amp;":"&amp;IF(MINUTE(INDEX(MATCHER!$C$5:$C$504,AF392))&lt;10,"0","")&amp;MINUTE(INDEX(MATCHER!$C$5:$C$504,AF392))&amp;" "&amp;INDEX(MATCHER!$H$5:$H$504,AF392)&amp;" – "&amp;INDEX(MATCHER!$I$5:$I$504,AF392))</f>
        <v>12:15 HF Öst 2 – HF Öst</v>
      </c>
      <c r="G392" s="45" t="str">
        <f>MID(IF(R392="","",IF(OR(INDEX(MATCHER!$J$5:$J$504,R392)=""),""," / "&amp;INDEX(MATCHER!$J$5:$J$504,R392)))&amp;IF(S392="","",IF(OR(INDEX(MATCHER!$J$5:$J$504,S392)="",INDEX(MATCHER!$J$5:$J$504,S392)=IFERROR(INDEX(MATCHER!$J$5:$J$504,R392),"")),""," / "&amp;INDEX(MATCHER!$J$5:$J$504,S392)))&amp;IF(T392="","",IF(OR(INDEX(MATCHER!$J$5:$J$504,T392)="",INDEX(MATCHER!$J$5:$J$504,T392)=IFERROR(INDEX(MATCHER!$J$5:$J$504,R392),""),INDEX(MATCHER!$J$5:$J$504,T392)=IFERROR(INDEX(MATCHER!$J$5:$J$504,S392),"")),""," / "&amp;INDEX(MATCHER!$J$5:$J$504,T392)))&amp;IF(AF392="","",IF(OR(INDEX(MATCHER!$J$5:$J$504,AF392)="",INDEX(MATCHER!$J$5:$J$504,AF392)=IFERROR(INDEX(MATCHER!$J$5:$J$504,R392),""),INDEX(MATCHER!$J$5:$J$504,AF392)=IFERROR(INDEX(MATCHER!$J$5:$J$504,S392),""),INDEX(MATCHER!$J$5:$J$504,AF392)=IFERROR(INDEX(MATCHER!$J$5:$J$504,T392),"")),""," / "&amp;INDEX(MATCHER!$J$5:$J$504,AF392))),4,1000)</f>
        <v/>
      </c>
      <c r="H392" s="45" t="str">
        <f t="shared" si="86"/>
        <v>F13, F14</v>
      </c>
      <c r="I392" s="46" t="s">
        <v>90</v>
      </c>
      <c r="J392" s="47" t="s">
        <v>111</v>
      </c>
      <c r="K392" s="48"/>
      <c r="L392" s="157" t="s">
        <v>858</v>
      </c>
      <c r="M392" s="50" t="str">
        <f>IF(O392&lt;&gt;O391,MAX(1,MIN(AA392,ROUNDUP(SUMPRODUCT(($O$5:$O$546=O392)*($I$5:$I$546="Ja")*($E$5:$E$546-$D$5:$D$546))*24/REGLER!$B$8,0))),"")</f>
        <v/>
      </c>
      <c r="N392" s="50" t="str">
        <f t="shared" si="88"/>
        <v>Kontrollera lag</v>
      </c>
      <c r="O392" s="15" t="s">
        <v>149</v>
      </c>
      <c r="P392" s="16">
        <v>0.33333333333333298</v>
      </c>
      <c r="Q392" s="16">
        <v>0.79166666666666696</v>
      </c>
      <c r="R392" s="15">
        <f>IFERROR(MATCH(1,INDEX((MATCHER!$B$5:$B$504=A392)*(MATCHER!$D$5:$D$504=C392)*(MATCHER!$K$5:$K$504="Ja")*(MATCHER!$C$5:$C$504&lt;E392)*(MATCHER!$M$5:$M$504&gt;D392),0),0),"")</f>
        <v>143</v>
      </c>
      <c r="S392" s="15" t="str">
        <f>IF(R392="","",IFERROR(MATCH(1,INDEX((MATCHER!$B$5:$B$504=A392)*(MATCHER!$D$5:$D$504=C392)*(MATCHER!$K$5:$K$504="Ja")*(MATCHER!$C$5:$C$504&lt;E392)*(MATCHER!$M$5:$M$504&gt;D392)*(ROW(MATCHER!$A$5:$A$504)-ROW(MATCHER!$A$5)+1&gt;R392),0),0),""))</f>
        <v/>
      </c>
      <c r="T392" s="15" t="str">
        <f>IF(S392="","",IFERROR(MATCH(1,INDEX((MATCHER!$B$5:$B$504=A392)*(MATCHER!$D$5:$D$504=C392)*(MATCHER!$K$5:$K$504="Ja")*(MATCHER!$C$5:$C$504&lt;E392)*(MATCHER!$M$5:$M$504&gt;D392)*(ROW(MATCHER!$A$5:$A$504)-ROW(MATCHER!$A$5)+1&gt;S392),0),0),""))</f>
        <v/>
      </c>
      <c r="U392" s="15">
        <f t="shared" si="89"/>
        <v>1</v>
      </c>
      <c r="V392" s="15">
        <f>IF(OR(I392&lt;&gt;"Ja",J392=""),"",COUNTIFS($O$5:O392,O392,$U$5:U392,1))</f>
        <v>7</v>
      </c>
      <c r="W392" s="15" t="str">
        <f t="shared" si="90"/>
        <v>2027-01-30 | Ulriksdalshallen|7</v>
      </c>
      <c r="X392" s="16">
        <f t="shared" si="91"/>
        <v>0.625</v>
      </c>
      <c r="Y392" s="15">
        <f>IF(OR(I392&lt;&gt;"Ja",J392=""),0,IF(COUNTIFS($O$5:O392,O392,$I$5:I392,"Ja",$J$5:J392,"&lt;&gt;")=1,1,0))</f>
        <v>0</v>
      </c>
      <c r="Z392" s="15">
        <f>IF(OR(I392&lt;&gt;"Ja",J392=""),0,IF(COUNTIFS(O392:$O$546,O392,I392:$I$546,"Ja",J392:$J$546,"&lt;&gt;")=1,1,0))</f>
        <v>0</v>
      </c>
      <c r="AA392" s="15">
        <f t="shared" si="87"/>
        <v>2</v>
      </c>
      <c r="AB392" s="15">
        <f>IF(U392&lt;&gt;1,"",COUNTIF($U$5:U392,1))</f>
        <v>60</v>
      </c>
      <c r="AC392" s="15" t="str">
        <f t="shared" si="92"/>
        <v>2027-01-30 | Ulriksdalshallen|7</v>
      </c>
      <c r="AD392" s="15" t="str">
        <f t="shared" si="93"/>
        <v>Vanligt café</v>
      </c>
      <c r="AE392" s="15">
        <f t="shared" si="94"/>
        <v>0.49999999999999289</v>
      </c>
      <c r="AF392" t="str">
        <f>IF(T392="","",IFERROR(MATCH(1,INDEX((MATCHER!$B$5:$B$504=A392)*(MATCHER!$D$5:$D$504=C392)*(MATCHER!$K$5:$K$504="Ja")*(MATCHER!$C$5:$C$504&lt;E392)*(MATCHER!$M$5:$M$504&gt;D392)*(ROW(MATCHER!$A$5:$A$504)-ROW(MATCHER!$A$5)+1&gt;T392),0),0),""))</f>
        <v/>
      </c>
    </row>
    <row r="393" spans="1:32" ht="26">
      <c r="A393" s="42">
        <v>46417</v>
      </c>
      <c r="B393" s="43" t="s">
        <v>85</v>
      </c>
      <c r="C393" s="43" t="s">
        <v>86</v>
      </c>
      <c r="D393" s="44">
        <v>0.625</v>
      </c>
      <c r="E393" s="44">
        <v>0.64583333333333304</v>
      </c>
      <c r="F393" s="45" t="str">
        <f>IF(R393="","",HOUR(INDEX(MATCHER!$C$5:$C$504,R393))&amp;":"&amp;IF(MINUTE(INDEX(MATCHER!$C$5:$C$504,R393))&lt;10,"0","")&amp;MINUTE(INDEX(MATCHER!$C$5:$C$504,R393))&amp;" "&amp;INDEX(MATCHER!$H$5:$H$504,R393)&amp;" – "&amp;INDEX(MATCHER!$I$5:$I$504,R393))&amp;IF(S393="",""," | "&amp;HOUR(INDEX(MATCHER!$C$5:$C$504,S393))&amp;":"&amp;IF(MINUTE(INDEX(MATCHER!$C$5:$C$504,S393))&lt;10,"0","")&amp;MINUTE(INDEX(MATCHER!$C$5:$C$504,S393))&amp;" "&amp;INDEX(MATCHER!$H$5:$H$504,S393)&amp;" – "&amp;INDEX(MATCHER!$I$5:$I$504,S393))&amp;IF(T393="",""," | "&amp;HOUR(INDEX(MATCHER!$C$5:$C$504,T393))&amp;":"&amp;IF(MINUTE(INDEX(MATCHER!$C$5:$C$504,T393))&lt;10,"0","")&amp;MINUTE(INDEX(MATCHER!$C$5:$C$504,T393))&amp;" "&amp;INDEX(MATCHER!$H$5:$H$504,T393)&amp;" – "&amp;INDEX(MATCHER!$I$5:$I$504,T393))&amp;IF(AF393="",""," | "&amp;HOUR(INDEX(MATCHER!$C$5:$C$504,AF393))&amp;":"&amp;IF(MINUTE(INDEX(MATCHER!$C$5:$C$504,AF393))&lt;10,"0","")&amp;MINUTE(INDEX(MATCHER!$C$5:$C$504,AF393))&amp;" "&amp;INDEX(MATCHER!$H$5:$H$504,AF393)&amp;" – "&amp;INDEX(MATCHER!$I$5:$I$504,AF393))</f>
        <v>12:15 HF Öst 2 – HF Öst</v>
      </c>
      <c r="G393" s="45" t="str">
        <f>MID(IF(R393="","",IF(OR(INDEX(MATCHER!$J$5:$J$504,R393)=""),""," / "&amp;INDEX(MATCHER!$J$5:$J$504,R393)))&amp;IF(S393="","",IF(OR(INDEX(MATCHER!$J$5:$J$504,S393)="",INDEX(MATCHER!$J$5:$J$504,S393)=IFERROR(INDEX(MATCHER!$J$5:$J$504,R393),"")),""," / "&amp;INDEX(MATCHER!$J$5:$J$504,S393)))&amp;IF(T393="","",IF(OR(INDEX(MATCHER!$J$5:$J$504,T393)="",INDEX(MATCHER!$J$5:$J$504,T393)=IFERROR(INDEX(MATCHER!$J$5:$J$504,R393),""),INDEX(MATCHER!$J$5:$J$504,T393)=IFERROR(INDEX(MATCHER!$J$5:$J$504,S393),"")),""," / "&amp;INDEX(MATCHER!$J$5:$J$504,T393)))&amp;IF(AF393="","",IF(OR(INDEX(MATCHER!$J$5:$J$504,AF393)="",INDEX(MATCHER!$J$5:$J$504,AF393)=IFERROR(INDEX(MATCHER!$J$5:$J$504,R393),""),INDEX(MATCHER!$J$5:$J$504,AF393)=IFERROR(INDEX(MATCHER!$J$5:$J$504,S393),""),INDEX(MATCHER!$J$5:$J$504,AF393)=IFERROR(INDEX(MATCHER!$J$5:$J$504,T393),"")),""," / "&amp;INDEX(MATCHER!$J$5:$J$504,AF393))),4,1000)</f>
        <v/>
      </c>
      <c r="H393" s="45" t="str">
        <f t="shared" si="86"/>
        <v>F13, F14</v>
      </c>
      <c r="I393" s="46" t="s">
        <v>90</v>
      </c>
      <c r="J393" s="47" t="s">
        <v>135</v>
      </c>
      <c r="K393" s="48"/>
      <c r="L393" s="49" t="s">
        <v>858</v>
      </c>
      <c r="M393" s="50" t="str">
        <f>IF(O393&lt;&gt;O392,MAX(1,MIN(AA393,ROUNDUP(SUMPRODUCT(($O$5:$O$546=O393)*($I$5:$I$546="Ja")*($E$5:$E$546-$D$5:$D$546))*24/REGLER!$B$8,0))),"")</f>
        <v/>
      </c>
      <c r="N393" s="50" t="str">
        <f t="shared" si="88"/>
        <v>Kontrollera lag</v>
      </c>
      <c r="O393" s="15" t="s">
        <v>149</v>
      </c>
      <c r="P393" s="16">
        <v>0.33333333333333298</v>
      </c>
      <c r="Q393" s="16">
        <v>0.79166666666666696</v>
      </c>
      <c r="R393" s="15">
        <f>IFERROR(MATCH(1,INDEX((MATCHER!$B$5:$B$504=A393)*(MATCHER!$D$5:$D$504=C393)*(MATCHER!$K$5:$K$504="Ja")*(MATCHER!$C$5:$C$504&lt;E393)*(MATCHER!$M$5:$M$504&gt;D393),0),0),"")</f>
        <v>143</v>
      </c>
      <c r="S393" s="15" t="str">
        <f>IF(R393="","",IFERROR(MATCH(1,INDEX((MATCHER!$B$5:$B$504=A393)*(MATCHER!$D$5:$D$504=C393)*(MATCHER!$K$5:$K$504="Ja")*(MATCHER!$C$5:$C$504&lt;E393)*(MATCHER!$M$5:$M$504&gt;D393)*(ROW(MATCHER!$A$5:$A$504)-ROW(MATCHER!$A$5)+1&gt;R393),0),0),""))</f>
        <v/>
      </c>
      <c r="T393" s="15" t="str">
        <f>IF(S393="","",IFERROR(MATCH(1,INDEX((MATCHER!$B$5:$B$504=A393)*(MATCHER!$D$5:$D$504=C393)*(MATCHER!$K$5:$K$504="Ja")*(MATCHER!$C$5:$C$504&lt;E393)*(MATCHER!$M$5:$M$504&gt;D393)*(ROW(MATCHER!$A$5:$A$504)-ROW(MATCHER!$A$5)+1&gt;S393),0),0),""))</f>
        <v/>
      </c>
      <c r="U393" s="15">
        <f t="shared" si="89"/>
        <v>1</v>
      </c>
      <c r="V393" s="15">
        <f>IF(OR(I393&lt;&gt;"Ja",J393=""),"",COUNTIFS($O$5:O393,O393,$U$5:U393,1))</f>
        <v>8</v>
      </c>
      <c r="W393" s="15" t="str">
        <f t="shared" si="90"/>
        <v>2027-01-30 | Ulriksdalshallen|8</v>
      </c>
      <c r="X393" s="16">
        <f t="shared" si="91"/>
        <v>0.64583333333333304</v>
      </c>
      <c r="Y393" s="15">
        <f>IF(OR(I393&lt;&gt;"Ja",J393=""),0,IF(COUNTIFS($O$5:O393,O393,$I$5:I393,"Ja",$J$5:J393,"&lt;&gt;")=1,1,0))</f>
        <v>0</v>
      </c>
      <c r="Z393" s="15">
        <f>IF(OR(I393&lt;&gt;"Ja",J393=""),0,IF(COUNTIFS(O393:$O$546,O393,I393:$I$546,"Ja",J393:$J$546,"&lt;&gt;")=1,1,0))</f>
        <v>0</v>
      </c>
      <c r="AA393" s="15">
        <f t="shared" si="87"/>
        <v>2</v>
      </c>
      <c r="AB393" s="15">
        <f>IF(U393&lt;&gt;1,"",COUNTIF($U$5:U393,1))</f>
        <v>61</v>
      </c>
      <c r="AC393" s="15" t="str">
        <f t="shared" si="92"/>
        <v>2027-01-30 | Ulriksdalshallen|8</v>
      </c>
      <c r="AD393" s="15" t="str">
        <f t="shared" si="93"/>
        <v>Vanligt café</v>
      </c>
      <c r="AE393" s="15">
        <f t="shared" si="94"/>
        <v>0.49999999999999289</v>
      </c>
      <c r="AF393" t="str">
        <f>IF(T393="","",IFERROR(MATCH(1,INDEX((MATCHER!$B$5:$B$504=A393)*(MATCHER!$D$5:$D$504=C393)*(MATCHER!$K$5:$K$504="Ja")*(MATCHER!$C$5:$C$504&lt;E393)*(MATCHER!$M$5:$M$504&gt;D393)*(ROW(MATCHER!$A$5:$A$504)-ROW(MATCHER!$A$5)+1&gt;T393),0),0),""))</f>
        <v/>
      </c>
    </row>
    <row r="394" spans="1:32" ht="26">
      <c r="A394" s="42">
        <v>46417</v>
      </c>
      <c r="B394" s="43" t="s">
        <v>85</v>
      </c>
      <c r="C394" s="43" t="s">
        <v>86</v>
      </c>
      <c r="D394" s="44">
        <v>0.64583333333333304</v>
      </c>
      <c r="E394" s="44">
        <v>0.66666666666666696</v>
      </c>
      <c r="F394" s="45" t="str">
        <f>IF(R394="","",HOUR(INDEX(MATCHER!$C$5:$C$504,R394))&amp;":"&amp;IF(MINUTE(INDEX(MATCHER!$C$5:$C$504,R394))&lt;10,"0","")&amp;MINUTE(INDEX(MATCHER!$C$5:$C$504,R394))&amp;" "&amp;INDEX(MATCHER!$H$5:$H$504,R394)&amp;" – "&amp;INDEX(MATCHER!$I$5:$I$504,R394))&amp;IF(S394="",""," | "&amp;HOUR(INDEX(MATCHER!$C$5:$C$504,S394))&amp;":"&amp;IF(MINUTE(INDEX(MATCHER!$C$5:$C$504,S394))&lt;10,"0","")&amp;MINUTE(INDEX(MATCHER!$C$5:$C$504,S394))&amp;" "&amp;INDEX(MATCHER!$H$5:$H$504,S394)&amp;" – "&amp;INDEX(MATCHER!$I$5:$I$504,S394))&amp;IF(T394="",""," | "&amp;HOUR(INDEX(MATCHER!$C$5:$C$504,T394))&amp;":"&amp;IF(MINUTE(INDEX(MATCHER!$C$5:$C$504,T394))&lt;10,"0","")&amp;MINUTE(INDEX(MATCHER!$C$5:$C$504,T394))&amp;" "&amp;INDEX(MATCHER!$H$5:$H$504,T394)&amp;" – "&amp;INDEX(MATCHER!$I$5:$I$504,T394))&amp;IF(AF394="",""," | "&amp;HOUR(INDEX(MATCHER!$C$5:$C$504,AF394))&amp;":"&amp;IF(MINUTE(INDEX(MATCHER!$C$5:$C$504,AF394))&lt;10,"0","")&amp;MINUTE(INDEX(MATCHER!$C$5:$C$504,AF394))&amp;" "&amp;INDEX(MATCHER!$H$5:$H$504,AF394)&amp;" – "&amp;INDEX(MATCHER!$I$5:$I$504,AF394))</f>
        <v/>
      </c>
      <c r="G394" s="45" t="str">
        <f>MID(IF(R394="","",IF(OR(INDEX(MATCHER!$J$5:$J$504,R394)=""),""," / "&amp;INDEX(MATCHER!$J$5:$J$504,R394)))&amp;IF(S394="","",IF(OR(INDEX(MATCHER!$J$5:$J$504,S394)="",INDEX(MATCHER!$J$5:$J$504,S394)=IFERROR(INDEX(MATCHER!$J$5:$J$504,R394),"")),""," / "&amp;INDEX(MATCHER!$J$5:$J$504,S394)))&amp;IF(T394="","",IF(OR(INDEX(MATCHER!$J$5:$J$504,T394)="",INDEX(MATCHER!$J$5:$J$504,T394)=IFERROR(INDEX(MATCHER!$J$5:$J$504,R394),""),INDEX(MATCHER!$J$5:$J$504,T394)=IFERROR(INDEX(MATCHER!$J$5:$J$504,S394),"")),""," / "&amp;INDEX(MATCHER!$J$5:$J$504,T394)))&amp;IF(AF394="","",IF(OR(INDEX(MATCHER!$J$5:$J$504,AF394)="",INDEX(MATCHER!$J$5:$J$504,AF394)=IFERROR(INDEX(MATCHER!$J$5:$J$504,R394),""),INDEX(MATCHER!$J$5:$J$504,AF394)=IFERROR(INDEX(MATCHER!$J$5:$J$504,S394),""),INDEX(MATCHER!$J$5:$J$504,AF394)=IFERROR(INDEX(MATCHER!$J$5:$J$504,T394),"")),""," / "&amp;INDEX(MATCHER!$J$5:$J$504,AF394))),4,1000)</f>
        <v/>
      </c>
      <c r="H394" s="45" t="str">
        <f t="shared" si="86"/>
        <v>F13, F14</v>
      </c>
      <c r="I394" s="46" t="s">
        <v>90</v>
      </c>
      <c r="J394" s="47" t="s">
        <v>150</v>
      </c>
      <c r="K394" s="48"/>
      <c r="L394" s="49" t="s">
        <v>858</v>
      </c>
      <c r="M394" s="50" t="str">
        <f>IF(O394&lt;&gt;O393,MAX(1,MIN(AA394,ROUNDUP(SUMPRODUCT(($O$5:$O$546=O394)*($I$5:$I$546="Ja")*($E$5:$E$546-$D$5:$D$546))*24/REGLER!$B$8,0))),"")</f>
        <v/>
      </c>
      <c r="N394" s="50" t="str">
        <f t="shared" si="88"/>
        <v>Kontrollera lag</v>
      </c>
      <c r="O394" s="15" t="s">
        <v>149</v>
      </c>
      <c r="P394" s="16">
        <v>0.33333333333333298</v>
      </c>
      <c r="Q394" s="16">
        <v>0.79166666666666696</v>
      </c>
      <c r="R394" s="15" t="str">
        <f>IFERROR(MATCH(1,INDEX((MATCHER!$B$5:$B$504=A394)*(MATCHER!$D$5:$D$504=C394)*(MATCHER!$K$5:$K$504="Ja")*(MATCHER!$C$5:$C$504&lt;E394)*(MATCHER!$M$5:$M$504&gt;D394),0),0),"")</f>
        <v/>
      </c>
      <c r="S394" s="15" t="str">
        <f>IF(R394="","",IFERROR(MATCH(1,INDEX((MATCHER!$B$5:$B$504=A394)*(MATCHER!$D$5:$D$504=C394)*(MATCHER!$K$5:$K$504="Ja")*(MATCHER!$C$5:$C$504&lt;E394)*(MATCHER!$M$5:$M$504&gt;D394)*(ROW(MATCHER!$A$5:$A$504)-ROW(MATCHER!$A$5)+1&gt;R394),0),0),""))</f>
        <v/>
      </c>
      <c r="T394" s="15" t="str">
        <f>IF(S394="","",IFERROR(MATCH(1,INDEX((MATCHER!$B$5:$B$504=A394)*(MATCHER!$D$5:$D$504=C394)*(MATCHER!$K$5:$K$504="Ja")*(MATCHER!$C$5:$C$504&lt;E394)*(MATCHER!$M$5:$M$504&gt;D394)*(ROW(MATCHER!$A$5:$A$504)-ROW(MATCHER!$A$5)+1&gt;S394),0),0),""))</f>
        <v/>
      </c>
      <c r="U394" s="15">
        <f t="shared" si="89"/>
        <v>1</v>
      </c>
      <c r="V394" s="15">
        <f>IF(OR(I394&lt;&gt;"Ja",J394=""),"",COUNTIFS($O$5:O394,O394,$U$5:U394,1))</f>
        <v>9</v>
      </c>
      <c r="W394" s="15" t="str">
        <f t="shared" si="90"/>
        <v>2027-01-30 | Ulriksdalshallen|9</v>
      </c>
      <c r="X394" s="16">
        <f t="shared" si="91"/>
        <v>0.66666666666666696</v>
      </c>
      <c r="Y394" s="15">
        <f>IF(OR(I394&lt;&gt;"Ja",J394=""),0,IF(COUNTIFS($O$5:O394,O394,$I$5:I394,"Ja",$J$5:J394,"&lt;&gt;")=1,1,0))</f>
        <v>0</v>
      </c>
      <c r="Z394" s="15">
        <f>IF(OR(I394&lt;&gt;"Ja",J394=""),0,IF(COUNTIFS(O394:$O$546,O394,I394:$I$546,"Ja",J394:$J$546,"&lt;&gt;")=1,1,0))</f>
        <v>0</v>
      </c>
      <c r="AA394" s="15">
        <f t="shared" si="87"/>
        <v>2</v>
      </c>
      <c r="AB394" s="15">
        <f>IF(U394&lt;&gt;1,"",COUNTIF($U$5:U394,1))</f>
        <v>62</v>
      </c>
      <c r="AC394" s="15" t="str">
        <f t="shared" si="92"/>
        <v>2027-01-30 | Ulriksdalshallen|9</v>
      </c>
      <c r="AD394" s="15" t="str">
        <f t="shared" si="93"/>
        <v>Vanligt café</v>
      </c>
      <c r="AE394" s="15">
        <f t="shared" si="94"/>
        <v>0.50000000000001421</v>
      </c>
      <c r="AF394" t="str">
        <f>IF(T394="","",IFERROR(MATCH(1,INDEX((MATCHER!$B$5:$B$504=A394)*(MATCHER!$D$5:$D$504=C394)*(MATCHER!$K$5:$K$504="Ja")*(MATCHER!$C$5:$C$504&lt;E394)*(MATCHER!$M$5:$M$504&gt;D394)*(ROW(MATCHER!$A$5:$A$504)-ROW(MATCHER!$A$5)+1&gt;T394),0),0),""))</f>
        <v/>
      </c>
    </row>
    <row r="395" spans="1:32" ht="26">
      <c r="A395" s="42">
        <v>46417</v>
      </c>
      <c r="B395" s="43" t="s">
        <v>85</v>
      </c>
      <c r="C395" s="43" t="s">
        <v>86</v>
      </c>
      <c r="D395" s="44">
        <v>0.66666666666666696</v>
      </c>
      <c r="E395" s="44">
        <v>0.6875</v>
      </c>
      <c r="F395" s="45" t="str">
        <f>IF(R395="","",HOUR(INDEX(MATCHER!$C$5:$C$504,R395))&amp;":"&amp;IF(MINUTE(INDEX(MATCHER!$C$5:$C$504,R395))&lt;10,"0","")&amp;MINUTE(INDEX(MATCHER!$C$5:$C$504,R395))&amp;" "&amp;INDEX(MATCHER!$H$5:$H$504,R395)&amp;" – "&amp;INDEX(MATCHER!$I$5:$I$504,R395))&amp;IF(S395="",""," | "&amp;HOUR(INDEX(MATCHER!$C$5:$C$504,S395))&amp;":"&amp;IF(MINUTE(INDEX(MATCHER!$C$5:$C$504,S395))&lt;10,"0","")&amp;MINUTE(INDEX(MATCHER!$C$5:$C$504,S395))&amp;" "&amp;INDEX(MATCHER!$H$5:$H$504,S395)&amp;" – "&amp;INDEX(MATCHER!$I$5:$I$504,S395))&amp;IF(T395="",""," | "&amp;HOUR(INDEX(MATCHER!$C$5:$C$504,T395))&amp;":"&amp;IF(MINUTE(INDEX(MATCHER!$C$5:$C$504,T395))&lt;10,"0","")&amp;MINUTE(INDEX(MATCHER!$C$5:$C$504,T395))&amp;" "&amp;INDEX(MATCHER!$H$5:$H$504,T395)&amp;" – "&amp;INDEX(MATCHER!$I$5:$I$504,T395))&amp;IF(AF395="",""," | "&amp;HOUR(INDEX(MATCHER!$C$5:$C$504,AF395))&amp;":"&amp;IF(MINUTE(INDEX(MATCHER!$C$5:$C$504,AF395))&lt;10,"0","")&amp;MINUTE(INDEX(MATCHER!$C$5:$C$504,AF395))&amp;" "&amp;INDEX(MATCHER!$H$5:$H$504,AF395)&amp;" – "&amp;INDEX(MATCHER!$I$5:$I$504,AF395))</f>
        <v/>
      </c>
      <c r="G395" s="45" t="str">
        <f>MID(IF(R395="","",IF(OR(INDEX(MATCHER!$J$5:$J$504,R395)=""),""," / "&amp;INDEX(MATCHER!$J$5:$J$504,R395)))&amp;IF(S395="","",IF(OR(INDEX(MATCHER!$J$5:$J$504,S395)="",INDEX(MATCHER!$J$5:$J$504,S395)=IFERROR(INDEX(MATCHER!$J$5:$J$504,R395),"")),""," / "&amp;INDEX(MATCHER!$J$5:$J$504,S395)))&amp;IF(T395="","",IF(OR(INDEX(MATCHER!$J$5:$J$504,T395)="",INDEX(MATCHER!$J$5:$J$504,T395)=IFERROR(INDEX(MATCHER!$J$5:$J$504,R395),""),INDEX(MATCHER!$J$5:$J$504,T395)=IFERROR(INDEX(MATCHER!$J$5:$J$504,S395),"")),""," / "&amp;INDEX(MATCHER!$J$5:$J$504,T395)))&amp;IF(AF395="","",IF(OR(INDEX(MATCHER!$J$5:$J$504,AF395)="",INDEX(MATCHER!$J$5:$J$504,AF395)=IFERROR(INDEX(MATCHER!$J$5:$J$504,R395),""),INDEX(MATCHER!$J$5:$J$504,AF395)=IFERROR(INDEX(MATCHER!$J$5:$J$504,S395),""),INDEX(MATCHER!$J$5:$J$504,AF395)=IFERROR(INDEX(MATCHER!$J$5:$J$504,T395),"")),""," / "&amp;INDEX(MATCHER!$J$5:$J$504,AF395))),4,1000)</f>
        <v/>
      </c>
      <c r="H395" s="45" t="str">
        <f t="shared" si="86"/>
        <v>F13, F14</v>
      </c>
      <c r="I395" s="46" t="s">
        <v>90</v>
      </c>
      <c r="J395" s="47" t="s">
        <v>111</v>
      </c>
      <c r="K395" s="48"/>
      <c r="L395" s="157" t="s">
        <v>858</v>
      </c>
      <c r="M395" s="50" t="str">
        <f>IF(O395&lt;&gt;O394,MAX(1,MIN(AA395,ROUNDUP(SUMPRODUCT(($O$5:$O$546=O395)*($I$5:$I$546="Ja")*($E$5:$E$546-$D$5:$D$546))*24/REGLER!$B$8,0))),"")</f>
        <v/>
      </c>
      <c r="N395" s="50" t="str">
        <f t="shared" si="88"/>
        <v>Kontrollera lag</v>
      </c>
      <c r="O395" s="15" t="s">
        <v>149</v>
      </c>
      <c r="P395" s="16">
        <v>0.33333333333333298</v>
      </c>
      <c r="Q395" s="16">
        <v>0.79166666666666696</v>
      </c>
      <c r="R395" s="15" t="str">
        <f>IFERROR(MATCH(1,INDEX((MATCHER!$B$5:$B$504=A395)*(MATCHER!$D$5:$D$504=C395)*(MATCHER!$K$5:$K$504="Ja")*(MATCHER!$C$5:$C$504&lt;E395)*(MATCHER!$M$5:$M$504&gt;D395),0),0),"")</f>
        <v/>
      </c>
      <c r="S395" s="15" t="str">
        <f>IF(R395="","",IFERROR(MATCH(1,INDEX((MATCHER!$B$5:$B$504=A395)*(MATCHER!$D$5:$D$504=C395)*(MATCHER!$K$5:$K$504="Ja")*(MATCHER!$C$5:$C$504&lt;E395)*(MATCHER!$M$5:$M$504&gt;D395)*(ROW(MATCHER!$A$5:$A$504)-ROW(MATCHER!$A$5)+1&gt;R395),0),0),""))</f>
        <v/>
      </c>
      <c r="T395" s="15" t="str">
        <f>IF(S395="","",IFERROR(MATCH(1,INDEX((MATCHER!$B$5:$B$504=A395)*(MATCHER!$D$5:$D$504=C395)*(MATCHER!$K$5:$K$504="Ja")*(MATCHER!$C$5:$C$504&lt;E395)*(MATCHER!$M$5:$M$504&gt;D395)*(ROW(MATCHER!$A$5:$A$504)-ROW(MATCHER!$A$5)+1&gt;S395),0),0),""))</f>
        <v/>
      </c>
      <c r="U395" s="15">
        <f t="shared" si="89"/>
        <v>1</v>
      </c>
      <c r="V395" s="15">
        <f>IF(OR(I395&lt;&gt;"Ja",J395=""),"",COUNTIFS($O$5:O395,O395,$U$5:U395,1))</f>
        <v>10</v>
      </c>
      <c r="W395" s="15" t="str">
        <f t="shared" si="90"/>
        <v>2027-01-30 | Ulriksdalshallen|10</v>
      </c>
      <c r="X395" s="16">
        <f t="shared" si="91"/>
        <v>0.6875</v>
      </c>
      <c r="Y395" s="15">
        <f>IF(OR(I395&lt;&gt;"Ja",J395=""),0,IF(COUNTIFS($O$5:O395,O395,$I$5:I395,"Ja",$J$5:J395,"&lt;&gt;")=1,1,0))</f>
        <v>0</v>
      </c>
      <c r="Z395" s="15">
        <f>IF(OR(I395&lt;&gt;"Ja",J395=""),0,IF(COUNTIFS(O395:$O$546,O395,I395:$I$546,"Ja",J395:$J$546,"&lt;&gt;")=1,1,0))</f>
        <v>0</v>
      </c>
      <c r="AA395" s="15">
        <f t="shared" si="87"/>
        <v>2</v>
      </c>
      <c r="AB395" s="15">
        <f>IF(U395&lt;&gt;1,"",COUNTIF($U$5:U395,1))</f>
        <v>63</v>
      </c>
      <c r="AC395" s="15" t="str">
        <f t="shared" si="92"/>
        <v>2027-01-30 | Ulriksdalshallen|10</v>
      </c>
      <c r="AD395" s="15" t="str">
        <f t="shared" si="93"/>
        <v>Vanligt café</v>
      </c>
      <c r="AE395" s="15">
        <f t="shared" si="94"/>
        <v>0.49999999999999289</v>
      </c>
      <c r="AF395" t="str">
        <f>IF(T395="","",IFERROR(MATCH(1,INDEX((MATCHER!$B$5:$B$504=A395)*(MATCHER!$D$5:$D$504=C395)*(MATCHER!$K$5:$K$504="Ja")*(MATCHER!$C$5:$C$504&lt;E395)*(MATCHER!$M$5:$M$504&gt;D395)*(ROW(MATCHER!$A$5:$A$504)-ROW(MATCHER!$A$5)+1&gt;T395),0),0),""))</f>
        <v/>
      </c>
    </row>
    <row r="396" spans="1:32" ht="26">
      <c r="A396" s="42">
        <v>46417</v>
      </c>
      <c r="B396" s="43" t="s">
        <v>85</v>
      </c>
      <c r="C396" s="43" t="s">
        <v>86</v>
      </c>
      <c r="D396" s="44">
        <v>0.6875</v>
      </c>
      <c r="E396" s="44">
        <v>0.70833333333333304</v>
      </c>
      <c r="F396" s="45" t="str">
        <f>IF(R396="","",HOUR(INDEX(MATCHER!$C$5:$C$504,R396))&amp;":"&amp;IF(MINUTE(INDEX(MATCHER!$C$5:$C$504,R396))&lt;10,"0","")&amp;MINUTE(INDEX(MATCHER!$C$5:$C$504,R396))&amp;" "&amp;INDEX(MATCHER!$H$5:$H$504,R396)&amp;" – "&amp;INDEX(MATCHER!$I$5:$I$504,R396))&amp;IF(S396="",""," | "&amp;HOUR(INDEX(MATCHER!$C$5:$C$504,S396))&amp;":"&amp;IF(MINUTE(INDEX(MATCHER!$C$5:$C$504,S396))&lt;10,"0","")&amp;MINUTE(INDEX(MATCHER!$C$5:$C$504,S396))&amp;" "&amp;INDEX(MATCHER!$H$5:$H$504,S396)&amp;" – "&amp;INDEX(MATCHER!$I$5:$I$504,S396))&amp;IF(T396="",""," | "&amp;HOUR(INDEX(MATCHER!$C$5:$C$504,T396))&amp;":"&amp;IF(MINUTE(INDEX(MATCHER!$C$5:$C$504,T396))&lt;10,"0","")&amp;MINUTE(INDEX(MATCHER!$C$5:$C$504,T396))&amp;" "&amp;INDEX(MATCHER!$H$5:$H$504,T396)&amp;" – "&amp;INDEX(MATCHER!$I$5:$I$504,T396))&amp;IF(AF396="",""," | "&amp;HOUR(INDEX(MATCHER!$C$5:$C$504,AF396))&amp;":"&amp;IF(MINUTE(INDEX(MATCHER!$C$5:$C$504,AF396))&lt;10,"0","")&amp;MINUTE(INDEX(MATCHER!$C$5:$C$504,AF396))&amp;" "&amp;INDEX(MATCHER!$H$5:$H$504,AF396)&amp;" – "&amp;INDEX(MATCHER!$I$5:$I$504,AF396))</f>
        <v>16:40 AIK – Hammarby IF HF 1</v>
      </c>
      <c r="G396" s="45" t="str">
        <f>MID(IF(R396="","",IF(OR(INDEX(MATCHER!$J$5:$J$504,R396)=""),""," / "&amp;INDEX(MATCHER!$J$5:$J$504,R396)))&amp;IF(S396="","",IF(OR(INDEX(MATCHER!$J$5:$J$504,S396)="",INDEX(MATCHER!$J$5:$J$504,S396)=IFERROR(INDEX(MATCHER!$J$5:$J$504,R396),"")),""," / "&amp;INDEX(MATCHER!$J$5:$J$504,S396)))&amp;IF(T396="","",IF(OR(INDEX(MATCHER!$J$5:$J$504,T396)="",INDEX(MATCHER!$J$5:$J$504,T396)=IFERROR(INDEX(MATCHER!$J$5:$J$504,R396),""),INDEX(MATCHER!$J$5:$J$504,T396)=IFERROR(INDEX(MATCHER!$J$5:$J$504,S396),"")),""," / "&amp;INDEX(MATCHER!$J$5:$J$504,T396)))&amp;IF(AF396="","",IF(OR(INDEX(MATCHER!$J$5:$J$504,AF396)="",INDEX(MATCHER!$J$5:$J$504,AF396)=IFERROR(INDEX(MATCHER!$J$5:$J$504,R396),""),INDEX(MATCHER!$J$5:$J$504,AF396)=IFERROR(INDEX(MATCHER!$J$5:$J$504,S396),""),INDEX(MATCHER!$J$5:$J$504,AF396)=IFERROR(INDEX(MATCHER!$J$5:$J$504,T396),"")),""," / "&amp;INDEX(MATCHER!$J$5:$J$504,AF396))),4,1000)</f>
        <v>F13</v>
      </c>
      <c r="H396" s="45" t="str">
        <f t="shared" si="86"/>
        <v>F13, F14</v>
      </c>
      <c r="I396" s="46" t="s">
        <v>90</v>
      </c>
      <c r="J396" s="47" t="s">
        <v>103</v>
      </c>
      <c r="K396" s="48"/>
      <c r="L396" s="49"/>
      <c r="M396" s="50" t="str">
        <f>IF(O396&lt;&gt;O395,MAX(1,MIN(AA396,ROUNDUP(SUMPRODUCT(($O$5:$O$546=O396)*($I$5:$I$546="Ja")*($E$5:$E$546-$D$5:$D$546))*24/REGLER!$B$8,0))),"")</f>
        <v/>
      </c>
      <c r="N396" s="50" t="str">
        <f t="shared" si="88"/>
        <v>Klar</v>
      </c>
      <c r="O396" s="15" t="s">
        <v>149</v>
      </c>
      <c r="P396" s="16">
        <v>0.33333333333333298</v>
      </c>
      <c r="Q396" s="16">
        <v>0.79166666666666696</v>
      </c>
      <c r="R396" s="15">
        <f>IFERROR(MATCH(1,INDEX((MATCHER!$B$5:$B$504=A396)*(MATCHER!$D$5:$D$504=C396)*(MATCHER!$K$5:$K$504="Ja")*(MATCHER!$C$5:$C$504&lt;E396)*(MATCHER!$M$5:$M$504&gt;D396),0),0),"")</f>
        <v>144</v>
      </c>
      <c r="S396" s="15" t="str">
        <f>IF(R396="","",IFERROR(MATCH(1,INDEX((MATCHER!$B$5:$B$504=A396)*(MATCHER!$D$5:$D$504=C396)*(MATCHER!$K$5:$K$504="Ja")*(MATCHER!$C$5:$C$504&lt;E396)*(MATCHER!$M$5:$M$504&gt;D396)*(ROW(MATCHER!$A$5:$A$504)-ROW(MATCHER!$A$5)+1&gt;R396),0),0),""))</f>
        <v/>
      </c>
      <c r="T396" s="15" t="str">
        <f>IF(S396="","",IFERROR(MATCH(1,INDEX((MATCHER!$B$5:$B$504=A396)*(MATCHER!$D$5:$D$504=C396)*(MATCHER!$K$5:$K$504="Ja")*(MATCHER!$C$5:$C$504&lt;E396)*(MATCHER!$M$5:$M$504&gt;D396)*(ROW(MATCHER!$A$5:$A$504)-ROW(MATCHER!$A$5)+1&gt;S396),0),0),""))</f>
        <v/>
      </c>
      <c r="U396" s="15">
        <f t="shared" si="89"/>
        <v>1</v>
      </c>
      <c r="V396" s="15">
        <f>IF(OR(I396&lt;&gt;"Ja",J396=""),"",COUNTIFS($O$5:O396,O396,$U$5:U396,1))</f>
        <v>11</v>
      </c>
      <c r="W396" s="15" t="str">
        <f t="shared" si="90"/>
        <v>2027-01-30 | Ulriksdalshallen|11</v>
      </c>
      <c r="X396" s="16" t="str">
        <f t="shared" si="91"/>
        <v/>
      </c>
      <c r="Y396" s="15">
        <f>IF(OR(I396&lt;&gt;"Ja",J396=""),0,IF(COUNTIFS($O$5:O396,O396,$I$5:I396,"Ja",$J$5:J396,"&lt;&gt;")=1,1,0))</f>
        <v>0</v>
      </c>
      <c r="Z396" s="15">
        <f>IF(OR(I396&lt;&gt;"Ja",J396=""),0,IF(COUNTIFS(O396:$O$546,O396,I396:$I$546,"Ja",J396:$J$546,"&lt;&gt;")=1,1,0))</f>
        <v>0</v>
      </c>
      <c r="AA396" s="15">
        <f t="shared" si="87"/>
        <v>2</v>
      </c>
      <c r="AB396" s="15">
        <f>IF(U396&lt;&gt;1,"",COUNTIF($U$5:U396,1))</f>
        <v>64</v>
      </c>
      <c r="AC396" s="15" t="str">
        <f t="shared" si="92"/>
        <v/>
      </c>
      <c r="AD396" s="15" t="str">
        <f t="shared" si="93"/>
        <v>Vanligt café</v>
      </c>
      <c r="AE396" s="15">
        <f t="shared" si="94"/>
        <v>2.5000000000000071</v>
      </c>
      <c r="AF396" t="str">
        <f>IF(T396="","",IFERROR(MATCH(1,INDEX((MATCHER!$B$5:$B$504=A396)*(MATCHER!$D$5:$D$504=C396)*(MATCHER!$K$5:$K$504="Ja")*(MATCHER!$C$5:$C$504&lt;E396)*(MATCHER!$M$5:$M$504&gt;D396)*(ROW(MATCHER!$A$5:$A$504)-ROW(MATCHER!$A$5)+1&gt;T396),0),0),""))</f>
        <v/>
      </c>
    </row>
    <row r="397" spans="1:32" ht="26">
      <c r="A397" s="42">
        <v>46417</v>
      </c>
      <c r="B397" s="43" t="s">
        <v>85</v>
      </c>
      <c r="C397" s="43" t="s">
        <v>86</v>
      </c>
      <c r="D397" s="44">
        <v>0.70833333333333304</v>
      </c>
      <c r="E397" s="44">
        <v>0.72916666666666696</v>
      </c>
      <c r="F397" s="45" t="str">
        <f>IF(R397="","",HOUR(INDEX(MATCHER!$C$5:$C$504,R397))&amp;":"&amp;IF(MINUTE(INDEX(MATCHER!$C$5:$C$504,R397))&lt;10,"0","")&amp;MINUTE(INDEX(MATCHER!$C$5:$C$504,R397))&amp;" "&amp;INDEX(MATCHER!$H$5:$H$504,R397)&amp;" – "&amp;INDEX(MATCHER!$I$5:$I$504,R397))&amp;IF(S397="",""," | "&amp;HOUR(INDEX(MATCHER!$C$5:$C$504,S397))&amp;":"&amp;IF(MINUTE(INDEX(MATCHER!$C$5:$C$504,S397))&lt;10,"0","")&amp;MINUTE(INDEX(MATCHER!$C$5:$C$504,S397))&amp;" "&amp;INDEX(MATCHER!$H$5:$H$504,S397)&amp;" – "&amp;INDEX(MATCHER!$I$5:$I$504,S397))&amp;IF(T397="",""," | "&amp;HOUR(INDEX(MATCHER!$C$5:$C$504,T397))&amp;":"&amp;IF(MINUTE(INDEX(MATCHER!$C$5:$C$504,T397))&lt;10,"0","")&amp;MINUTE(INDEX(MATCHER!$C$5:$C$504,T397))&amp;" "&amp;INDEX(MATCHER!$H$5:$H$504,T397)&amp;" – "&amp;INDEX(MATCHER!$I$5:$I$504,T397))&amp;IF(AF397="",""," | "&amp;HOUR(INDEX(MATCHER!$C$5:$C$504,AF397))&amp;":"&amp;IF(MINUTE(INDEX(MATCHER!$C$5:$C$504,AF397))&lt;10,"0","")&amp;MINUTE(INDEX(MATCHER!$C$5:$C$504,AF397))&amp;" "&amp;INDEX(MATCHER!$H$5:$H$504,AF397)&amp;" – "&amp;INDEX(MATCHER!$I$5:$I$504,AF397))</f>
        <v>16:40 AIK – Hammarby IF HF 1</v>
      </c>
      <c r="G397" s="45" t="str">
        <f>MID(IF(R397="","",IF(OR(INDEX(MATCHER!$J$5:$J$504,R397)=""),""," / "&amp;INDEX(MATCHER!$J$5:$J$504,R397)))&amp;IF(S397="","",IF(OR(INDEX(MATCHER!$J$5:$J$504,S397)="",INDEX(MATCHER!$J$5:$J$504,S397)=IFERROR(INDEX(MATCHER!$J$5:$J$504,R397),"")),""," / "&amp;INDEX(MATCHER!$J$5:$J$504,S397)))&amp;IF(T397="","",IF(OR(INDEX(MATCHER!$J$5:$J$504,T397)="",INDEX(MATCHER!$J$5:$J$504,T397)=IFERROR(INDEX(MATCHER!$J$5:$J$504,R397),""),INDEX(MATCHER!$J$5:$J$504,T397)=IFERROR(INDEX(MATCHER!$J$5:$J$504,S397),"")),""," / "&amp;INDEX(MATCHER!$J$5:$J$504,T397)))&amp;IF(AF397="","",IF(OR(INDEX(MATCHER!$J$5:$J$504,AF397)="",INDEX(MATCHER!$J$5:$J$504,AF397)=IFERROR(INDEX(MATCHER!$J$5:$J$504,R397),""),INDEX(MATCHER!$J$5:$J$504,AF397)=IFERROR(INDEX(MATCHER!$J$5:$J$504,S397),""),INDEX(MATCHER!$J$5:$J$504,AF397)=IFERROR(INDEX(MATCHER!$J$5:$J$504,T397),"")),""," / "&amp;INDEX(MATCHER!$J$5:$J$504,AF397))),4,1000)</f>
        <v>F13</v>
      </c>
      <c r="H397" s="45" t="str">
        <f t="shared" si="86"/>
        <v>F13, F14</v>
      </c>
      <c r="I397" s="46" t="s">
        <v>90</v>
      </c>
      <c r="J397" s="47" t="s">
        <v>103</v>
      </c>
      <c r="K397" s="48"/>
      <c r="L397" s="49"/>
      <c r="M397" s="50" t="str">
        <f>IF(O397&lt;&gt;O396,MAX(1,MIN(AA397,ROUNDUP(SUMPRODUCT(($O$5:$O$546=O397)*($I$5:$I$546="Ja")*($E$5:$E$546-$D$5:$D$546))*24/REGLER!$B$8,0))),"")</f>
        <v/>
      </c>
      <c r="N397" s="50" t="str">
        <f t="shared" si="88"/>
        <v>Klar</v>
      </c>
      <c r="O397" s="15" t="s">
        <v>149</v>
      </c>
      <c r="P397" s="16">
        <v>0.33333333333333298</v>
      </c>
      <c r="Q397" s="16">
        <v>0.79166666666666696</v>
      </c>
      <c r="R397" s="15">
        <f>IFERROR(MATCH(1,INDEX((MATCHER!$B$5:$B$504=A397)*(MATCHER!$D$5:$D$504=C397)*(MATCHER!$K$5:$K$504="Ja")*(MATCHER!$C$5:$C$504&lt;E397)*(MATCHER!$M$5:$M$504&gt;D397),0),0),"")</f>
        <v>144</v>
      </c>
      <c r="S397" s="15" t="str">
        <f>IF(R397="","",IFERROR(MATCH(1,INDEX((MATCHER!$B$5:$B$504=A397)*(MATCHER!$D$5:$D$504=C397)*(MATCHER!$K$5:$K$504="Ja")*(MATCHER!$C$5:$C$504&lt;E397)*(MATCHER!$M$5:$M$504&gt;D397)*(ROW(MATCHER!$A$5:$A$504)-ROW(MATCHER!$A$5)+1&gt;R397),0),0),""))</f>
        <v/>
      </c>
      <c r="T397" s="15" t="str">
        <f>IF(S397="","",IFERROR(MATCH(1,INDEX((MATCHER!$B$5:$B$504=A397)*(MATCHER!$D$5:$D$504=C397)*(MATCHER!$K$5:$K$504="Ja")*(MATCHER!$C$5:$C$504&lt;E397)*(MATCHER!$M$5:$M$504&gt;D397)*(ROW(MATCHER!$A$5:$A$504)-ROW(MATCHER!$A$5)+1&gt;S397),0),0),""))</f>
        <v/>
      </c>
      <c r="U397" s="15">
        <f t="shared" si="89"/>
        <v>0</v>
      </c>
      <c r="V397" s="15">
        <f>IF(OR(I397&lt;&gt;"Ja",J397=""),"",COUNTIFS($O$5:O397,O397,$U$5:U397,1))</f>
        <v>11</v>
      </c>
      <c r="W397" s="15" t="str">
        <f t="shared" si="90"/>
        <v>2027-01-30 | Ulriksdalshallen|11</v>
      </c>
      <c r="X397" s="16" t="str">
        <f t="shared" si="91"/>
        <v/>
      </c>
      <c r="Y397" s="15">
        <f>IF(OR(I397&lt;&gt;"Ja",J397=""),0,IF(COUNTIFS($O$5:O397,O397,$I$5:I397,"Ja",$J$5:J397,"&lt;&gt;")=1,1,0))</f>
        <v>0</v>
      </c>
      <c r="Z397" s="15">
        <f>IF(OR(I397&lt;&gt;"Ja",J397=""),0,IF(COUNTIFS(O397:$O$546,O397,I397:$I$546,"Ja",J397:$J$546,"&lt;&gt;")=1,1,0))</f>
        <v>0</v>
      </c>
      <c r="AA397" s="15">
        <f t="shared" si="87"/>
        <v>2</v>
      </c>
      <c r="AB397" s="15" t="str">
        <f>IF(U397&lt;&gt;1,"",COUNTIF($U$5:U397,1))</f>
        <v/>
      </c>
      <c r="AC397" s="15" t="str">
        <f t="shared" si="92"/>
        <v/>
      </c>
      <c r="AD397" s="15" t="str">
        <f t="shared" si="93"/>
        <v>Vanligt café</v>
      </c>
      <c r="AE397" s="15" t="str">
        <f t="shared" si="94"/>
        <v/>
      </c>
      <c r="AF397" t="str">
        <f>IF(T397="","",IFERROR(MATCH(1,INDEX((MATCHER!$B$5:$B$504=A397)*(MATCHER!$D$5:$D$504=C397)*(MATCHER!$K$5:$K$504="Ja")*(MATCHER!$C$5:$C$504&lt;E397)*(MATCHER!$M$5:$M$504&gt;D397)*(ROW(MATCHER!$A$5:$A$504)-ROW(MATCHER!$A$5)+1&gt;T397),0),0),""))</f>
        <v/>
      </c>
    </row>
    <row r="398" spans="1:32" ht="26">
      <c r="A398" s="42">
        <v>46417</v>
      </c>
      <c r="B398" s="43" t="s">
        <v>85</v>
      </c>
      <c r="C398" s="43" t="s">
        <v>86</v>
      </c>
      <c r="D398" s="44">
        <v>0.72916666666666696</v>
      </c>
      <c r="E398" s="44">
        <v>0.75</v>
      </c>
      <c r="F398" s="45" t="str">
        <f>IF(R398="","",HOUR(INDEX(MATCHER!$C$5:$C$504,R398))&amp;":"&amp;IF(MINUTE(INDEX(MATCHER!$C$5:$C$504,R398))&lt;10,"0","")&amp;MINUTE(INDEX(MATCHER!$C$5:$C$504,R398))&amp;" "&amp;INDEX(MATCHER!$H$5:$H$504,R398)&amp;" – "&amp;INDEX(MATCHER!$I$5:$I$504,R398))&amp;IF(S398="",""," | "&amp;HOUR(INDEX(MATCHER!$C$5:$C$504,S398))&amp;":"&amp;IF(MINUTE(INDEX(MATCHER!$C$5:$C$504,S398))&lt;10,"0","")&amp;MINUTE(INDEX(MATCHER!$C$5:$C$504,S398))&amp;" "&amp;INDEX(MATCHER!$H$5:$H$504,S398)&amp;" – "&amp;INDEX(MATCHER!$I$5:$I$504,S398))&amp;IF(T398="",""," | "&amp;HOUR(INDEX(MATCHER!$C$5:$C$504,T398))&amp;":"&amp;IF(MINUTE(INDEX(MATCHER!$C$5:$C$504,T398))&lt;10,"0","")&amp;MINUTE(INDEX(MATCHER!$C$5:$C$504,T398))&amp;" "&amp;INDEX(MATCHER!$H$5:$H$504,T398)&amp;" – "&amp;INDEX(MATCHER!$I$5:$I$504,T398))&amp;IF(AF398="",""," | "&amp;HOUR(INDEX(MATCHER!$C$5:$C$504,AF398))&amp;":"&amp;IF(MINUTE(INDEX(MATCHER!$C$5:$C$504,AF398))&lt;10,"0","")&amp;MINUTE(INDEX(MATCHER!$C$5:$C$504,AF398))&amp;" "&amp;INDEX(MATCHER!$H$5:$H$504,AF398)&amp;" – "&amp;INDEX(MATCHER!$I$5:$I$504,AF398))</f>
        <v>17:50 AIK – Vassunda IF1</v>
      </c>
      <c r="G398" s="45" t="str">
        <f>MID(IF(R398="","",IF(OR(INDEX(MATCHER!$J$5:$J$504,R398)=""),""," / "&amp;INDEX(MATCHER!$J$5:$J$504,R398)))&amp;IF(S398="","",IF(OR(INDEX(MATCHER!$J$5:$J$504,S398)="",INDEX(MATCHER!$J$5:$J$504,S398)=IFERROR(INDEX(MATCHER!$J$5:$J$504,R398),"")),""," / "&amp;INDEX(MATCHER!$J$5:$J$504,S398)))&amp;IF(T398="","",IF(OR(INDEX(MATCHER!$J$5:$J$504,T398)="",INDEX(MATCHER!$J$5:$J$504,T398)=IFERROR(INDEX(MATCHER!$J$5:$J$504,R398),""),INDEX(MATCHER!$J$5:$J$504,T398)=IFERROR(INDEX(MATCHER!$J$5:$J$504,S398),"")),""," / "&amp;INDEX(MATCHER!$J$5:$J$504,T398)))&amp;IF(AF398="","",IF(OR(INDEX(MATCHER!$J$5:$J$504,AF398)="",INDEX(MATCHER!$J$5:$J$504,AF398)=IFERROR(INDEX(MATCHER!$J$5:$J$504,R398),""),INDEX(MATCHER!$J$5:$J$504,AF398)=IFERROR(INDEX(MATCHER!$J$5:$J$504,S398),""),INDEX(MATCHER!$J$5:$J$504,AF398)=IFERROR(INDEX(MATCHER!$J$5:$J$504,T398),"")),""," / "&amp;INDEX(MATCHER!$J$5:$J$504,AF398))),4,1000)</f>
        <v>F14</v>
      </c>
      <c r="H398" s="45" t="str">
        <f t="shared" si="86"/>
        <v>F13, F14</v>
      </c>
      <c r="I398" s="46" t="s">
        <v>90</v>
      </c>
      <c r="J398" s="47" t="s">
        <v>103</v>
      </c>
      <c r="K398" s="48"/>
      <c r="L398" s="49"/>
      <c r="M398" s="50" t="str">
        <f>IF(O398&lt;&gt;O397,MAX(1,MIN(AA398,ROUNDUP(SUMPRODUCT(($O$5:$O$546=O398)*($I$5:$I$546="Ja")*($E$5:$E$546-$D$5:$D$546))*24/REGLER!$B$8,0))),"")</f>
        <v/>
      </c>
      <c r="N398" s="50" t="str">
        <f t="shared" si="88"/>
        <v>Klar</v>
      </c>
      <c r="O398" s="15" t="s">
        <v>149</v>
      </c>
      <c r="P398" s="16">
        <v>0.33333333333333298</v>
      </c>
      <c r="Q398" s="16">
        <v>0.79166666666666696</v>
      </c>
      <c r="R398" s="15">
        <f>IFERROR(MATCH(1,INDEX((MATCHER!$B$5:$B$504=A398)*(MATCHER!$D$5:$D$504=C398)*(MATCHER!$K$5:$K$504="Ja")*(MATCHER!$C$5:$C$504&lt;E398)*(MATCHER!$M$5:$M$504&gt;D398),0),0),"")</f>
        <v>145</v>
      </c>
      <c r="S398" s="15" t="str">
        <f>IF(R398="","",IFERROR(MATCH(1,INDEX((MATCHER!$B$5:$B$504=A398)*(MATCHER!$D$5:$D$504=C398)*(MATCHER!$K$5:$K$504="Ja")*(MATCHER!$C$5:$C$504&lt;E398)*(MATCHER!$M$5:$M$504&gt;D398)*(ROW(MATCHER!$A$5:$A$504)-ROW(MATCHER!$A$5)+1&gt;R398),0),0),""))</f>
        <v/>
      </c>
      <c r="T398" s="15" t="str">
        <f>IF(S398="","",IFERROR(MATCH(1,INDEX((MATCHER!$B$5:$B$504=A398)*(MATCHER!$D$5:$D$504=C398)*(MATCHER!$K$5:$K$504="Ja")*(MATCHER!$C$5:$C$504&lt;E398)*(MATCHER!$M$5:$M$504&gt;D398)*(ROW(MATCHER!$A$5:$A$504)-ROW(MATCHER!$A$5)+1&gt;S398),0),0),""))</f>
        <v/>
      </c>
      <c r="U398" s="15">
        <f t="shared" si="89"/>
        <v>0</v>
      </c>
      <c r="V398" s="15">
        <f>IF(OR(I398&lt;&gt;"Ja",J398=""),"",COUNTIFS($O$5:O398,O398,$U$5:U398,1))</f>
        <v>11</v>
      </c>
      <c r="W398" s="15" t="str">
        <f t="shared" si="90"/>
        <v>2027-01-30 | Ulriksdalshallen|11</v>
      </c>
      <c r="X398" s="16" t="str">
        <f t="shared" si="91"/>
        <v/>
      </c>
      <c r="Y398" s="15">
        <f>IF(OR(I398&lt;&gt;"Ja",J398=""),0,IF(COUNTIFS($O$5:O398,O398,$I$5:I398,"Ja",$J$5:J398,"&lt;&gt;")=1,1,0))</f>
        <v>0</v>
      </c>
      <c r="Z398" s="15">
        <f>IF(OR(I398&lt;&gt;"Ja",J398=""),0,IF(COUNTIFS(O398:$O$546,O398,I398:$I$546,"Ja",J398:$J$546,"&lt;&gt;")=1,1,0))</f>
        <v>0</v>
      </c>
      <c r="AA398" s="15">
        <f t="shared" si="87"/>
        <v>2</v>
      </c>
      <c r="AB398" s="15" t="str">
        <f>IF(U398&lt;&gt;1,"",COUNTIF($U$5:U398,1))</f>
        <v/>
      </c>
      <c r="AC398" s="15" t="str">
        <f t="shared" si="92"/>
        <v/>
      </c>
      <c r="AD398" s="15" t="str">
        <f t="shared" si="93"/>
        <v>Vanligt café</v>
      </c>
      <c r="AE398" s="15" t="str">
        <f t="shared" si="94"/>
        <v/>
      </c>
      <c r="AF398" t="str">
        <f>IF(T398="","",IFERROR(MATCH(1,INDEX((MATCHER!$B$5:$B$504=A398)*(MATCHER!$D$5:$D$504=C398)*(MATCHER!$K$5:$K$504="Ja")*(MATCHER!$C$5:$C$504&lt;E398)*(MATCHER!$M$5:$M$504&gt;D398)*(ROW(MATCHER!$A$5:$A$504)-ROW(MATCHER!$A$5)+1&gt;T398),0),0),""))</f>
        <v/>
      </c>
    </row>
    <row r="399" spans="1:32" ht="26">
      <c r="A399" s="42">
        <v>46417</v>
      </c>
      <c r="B399" s="43" t="s">
        <v>85</v>
      </c>
      <c r="C399" s="43" t="s">
        <v>86</v>
      </c>
      <c r="D399" s="44">
        <v>0.75</v>
      </c>
      <c r="E399" s="44">
        <v>0.77083333333333304</v>
      </c>
      <c r="F399" s="45" t="str">
        <f>IF(R399="","",HOUR(INDEX(MATCHER!$C$5:$C$504,R399))&amp;":"&amp;IF(MINUTE(INDEX(MATCHER!$C$5:$C$504,R399))&lt;10,"0","")&amp;MINUTE(INDEX(MATCHER!$C$5:$C$504,R399))&amp;" "&amp;INDEX(MATCHER!$H$5:$H$504,R399)&amp;" – "&amp;INDEX(MATCHER!$I$5:$I$504,R399))&amp;IF(S399="",""," | "&amp;HOUR(INDEX(MATCHER!$C$5:$C$504,S399))&amp;":"&amp;IF(MINUTE(INDEX(MATCHER!$C$5:$C$504,S399))&lt;10,"0","")&amp;MINUTE(INDEX(MATCHER!$C$5:$C$504,S399))&amp;" "&amp;INDEX(MATCHER!$H$5:$H$504,S399)&amp;" – "&amp;INDEX(MATCHER!$I$5:$I$504,S399))&amp;IF(T399="",""," | "&amp;HOUR(INDEX(MATCHER!$C$5:$C$504,T399))&amp;":"&amp;IF(MINUTE(INDEX(MATCHER!$C$5:$C$504,T399))&lt;10,"0","")&amp;MINUTE(INDEX(MATCHER!$C$5:$C$504,T399))&amp;" "&amp;INDEX(MATCHER!$H$5:$H$504,T399)&amp;" – "&amp;INDEX(MATCHER!$I$5:$I$504,T399))&amp;IF(AF399="",""," | "&amp;HOUR(INDEX(MATCHER!$C$5:$C$504,AF399))&amp;":"&amp;IF(MINUTE(INDEX(MATCHER!$C$5:$C$504,AF399))&lt;10,"0","")&amp;MINUTE(INDEX(MATCHER!$C$5:$C$504,AF399))&amp;" "&amp;INDEX(MATCHER!$H$5:$H$504,AF399)&amp;" – "&amp;INDEX(MATCHER!$I$5:$I$504,AF399))</f>
        <v>17:50 AIK – Vassunda IF1</v>
      </c>
      <c r="G399" s="45" t="str">
        <f>MID(IF(R399="","",IF(OR(INDEX(MATCHER!$J$5:$J$504,R399)=""),""," / "&amp;INDEX(MATCHER!$J$5:$J$504,R399)))&amp;IF(S399="","",IF(OR(INDEX(MATCHER!$J$5:$J$504,S399)="",INDEX(MATCHER!$J$5:$J$504,S399)=IFERROR(INDEX(MATCHER!$J$5:$J$504,R399),"")),""," / "&amp;INDEX(MATCHER!$J$5:$J$504,S399)))&amp;IF(T399="","",IF(OR(INDEX(MATCHER!$J$5:$J$504,T399)="",INDEX(MATCHER!$J$5:$J$504,T399)=IFERROR(INDEX(MATCHER!$J$5:$J$504,R399),""),INDEX(MATCHER!$J$5:$J$504,T399)=IFERROR(INDEX(MATCHER!$J$5:$J$504,S399),"")),""," / "&amp;INDEX(MATCHER!$J$5:$J$504,T399)))&amp;IF(AF399="","",IF(OR(INDEX(MATCHER!$J$5:$J$504,AF399)="",INDEX(MATCHER!$J$5:$J$504,AF399)=IFERROR(INDEX(MATCHER!$J$5:$J$504,R399),""),INDEX(MATCHER!$J$5:$J$504,AF399)=IFERROR(INDEX(MATCHER!$J$5:$J$504,S399),""),INDEX(MATCHER!$J$5:$J$504,AF399)=IFERROR(INDEX(MATCHER!$J$5:$J$504,T399),"")),""," / "&amp;INDEX(MATCHER!$J$5:$J$504,AF399))),4,1000)</f>
        <v>F14</v>
      </c>
      <c r="H399" s="45" t="str">
        <f t="shared" si="86"/>
        <v>F13, F14</v>
      </c>
      <c r="I399" s="46" t="s">
        <v>90</v>
      </c>
      <c r="J399" s="47" t="s">
        <v>103</v>
      </c>
      <c r="K399" s="48"/>
      <c r="L399" s="49"/>
      <c r="M399" s="50" t="str">
        <f>IF(O399&lt;&gt;O398,MAX(1,MIN(AA399,ROUNDUP(SUMPRODUCT(($O$5:$O$546=O399)*($I$5:$I$546="Ja")*($E$5:$E$546-$D$5:$D$546))*24/REGLER!$B$8,0))),"")</f>
        <v/>
      </c>
      <c r="N399" s="50" t="str">
        <f t="shared" si="88"/>
        <v>Klar</v>
      </c>
      <c r="O399" s="15" t="s">
        <v>149</v>
      </c>
      <c r="P399" s="16">
        <v>0.33333333333333298</v>
      </c>
      <c r="Q399" s="16">
        <v>0.79166666666666696</v>
      </c>
      <c r="R399" s="15">
        <f>IFERROR(MATCH(1,INDEX((MATCHER!$B$5:$B$504=A399)*(MATCHER!$D$5:$D$504=C399)*(MATCHER!$K$5:$K$504="Ja")*(MATCHER!$C$5:$C$504&lt;E399)*(MATCHER!$M$5:$M$504&gt;D399),0),0),"")</f>
        <v>145</v>
      </c>
      <c r="S399" s="15" t="str">
        <f>IF(R399="","",IFERROR(MATCH(1,INDEX((MATCHER!$B$5:$B$504=A399)*(MATCHER!$D$5:$D$504=C399)*(MATCHER!$K$5:$K$504="Ja")*(MATCHER!$C$5:$C$504&lt;E399)*(MATCHER!$M$5:$M$504&gt;D399)*(ROW(MATCHER!$A$5:$A$504)-ROW(MATCHER!$A$5)+1&gt;R399),0),0),""))</f>
        <v/>
      </c>
      <c r="T399" s="15" t="str">
        <f>IF(S399="","",IFERROR(MATCH(1,INDEX((MATCHER!$B$5:$B$504=A399)*(MATCHER!$D$5:$D$504=C399)*(MATCHER!$K$5:$K$504="Ja")*(MATCHER!$C$5:$C$504&lt;E399)*(MATCHER!$M$5:$M$504&gt;D399)*(ROW(MATCHER!$A$5:$A$504)-ROW(MATCHER!$A$5)+1&gt;S399),0),0),""))</f>
        <v/>
      </c>
      <c r="U399" s="15">
        <f t="shared" si="89"/>
        <v>0</v>
      </c>
      <c r="V399" s="15">
        <f>IF(OR(I399&lt;&gt;"Ja",J399=""),"",COUNTIFS($O$5:O399,O399,$U$5:U399,1))</f>
        <v>11</v>
      </c>
      <c r="W399" s="15" t="str">
        <f t="shared" si="90"/>
        <v>2027-01-30 | Ulriksdalshallen|11</v>
      </c>
      <c r="X399" s="16" t="str">
        <f t="shared" si="91"/>
        <v/>
      </c>
      <c r="Y399" s="15">
        <f>IF(OR(I399&lt;&gt;"Ja",J399=""),0,IF(COUNTIFS($O$5:O399,O399,$I$5:I399,"Ja",$J$5:J399,"&lt;&gt;")=1,1,0))</f>
        <v>0</v>
      </c>
      <c r="Z399" s="15">
        <f>IF(OR(I399&lt;&gt;"Ja",J399=""),0,IF(COUNTIFS(O399:$O$546,O399,I399:$I$546,"Ja",J399:$J$546,"&lt;&gt;")=1,1,0))</f>
        <v>0</v>
      </c>
      <c r="AA399" s="15">
        <f t="shared" si="87"/>
        <v>2</v>
      </c>
      <c r="AB399" s="15" t="str">
        <f>IF(U399&lt;&gt;1,"",COUNTIF($U$5:U399,1))</f>
        <v/>
      </c>
      <c r="AC399" s="15" t="str">
        <f t="shared" si="92"/>
        <v/>
      </c>
      <c r="AD399" s="15" t="str">
        <f t="shared" si="93"/>
        <v>Vanligt café</v>
      </c>
      <c r="AE399" s="15" t="str">
        <f t="shared" si="94"/>
        <v/>
      </c>
      <c r="AF399" t="str">
        <f>IF(T399="","",IFERROR(MATCH(1,INDEX((MATCHER!$B$5:$B$504=A399)*(MATCHER!$D$5:$D$504=C399)*(MATCHER!$K$5:$K$504="Ja")*(MATCHER!$C$5:$C$504&lt;E399)*(MATCHER!$M$5:$M$504&gt;D399)*(ROW(MATCHER!$A$5:$A$504)-ROW(MATCHER!$A$5)+1&gt;T399),0),0),""))</f>
        <v/>
      </c>
    </row>
    <row r="400" spans="1:32" ht="26.5" thickBot="1">
      <c r="A400" s="52">
        <v>46417</v>
      </c>
      <c r="B400" s="53" t="s">
        <v>85</v>
      </c>
      <c r="C400" s="53" t="s">
        <v>86</v>
      </c>
      <c r="D400" s="54">
        <v>0.77083333333333304</v>
      </c>
      <c r="E400" s="54">
        <v>0.79166666666666696</v>
      </c>
      <c r="F400" s="55" t="str">
        <f>IF(R400="","",HOUR(INDEX(MATCHER!$C$5:$C$504,R400))&amp;":"&amp;IF(MINUTE(INDEX(MATCHER!$C$5:$C$504,R400))&lt;10,"0","")&amp;MINUTE(INDEX(MATCHER!$C$5:$C$504,R400))&amp;" "&amp;INDEX(MATCHER!$H$5:$H$504,R400)&amp;" – "&amp;INDEX(MATCHER!$I$5:$I$504,R400))&amp;IF(S400="",""," | "&amp;HOUR(INDEX(MATCHER!$C$5:$C$504,S400))&amp;":"&amp;IF(MINUTE(INDEX(MATCHER!$C$5:$C$504,S400))&lt;10,"0","")&amp;MINUTE(INDEX(MATCHER!$C$5:$C$504,S400))&amp;" "&amp;INDEX(MATCHER!$H$5:$H$504,S400)&amp;" – "&amp;INDEX(MATCHER!$I$5:$I$504,S400))&amp;IF(T400="",""," | "&amp;HOUR(INDEX(MATCHER!$C$5:$C$504,T400))&amp;":"&amp;IF(MINUTE(INDEX(MATCHER!$C$5:$C$504,T400))&lt;10,"0","")&amp;MINUTE(INDEX(MATCHER!$C$5:$C$504,T400))&amp;" "&amp;INDEX(MATCHER!$H$5:$H$504,T400)&amp;" – "&amp;INDEX(MATCHER!$I$5:$I$504,T400))&amp;IF(AF400="",""," | "&amp;HOUR(INDEX(MATCHER!$C$5:$C$504,AF400))&amp;":"&amp;IF(MINUTE(INDEX(MATCHER!$C$5:$C$504,AF400))&lt;10,"0","")&amp;MINUTE(INDEX(MATCHER!$C$5:$C$504,AF400))&amp;" "&amp;INDEX(MATCHER!$H$5:$H$504,AF400)&amp;" – "&amp;INDEX(MATCHER!$I$5:$I$504,AF400))</f>
        <v>17:50 AIK – Vassunda IF1</v>
      </c>
      <c r="G400" s="55" t="str">
        <f>MID(IF(R400="","",IF(OR(INDEX(MATCHER!$J$5:$J$504,R400)=""),""," / "&amp;INDEX(MATCHER!$J$5:$J$504,R400)))&amp;IF(S400="","",IF(OR(INDEX(MATCHER!$J$5:$J$504,S400)="",INDEX(MATCHER!$J$5:$J$504,S400)=IFERROR(INDEX(MATCHER!$J$5:$J$504,R400),"")),""," / "&amp;INDEX(MATCHER!$J$5:$J$504,S400)))&amp;IF(T400="","",IF(OR(INDEX(MATCHER!$J$5:$J$504,T400)="",INDEX(MATCHER!$J$5:$J$504,T400)=IFERROR(INDEX(MATCHER!$J$5:$J$504,R400),""),INDEX(MATCHER!$J$5:$J$504,T400)=IFERROR(INDEX(MATCHER!$J$5:$J$504,S400),"")),""," / "&amp;INDEX(MATCHER!$J$5:$J$504,T400)))&amp;IF(AF400="","",IF(OR(INDEX(MATCHER!$J$5:$J$504,AF400)="",INDEX(MATCHER!$J$5:$J$504,AF400)=IFERROR(INDEX(MATCHER!$J$5:$J$504,R400),""),INDEX(MATCHER!$J$5:$J$504,AF400)=IFERROR(INDEX(MATCHER!$J$5:$J$504,S400),""),INDEX(MATCHER!$J$5:$J$504,AF400)=IFERROR(INDEX(MATCHER!$J$5:$J$504,T400),"")),""," / "&amp;INDEX(MATCHER!$J$5:$J$504,AF400))),4,1000)</f>
        <v>F14</v>
      </c>
      <c r="H400" s="55" t="str">
        <f t="shared" si="86"/>
        <v>F13, F14</v>
      </c>
      <c r="I400" s="56" t="s">
        <v>90</v>
      </c>
      <c r="J400" s="57" t="s">
        <v>103</v>
      </c>
      <c r="K400" s="58"/>
      <c r="L400" s="59"/>
      <c r="M400" s="60" t="str">
        <f>IF(O400&lt;&gt;O399,MAX(1,MIN(AA400,ROUNDUP(SUMPRODUCT(($O$5:$O$546=O400)*($I$5:$I$546="Ja")*($E$5:$E$546-$D$5:$D$546))*24/REGLER!$B$8,0))),"")</f>
        <v/>
      </c>
      <c r="N400" s="60" t="str">
        <f t="shared" si="88"/>
        <v>Klar</v>
      </c>
      <c r="O400" s="15" t="s">
        <v>149</v>
      </c>
      <c r="P400" s="16">
        <v>0.33333333333333298</v>
      </c>
      <c r="Q400" s="16">
        <v>0.79166666666666696</v>
      </c>
      <c r="R400" s="15">
        <f>IFERROR(MATCH(1,INDEX((MATCHER!$B$5:$B$504=A400)*(MATCHER!$D$5:$D$504=C400)*(MATCHER!$K$5:$K$504="Ja")*(MATCHER!$C$5:$C$504&lt;E400)*(MATCHER!$M$5:$M$504&gt;D400),0),0),"")</f>
        <v>145</v>
      </c>
      <c r="S400" s="15" t="str">
        <f>IF(R400="","",IFERROR(MATCH(1,INDEX((MATCHER!$B$5:$B$504=A400)*(MATCHER!$D$5:$D$504=C400)*(MATCHER!$K$5:$K$504="Ja")*(MATCHER!$C$5:$C$504&lt;E400)*(MATCHER!$M$5:$M$504&gt;D400)*(ROW(MATCHER!$A$5:$A$504)-ROW(MATCHER!$A$5)+1&gt;R400),0),0),""))</f>
        <v/>
      </c>
      <c r="T400" s="15" t="str">
        <f>IF(S400="","",IFERROR(MATCH(1,INDEX((MATCHER!$B$5:$B$504=A400)*(MATCHER!$D$5:$D$504=C400)*(MATCHER!$K$5:$K$504="Ja")*(MATCHER!$C$5:$C$504&lt;E400)*(MATCHER!$M$5:$M$504&gt;D400)*(ROW(MATCHER!$A$5:$A$504)-ROW(MATCHER!$A$5)+1&gt;S400),0),0),""))</f>
        <v/>
      </c>
      <c r="U400" s="15">
        <f t="shared" si="89"/>
        <v>0</v>
      </c>
      <c r="V400" s="15">
        <f>IF(OR(I400&lt;&gt;"Ja",J400=""),"",COUNTIFS($O$5:O400,O400,$U$5:U400,1))</f>
        <v>11</v>
      </c>
      <c r="W400" s="15" t="str">
        <f t="shared" si="90"/>
        <v>2027-01-30 | Ulriksdalshallen|11</v>
      </c>
      <c r="X400" s="16">
        <f t="shared" si="91"/>
        <v>0.79166666666666696</v>
      </c>
      <c r="Y400" s="15">
        <f>IF(OR(I400&lt;&gt;"Ja",J400=""),0,IF(COUNTIFS($O$5:O400,O400,$I$5:I400,"Ja",$J$5:J400,"&lt;&gt;")=1,1,0))</f>
        <v>0</v>
      </c>
      <c r="Z400" s="15">
        <f>IF(OR(I400&lt;&gt;"Ja",J400=""),0,IF(COUNTIFS(O400:$O$546,O400,I400:$I$546,"Ja",J400:$J$546,"&lt;&gt;")=1,1,0))</f>
        <v>1</v>
      </c>
      <c r="AA400" s="15">
        <f t="shared" si="87"/>
        <v>2</v>
      </c>
      <c r="AB400" s="15" t="str">
        <f>IF(U400&lt;&gt;1,"",COUNTIF($U$5:U400,1))</f>
        <v/>
      </c>
      <c r="AC400" s="15" t="str">
        <f t="shared" si="92"/>
        <v>2027-01-30 | Ulriksdalshallen|11</v>
      </c>
      <c r="AD400" s="15" t="str">
        <f t="shared" si="93"/>
        <v>Vanligt café</v>
      </c>
      <c r="AE400" s="15" t="str">
        <f t="shared" si="94"/>
        <v/>
      </c>
      <c r="AF400" t="str">
        <f>IF(T400="","",IFERROR(MATCH(1,INDEX((MATCHER!$B$5:$B$504=A400)*(MATCHER!$D$5:$D$504=C400)*(MATCHER!$K$5:$K$504="Ja")*(MATCHER!$C$5:$C$504&lt;E400)*(MATCHER!$M$5:$M$504&gt;D400)*(ROW(MATCHER!$A$5:$A$504)-ROW(MATCHER!$A$5)+1&gt;T400),0),0),""))</f>
        <v/>
      </c>
    </row>
    <row r="401" spans="1:32" ht="13">
      <c r="A401" s="42">
        <v>46424</v>
      </c>
      <c r="B401" s="43" t="s">
        <v>85</v>
      </c>
      <c r="C401" s="43" t="s">
        <v>94</v>
      </c>
      <c r="D401" s="44">
        <v>0.53125</v>
      </c>
      <c r="E401" s="44">
        <v>0.54166666666666696</v>
      </c>
      <c r="F401" s="45" t="str">
        <f>IF(R401="","",HOUR(INDEX(MATCHER!$C$5:$C$504,R401))&amp;":"&amp;IF(MINUTE(INDEX(MATCHER!$C$5:$C$504,R401))&lt;10,"0","")&amp;MINUTE(INDEX(MATCHER!$C$5:$C$504,R401))&amp;" "&amp;INDEX(MATCHER!$H$5:$H$504,R401)&amp;" – "&amp;INDEX(MATCHER!$I$5:$I$504,R401))&amp;IF(S401="",""," | "&amp;HOUR(INDEX(MATCHER!$C$5:$C$504,S401))&amp;":"&amp;IF(MINUTE(INDEX(MATCHER!$C$5:$C$504,S401))&lt;10,"0","")&amp;MINUTE(INDEX(MATCHER!$C$5:$C$504,S401))&amp;" "&amp;INDEX(MATCHER!$H$5:$H$504,S401)&amp;" – "&amp;INDEX(MATCHER!$I$5:$I$504,S401))&amp;IF(T401="",""," | "&amp;HOUR(INDEX(MATCHER!$C$5:$C$504,T401))&amp;":"&amp;IF(MINUTE(INDEX(MATCHER!$C$5:$C$504,T401))&lt;10,"0","")&amp;MINUTE(INDEX(MATCHER!$C$5:$C$504,T401))&amp;" "&amp;INDEX(MATCHER!$H$5:$H$504,T401)&amp;" – "&amp;INDEX(MATCHER!$I$5:$I$504,T401))&amp;IF(AF401="",""," | "&amp;HOUR(INDEX(MATCHER!$C$5:$C$504,AF401))&amp;":"&amp;IF(MINUTE(INDEX(MATCHER!$C$5:$C$504,AF401))&lt;10,"0","")&amp;MINUTE(INDEX(MATCHER!$C$5:$C$504,AF401))&amp;" "&amp;INDEX(MATCHER!$H$5:$H$504,AF401)&amp;" – "&amp;INDEX(MATCHER!$I$5:$I$504,AF401))</f>
        <v/>
      </c>
      <c r="G401" s="45" t="str">
        <f>MID(IF(R401="","",IF(OR(INDEX(MATCHER!$J$5:$J$504,R401)=""),""," / "&amp;INDEX(MATCHER!$J$5:$J$504,R401)))&amp;IF(S401="","",IF(OR(INDEX(MATCHER!$J$5:$J$504,S401)="",INDEX(MATCHER!$J$5:$J$504,S401)=IFERROR(INDEX(MATCHER!$J$5:$J$504,R401),"")),""," / "&amp;INDEX(MATCHER!$J$5:$J$504,S401)))&amp;IF(T401="","",IF(OR(INDEX(MATCHER!$J$5:$J$504,T401)="",INDEX(MATCHER!$J$5:$J$504,T401)=IFERROR(INDEX(MATCHER!$J$5:$J$504,R401),""),INDEX(MATCHER!$J$5:$J$504,T401)=IFERROR(INDEX(MATCHER!$J$5:$J$504,S401),"")),""," / "&amp;INDEX(MATCHER!$J$5:$J$504,T401)))&amp;IF(AF401="","",IF(OR(INDEX(MATCHER!$J$5:$J$504,AF401)="",INDEX(MATCHER!$J$5:$J$504,AF401)=IFERROR(INDEX(MATCHER!$J$5:$J$504,R401),""),INDEX(MATCHER!$J$5:$J$504,AF401)=IFERROR(INDEX(MATCHER!$J$5:$J$504,S401),""),INDEX(MATCHER!$J$5:$J$504,AF401)=IFERROR(INDEX(MATCHER!$J$5:$J$504,T401),"")),""," / "&amp;INDEX(MATCHER!$J$5:$J$504,AF401))),4,1000)</f>
        <v/>
      </c>
      <c r="H401" s="45" t="str">
        <f>MID(IF(COUNTIFS(MATCHER!$B$5:$B$504,A401,MATCHER!$D$5:$D$504,C401,MATCHER!$J$5:$J$504,REGLER!$I$6,MATCHER!$K$5:$K$504,"Ja")+COUNTIFS(MATCHER!$B$5:$B$504,A401,MATCHER!$D$5:$D$504,C401,MATCHER!$J$5:$J$504,REGLER!$I$6&amp;" 2",MATCHER!$K$5:$K$504,"Ja")&gt;0,", "&amp;REGLER!$I$6,"")&amp;IF(COUNTIFS(MATCHER!$B$5:$B$504,A401,MATCHER!$D$5:$D$504,C401,MATCHER!$J$5:$J$504,REGLER!$I$7,MATCHER!$K$5:$K$504,"Ja")+COUNTIFS(MATCHER!$B$5:$B$504,A401,MATCHER!$D$5:$D$504,C401,MATCHER!$J$5:$J$504,REGLER!$I$7&amp;" 2",MATCHER!$K$5:$K$504,"Ja")&gt;0,", "&amp;REGLER!$I$7,"")&amp;IF(COUNTIFS(MATCHER!$B$5:$B$504,A401,MATCHER!$D$5:$D$504,C401,MATCHER!$J$5:$J$504,REGLER!$I$8,MATCHER!$K$5:$K$504,"Ja")+COUNTIFS(MATCHER!$B$5:$B$504,A401,MATCHER!$D$5:$D$504,C401,MATCHER!$J$5:$J$504,REGLER!$I$8&amp;" 2",MATCHER!$K$5:$K$504,"Ja")&gt;0,", "&amp;REGLER!$I$8,"")&amp;IF(COUNTIFS(MATCHER!$B$5:$B$504,A401,MATCHER!$D$5:$D$504,C401,MATCHER!$J$5:$J$504,REGLER!$I$9,MATCHER!$K$5:$K$504,"Ja")+COUNTIFS(MATCHER!$B$5:$B$504,A401,MATCHER!$D$5:$D$504,C401,MATCHER!$J$5:$J$504,REGLER!$I$9&amp;" 2",MATCHER!$K$5:$K$504,"Ja")&gt;0,", "&amp;REGLER!$I$9,"")&amp;IF(COUNTIFS(MATCHER!$B$5:$B$504,A401,MATCHER!$D$5:$D$504,C401,MATCHER!$J$5:$J$504,REGLER!$I$10,MATCHER!$K$5:$K$504,"Ja")+COUNTIFS(MATCHER!$B$5:$B$504,A401,MATCHER!$D$5:$D$504,C401,MATCHER!$J$5:$J$504,REGLER!$I$10&amp;" 2",MATCHER!$K$5:$K$504,"Ja")&gt;0,", "&amp;REGLER!$I$10,"")&amp;IF(COUNTIFS(MATCHER!$B$5:$B$504,A401,MATCHER!$D$5:$D$504,C401,MATCHER!$J$5:$J$504,REGLER!$I$11,MATCHER!$K$5:$K$504,"Ja")+COUNTIFS(MATCHER!$B$5:$B$504,A401,MATCHER!$D$5:$D$504,C401,MATCHER!$J$5:$J$504,REGLER!$I$11&amp;" 2",MATCHER!$K$5:$K$504,"Ja")&gt;0,", "&amp;REGLER!$I$11,"")&amp;IF(COUNTIFS(MATCHER!$B$5:$B$504,A401,MATCHER!$D$5:$D$504,C401,MATCHER!$J$5:$J$504,REGLER!$I$12,MATCHER!$K$5:$K$504,"Ja")+COUNTIFS(MATCHER!$B$5:$B$504,A401,MATCHER!$D$5:$D$504,C401,MATCHER!$J$5:$J$504,REGLER!$I$12&amp;" 2",MATCHER!$K$5:$K$504,"Ja")&gt;0,", "&amp;REGLER!$I$12,"")&amp;IF(COUNTIFS(MATCHER!$B$5:$B$504,A401,MATCHER!$D$5:$D$504,C401,MATCHER!$J$5:$J$504,REGLER!$I$13,MATCHER!$K$5:$K$504,"Ja")+COUNTIFS(MATCHER!$B$5:$B$504,A401,MATCHER!$D$5:$D$504,C401,MATCHER!$J$5:$J$504,REGLER!$I$13&amp;" 2",MATCHER!$K$5:$K$504,"Ja")&gt;0,", "&amp;REGLER!$I$13,"")&amp;IF(COUNTIFS(MATCHER!$B$5:$B$504,A401,MATCHER!$D$5:$D$504,C401,MATCHER!$J$5:$J$504,REGLER!$I$14,MATCHER!$K$5:$K$504,"Ja")+COUNTIFS(MATCHER!$B$5:$B$504,A401,MATCHER!$D$5:$D$504,C401,MATCHER!$J$5:$J$504,REGLER!$I$14&amp;" 2",MATCHER!$K$5:$K$504,"Ja")&gt;0,", "&amp;REGLER!$I$14,"")&amp;IF(COUNTIFS(MATCHER!$B$5:$B$504,A401,MATCHER!$D$5:$D$504,C401,MATCHER!$J$5:$J$504,REGLER!$I$15,MATCHER!$K$5:$K$504,"Ja")+COUNTIFS(MATCHER!$B$5:$B$504,A401,MATCHER!$D$5:$D$504,C401,MATCHER!$J$5:$J$504,REGLER!$I$15&amp;" 2",MATCHER!$K$5:$K$504,"Ja")&gt;0,", "&amp;REGLER!$I$15,"")&amp;IF(COUNTIFS(MATCHER!$B$5:$B$504,A401,MATCHER!$D$5:$D$504,C401,MATCHER!$J$5:$J$504,REGLER!$I$16,MATCHER!$K$5:$K$504,"Ja")+COUNTIFS(MATCHER!$B$5:$B$504,A401,MATCHER!$D$5:$D$504,C401,MATCHER!$J$5:$J$504,REGLER!$I$16&amp;" 2",MATCHER!$K$5:$K$504,"Ja")&gt;0,", "&amp;REGLER!$I$16,"")&amp;IF(COUNTIFS(MATCHER!$B$5:$B$504,A401,MATCHER!$D$5:$D$504,C401,MATCHER!$J$5:$J$504,REGLER!$I$17,MATCHER!$K$5:$K$504,"Ja")+COUNTIFS(MATCHER!$B$5:$B$504,A401,MATCHER!$D$5:$D$504,C401,MATCHER!$J$5:$J$504,REGLER!$I$17&amp;" 2",MATCHER!$K$5:$K$504,"Ja")&gt;0,", "&amp;REGLER!$I$17,"")&amp;IF(COUNTIFS(MATCHER!$B$5:$B$504,A401,MATCHER!$D$5:$D$504,C401,MATCHER!$J$5:$J$504,REGLER!$I$18,MATCHER!$K$5:$K$504,"Ja")+COUNTIFS(MATCHER!$B$5:$B$504,A401,MATCHER!$D$5:$D$504,C401,MATCHER!$J$5:$J$504,REGLER!$I$18&amp;" 2",MATCHER!$K$5:$K$504,"Ja")&gt;0,", "&amp;REGLER!$I$18,"")&amp;IF(COUNTIFS(MATCHER!$B$5:$B$504,A401,MATCHER!$D$5:$D$504,C401,MATCHER!$J$5:$J$504,REGLER!$I$19,MATCHER!$K$5:$K$504,"Ja")+COUNTIFS(MATCHER!$B$5:$B$504,A401,MATCHER!$D$5:$D$504,C401,MATCHER!$J$5:$J$504,REGLER!$I$19&amp;" 2",MATCHER!$K$5:$K$504,"Ja")&gt;0,", "&amp;REGLER!$I$19,"")&amp;IF(COUNTIFS(MATCHER!$B$5:$B$504,A401,MATCHER!$D$5:$D$504,C401,MATCHER!$J$5:$J$504,REGLER!$I$20,MATCHER!$K$5:$K$504,"Ja")+COUNTIFS(MATCHER!$B$5:$B$504,A401,MATCHER!$D$5:$D$504,C401,MATCHER!$J$5:$J$504,REGLER!$I$20&amp;" 2",MATCHER!$K$5:$K$504,"Ja")&gt;0,", "&amp;REGLER!$I$20,"")&amp;IF(COUNTIFS(MATCHER!$B$5:$B$504,A401,MATCHER!$D$5:$D$504,C401,MATCHER!$J$5:$J$504,REGLER!$I$21,MATCHER!$K$5:$K$504,"Ja")+COUNTIFS(MATCHER!$B$5:$B$504,A401,MATCHER!$D$5:$D$504,C401,MATCHER!$J$5:$J$504,REGLER!$I$21&amp;" 2",MATCHER!$K$5:$K$504,"Ja")&gt;0,", "&amp;REGLER!$I$21,"")&amp;IF(COUNTIFS(MATCHER!$B$5:$B$504,A401,MATCHER!$D$5:$D$504,C401,MATCHER!$J$5:$J$504,REGLER!$I$22,MATCHER!$K$5:$K$504,"Ja")+COUNTIFS(MATCHER!$B$5:$B$504,A401,MATCHER!$D$5:$D$504,C401,MATCHER!$J$5:$J$504,REGLER!$I$22&amp;" 2",MATCHER!$K$5:$K$504,"Ja")&gt;0,", "&amp;REGLER!$I$22,"")&amp;IF(COUNTIFS(MATCHER!$B$5:$B$504,A401,MATCHER!$D$5:$D$504,C401,MATCHER!$J$5:$J$504,REGLER!$I$23,MATCHER!$K$5:$K$504,"Ja")+COUNTIFS(MATCHER!$B$5:$B$504,A401,MATCHER!$D$5:$D$504,C401,MATCHER!$J$5:$J$504,REGLER!$I$23&amp;" 2",MATCHER!$K$5:$K$504,"Ja")&gt;0,", "&amp;REGLER!$I$23,"")&amp;IF(COUNTIFS(MATCHER!$B$5:$B$504,A401,MATCHER!$D$5:$D$504,C401,MATCHER!$J$5:$J$504,REGLER!$I$24,MATCHER!$K$5:$K$504,"Ja")+COUNTIFS(MATCHER!$B$5:$B$504,A401,MATCHER!$D$5:$D$504,C401,MATCHER!$J$5:$J$504,REGLER!$I$24&amp;" 2",MATCHER!$K$5:$K$504,"Ja")&gt;0,", "&amp;REGLER!$I$24,"")&amp;IF(COUNTIFS(MATCHER!$B$5:$B$504,A401,MATCHER!$D$5:$D$504,C401,MATCHER!$J$5:$J$504,REGLER!$I$25,MATCHER!$K$5:$K$504,"Ja")+COUNTIFS(MATCHER!$B$5:$B$504,A401,MATCHER!$D$5:$D$504,C401,MATCHER!$J$5:$J$504,REGLER!$I$25&amp;" 2",MATCHER!$K$5:$K$504,"Ja")&gt;0,", "&amp;REGLER!$I$25,"")&amp;IF(COUNTIFS(MATCHER!$B$5:$B$504,A401,MATCHER!$D$5:$D$504,C401,MATCHER!$J$5:$J$504,REGLER!$I$26,MATCHER!$K$5:$K$504,"Ja")+COUNTIFS(MATCHER!$B$5:$B$504,A401,MATCHER!$D$5:$D$504,C401,MATCHER!$J$5:$J$504,REGLER!$I$26&amp;" 2",MATCHER!$K$5:$K$504,"Ja")&gt;0,", "&amp;REGLER!$I$26,""),3,1000)</f>
        <v>P16</v>
      </c>
      <c r="I401" s="46" t="s">
        <v>87</v>
      </c>
      <c r="J401" s="47"/>
      <c r="K401" s="48" t="s">
        <v>98</v>
      </c>
      <c r="L401" s="49"/>
      <c r="M401" s="50">
        <f>IF(O401&lt;&gt;O400,MAX(1,MIN(AA401,ROUNDUP(SUMPRODUCT(($O$5:$O$546=O401)*($I$5:$I$546="Ja")*($E$5:$E$546-$D$5:$D$546))*24/REGLER!$B$8,0))),"")</f>
        <v>1</v>
      </c>
      <c r="N401" s="50" t="str">
        <f t="shared" si="88"/>
        <v>Ej öppet</v>
      </c>
      <c r="O401" s="15" t="s">
        <v>151</v>
      </c>
      <c r="P401" s="16">
        <v>0.53125</v>
      </c>
      <c r="Q401" s="16">
        <v>0.625</v>
      </c>
      <c r="R401" s="15" t="str">
        <f>IFERROR(MATCH(1,INDEX((MATCHER!$B$5:$B$504=A401)*(MATCHER!$D$5:$D$504=C401)*(MATCHER!$K$5:$K$504="Ja")*(MATCHER!$C$5:$C$504&lt;E401)*(MATCHER!$M$5:$M$504&gt;D401),0),0),"")</f>
        <v/>
      </c>
      <c r="S401" s="15" t="str">
        <f>IF(R401="","",IFERROR(MATCH(1,INDEX((MATCHER!$B$5:$B$504=A401)*(MATCHER!$D$5:$D$504=C401)*(MATCHER!$K$5:$K$504="Ja")*(MATCHER!$C$5:$C$504&lt;E401)*(MATCHER!$M$5:$M$504&gt;D401)*(ROW(MATCHER!$A$5:$A$504)-ROW(MATCHER!$A$5)+1&gt;R401),0),0),""))</f>
        <v/>
      </c>
      <c r="T401" s="15" t="str">
        <f>IF(S401="","",IFERROR(MATCH(1,INDEX((MATCHER!$B$5:$B$504=A401)*(MATCHER!$D$5:$D$504=C401)*(MATCHER!$K$5:$K$504="Ja")*(MATCHER!$C$5:$C$504&lt;E401)*(MATCHER!$M$5:$M$504&gt;D401)*(ROW(MATCHER!$A$5:$A$504)-ROW(MATCHER!$A$5)+1&gt;S401),0),0),""))</f>
        <v/>
      </c>
      <c r="U401" s="15" t="str">
        <f t="shared" si="89"/>
        <v/>
      </c>
      <c r="V401" s="15" t="str">
        <f>IF(OR(I401&lt;&gt;"Ja",J401=""),"",COUNTIFS($O$5:O401,O401,$U$5:U401,1))</f>
        <v/>
      </c>
      <c r="W401" s="15" t="str">
        <f t="shared" si="90"/>
        <v/>
      </c>
      <c r="X401" s="16" t="str">
        <f t="shared" si="91"/>
        <v/>
      </c>
      <c r="Y401" s="15">
        <f>IF(OR(I401&lt;&gt;"Ja",J401=""),0,IF(COUNTIFS($O$5:O401,O401,$I$5:I401,"Ja",$J$5:J401,"&lt;&gt;")=1,1,0))</f>
        <v>0</v>
      </c>
      <c r="Z401" s="15">
        <f>IF(OR(I401&lt;&gt;"Ja",J401=""),0,IF(COUNTIFS(O401:$O$546,O401,I401:$I$546,"Ja",J401:$J$546,"&lt;&gt;")=1,1,0))</f>
        <v>0</v>
      </c>
      <c r="AA401" s="15">
        <f>IF(COUNTIFS(MATCHER!$B$5:$B$504,A401,MATCHER!$D$5:$D$504,C401,MATCHER!$J$5:$J$504,REGLER!$I$6,MATCHER!$K$5:$K$504,"Ja")+COUNTIFS(MATCHER!$B$5:$B$504,A401,MATCHER!$D$5:$D$504,C401,MATCHER!$J$5:$J$504,REGLER!$I$6&amp;" 2",MATCHER!$K$5:$K$504,"Ja")&gt;0,1,0)+IF(COUNTIFS(MATCHER!$B$5:$B$504,A401,MATCHER!$D$5:$D$504,C401,MATCHER!$J$5:$J$504,REGLER!$I$7,MATCHER!$K$5:$K$504,"Ja")+COUNTIFS(MATCHER!$B$5:$B$504,A401,MATCHER!$D$5:$D$504,C401,MATCHER!$J$5:$J$504,REGLER!$I$7&amp;" 2",MATCHER!$K$5:$K$504,"Ja")&gt;0,1,0)+IF(COUNTIFS(MATCHER!$B$5:$B$504,A401,MATCHER!$D$5:$D$504,C401,MATCHER!$J$5:$J$504,REGLER!$I$8,MATCHER!$K$5:$K$504,"Ja")+COUNTIFS(MATCHER!$B$5:$B$504,A401,MATCHER!$D$5:$D$504,C401,MATCHER!$J$5:$J$504,REGLER!$I$8&amp;" 2",MATCHER!$K$5:$K$504,"Ja")&gt;0,1,0)+IF(COUNTIFS(MATCHER!$B$5:$B$504,A401,MATCHER!$D$5:$D$504,C401,MATCHER!$J$5:$J$504,REGLER!$I$9,MATCHER!$K$5:$K$504,"Ja")+COUNTIFS(MATCHER!$B$5:$B$504,A401,MATCHER!$D$5:$D$504,C401,MATCHER!$J$5:$J$504,REGLER!$I$9&amp;" 2",MATCHER!$K$5:$K$504,"Ja")&gt;0,1,0)+IF(COUNTIFS(MATCHER!$B$5:$B$504,A401,MATCHER!$D$5:$D$504,C401,MATCHER!$J$5:$J$504,REGLER!$I$10,MATCHER!$K$5:$K$504,"Ja")+COUNTIFS(MATCHER!$B$5:$B$504,A401,MATCHER!$D$5:$D$504,C401,MATCHER!$J$5:$J$504,REGLER!$I$10&amp;" 2",MATCHER!$K$5:$K$504,"Ja")&gt;0,1,0)+IF(COUNTIFS(MATCHER!$B$5:$B$504,A401,MATCHER!$D$5:$D$504,C401,MATCHER!$J$5:$J$504,REGLER!$I$11,MATCHER!$K$5:$K$504,"Ja")+COUNTIFS(MATCHER!$B$5:$B$504,A401,MATCHER!$D$5:$D$504,C401,MATCHER!$J$5:$J$504,REGLER!$I$11&amp;" 2",MATCHER!$K$5:$K$504,"Ja")&gt;0,1,0)+IF(COUNTIFS(MATCHER!$B$5:$B$504,A401,MATCHER!$D$5:$D$504,C401,MATCHER!$J$5:$J$504,REGLER!$I$12,MATCHER!$K$5:$K$504,"Ja")+COUNTIFS(MATCHER!$B$5:$B$504,A401,MATCHER!$D$5:$D$504,C401,MATCHER!$J$5:$J$504,REGLER!$I$12&amp;" 2",MATCHER!$K$5:$K$504,"Ja")&gt;0,1,0)+IF(COUNTIFS(MATCHER!$B$5:$B$504,A401,MATCHER!$D$5:$D$504,C401,MATCHER!$J$5:$J$504,REGLER!$I$13,MATCHER!$K$5:$K$504,"Ja")+COUNTIFS(MATCHER!$B$5:$B$504,A401,MATCHER!$D$5:$D$504,C401,MATCHER!$J$5:$J$504,REGLER!$I$13&amp;" 2",MATCHER!$K$5:$K$504,"Ja")&gt;0,1,0)+IF(COUNTIFS(MATCHER!$B$5:$B$504,A401,MATCHER!$D$5:$D$504,C401,MATCHER!$J$5:$J$504,REGLER!$I$14,MATCHER!$K$5:$K$504,"Ja")+COUNTIFS(MATCHER!$B$5:$B$504,A401,MATCHER!$D$5:$D$504,C401,MATCHER!$J$5:$J$504,REGLER!$I$14&amp;" 2",MATCHER!$K$5:$K$504,"Ja")&gt;0,1,0)+IF(COUNTIFS(MATCHER!$B$5:$B$504,A401,MATCHER!$D$5:$D$504,C401,MATCHER!$J$5:$J$504,REGLER!$I$15,MATCHER!$K$5:$K$504,"Ja")+COUNTIFS(MATCHER!$B$5:$B$504,A401,MATCHER!$D$5:$D$504,C401,MATCHER!$J$5:$J$504,REGLER!$I$15&amp;" 2",MATCHER!$K$5:$K$504,"Ja")&gt;0,1,0)+IF(COUNTIFS(MATCHER!$B$5:$B$504,A401,MATCHER!$D$5:$D$504,C401,MATCHER!$J$5:$J$504,REGLER!$I$16,MATCHER!$K$5:$K$504,"Ja")+COUNTIFS(MATCHER!$B$5:$B$504,A401,MATCHER!$D$5:$D$504,C401,MATCHER!$J$5:$J$504,REGLER!$I$16&amp;" 2",MATCHER!$K$5:$K$504,"Ja")&gt;0,1,0)+IF(COUNTIFS(MATCHER!$B$5:$B$504,A401,MATCHER!$D$5:$D$504,C401,MATCHER!$J$5:$J$504,REGLER!$I$17,MATCHER!$K$5:$K$504,"Ja")+COUNTIFS(MATCHER!$B$5:$B$504,A401,MATCHER!$D$5:$D$504,C401,MATCHER!$J$5:$J$504,REGLER!$I$17&amp;" 2",MATCHER!$K$5:$K$504,"Ja")&gt;0,1,0)+IF(COUNTIFS(MATCHER!$B$5:$B$504,A401,MATCHER!$D$5:$D$504,C401,MATCHER!$J$5:$J$504,REGLER!$I$18,MATCHER!$K$5:$K$504,"Ja")+COUNTIFS(MATCHER!$B$5:$B$504,A401,MATCHER!$D$5:$D$504,C401,MATCHER!$J$5:$J$504,REGLER!$I$18&amp;" 2",MATCHER!$K$5:$K$504,"Ja")&gt;0,1,0)+IF(COUNTIFS(MATCHER!$B$5:$B$504,A401,MATCHER!$D$5:$D$504,C401,MATCHER!$J$5:$J$504,REGLER!$I$19,MATCHER!$K$5:$K$504,"Ja")+COUNTIFS(MATCHER!$B$5:$B$504,A401,MATCHER!$D$5:$D$504,C401,MATCHER!$J$5:$J$504,REGLER!$I$19&amp;" 2",MATCHER!$K$5:$K$504,"Ja")&gt;0,1,0)+IF(COUNTIFS(MATCHER!$B$5:$B$504,A401,MATCHER!$D$5:$D$504,C401,MATCHER!$J$5:$J$504,REGLER!$I$20,MATCHER!$K$5:$K$504,"Ja")+COUNTIFS(MATCHER!$B$5:$B$504,A401,MATCHER!$D$5:$D$504,C401,MATCHER!$J$5:$J$504,REGLER!$I$20&amp;" 2",MATCHER!$K$5:$K$504,"Ja")&gt;0,1,0)+IF(COUNTIFS(MATCHER!$B$5:$B$504,A401,MATCHER!$D$5:$D$504,C401,MATCHER!$J$5:$J$504,REGLER!$I$21,MATCHER!$K$5:$K$504,"Ja")+COUNTIFS(MATCHER!$B$5:$B$504,A401,MATCHER!$D$5:$D$504,C401,MATCHER!$J$5:$J$504,REGLER!$I$21&amp;" 2",MATCHER!$K$5:$K$504,"Ja")&gt;0,1,0)+IF(COUNTIFS(MATCHER!$B$5:$B$504,A401,MATCHER!$D$5:$D$504,C401,MATCHER!$J$5:$J$504,REGLER!$I$22,MATCHER!$K$5:$K$504,"Ja")+COUNTIFS(MATCHER!$B$5:$B$504,A401,MATCHER!$D$5:$D$504,C401,MATCHER!$J$5:$J$504,REGLER!$I$22&amp;" 2",MATCHER!$K$5:$K$504,"Ja")&gt;0,1,0)+IF(COUNTIFS(MATCHER!$B$5:$B$504,A401,MATCHER!$D$5:$D$504,C401,MATCHER!$J$5:$J$504,REGLER!$I$23,MATCHER!$K$5:$K$504,"Ja")+COUNTIFS(MATCHER!$B$5:$B$504,A401,MATCHER!$D$5:$D$504,C401,MATCHER!$J$5:$J$504,REGLER!$I$23&amp;" 2",MATCHER!$K$5:$K$504,"Ja")&gt;0,1,0)+IF(COUNTIFS(MATCHER!$B$5:$B$504,A401,MATCHER!$D$5:$D$504,C401,MATCHER!$J$5:$J$504,REGLER!$I$24,MATCHER!$K$5:$K$504,"Ja")+COUNTIFS(MATCHER!$B$5:$B$504,A401,MATCHER!$D$5:$D$504,C401,MATCHER!$J$5:$J$504,REGLER!$I$24&amp;" 2",MATCHER!$K$5:$K$504,"Ja")&gt;0,1,0)+IF(COUNTIFS(MATCHER!$B$5:$B$504,A401,MATCHER!$D$5:$D$504,C401,MATCHER!$J$5:$J$504,REGLER!$I$25,MATCHER!$K$5:$K$504,"Ja")+COUNTIFS(MATCHER!$B$5:$B$504,A401,MATCHER!$D$5:$D$504,C401,MATCHER!$J$5:$J$504,REGLER!$I$25&amp;" 2",MATCHER!$K$5:$K$504,"Ja")&gt;0,1,0)+IF(COUNTIFS(MATCHER!$B$5:$B$504,A401,MATCHER!$D$5:$D$504,C401,MATCHER!$J$5:$J$504,REGLER!$I$26,MATCHER!$K$5:$K$504,"Ja")+COUNTIFS(MATCHER!$B$5:$B$504,A401,MATCHER!$D$5:$D$504,C401,MATCHER!$J$5:$J$504,REGLER!$I$26&amp;" 2",MATCHER!$K$5:$K$504,"Ja")&gt;0,1,0)</f>
        <v>1</v>
      </c>
      <c r="AB401" s="15" t="str">
        <f>IF(U401&lt;&gt;1,"",COUNTIF($U$5:U401,1))</f>
        <v/>
      </c>
      <c r="AC401" s="15" t="str">
        <f t="shared" si="92"/>
        <v/>
      </c>
      <c r="AD401" s="15" t="str">
        <f t="shared" si="93"/>
        <v>Minicafé</v>
      </c>
      <c r="AE401" s="15" t="str">
        <f t="shared" si="94"/>
        <v/>
      </c>
      <c r="AF401" t="str">
        <f>IF(T401="","",IFERROR(MATCH(1,INDEX((MATCHER!$B$5:$B$504=A401)*(MATCHER!$D$5:$D$504=C401)*(MATCHER!$K$5:$K$504="Ja")*(MATCHER!$C$5:$C$504&lt;E401)*(MATCHER!$M$5:$M$504&gt;D401)*(ROW(MATCHER!$A$5:$A$504)-ROW(MATCHER!$A$5)+1&gt;T401),0),0),""))</f>
        <v/>
      </c>
    </row>
    <row r="402" spans="1:32" ht="13">
      <c r="A402" s="42">
        <v>46424</v>
      </c>
      <c r="B402" s="43" t="s">
        <v>85</v>
      </c>
      <c r="C402" s="43" t="s">
        <v>94</v>
      </c>
      <c r="D402" s="44">
        <v>0.54166666666666696</v>
      </c>
      <c r="E402" s="44">
        <v>0.5625</v>
      </c>
      <c r="F402" s="45" t="str">
        <f>IF(R402="","",HOUR(INDEX(MATCHER!$C$5:$C$504,R402))&amp;":"&amp;IF(MINUTE(INDEX(MATCHER!$C$5:$C$504,R402))&lt;10,"0","")&amp;MINUTE(INDEX(MATCHER!$C$5:$C$504,R402))&amp;" "&amp;INDEX(MATCHER!$H$5:$H$504,R402)&amp;" – "&amp;INDEX(MATCHER!$I$5:$I$504,R402))&amp;IF(S402="",""," | "&amp;HOUR(INDEX(MATCHER!$C$5:$C$504,S402))&amp;":"&amp;IF(MINUTE(INDEX(MATCHER!$C$5:$C$504,S402))&lt;10,"0","")&amp;MINUTE(INDEX(MATCHER!$C$5:$C$504,S402))&amp;" "&amp;INDEX(MATCHER!$H$5:$H$504,S402)&amp;" – "&amp;INDEX(MATCHER!$I$5:$I$504,S402))&amp;IF(T402="",""," | "&amp;HOUR(INDEX(MATCHER!$C$5:$C$504,T402))&amp;":"&amp;IF(MINUTE(INDEX(MATCHER!$C$5:$C$504,T402))&lt;10,"0","")&amp;MINUTE(INDEX(MATCHER!$C$5:$C$504,T402))&amp;" "&amp;INDEX(MATCHER!$H$5:$H$504,T402)&amp;" – "&amp;INDEX(MATCHER!$I$5:$I$504,T402))&amp;IF(AF402="",""," | "&amp;HOUR(INDEX(MATCHER!$C$5:$C$504,AF402))&amp;":"&amp;IF(MINUTE(INDEX(MATCHER!$C$5:$C$504,AF402))&lt;10,"0","")&amp;MINUTE(INDEX(MATCHER!$C$5:$C$504,AF402))&amp;" "&amp;INDEX(MATCHER!$H$5:$H$504,AF402)&amp;" – "&amp;INDEX(MATCHER!$I$5:$I$504,AF402))</f>
        <v/>
      </c>
      <c r="G402" s="45" t="str">
        <f>MID(IF(R402="","",IF(OR(INDEX(MATCHER!$J$5:$J$504,R402)=""),""," / "&amp;INDEX(MATCHER!$J$5:$J$504,R402)))&amp;IF(S402="","",IF(OR(INDEX(MATCHER!$J$5:$J$504,S402)="",INDEX(MATCHER!$J$5:$J$504,S402)=IFERROR(INDEX(MATCHER!$J$5:$J$504,R402),"")),""," / "&amp;INDEX(MATCHER!$J$5:$J$504,S402)))&amp;IF(T402="","",IF(OR(INDEX(MATCHER!$J$5:$J$504,T402)="",INDEX(MATCHER!$J$5:$J$504,T402)=IFERROR(INDEX(MATCHER!$J$5:$J$504,R402),""),INDEX(MATCHER!$J$5:$J$504,T402)=IFERROR(INDEX(MATCHER!$J$5:$J$504,S402),"")),""," / "&amp;INDEX(MATCHER!$J$5:$J$504,T402)))&amp;IF(AF402="","",IF(OR(INDEX(MATCHER!$J$5:$J$504,AF402)="",INDEX(MATCHER!$J$5:$J$504,AF402)=IFERROR(INDEX(MATCHER!$J$5:$J$504,R402),""),INDEX(MATCHER!$J$5:$J$504,AF402)=IFERROR(INDEX(MATCHER!$J$5:$J$504,S402),""),INDEX(MATCHER!$J$5:$J$504,AF402)=IFERROR(INDEX(MATCHER!$J$5:$J$504,T402),"")),""," / "&amp;INDEX(MATCHER!$J$5:$J$504,AF402))),4,1000)</f>
        <v/>
      </c>
      <c r="H402" s="45" t="str">
        <f>H401</f>
        <v>P16</v>
      </c>
      <c r="I402" s="46" t="s">
        <v>87</v>
      </c>
      <c r="J402" s="47"/>
      <c r="K402" s="48"/>
      <c r="L402" s="49"/>
      <c r="M402" s="50" t="str">
        <f>IF(O402&lt;&gt;O401,MAX(1,MIN(AA402,ROUNDUP(SUMPRODUCT(($O$5:$O$546=O402)*($I$5:$I$546="Ja")*($E$5:$E$546-$D$5:$D$546))*24/REGLER!$B$8,0))),"")</f>
        <v/>
      </c>
      <c r="N402" s="50" t="str">
        <f t="shared" si="88"/>
        <v>Ej öppet</v>
      </c>
      <c r="O402" s="15" t="s">
        <v>151</v>
      </c>
      <c r="P402" s="16">
        <v>0.53125</v>
      </c>
      <c r="Q402" s="16">
        <v>0.625</v>
      </c>
      <c r="R402" s="15" t="str">
        <f>IFERROR(MATCH(1,INDEX((MATCHER!$B$5:$B$504=A402)*(MATCHER!$D$5:$D$504=C402)*(MATCHER!$K$5:$K$504="Ja")*(MATCHER!$C$5:$C$504&lt;E402)*(MATCHER!$M$5:$M$504&gt;D402),0),0),"")</f>
        <v/>
      </c>
      <c r="S402" s="15" t="str">
        <f>IF(R402="","",IFERROR(MATCH(1,INDEX((MATCHER!$B$5:$B$504=A402)*(MATCHER!$D$5:$D$504=C402)*(MATCHER!$K$5:$K$504="Ja")*(MATCHER!$C$5:$C$504&lt;E402)*(MATCHER!$M$5:$M$504&gt;D402)*(ROW(MATCHER!$A$5:$A$504)-ROW(MATCHER!$A$5)+1&gt;R402),0),0),""))</f>
        <v/>
      </c>
      <c r="T402" s="15" t="str">
        <f>IF(S402="","",IFERROR(MATCH(1,INDEX((MATCHER!$B$5:$B$504=A402)*(MATCHER!$D$5:$D$504=C402)*(MATCHER!$K$5:$K$504="Ja")*(MATCHER!$C$5:$C$504&lt;E402)*(MATCHER!$M$5:$M$504&gt;D402)*(ROW(MATCHER!$A$5:$A$504)-ROW(MATCHER!$A$5)+1&gt;S402),0),0),""))</f>
        <v/>
      </c>
      <c r="U402" s="15" t="str">
        <f t="shared" si="89"/>
        <v/>
      </c>
      <c r="V402" s="15" t="str">
        <f>IF(OR(I402&lt;&gt;"Ja",J402=""),"",COUNTIFS($O$5:O402,O402,$U$5:U402,1))</f>
        <v/>
      </c>
      <c r="W402" s="15" t="str">
        <f t="shared" si="90"/>
        <v/>
      </c>
      <c r="X402" s="16" t="str">
        <f t="shared" si="91"/>
        <v/>
      </c>
      <c r="Y402" s="15">
        <f>IF(OR(I402&lt;&gt;"Ja",J402=""),0,IF(COUNTIFS($O$5:O402,O402,$I$5:I402,"Ja",$J$5:J402,"&lt;&gt;")=1,1,0))</f>
        <v>0</v>
      </c>
      <c r="Z402" s="15">
        <f>IF(OR(I402&lt;&gt;"Ja",J402=""),0,IF(COUNTIFS(O402:$O$546,O402,I402:$I$546,"Ja",J402:$J$546,"&lt;&gt;")=1,1,0))</f>
        <v>0</v>
      </c>
      <c r="AA402" s="15">
        <f>AA401</f>
        <v>1</v>
      </c>
      <c r="AB402" s="15" t="str">
        <f>IF(U402&lt;&gt;1,"",COUNTIF($U$5:U402,1))</f>
        <v/>
      </c>
      <c r="AC402" s="15" t="str">
        <f t="shared" si="92"/>
        <v/>
      </c>
      <c r="AD402" s="15" t="str">
        <f t="shared" si="93"/>
        <v>Minicafé</v>
      </c>
      <c r="AE402" s="15" t="str">
        <f t="shared" si="94"/>
        <v/>
      </c>
      <c r="AF402" t="str">
        <f>IF(T402="","",IFERROR(MATCH(1,INDEX((MATCHER!$B$5:$B$504=A402)*(MATCHER!$D$5:$D$504=C402)*(MATCHER!$K$5:$K$504="Ja")*(MATCHER!$C$5:$C$504&lt;E402)*(MATCHER!$M$5:$M$504&gt;D402)*(ROW(MATCHER!$A$5:$A$504)-ROW(MATCHER!$A$5)+1&gt;T402),0),0),""))</f>
        <v/>
      </c>
    </row>
    <row r="403" spans="1:32" ht="13">
      <c r="A403" s="42">
        <v>46424</v>
      </c>
      <c r="B403" s="43" t="s">
        <v>85</v>
      </c>
      <c r="C403" s="43" t="s">
        <v>94</v>
      </c>
      <c r="D403" s="44">
        <v>0.5625</v>
      </c>
      <c r="E403" s="44">
        <v>0.58333333333333304</v>
      </c>
      <c r="F403" s="45" t="str">
        <f>IF(R403="","",HOUR(INDEX(MATCHER!$C$5:$C$504,R403))&amp;":"&amp;IF(MINUTE(INDEX(MATCHER!$C$5:$C$504,R403))&lt;10,"0","")&amp;MINUTE(INDEX(MATCHER!$C$5:$C$504,R403))&amp;" "&amp;INDEX(MATCHER!$H$5:$H$504,R403)&amp;" – "&amp;INDEX(MATCHER!$I$5:$I$504,R403))&amp;IF(S403="",""," | "&amp;HOUR(INDEX(MATCHER!$C$5:$C$504,S403))&amp;":"&amp;IF(MINUTE(INDEX(MATCHER!$C$5:$C$504,S403))&lt;10,"0","")&amp;MINUTE(INDEX(MATCHER!$C$5:$C$504,S403))&amp;" "&amp;INDEX(MATCHER!$H$5:$H$504,S403)&amp;" – "&amp;INDEX(MATCHER!$I$5:$I$504,S403))&amp;IF(T403="",""," | "&amp;HOUR(INDEX(MATCHER!$C$5:$C$504,T403))&amp;":"&amp;IF(MINUTE(INDEX(MATCHER!$C$5:$C$504,T403))&lt;10,"0","")&amp;MINUTE(INDEX(MATCHER!$C$5:$C$504,T403))&amp;" "&amp;INDEX(MATCHER!$H$5:$H$504,T403)&amp;" – "&amp;INDEX(MATCHER!$I$5:$I$504,T403))&amp;IF(AF403="",""," | "&amp;HOUR(INDEX(MATCHER!$C$5:$C$504,AF403))&amp;":"&amp;IF(MINUTE(INDEX(MATCHER!$C$5:$C$504,AF403))&lt;10,"0","")&amp;MINUTE(INDEX(MATCHER!$C$5:$C$504,AF403))&amp;" "&amp;INDEX(MATCHER!$H$5:$H$504,AF403)&amp;" – "&amp;INDEX(MATCHER!$I$5:$I$504,AF403))</f>
        <v>13:40 AIK 2 – Vassunda IF</v>
      </c>
      <c r="G403" s="45" t="str">
        <f>MID(IF(R403="","",IF(OR(INDEX(MATCHER!$J$5:$J$504,R403)=""),""," / "&amp;INDEX(MATCHER!$J$5:$J$504,R403)))&amp;IF(S403="","",IF(OR(INDEX(MATCHER!$J$5:$J$504,S403)="",INDEX(MATCHER!$J$5:$J$504,S403)=IFERROR(INDEX(MATCHER!$J$5:$J$504,R403),"")),""," / "&amp;INDEX(MATCHER!$J$5:$J$504,S403)))&amp;IF(T403="","",IF(OR(INDEX(MATCHER!$J$5:$J$504,T403)="",INDEX(MATCHER!$J$5:$J$504,T403)=IFERROR(INDEX(MATCHER!$J$5:$J$504,R403),""),INDEX(MATCHER!$J$5:$J$504,T403)=IFERROR(INDEX(MATCHER!$J$5:$J$504,S403),"")),""," / "&amp;INDEX(MATCHER!$J$5:$J$504,T403)))&amp;IF(AF403="","",IF(OR(INDEX(MATCHER!$J$5:$J$504,AF403)="",INDEX(MATCHER!$J$5:$J$504,AF403)=IFERROR(INDEX(MATCHER!$J$5:$J$504,R403),""),INDEX(MATCHER!$J$5:$J$504,AF403)=IFERROR(INDEX(MATCHER!$J$5:$J$504,S403),""),INDEX(MATCHER!$J$5:$J$504,AF403)=IFERROR(INDEX(MATCHER!$J$5:$J$504,T403),"")),""," / "&amp;INDEX(MATCHER!$J$5:$J$504,AF403))),4,1000)</f>
        <v>P16 2</v>
      </c>
      <c r="H403" s="45" t="str">
        <f>H402</f>
        <v>P16</v>
      </c>
      <c r="I403" s="46" t="s">
        <v>90</v>
      </c>
      <c r="J403" s="47" t="s">
        <v>100</v>
      </c>
      <c r="K403" s="48"/>
      <c r="L403" s="49"/>
      <c r="M403" s="50" t="str">
        <f>IF(O403&lt;&gt;O402,MAX(1,MIN(AA403,ROUNDUP(SUMPRODUCT(($O$5:$O$546=O403)*($I$5:$I$546="Ja")*($E$5:$E$546-$D$5:$D$546))*24/REGLER!$B$8,0))),"")</f>
        <v/>
      </c>
      <c r="N403" s="50" t="str">
        <f t="shared" si="88"/>
        <v>Klar</v>
      </c>
      <c r="O403" s="15" t="s">
        <v>151</v>
      </c>
      <c r="P403" s="16">
        <v>0.53125</v>
      </c>
      <c r="Q403" s="16">
        <v>0.625</v>
      </c>
      <c r="R403" s="15">
        <f>IFERROR(MATCH(1,INDEX((MATCHER!$B$5:$B$504=A403)*(MATCHER!$D$5:$D$504=C403)*(MATCHER!$K$5:$K$504="Ja")*(MATCHER!$C$5:$C$504&lt;E403)*(MATCHER!$M$5:$M$504&gt;D403),0),0),"")</f>
        <v>146</v>
      </c>
      <c r="S403" s="15" t="str">
        <f>IF(R403="","",IFERROR(MATCH(1,INDEX((MATCHER!$B$5:$B$504=A403)*(MATCHER!$D$5:$D$504=C403)*(MATCHER!$K$5:$K$504="Ja")*(MATCHER!$C$5:$C$504&lt;E403)*(MATCHER!$M$5:$M$504&gt;D403)*(ROW(MATCHER!$A$5:$A$504)-ROW(MATCHER!$A$5)+1&gt;R403),0),0),""))</f>
        <v/>
      </c>
      <c r="T403" s="15" t="str">
        <f>IF(S403="","",IFERROR(MATCH(1,INDEX((MATCHER!$B$5:$B$504=A403)*(MATCHER!$D$5:$D$504=C403)*(MATCHER!$K$5:$K$504="Ja")*(MATCHER!$C$5:$C$504&lt;E403)*(MATCHER!$M$5:$M$504&gt;D403)*(ROW(MATCHER!$A$5:$A$504)-ROW(MATCHER!$A$5)+1&gt;S403),0),0),""))</f>
        <v/>
      </c>
      <c r="U403" s="15">
        <f t="shared" si="89"/>
        <v>1</v>
      </c>
      <c r="V403" s="15">
        <f>IF(OR(I403&lt;&gt;"Ja",J403=""),"",COUNTIFS($O$5:O403,O403,$U$5:U403,1))</f>
        <v>1</v>
      </c>
      <c r="W403" s="15" t="str">
        <f t="shared" si="90"/>
        <v>2027-02-06 | Råsta Park|1</v>
      </c>
      <c r="X403" s="16" t="str">
        <f t="shared" si="91"/>
        <v/>
      </c>
      <c r="Y403" s="15">
        <f>IF(OR(I403&lt;&gt;"Ja",J403=""),0,IF(COUNTIFS($O$5:O403,O403,$I$5:I403,"Ja",$J$5:J403,"&lt;&gt;")=1,1,0))</f>
        <v>1</v>
      </c>
      <c r="Z403" s="15">
        <f>IF(OR(I403&lt;&gt;"Ja",J403=""),0,IF(COUNTIFS(O403:$O$546,O403,I403:$I$546,"Ja",J403:$J$546,"&lt;&gt;")=1,1,0))</f>
        <v>0</v>
      </c>
      <c r="AA403" s="15">
        <f>AA402</f>
        <v>1</v>
      </c>
      <c r="AB403" s="15">
        <f>IF(U403&lt;&gt;1,"",COUNTIF($U$5:U403,1))</f>
        <v>65</v>
      </c>
      <c r="AC403" s="15" t="str">
        <f t="shared" si="92"/>
        <v/>
      </c>
      <c r="AD403" s="15" t="str">
        <f t="shared" si="93"/>
        <v>Minicafé</v>
      </c>
      <c r="AE403" s="15">
        <f t="shared" si="94"/>
        <v>1.5</v>
      </c>
      <c r="AF403" t="str">
        <f>IF(T403="","",IFERROR(MATCH(1,INDEX((MATCHER!$B$5:$B$504=A403)*(MATCHER!$D$5:$D$504=C403)*(MATCHER!$K$5:$K$504="Ja")*(MATCHER!$C$5:$C$504&lt;E403)*(MATCHER!$M$5:$M$504&gt;D403)*(ROW(MATCHER!$A$5:$A$504)-ROW(MATCHER!$A$5)+1&gt;T403),0),0),""))</f>
        <v/>
      </c>
    </row>
    <row r="404" spans="1:32" ht="13">
      <c r="A404" s="42">
        <v>46424</v>
      </c>
      <c r="B404" s="43" t="s">
        <v>85</v>
      </c>
      <c r="C404" s="43" t="s">
        <v>94</v>
      </c>
      <c r="D404" s="44">
        <v>0.58333333333333304</v>
      </c>
      <c r="E404" s="44">
        <v>0.60416666666666696</v>
      </c>
      <c r="F404" s="45" t="str">
        <f>IF(R404="","",HOUR(INDEX(MATCHER!$C$5:$C$504,R404))&amp;":"&amp;IF(MINUTE(INDEX(MATCHER!$C$5:$C$504,R404))&lt;10,"0","")&amp;MINUTE(INDEX(MATCHER!$C$5:$C$504,R404))&amp;" "&amp;INDEX(MATCHER!$H$5:$H$504,R404)&amp;" – "&amp;INDEX(MATCHER!$I$5:$I$504,R404))&amp;IF(S404="",""," | "&amp;HOUR(INDEX(MATCHER!$C$5:$C$504,S404))&amp;":"&amp;IF(MINUTE(INDEX(MATCHER!$C$5:$C$504,S404))&lt;10,"0","")&amp;MINUTE(INDEX(MATCHER!$C$5:$C$504,S404))&amp;" "&amp;INDEX(MATCHER!$H$5:$H$504,S404)&amp;" – "&amp;INDEX(MATCHER!$I$5:$I$504,S404))&amp;IF(T404="",""," | "&amp;HOUR(INDEX(MATCHER!$C$5:$C$504,T404))&amp;":"&amp;IF(MINUTE(INDEX(MATCHER!$C$5:$C$504,T404))&lt;10,"0","")&amp;MINUTE(INDEX(MATCHER!$C$5:$C$504,T404))&amp;" "&amp;INDEX(MATCHER!$H$5:$H$504,T404)&amp;" – "&amp;INDEX(MATCHER!$I$5:$I$504,T404))&amp;IF(AF404="",""," | "&amp;HOUR(INDEX(MATCHER!$C$5:$C$504,AF404))&amp;":"&amp;IF(MINUTE(INDEX(MATCHER!$C$5:$C$504,AF404))&lt;10,"0","")&amp;MINUTE(INDEX(MATCHER!$C$5:$C$504,AF404))&amp;" "&amp;INDEX(MATCHER!$H$5:$H$504,AF404)&amp;" – "&amp;INDEX(MATCHER!$I$5:$I$504,AF404))</f>
        <v>13:40 AIK 2 – Vassunda IF</v>
      </c>
      <c r="G404" s="45" t="str">
        <f>MID(IF(R404="","",IF(OR(INDEX(MATCHER!$J$5:$J$504,R404)=""),""," / "&amp;INDEX(MATCHER!$J$5:$J$504,R404)))&amp;IF(S404="","",IF(OR(INDEX(MATCHER!$J$5:$J$504,S404)="",INDEX(MATCHER!$J$5:$J$504,S404)=IFERROR(INDEX(MATCHER!$J$5:$J$504,R404),"")),""," / "&amp;INDEX(MATCHER!$J$5:$J$504,S404)))&amp;IF(T404="","",IF(OR(INDEX(MATCHER!$J$5:$J$504,T404)="",INDEX(MATCHER!$J$5:$J$504,T404)=IFERROR(INDEX(MATCHER!$J$5:$J$504,R404),""),INDEX(MATCHER!$J$5:$J$504,T404)=IFERROR(INDEX(MATCHER!$J$5:$J$504,S404),"")),""," / "&amp;INDEX(MATCHER!$J$5:$J$504,T404)))&amp;IF(AF404="","",IF(OR(INDEX(MATCHER!$J$5:$J$504,AF404)="",INDEX(MATCHER!$J$5:$J$504,AF404)=IFERROR(INDEX(MATCHER!$J$5:$J$504,R404),""),INDEX(MATCHER!$J$5:$J$504,AF404)=IFERROR(INDEX(MATCHER!$J$5:$J$504,S404),""),INDEX(MATCHER!$J$5:$J$504,AF404)=IFERROR(INDEX(MATCHER!$J$5:$J$504,T404),"")),""," / "&amp;INDEX(MATCHER!$J$5:$J$504,AF404))),4,1000)</f>
        <v>P16 2</v>
      </c>
      <c r="H404" s="45" t="str">
        <f>H403</f>
        <v>P16</v>
      </c>
      <c r="I404" s="46" t="s">
        <v>90</v>
      </c>
      <c r="J404" s="47" t="s">
        <v>100</v>
      </c>
      <c r="K404" s="48"/>
      <c r="L404" s="49"/>
      <c r="M404" s="50" t="str">
        <f>IF(O404&lt;&gt;O403,MAX(1,MIN(AA404,ROUNDUP(SUMPRODUCT(($O$5:$O$546=O404)*($I$5:$I$546="Ja")*($E$5:$E$546-$D$5:$D$546))*24/REGLER!$B$8,0))),"")</f>
        <v/>
      </c>
      <c r="N404" s="50" t="str">
        <f t="shared" si="88"/>
        <v>Klar</v>
      </c>
      <c r="O404" s="15" t="s">
        <v>151</v>
      </c>
      <c r="P404" s="16">
        <v>0.53125</v>
      </c>
      <c r="Q404" s="16">
        <v>0.625</v>
      </c>
      <c r="R404" s="15">
        <f>IFERROR(MATCH(1,INDEX((MATCHER!$B$5:$B$504=A404)*(MATCHER!$D$5:$D$504=C404)*(MATCHER!$K$5:$K$504="Ja")*(MATCHER!$C$5:$C$504&lt;E404)*(MATCHER!$M$5:$M$504&gt;D404),0),0),"")</f>
        <v>146</v>
      </c>
      <c r="S404" s="15" t="str">
        <f>IF(R404="","",IFERROR(MATCH(1,INDEX((MATCHER!$B$5:$B$504=A404)*(MATCHER!$D$5:$D$504=C404)*(MATCHER!$K$5:$K$504="Ja")*(MATCHER!$C$5:$C$504&lt;E404)*(MATCHER!$M$5:$M$504&gt;D404)*(ROW(MATCHER!$A$5:$A$504)-ROW(MATCHER!$A$5)+1&gt;R404),0),0),""))</f>
        <v/>
      </c>
      <c r="T404" s="15" t="str">
        <f>IF(S404="","",IFERROR(MATCH(1,INDEX((MATCHER!$B$5:$B$504=A404)*(MATCHER!$D$5:$D$504=C404)*(MATCHER!$K$5:$K$504="Ja")*(MATCHER!$C$5:$C$504&lt;E404)*(MATCHER!$M$5:$M$504&gt;D404)*(ROW(MATCHER!$A$5:$A$504)-ROW(MATCHER!$A$5)+1&gt;S404),0),0),""))</f>
        <v/>
      </c>
      <c r="U404" s="15">
        <f t="shared" si="89"/>
        <v>0</v>
      </c>
      <c r="V404" s="15">
        <f>IF(OR(I404&lt;&gt;"Ja",J404=""),"",COUNTIFS($O$5:O404,O404,$U$5:U404,1))</f>
        <v>1</v>
      </c>
      <c r="W404" s="15" t="str">
        <f t="shared" si="90"/>
        <v>2027-02-06 | Råsta Park|1</v>
      </c>
      <c r="X404" s="16" t="str">
        <f t="shared" si="91"/>
        <v/>
      </c>
      <c r="Y404" s="15">
        <f>IF(OR(I404&lt;&gt;"Ja",J404=""),0,IF(COUNTIFS($O$5:O404,O404,$I$5:I404,"Ja",$J$5:J404,"&lt;&gt;")=1,1,0))</f>
        <v>0</v>
      </c>
      <c r="Z404" s="15">
        <f>IF(OR(I404&lt;&gt;"Ja",J404=""),0,IF(COUNTIFS(O404:$O$546,O404,I404:$I$546,"Ja",J404:$J$546,"&lt;&gt;")=1,1,0))</f>
        <v>0</v>
      </c>
      <c r="AA404" s="15">
        <f>AA403</f>
        <v>1</v>
      </c>
      <c r="AB404" s="15" t="str">
        <f>IF(U404&lt;&gt;1,"",COUNTIF($U$5:U404,1))</f>
        <v/>
      </c>
      <c r="AC404" s="15" t="str">
        <f t="shared" si="92"/>
        <v/>
      </c>
      <c r="AD404" s="15" t="str">
        <f t="shared" si="93"/>
        <v>Minicafé</v>
      </c>
      <c r="AE404" s="15" t="str">
        <f t="shared" si="94"/>
        <v/>
      </c>
      <c r="AF404" t="str">
        <f>IF(T404="","",IFERROR(MATCH(1,INDEX((MATCHER!$B$5:$B$504=A404)*(MATCHER!$D$5:$D$504=C404)*(MATCHER!$K$5:$K$504="Ja")*(MATCHER!$C$5:$C$504&lt;E404)*(MATCHER!$M$5:$M$504&gt;D404)*(ROW(MATCHER!$A$5:$A$504)-ROW(MATCHER!$A$5)+1&gt;T404),0),0),""))</f>
        <v/>
      </c>
    </row>
    <row r="405" spans="1:32" ht="13.5" thickBot="1">
      <c r="A405" s="52">
        <v>46424</v>
      </c>
      <c r="B405" s="53" t="s">
        <v>85</v>
      </c>
      <c r="C405" s="53" t="s">
        <v>94</v>
      </c>
      <c r="D405" s="54">
        <v>0.60416666666666696</v>
      </c>
      <c r="E405" s="54">
        <v>0.625</v>
      </c>
      <c r="F405" s="55" t="str">
        <f>IF(R405="","",HOUR(INDEX(MATCHER!$C$5:$C$504,R405))&amp;":"&amp;IF(MINUTE(INDEX(MATCHER!$C$5:$C$504,R405))&lt;10,"0","")&amp;MINUTE(INDEX(MATCHER!$C$5:$C$504,R405))&amp;" "&amp;INDEX(MATCHER!$H$5:$H$504,R405)&amp;" – "&amp;INDEX(MATCHER!$I$5:$I$504,R405))&amp;IF(S405="",""," | "&amp;HOUR(INDEX(MATCHER!$C$5:$C$504,S405))&amp;":"&amp;IF(MINUTE(INDEX(MATCHER!$C$5:$C$504,S405))&lt;10,"0","")&amp;MINUTE(INDEX(MATCHER!$C$5:$C$504,S405))&amp;" "&amp;INDEX(MATCHER!$H$5:$H$504,S405)&amp;" – "&amp;INDEX(MATCHER!$I$5:$I$504,S405))&amp;IF(T405="",""," | "&amp;HOUR(INDEX(MATCHER!$C$5:$C$504,T405))&amp;":"&amp;IF(MINUTE(INDEX(MATCHER!$C$5:$C$504,T405))&lt;10,"0","")&amp;MINUTE(INDEX(MATCHER!$C$5:$C$504,T405))&amp;" "&amp;INDEX(MATCHER!$H$5:$H$504,T405)&amp;" – "&amp;INDEX(MATCHER!$I$5:$I$504,T405))&amp;IF(AF405="",""," | "&amp;HOUR(INDEX(MATCHER!$C$5:$C$504,AF405))&amp;":"&amp;IF(MINUTE(INDEX(MATCHER!$C$5:$C$504,AF405))&lt;10,"0","")&amp;MINUTE(INDEX(MATCHER!$C$5:$C$504,AF405))&amp;" "&amp;INDEX(MATCHER!$H$5:$H$504,AF405)&amp;" – "&amp;INDEX(MATCHER!$I$5:$I$504,AF405))</f>
        <v>13:40 AIK 2 – Vassunda IF</v>
      </c>
      <c r="G405" s="55" t="str">
        <f>MID(IF(R405="","",IF(OR(INDEX(MATCHER!$J$5:$J$504,R405)=""),""," / "&amp;INDEX(MATCHER!$J$5:$J$504,R405)))&amp;IF(S405="","",IF(OR(INDEX(MATCHER!$J$5:$J$504,S405)="",INDEX(MATCHER!$J$5:$J$504,S405)=IFERROR(INDEX(MATCHER!$J$5:$J$504,R405),"")),""," / "&amp;INDEX(MATCHER!$J$5:$J$504,S405)))&amp;IF(T405="","",IF(OR(INDEX(MATCHER!$J$5:$J$504,T405)="",INDEX(MATCHER!$J$5:$J$504,T405)=IFERROR(INDEX(MATCHER!$J$5:$J$504,R405),""),INDEX(MATCHER!$J$5:$J$504,T405)=IFERROR(INDEX(MATCHER!$J$5:$J$504,S405),"")),""," / "&amp;INDEX(MATCHER!$J$5:$J$504,T405)))&amp;IF(AF405="","",IF(OR(INDEX(MATCHER!$J$5:$J$504,AF405)="",INDEX(MATCHER!$J$5:$J$504,AF405)=IFERROR(INDEX(MATCHER!$J$5:$J$504,R405),""),INDEX(MATCHER!$J$5:$J$504,AF405)=IFERROR(INDEX(MATCHER!$J$5:$J$504,S405),""),INDEX(MATCHER!$J$5:$J$504,AF405)=IFERROR(INDEX(MATCHER!$J$5:$J$504,T405),"")),""," / "&amp;INDEX(MATCHER!$J$5:$J$504,AF405))),4,1000)</f>
        <v>P16 2</v>
      </c>
      <c r="H405" s="55" t="str">
        <f>H404</f>
        <v>P16</v>
      </c>
      <c r="I405" s="56" t="s">
        <v>90</v>
      </c>
      <c r="J405" s="57" t="s">
        <v>100</v>
      </c>
      <c r="K405" s="58"/>
      <c r="L405" s="59"/>
      <c r="M405" s="60" t="str">
        <f>IF(O405&lt;&gt;O404,MAX(1,MIN(AA405,ROUNDUP(SUMPRODUCT(($O$5:$O$546=O405)*($I$5:$I$546="Ja")*($E$5:$E$546-$D$5:$D$546))*24/REGLER!$B$8,0))),"")</f>
        <v/>
      </c>
      <c r="N405" s="60" t="str">
        <f t="shared" si="88"/>
        <v>Klar</v>
      </c>
      <c r="O405" s="15" t="s">
        <v>151</v>
      </c>
      <c r="P405" s="16">
        <v>0.53125</v>
      </c>
      <c r="Q405" s="16">
        <v>0.625</v>
      </c>
      <c r="R405" s="15">
        <f>IFERROR(MATCH(1,INDEX((MATCHER!$B$5:$B$504=A405)*(MATCHER!$D$5:$D$504=C405)*(MATCHER!$K$5:$K$504="Ja")*(MATCHER!$C$5:$C$504&lt;E405)*(MATCHER!$M$5:$M$504&gt;D405),0),0),"")</f>
        <v>146</v>
      </c>
      <c r="S405" s="15" t="str">
        <f>IF(R405="","",IFERROR(MATCH(1,INDEX((MATCHER!$B$5:$B$504=A405)*(MATCHER!$D$5:$D$504=C405)*(MATCHER!$K$5:$K$504="Ja")*(MATCHER!$C$5:$C$504&lt;E405)*(MATCHER!$M$5:$M$504&gt;D405)*(ROW(MATCHER!$A$5:$A$504)-ROW(MATCHER!$A$5)+1&gt;R405),0),0),""))</f>
        <v/>
      </c>
      <c r="T405" s="15" t="str">
        <f>IF(S405="","",IFERROR(MATCH(1,INDEX((MATCHER!$B$5:$B$504=A405)*(MATCHER!$D$5:$D$504=C405)*(MATCHER!$K$5:$K$504="Ja")*(MATCHER!$C$5:$C$504&lt;E405)*(MATCHER!$M$5:$M$504&gt;D405)*(ROW(MATCHER!$A$5:$A$504)-ROW(MATCHER!$A$5)+1&gt;S405),0),0),""))</f>
        <v/>
      </c>
      <c r="U405" s="15">
        <f t="shared" si="89"/>
        <v>0</v>
      </c>
      <c r="V405" s="15">
        <f>IF(OR(I405&lt;&gt;"Ja",J405=""),"",COUNTIFS($O$5:O405,O405,$U$5:U405,1))</f>
        <v>1</v>
      </c>
      <c r="W405" s="15" t="str">
        <f t="shared" si="90"/>
        <v>2027-02-06 | Råsta Park|1</v>
      </c>
      <c r="X405" s="16">
        <f t="shared" si="91"/>
        <v>0.625</v>
      </c>
      <c r="Y405" s="15">
        <f>IF(OR(I405&lt;&gt;"Ja",J405=""),0,IF(COUNTIFS($O$5:O405,O405,$I$5:I405,"Ja",$J$5:J405,"&lt;&gt;")=1,1,0))</f>
        <v>0</v>
      </c>
      <c r="Z405" s="15">
        <f>IF(OR(I405&lt;&gt;"Ja",J405=""),0,IF(COUNTIFS(O405:$O$546,O405,I405:$I$546,"Ja",J405:$J$546,"&lt;&gt;")=1,1,0))</f>
        <v>1</v>
      </c>
      <c r="AA405" s="15">
        <f>AA404</f>
        <v>1</v>
      </c>
      <c r="AB405" s="15" t="str">
        <f>IF(U405&lt;&gt;1,"",COUNTIF($U$5:U405,1))</f>
        <v/>
      </c>
      <c r="AC405" s="15" t="str">
        <f t="shared" si="92"/>
        <v>2027-02-06 | Råsta Park|1</v>
      </c>
      <c r="AD405" s="15" t="str">
        <f t="shared" si="93"/>
        <v>Minicafé</v>
      </c>
      <c r="AE405" s="15" t="str">
        <f t="shared" si="94"/>
        <v/>
      </c>
      <c r="AF405" t="str">
        <f>IF(T405="","",IFERROR(MATCH(1,INDEX((MATCHER!$B$5:$B$504=A405)*(MATCHER!$D$5:$D$504=C405)*(MATCHER!$K$5:$K$504="Ja")*(MATCHER!$C$5:$C$504&lt;E405)*(MATCHER!$M$5:$M$504&gt;D405)*(ROW(MATCHER!$A$5:$A$504)-ROW(MATCHER!$A$5)+1&gt;T405),0),0),""))</f>
        <v/>
      </c>
    </row>
    <row r="406" spans="1:32" ht="26">
      <c r="A406" s="42">
        <v>46424</v>
      </c>
      <c r="B406" s="43" t="s">
        <v>85</v>
      </c>
      <c r="C406" s="43" t="s">
        <v>110</v>
      </c>
      <c r="D406" s="44">
        <v>0.39583333333333298</v>
      </c>
      <c r="E406" s="44">
        <v>0.41666666666666702</v>
      </c>
      <c r="F406" s="45" t="str">
        <f>IF(R406="","",HOUR(INDEX(MATCHER!$C$5:$C$504,R406))&amp;":"&amp;IF(MINUTE(INDEX(MATCHER!$C$5:$C$504,R406))&lt;10,"0","")&amp;MINUTE(INDEX(MATCHER!$C$5:$C$504,R406))&amp;" "&amp;INDEX(MATCHER!$H$5:$H$504,R406)&amp;" – "&amp;INDEX(MATCHER!$I$5:$I$504,R406))&amp;IF(S406="",""," | "&amp;HOUR(INDEX(MATCHER!$C$5:$C$504,S406))&amp;":"&amp;IF(MINUTE(INDEX(MATCHER!$C$5:$C$504,S406))&lt;10,"0","")&amp;MINUTE(INDEX(MATCHER!$C$5:$C$504,S406))&amp;" "&amp;INDEX(MATCHER!$H$5:$H$504,S406)&amp;" – "&amp;INDEX(MATCHER!$I$5:$I$504,S406))&amp;IF(T406="",""," | "&amp;HOUR(INDEX(MATCHER!$C$5:$C$504,T406))&amp;":"&amp;IF(MINUTE(INDEX(MATCHER!$C$5:$C$504,T406))&lt;10,"0","")&amp;MINUTE(INDEX(MATCHER!$C$5:$C$504,T406))&amp;" "&amp;INDEX(MATCHER!$H$5:$H$504,T406)&amp;" – "&amp;INDEX(MATCHER!$I$5:$I$504,T406))&amp;IF(AF406="",""," | "&amp;HOUR(INDEX(MATCHER!$C$5:$C$504,AF406))&amp;":"&amp;IF(MINUTE(INDEX(MATCHER!$C$5:$C$504,AF406))&lt;10,"0","")&amp;MINUTE(INDEX(MATCHER!$C$5:$C$504,AF406))&amp;" "&amp;INDEX(MATCHER!$H$5:$H$504,AF406)&amp;" – "&amp;INDEX(MATCHER!$I$5:$I$504,AF406))</f>
        <v/>
      </c>
      <c r="G406" s="45" t="str">
        <f>MID(IF(R406="","",IF(OR(INDEX(MATCHER!$J$5:$J$504,R406)=""),""," / "&amp;INDEX(MATCHER!$J$5:$J$504,R406)))&amp;IF(S406="","",IF(OR(INDEX(MATCHER!$J$5:$J$504,S406)="",INDEX(MATCHER!$J$5:$J$504,S406)=IFERROR(INDEX(MATCHER!$J$5:$J$504,R406),"")),""," / "&amp;INDEX(MATCHER!$J$5:$J$504,S406)))&amp;IF(T406="","",IF(OR(INDEX(MATCHER!$J$5:$J$504,T406)="",INDEX(MATCHER!$J$5:$J$504,T406)=IFERROR(INDEX(MATCHER!$J$5:$J$504,R406),""),INDEX(MATCHER!$J$5:$J$504,T406)=IFERROR(INDEX(MATCHER!$J$5:$J$504,S406),"")),""," / "&amp;INDEX(MATCHER!$J$5:$J$504,T406)))&amp;IF(AF406="","",IF(OR(INDEX(MATCHER!$J$5:$J$504,AF406)="",INDEX(MATCHER!$J$5:$J$504,AF406)=IFERROR(INDEX(MATCHER!$J$5:$J$504,R406),""),INDEX(MATCHER!$J$5:$J$504,AF406)=IFERROR(INDEX(MATCHER!$J$5:$J$504,S406),""),INDEX(MATCHER!$J$5:$J$504,AF406)=IFERROR(INDEX(MATCHER!$J$5:$J$504,T406),"")),""," / "&amp;INDEX(MATCHER!$J$5:$J$504,AF406))),4,1000)</f>
        <v/>
      </c>
      <c r="H406" s="45" t="str">
        <f>MID(IF(COUNTIFS(MATCHER!$B$5:$B$504,A406,MATCHER!$D$5:$D$504,C406,MATCHER!$J$5:$J$504,REGLER!$I$6,MATCHER!$K$5:$K$504,"Ja")+COUNTIFS(MATCHER!$B$5:$B$504,A406,MATCHER!$D$5:$D$504,C406,MATCHER!$J$5:$J$504,REGLER!$I$6&amp;" 2",MATCHER!$K$5:$K$504,"Ja")&gt;0,", "&amp;REGLER!$I$6,"")&amp;IF(COUNTIFS(MATCHER!$B$5:$B$504,A406,MATCHER!$D$5:$D$504,C406,MATCHER!$J$5:$J$504,REGLER!$I$7,MATCHER!$K$5:$K$504,"Ja")+COUNTIFS(MATCHER!$B$5:$B$504,A406,MATCHER!$D$5:$D$504,C406,MATCHER!$J$5:$J$504,REGLER!$I$7&amp;" 2",MATCHER!$K$5:$K$504,"Ja")&gt;0,", "&amp;REGLER!$I$7,"")&amp;IF(COUNTIFS(MATCHER!$B$5:$B$504,A406,MATCHER!$D$5:$D$504,C406,MATCHER!$J$5:$J$504,REGLER!$I$8,MATCHER!$K$5:$K$504,"Ja")+COUNTIFS(MATCHER!$B$5:$B$504,A406,MATCHER!$D$5:$D$504,C406,MATCHER!$J$5:$J$504,REGLER!$I$8&amp;" 2",MATCHER!$K$5:$K$504,"Ja")&gt;0,", "&amp;REGLER!$I$8,"")&amp;IF(COUNTIFS(MATCHER!$B$5:$B$504,A406,MATCHER!$D$5:$D$504,C406,MATCHER!$J$5:$J$504,REGLER!$I$9,MATCHER!$K$5:$K$504,"Ja")+COUNTIFS(MATCHER!$B$5:$B$504,A406,MATCHER!$D$5:$D$504,C406,MATCHER!$J$5:$J$504,REGLER!$I$9&amp;" 2",MATCHER!$K$5:$K$504,"Ja")&gt;0,", "&amp;REGLER!$I$9,"")&amp;IF(COUNTIFS(MATCHER!$B$5:$B$504,A406,MATCHER!$D$5:$D$504,C406,MATCHER!$J$5:$J$504,REGLER!$I$10,MATCHER!$K$5:$K$504,"Ja")+COUNTIFS(MATCHER!$B$5:$B$504,A406,MATCHER!$D$5:$D$504,C406,MATCHER!$J$5:$J$504,REGLER!$I$10&amp;" 2",MATCHER!$K$5:$K$504,"Ja")&gt;0,", "&amp;REGLER!$I$10,"")&amp;IF(COUNTIFS(MATCHER!$B$5:$B$504,A406,MATCHER!$D$5:$D$504,C406,MATCHER!$J$5:$J$504,REGLER!$I$11,MATCHER!$K$5:$K$504,"Ja")+COUNTIFS(MATCHER!$B$5:$B$504,A406,MATCHER!$D$5:$D$504,C406,MATCHER!$J$5:$J$504,REGLER!$I$11&amp;" 2",MATCHER!$K$5:$K$504,"Ja")&gt;0,", "&amp;REGLER!$I$11,"")&amp;IF(COUNTIFS(MATCHER!$B$5:$B$504,A406,MATCHER!$D$5:$D$504,C406,MATCHER!$J$5:$J$504,REGLER!$I$12,MATCHER!$K$5:$K$504,"Ja")+COUNTIFS(MATCHER!$B$5:$B$504,A406,MATCHER!$D$5:$D$504,C406,MATCHER!$J$5:$J$504,REGLER!$I$12&amp;" 2",MATCHER!$K$5:$K$504,"Ja")&gt;0,", "&amp;REGLER!$I$12,"")&amp;IF(COUNTIFS(MATCHER!$B$5:$B$504,A406,MATCHER!$D$5:$D$504,C406,MATCHER!$J$5:$J$504,REGLER!$I$13,MATCHER!$K$5:$K$504,"Ja")+COUNTIFS(MATCHER!$B$5:$B$504,A406,MATCHER!$D$5:$D$504,C406,MATCHER!$J$5:$J$504,REGLER!$I$13&amp;" 2",MATCHER!$K$5:$K$504,"Ja")&gt;0,", "&amp;REGLER!$I$13,"")&amp;IF(COUNTIFS(MATCHER!$B$5:$B$504,A406,MATCHER!$D$5:$D$504,C406,MATCHER!$J$5:$J$504,REGLER!$I$14,MATCHER!$K$5:$K$504,"Ja")+COUNTIFS(MATCHER!$B$5:$B$504,A406,MATCHER!$D$5:$D$504,C406,MATCHER!$J$5:$J$504,REGLER!$I$14&amp;" 2",MATCHER!$K$5:$K$504,"Ja")&gt;0,", "&amp;REGLER!$I$14,"")&amp;IF(COUNTIFS(MATCHER!$B$5:$B$504,A406,MATCHER!$D$5:$D$504,C406,MATCHER!$J$5:$J$504,REGLER!$I$15,MATCHER!$K$5:$K$504,"Ja")+COUNTIFS(MATCHER!$B$5:$B$504,A406,MATCHER!$D$5:$D$504,C406,MATCHER!$J$5:$J$504,REGLER!$I$15&amp;" 2",MATCHER!$K$5:$K$504,"Ja")&gt;0,", "&amp;REGLER!$I$15,"")&amp;IF(COUNTIFS(MATCHER!$B$5:$B$504,A406,MATCHER!$D$5:$D$504,C406,MATCHER!$J$5:$J$504,REGLER!$I$16,MATCHER!$K$5:$K$504,"Ja")+COUNTIFS(MATCHER!$B$5:$B$504,A406,MATCHER!$D$5:$D$504,C406,MATCHER!$J$5:$J$504,REGLER!$I$16&amp;" 2",MATCHER!$K$5:$K$504,"Ja")&gt;0,", "&amp;REGLER!$I$16,"")&amp;IF(COUNTIFS(MATCHER!$B$5:$B$504,A406,MATCHER!$D$5:$D$504,C406,MATCHER!$J$5:$J$504,REGLER!$I$17,MATCHER!$K$5:$K$504,"Ja")+COUNTIFS(MATCHER!$B$5:$B$504,A406,MATCHER!$D$5:$D$504,C406,MATCHER!$J$5:$J$504,REGLER!$I$17&amp;" 2",MATCHER!$K$5:$K$504,"Ja")&gt;0,", "&amp;REGLER!$I$17,"")&amp;IF(COUNTIFS(MATCHER!$B$5:$B$504,A406,MATCHER!$D$5:$D$504,C406,MATCHER!$J$5:$J$504,REGLER!$I$18,MATCHER!$K$5:$K$504,"Ja")+COUNTIFS(MATCHER!$B$5:$B$504,A406,MATCHER!$D$5:$D$504,C406,MATCHER!$J$5:$J$504,REGLER!$I$18&amp;" 2",MATCHER!$K$5:$K$504,"Ja")&gt;0,", "&amp;REGLER!$I$18,"")&amp;IF(COUNTIFS(MATCHER!$B$5:$B$504,A406,MATCHER!$D$5:$D$504,C406,MATCHER!$J$5:$J$504,REGLER!$I$19,MATCHER!$K$5:$K$504,"Ja")+COUNTIFS(MATCHER!$B$5:$B$504,A406,MATCHER!$D$5:$D$504,C406,MATCHER!$J$5:$J$504,REGLER!$I$19&amp;" 2",MATCHER!$K$5:$K$504,"Ja")&gt;0,", "&amp;REGLER!$I$19,"")&amp;IF(COUNTIFS(MATCHER!$B$5:$B$504,A406,MATCHER!$D$5:$D$504,C406,MATCHER!$J$5:$J$504,REGLER!$I$20,MATCHER!$K$5:$K$504,"Ja")+COUNTIFS(MATCHER!$B$5:$B$504,A406,MATCHER!$D$5:$D$504,C406,MATCHER!$J$5:$J$504,REGLER!$I$20&amp;" 2",MATCHER!$K$5:$K$504,"Ja")&gt;0,", "&amp;REGLER!$I$20,"")&amp;IF(COUNTIFS(MATCHER!$B$5:$B$504,A406,MATCHER!$D$5:$D$504,C406,MATCHER!$J$5:$J$504,REGLER!$I$21,MATCHER!$K$5:$K$504,"Ja")+COUNTIFS(MATCHER!$B$5:$B$504,A406,MATCHER!$D$5:$D$504,C406,MATCHER!$J$5:$J$504,REGLER!$I$21&amp;" 2",MATCHER!$K$5:$K$504,"Ja")&gt;0,", "&amp;REGLER!$I$21,"")&amp;IF(COUNTIFS(MATCHER!$B$5:$B$504,A406,MATCHER!$D$5:$D$504,C406,MATCHER!$J$5:$J$504,REGLER!$I$22,MATCHER!$K$5:$K$504,"Ja")+COUNTIFS(MATCHER!$B$5:$B$504,A406,MATCHER!$D$5:$D$504,C406,MATCHER!$J$5:$J$504,REGLER!$I$22&amp;" 2",MATCHER!$K$5:$K$504,"Ja")&gt;0,", "&amp;REGLER!$I$22,"")&amp;IF(COUNTIFS(MATCHER!$B$5:$B$504,A406,MATCHER!$D$5:$D$504,C406,MATCHER!$J$5:$J$504,REGLER!$I$23,MATCHER!$K$5:$K$504,"Ja")+COUNTIFS(MATCHER!$B$5:$B$504,A406,MATCHER!$D$5:$D$504,C406,MATCHER!$J$5:$J$504,REGLER!$I$23&amp;" 2",MATCHER!$K$5:$K$504,"Ja")&gt;0,", "&amp;REGLER!$I$23,"")&amp;IF(COUNTIFS(MATCHER!$B$5:$B$504,A406,MATCHER!$D$5:$D$504,C406,MATCHER!$J$5:$J$504,REGLER!$I$24,MATCHER!$K$5:$K$504,"Ja")+COUNTIFS(MATCHER!$B$5:$B$504,A406,MATCHER!$D$5:$D$504,C406,MATCHER!$J$5:$J$504,REGLER!$I$24&amp;" 2",MATCHER!$K$5:$K$504,"Ja")&gt;0,", "&amp;REGLER!$I$24,"")&amp;IF(COUNTIFS(MATCHER!$B$5:$B$504,A406,MATCHER!$D$5:$D$504,C406,MATCHER!$J$5:$J$504,REGLER!$I$25,MATCHER!$K$5:$K$504,"Ja")+COUNTIFS(MATCHER!$B$5:$B$504,A406,MATCHER!$D$5:$D$504,C406,MATCHER!$J$5:$J$504,REGLER!$I$25&amp;" 2",MATCHER!$K$5:$K$504,"Ja")&gt;0,", "&amp;REGLER!$I$25,"")&amp;IF(COUNTIFS(MATCHER!$B$5:$B$504,A406,MATCHER!$D$5:$D$504,C406,MATCHER!$J$5:$J$504,REGLER!$I$26,MATCHER!$K$5:$K$504,"Ja")+COUNTIFS(MATCHER!$B$5:$B$504,A406,MATCHER!$D$5:$D$504,C406,MATCHER!$J$5:$J$504,REGLER!$I$26&amp;" 2",MATCHER!$K$5:$K$504,"Ja")&gt;0,", "&amp;REGLER!$I$26,""),3,1000)</f>
        <v>F13</v>
      </c>
      <c r="I406" s="46" t="s">
        <v>90</v>
      </c>
      <c r="J406" s="47" t="s">
        <v>97</v>
      </c>
      <c r="K406" s="48" t="s">
        <v>98</v>
      </c>
      <c r="L406" s="68"/>
      <c r="M406" s="50">
        <f>IF(O406&lt;&gt;O405,MAX(1,MIN(AA406,ROUNDUP(SUMPRODUCT(($O$5:$O$546=O406)*($I$5:$I$546="Ja")*($E$5:$E$546-$D$5:$D$546))*24/REGLER!$B$8,0))),"")</f>
        <v>1</v>
      </c>
      <c r="N406" s="50" t="str">
        <f t="shared" si="88"/>
        <v>Klar</v>
      </c>
      <c r="O406" s="15" t="s">
        <v>152</v>
      </c>
      <c r="P406" s="16">
        <v>0.39583333333333298</v>
      </c>
      <c r="Q406" s="16">
        <v>0.47916666666666702</v>
      </c>
      <c r="R406" s="15" t="str">
        <f>IFERROR(MATCH(1,INDEX((MATCHER!$B$5:$B$504=A406)*(MATCHER!$D$5:$D$504=C406)*(MATCHER!$K$5:$K$504="Ja")*(MATCHER!$C$5:$C$504&lt;E406)*(MATCHER!$M$5:$M$504&gt;D406),0),0),"")</f>
        <v/>
      </c>
      <c r="S406" s="15" t="str">
        <f>IF(R406="","",IFERROR(MATCH(1,INDEX((MATCHER!$B$5:$B$504=A406)*(MATCHER!$D$5:$D$504=C406)*(MATCHER!$K$5:$K$504="Ja")*(MATCHER!$C$5:$C$504&lt;E406)*(MATCHER!$M$5:$M$504&gt;D406)*(ROW(MATCHER!$A$5:$A$504)-ROW(MATCHER!$A$5)+1&gt;R406),0),0),""))</f>
        <v/>
      </c>
      <c r="T406" s="15" t="str">
        <f>IF(S406="","",IFERROR(MATCH(1,INDEX((MATCHER!$B$5:$B$504=A406)*(MATCHER!$D$5:$D$504=C406)*(MATCHER!$K$5:$K$504="Ja")*(MATCHER!$C$5:$C$504&lt;E406)*(MATCHER!$M$5:$M$504&gt;D406)*(ROW(MATCHER!$A$5:$A$504)-ROW(MATCHER!$A$5)+1&gt;S406),0),0),""))</f>
        <v/>
      </c>
      <c r="U406" s="15">
        <f t="shared" si="89"/>
        <v>1</v>
      </c>
      <c r="V406" s="15">
        <f>IF(OR(I406&lt;&gt;"Ja",J406=""),"",COUNTIFS($O$5:O406,O406,$U$5:U406,1))</f>
        <v>1</v>
      </c>
      <c r="W406" s="15" t="str">
        <f t="shared" si="90"/>
        <v>2027-02-06 | Tallbackaskolan|1</v>
      </c>
      <c r="X406" s="16" t="str">
        <f t="shared" si="91"/>
        <v/>
      </c>
      <c r="Y406" s="15">
        <f>IF(OR(I406&lt;&gt;"Ja",J406=""),0,IF(COUNTIFS($O$5:O406,O406,$I$5:I406,"Ja",$J$5:J406,"&lt;&gt;")=1,1,0))</f>
        <v>1</v>
      </c>
      <c r="Z406" s="15">
        <f>IF(OR(I406&lt;&gt;"Ja",J406=""),0,IF(COUNTIFS(O406:$O$546,O406,I406:$I$546,"Ja",J406:$J$546,"&lt;&gt;")=1,1,0))</f>
        <v>0</v>
      </c>
      <c r="AA406" s="15">
        <f>IF(COUNTIFS(MATCHER!$B$5:$B$504,A406,MATCHER!$D$5:$D$504,C406,MATCHER!$J$5:$J$504,REGLER!$I$6,MATCHER!$K$5:$K$504,"Ja")+COUNTIFS(MATCHER!$B$5:$B$504,A406,MATCHER!$D$5:$D$504,C406,MATCHER!$J$5:$J$504,REGLER!$I$6&amp;" 2",MATCHER!$K$5:$K$504,"Ja")&gt;0,1,0)+IF(COUNTIFS(MATCHER!$B$5:$B$504,A406,MATCHER!$D$5:$D$504,C406,MATCHER!$J$5:$J$504,REGLER!$I$7,MATCHER!$K$5:$K$504,"Ja")+COUNTIFS(MATCHER!$B$5:$B$504,A406,MATCHER!$D$5:$D$504,C406,MATCHER!$J$5:$J$504,REGLER!$I$7&amp;" 2",MATCHER!$K$5:$K$504,"Ja")&gt;0,1,0)+IF(COUNTIFS(MATCHER!$B$5:$B$504,A406,MATCHER!$D$5:$D$504,C406,MATCHER!$J$5:$J$504,REGLER!$I$8,MATCHER!$K$5:$K$504,"Ja")+COUNTIFS(MATCHER!$B$5:$B$504,A406,MATCHER!$D$5:$D$504,C406,MATCHER!$J$5:$J$504,REGLER!$I$8&amp;" 2",MATCHER!$K$5:$K$504,"Ja")&gt;0,1,0)+IF(COUNTIFS(MATCHER!$B$5:$B$504,A406,MATCHER!$D$5:$D$504,C406,MATCHER!$J$5:$J$504,REGLER!$I$9,MATCHER!$K$5:$K$504,"Ja")+COUNTIFS(MATCHER!$B$5:$B$504,A406,MATCHER!$D$5:$D$504,C406,MATCHER!$J$5:$J$504,REGLER!$I$9&amp;" 2",MATCHER!$K$5:$K$504,"Ja")&gt;0,1,0)+IF(COUNTIFS(MATCHER!$B$5:$B$504,A406,MATCHER!$D$5:$D$504,C406,MATCHER!$J$5:$J$504,REGLER!$I$10,MATCHER!$K$5:$K$504,"Ja")+COUNTIFS(MATCHER!$B$5:$B$504,A406,MATCHER!$D$5:$D$504,C406,MATCHER!$J$5:$J$504,REGLER!$I$10&amp;" 2",MATCHER!$K$5:$K$504,"Ja")&gt;0,1,0)+IF(COUNTIFS(MATCHER!$B$5:$B$504,A406,MATCHER!$D$5:$D$504,C406,MATCHER!$J$5:$J$504,REGLER!$I$11,MATCHER!$K$5:$K$504,"Ja")+COUNTIFS(MATCHER!$B$5:$B$504,A406,MATCHER!$D$5:$D$504,C406,MATCHER!$J$5:$J$504,REGLER!$I$11&amp;" 2",MATCHER!$K$5:$K$504,"Ja")&gt;0,1,0)+IF(COUNTIFS(MATCHER!$B$5:$B$504,A406,MATCHER!$D$5:$D$504,C406,MATCHER!$J$5:$J$504,REGLER!$I$12,MATCHER!$K$5:$K$504,"Ja")+COUNTIFS(MATCHER!$B$5:$B$504,A406,MATCHER!$D$5:$D$504,C406,MATCHER!$J$5:$J$504,REGLER!$I$12&amp;" 2",MATCHER!$K$5:$K$504,"Ja")&gt;0,1,0)+IF(COUNTIFS(MATCHER!$B$5:$B$504,A406,MATCHER!$D$5:$D$504,C406,MATCHER!$J$5:$J$504,REGLER!$I$13,MATCHER!$K$5:$K$504,"Ja")+COUNTIFS(MATCHER!$B$5:$B$504,A406,MATCHER!$D$5:$D$504,C406,MATCHER!$J$5:$J$504,REGLER!$I$13&amp;" 2",MATCHER!$K$5:$K$504,"Ja")&gt;0,1,0)+IF(COUNTIFS(MATCHER!$B$5:$B$504,A406,MATCHER!$D$5:$D$504,C406,MATCHER!$J$5:$J$504,REGLER!$I$14,MATCHER!$K$5:$K$504,"Ja")+COUNTIFS(MATCHER!$B$5:$B$504,A406,MATCHER!$D$5:$D$504,C406,MATCHER!$J$5:$J$504,REGLER!$I$14&amp;" 2",MATCHER!$K$5:$K$504,"Ja")&gt;0,1,0)+IF(COUNTIFS(MATCHER!$B$5:$B$504,A406,MATCHER!$D$5:$D$504,C406,MATCHER!$J$5:$J$504,REGLER!$I$15,MATCHER!$K$5:$K$504,"Ja")+COUNTIFS(MATCHER!$B$5:$B$504,A406,MATCHER!$D$5:$D$504,C406,MATCHER!$J$5:$J$504,REGLER!$I$15&amp;" 2",MATCHER!$K$5:$K$504,"Ja")&gt;0,1,0)+IF(COUNTIFS(MATCHER!$B$5:$B$504,A406,MATCHER!$D$5:$D$504,C406,MATCHER!$J$5:$J$504,REGLER!$I$16,MATCHER!$K$5:$K$504,"Ja")+COUNTIFS(MATCHER!$B$5:$B$504,A406,MATCHER!$D$5:$D$504,C406,MATCHER!$J$5:$J$504,REGLER!$I$16&amp;" 2",MATCHER!$K$5:$K$504,"Ja")&gt;0,1,0)+IF(COUNTIFS(MATCHER!$B$5:$B$504,A406,MATCHER!$D$5:$D$504,C406,MATCHER!$J$5:$J$504,REGLER!$I$17,MATCHER!$K$5:$K$504,"Ja")+COUNTIFS(MATCHER!$B$5:$B$504,A406,MATCHER!$D$5:$D$504,C406,MATCHER!$J$5:$J$504,REGLER!$I$17&amp;" 2",MATCHER!$K$5:$K$504,"Ja")&gt;0,1,0)+IF(COUNTIFS(MATCHER!$B$5:$B$504,A406,MATCHER!$D$5:$D$504,C406,MATCHER!$J$5:$J$504,REGLER!$I$18,MATCHER!$K$5:$K$504,"Ja")+COUNTIFS(MATCHER!$B$5:$B$504,A406,MATCHER!$D$5:$D$504,C406,MATCHER!$J$5:$J$504,REGLER!$I$18&amp;" 2",MATCHER!$K$5:$K$504,"Ja")&gt;0,1,0)+IF(COUNTIFS(MATCHER!$B$5:$B$504,A406,MATCHER!$D$5:$D$504,C406,MATCHER!$J$5:$J$504,REGLER!$I$19,MATCHER!$K$5:$K$504,"Ja")+COUNTIFS(MATCHER!$B$5:$B$504,A406,MATCHER!$D$5:$D$504,C406,MATCHER!$J$5:$J$504,REGLER!$I$19&amp;" 2",MATCHER!$K$5:$K$504,"Ja")&gt;0,1,0)+IF(COUNTIFS(MATCHER!$B$5:$B$504,A406,MATCHER!$D$5:$D$504,C406,MATCHER!$J$5:$J$504,REGLER!$I$20,MATCHER!$K$5:$K$504,"Ja")+COUNTIFS(MATCHER!$B$5:$B$504,A406,MATCHER!$D$5:$D$504,C406,MATCHER!$J$5:$J$504,REGLER!$I$20&amp;" 2",MATCHER!$K$5:$K$504,"Ja")&gt;0,1,0)+IF(COUNTIFS(MATCHER!$B$5:$B$504,A406,MATCHER!$D$5:$D$504,C406,MATCHER!$J$5:$J$504,REGLER!$I$21,MATCHER!$K$5:$K$504,"Ja")+COUNTIFS(MATCHER!$B$5:$B$504,A406,MATCHER!$D$5:$D$504,C406,MATCHER!$J$5:$J$504,REGLER!$I$21&amp;" 2",MATCHER!$K$5:$K$504,"Ja")&gt;0,1,0)+IF(COUNTIFS(MATCHER!$B$5:$B$504,A406,MATCHER!$D$5:$D$504,C406,MATCHER!$J$5:$J$504,REGLER!$I$22,MATCHER!$K$5:$K$504,"Ja")+COUNTIFS(MATCHER!$B$5:$B$504,A406,MATCHER!$D$5:$D$504,C406,MATCHER!$J$5:$J$504,REGLER!$I$22&amp;" 2",MATCHER!$K$5:$K$504,"Ja")&gt;0,1,0)+IF(COUNTIFS(MATCHER!$B$5:$B$504,A406,MATCHER!$D$5:$D$504,C406,MATCHER!$J$5:$J$504,REGLER!$I$23,MATCHER!$K$5:$K$504,"Ja")+COUNTIFS(MATCHER!$B$5:$B$504,A406,MATCHER!$D$5:$D$504,C406,MATCHER!$J$5:$J$504,REGLER!$I$23&amp;" 2",MATCHER!$K$5:$K$504,"Ja")&gt;0,1,0)+IF(COUNTIFS(MATCHER!$B$5:$B$504,A406,MATCHER!$D$5:$D$504,C406,MATCHER!$J$5:$J$504,REGLER!$I$24,MATCHER!$K$5:$K$504,"Ja")+COUNTIFS(MATCHER!$B$5:$B$504,A406,MATCHER!$D$5:$D$504,C406,MATCHER!$J$5:$J$504,REGLER!$I$24&amp;" 2",MATCHER!$K$5:$K$504,"Ja")&gt;0,1,0)+IF(COUNTIFS(MATCHER!$B$5:$B$504,A406,MATCHER!$D$5:$D$504,C406,MATCHER!$J$5:$J$504,REGLER!$I$25,MATCHER!$K$5:$K$504,"Ja")+COUNTIFS(MATCHER!$B$5:$B$504,A406,MATCHER!$D$5:$D$504,C406,MATCHER!$J$5:$J$504,REGLER!$I$25&amp;" 2",MATCHER!$K$5:$K$504,"Ja")&gt;0,1,0)+IF(COUNTIFS(MATCHER!$B$5:$B$504,A406,MATCHER!$D$5:$D$504,C406,MATCHER!$J$5:$J$504,REGLER!$I$26,MATCHER!$K$5:$K$504,"Ja")+COUNTIFS(MATCHER!$B$5:$B$504,A406,MATCHER!$D$5:$D$504,C406,MATCHER!$J$5:$J$504,REGLER!$I$26&amp;" 2",MATCHER!$K$5:$K$504,"Ja")&gt;0,1,0)</f>
        <v>1</v>
      </c>
      <c r="AB406" s="15">
        <f>IF(U406&lt;&gt;1,"",COUNTIF($U$5:U406,1))</f>
        <v>66</v>
      </c>
      <c r="AC406" s="15" t="str">
        <f t="shared" si="92"/>
        <v/>
      </c>
      <c r="AD406" s="15" t="str">
        <f t="shared" si="93"/>
        <v>Minicafé</v>
      </c>
      <c r="AE406" s="15">
        <f t="shared" si="94"/>
        <v>2.0000000000000169</v>
      </c>
      <c r="AF406" t="str">
        <f>IF(T406="","",IFERROR(MATCH(1,INDEX((MATCHER!$B$5:$B$504=A406)*(MATCHER!$D$5:$D$504=C406)*(MATCHER!$K$5:$K$504="Ja")*(MATCHER!$C$5:$C$504&lt;E406)*(MATCHER!$M$5:$M$504&gt;D406)*(ROW(MATCHER!$A$5:$A$504)-ROW(MATCHER!$A$5)+1&gt;T406),0),0),""))</f>
        <v/>
      </c>
    </row>
    <row r="407" spans="1:32" ht="26">
      <c r="A407" s="42">
        <v>46424</v>
      </c>
      <c r="B407" s="43" t="s">
        <v>85</v>
      </c>
      <c r="C407" s="43" t="s">
        <v>110</v>
      </c>
      <c r="D407" s="44">
        <v>0.41666666666666702</v>
      </c>
      <c r="E407" s="44">
        <v>0.4375</v>
      </c>
      <c r="F407" s="45" t="str">
        <f>IF(R407="","",HOUR(INDEX(MATCHER!$C$5:$C$504,R407))&amp;":"&amp;IF(MINUTE(INDEX(MATCHER!$C$5:$C$504,R407))&lt;10,"0","")&amp;MINUTE(INDEX(MATCHER!$C$5:$C$504,R407))&amp;" "&amp;INDEX(MATCHER!$H$5:$H$504,R407)&amp;" – "&amp;INDEX(MATCHER!$I$5:$I$504,R407))&amp;IF(S407="",""," | "&amp;HOUR(INDEX(MATCHER!$C$5:$C$504,S407))&amp;":"&amp;IF(MINUTE(INDEX(MATCHER!$C$5:$C$504,S407))&lt;10,"0","")&amp;MINUTE(INDEX(MATCHER!$C$5:$C$504,S407))&amp;" "&amp;INDEX(MATCHER!$H$5:$H$504,S407)&amp;" – "&amp;INDEX(MATCHER!$I$5:$I$504,S407))&amp;IF(T407="",""," | "&amp;HOUR(INDEX(MATCHER!$C$5:$C$504,T407))&amp;":"&amp;IF(MINUTE(INDEX(MATCHER!$C$5:$C$504,T407))&lt;10,"0","")&amp;MINUTE(INDEX(MATCHER!$C$5:$C$504,T407))&amp;" "&amp;INDEX(MATCHER!$H$5:$H$504,T407)&amp;" – "&amp;INDEX(MATCHER!$I$5:$I$504,T407))&amp;IF(AF407="",""," | "&amp;HOUR(INDEX(MATCHER!$C$5:$C$504,AF407))&amp;":"&amp;IF(MINUTE(INDEX(MATCHER!$C$5:$C$504,AF407))&lt;10,"0","")&amp;MINUTE(INDEX(MATCHER!$C$5:$C$504,AF407))&amp;" "&amp;INDEX(MATCHER!$H$5:$H$504,AF407)&amp;" – "&amp;INDEX(MATCHER!$I$5:$I$504,AF407))</f>
        <v>10:20 AIK 2 – Skånela IF 1</v>
      </c>
      <c r="G407" s="45" t="str">
        <f>MID(IF(R407="","",IF(OR(INDEX(MATCHER!$J$5:$J$504,R407)=""),""," / "&amp;INDEX(MATCHER!$J$5:$J$504,R407)))&amp;IF(S407="","",IF(OR(INDEX(MATCHER!$J$5:$J$504,S407)="",INDEX(MATCHER!$J$5:$J$504,S407)=IFERROR(INDEX(MATCHER!$J$5:$J$504,R407),"")),""," / "&amp;INDEX(MATCHER!$J$5:$J$504,S407)))&amp;IF(T407="","",IF(OR(INDEX(MATCHER!$J$5:$J$504,T407)="",INDEX(MATCHER!$J$5:$J$504,T407)=IFERROR(INDEX(MATCHER!$J$5:$J$504,R407),""),INDEX(MATCHER!$J$5:$J$504,T407)=IFERROR(INDEX(MATCHER!$J$5:$J$504,S407),"")),""," / "&amp;INDEX(MATCHER!$J$5:$J$504,T407)))&amp;IF(AF407="","",IF(OR(INDEX(MATCHER!$J$5:$J$504,AF407)="",INDEX(MATCHER!$J$5:$J$504,AF407)=IFERROR(INDEX(MATCHER!$J$5:$J$504,R407),""),INDEX(MATCHER!$J$5:$J$504,AF407)=IFERROR(INDEX(MATCHER!$J$5:$J$504,S407),""),INDEX(MATCHER!$J$5:$J$504,AF407)=IFERROR(INDEX(MATCHER!$J$5:$J$504,T407),"")),""," / "&amp;INDEX(MATCHER!$J$5:$J$504,AF407))),4,1000)</f>
        <v>F13 2</v>
      </c>
      <c r="H407" s="45" t="str">
        <f>H406</f>
        <v>F13</v>
      </c>
      <c r="I407" s="46" t="s">
        <v>90</v>
      </c>
      <c r="J407" s="47" t="s">
        <v>97</v>
      </c>
      <c r="K407" s="48"/>
      <c r="L407" s="49"/>
      <c r="M407" s="50" t="str">
        <f>IF(O407&lt;&gt;O406,MAX(1,MIN(AA407,ROUNDUP(SUMPRODUCT(($O$5:$O$546=O407)*($I$5:$I$546="Ja")*($E$5:$E$546-$D$5:$D$546))*24/REGLER!$B$8,0))),"")</f>
        <v/>
      </c>
      <c r="N407" s="50" t="str">
        <f t="shared" si="88"/>
        <v>Klar</v>
      </c>
      <c r="O407" s="15" t="s">
        <v>152</v>
      </c>
      <c r="P407" s="16">
        <v>0.39583333333333298</v>
      </c>
      <c r="Q407" s="16">
        <v>0.47916666666666702</v>
      </c>
      <c r="R407" s="15">
        <f>IFERROR(MATCH(1,INDEX((MATCHER!$B$5:$B$504=A407)*(MATCHER!$D$5:$D$504=C407)*(MATCHER!$K$5:$K$504="Ja")*(MATCHER!$C$5:$C$504&lt;E407)*(MATCHER!$M$5:$M$504&gt;D407),0),0),"")</f>
        <v>147</v>
      </c>
      <c r="S407" s="15" t="str">
        <f>IF(R407="","",IFERROR(MATCH(1,INDEX((MATCHER!$B$5:$B$504=A407)*(MATCHER!$D$5:$D$504=C407)*(MATCHER!$K$5:$K$504="Ja")*(MATCHER!$C$5:$C$504&lt;E407)*(MATCHER!$M$5:$M$504&gt;D407)*(ROW(MATCHER!$A$5:$A$504)-ROW(MATCHER!$A$5)+1&gt;R407),0),0),""))</f>
        <v/>
      </c>
      <c r="T407" s="15" t="str">
        <f>IF(S407="","",IFERROR(MATCH(1,INDEX((MATCHER!$B$5:$B$504=A407)*(MATCHER!$D$5:$D$504=C407)*(MATCHER!$K$5:$K$504="Ja")*(MATCHER!$C$5:$C$504&lt;E407)*(MATCHER!$M$5:$M$504&gt;D407)*(ROW(MATCHER!$A$5:$A$504)-ROW(MATCHER!$A$5)+1&gt;S407),0),0),""))</f>
        <v/>
      </c>
      <c r="U407" s="15">
        <f t="shared" si="89"/>
        <v>0</v>
      </c>
      <c r="V407" s="15">
        <f>IF(OR(I407&lt;&gt;"Ja",J407=""),"",COUNTIFS($O$5:O407,O407,$U$5:U407,1))</f>
        <v>1</v>
      </c>
      <c r="W407" s="15" t="str">
        <f t="shared" si="90"/>
        <v>2027-02-06 | Tallbackaskolan|1</v>
      </c>
      <c r="X407" s="16" t="str">
        <f t="shared" si="91"/>
        <v/>
      </c>
      <c r="Y407" s="15">
        <f>IF(OR(I407&lt;&gt;"Ja",J407=""),0,IF(COUNTIFS($O$5:O407,O407,$I$5:I407,"Ja",$J$5:J407,"&lt;&gt;")=1,1,0))</f>
        <v>0</v>
      </c>
      <c r="Z407" s="15">
        <f>IF(OR(I407&lt;&gt;"Ja",J407=""),0,IF(COUNTIFS(O407:$O$546,O407,I407:$I$546,"Ja",J407:$J$546,"&lt;&gt;")=1,1,0))</f>
        <v>0</v>
      </c>
      <c r="AA407" s="15">
        <f>AA406</f>
        <v>1</v>
      </c>
      <c r="AB407" s="15" t="str">
        <f>IF(U407&lt;&gt;1,"",COUNTIF($U$5:U407,1))</f>
        <v/>
      </c>
      <c r="AC407" s="15" t="str">
        <f t="shared" si="92"/>
        <v/>
      </c>
      <c r="AD407" s="15" t="str">
        <f t="shared" si="93"/>
        <v>Minicafé</v>
      </c>
      <c r="AE407" s="15" t="str">
        <f t="shared" si="94"/>
        <v/>
      </c>
      <c r="AF407" t="str">
        <f>IF(T407="","",IFERROR(MATCH(1,INDEX((MATCHER!$B$5:$B$504=A407)*(MATCHER!$D$5:$D$504=C407)*(MATCHER!$K$5:$K$504="Ja")*(MATCHER!$C$5:$C$504&lt;E407)*(MATCHER!$M$5:$M$504&gt;D407)*(ROW(MATCHER!$A$5:$A$504)-ROW(MATCHER!$A$5)+1&gt;T407),0),0),""))</f>
        <v/>
      </c>
    </row>
    <row r="408" spans="1:32" ht="26">
      <c r="A408" s="42">
        <v>46424</v>
      </c>
      <c r="B408" s="43" t="s">
        <v>85</v>
      </c>
      <c r="C408" s="43" t="s">
        <v>110</v>
      </c>
      <c r="D408" s="44">
        <v>0.4375</v>
      </c>
      <c r="E408" s="44">
        <v>0.45833333333333298</v>
      </c>
      <c r="F408" s="45" t="str">
        <f>IF(R408="","",HOUR(INDEX(MATCHER!$C$5:$C$504,R408))&amp;":"&amp;IF(MINUTE(INDEX(MATCHER!$C$5:$C$504,R408))&lt;10,"0","")&amp;MINUTE(INDEX(MATCHER!$C$5:$C$504,R408))&amp;" "&amp;INDEX(MATCHER!$H$5:$H$504,R408)&amp;" – "&amp;INDEX(MATCHER!$I$5:$I$504,R408))&amp;IF(S408="",""," | "&amp;HOUR(INDEX(MATCHER!$C$5:$C$504,S408))&amp;":"&amp;IF(MINUTE(INDEX(MATCHER!$C$5:$C$504,S408))&lt;10,"0","")&amp;MINUTE(INDEX(MATCHER!$C$5:$C$504,S408))&amp;" "&amp;INDEX(MATCHER!$H$5:$H$504,S408)&amp;" – "&amp;INDEX(MATCHER!$I$5:$I$504,S408))&amp;IF(T408="",""," | "&amp;HOUR(INDEX(MATCHER!$C$5:$C$504,T408))&amp;":"&amp;IF(MINUTE(INDEX(MATCHER!$C$5:$C$504,T408))&lt;10,"0","")&amp;MINUTE(INDEX(MATCHER!$C$5:$C$504,T408))&amp;" "&amp;INDEX(MATCHER!$H$5:$H$504,T408)&amp;" – "&amp;INDEX(MATCHER!$I$5:$I$504,T408))&amp;IF(AF408="",""," | "&amp;HOUR(INDEX(MATCHER!$C$5:$C$504,AF408))&amp;":"&amp;IF(MINUTE(INDEX(MATCHER!$C$5:$C$504,AF408))&lt;10,"0","")&amp;MINUTE(INDEX(MATCHER!$C$5:$C$504,AF408))&amp;" "&amp;INDEX(MATCHER!$H$5:$H$504,AF408)&amp;" – "&amp;INDEX(MATCHER!$I$5:$I$504,AF408))</f>
        <v>10:20 AIK 2 – Skånela IF 1</v>
      </c>
      <c r="G408" s="45" t="str">
        <f>MID(IF(R408="","",IF(OR(INDEX(MATCHER!$J$5:$J$504,R408)=""),""," / "&amp;INDEX(MATCHER!$J$5:$J$504,R408)))&amp;IF(S408="","",IF(OR(INDEX(MATCHER!$J$5:$J$504,S408)="",INDEX(MATCHER!$J$5:$J$504,S408)=IFERROR(INDEX(MATCHER!$J$5:$J$504,R408),"")),""," / "&amp;INDEX(MATCHER!$J$5:$J$504,S408)))&amp;IF(T408="","",IF(OR(INDEX(MATCHER!$J$5:$J$504,T408)="",INDEX(MATCHER!$J$5:$J$504,T408)=IFERROR(INDEX(MATCHER!$J$5:$J$504,R408),""),INDEX(MATCHER!$J$5:$J$504,T408)=IFERROR(INDEX(MATCHER!$J$5:$J$504,S408),"")),""," / "&amp;INDEX(MATCHER!$J$5:$J$504,T408)))&amp;IF(AF408="","",IF(OR(INDEX(MATCHER!$J$5:$J$504,AF408)="",INDEX(MATCHER!$J$5:$J$504,AF408)=IFERROR(INDEX(MATCHER!$J$5:$J$504,R408),""),INDEX(MATCHER!$J$5:$J$504,AF408)=IFERROR(INDEX(MATCHER!$J$5:$J$504,S408),""),INDEX(MATCHER!$J$5:$J$504,AF408)=IFERROR(INDEX(MATCHER!$J$5:$J$504,T408),"")),""," / "&amp;INDEX(MATCHER!$J$5:$J$504,AF408))),4,1000)</f>
        <v>F13 2</v>
      </c>
      <c r="H408" s="45" t="str">
        <f>H407</f>
        <v>F13</v>
      </c>
      <c r="I408" s="46" t="s">
        <v>90</v>
      </c>
      <c r="J408" s="47" t="s">
        <v>97</v>
      </c>
      <c r="K408" s="48"/>
      <c r="L408" s="49"/>
      <c r="M408" s="50" t="str">
        <f>IF(O408&lt;&gt;O407,MAX(1,MIN(AA408,ROUNDUP(SUMPRODUCT(($O$5:$O$546=O408)*($I$5:$I$546="Ja")*($E$5:$E$546-$D$5:$D$546))*24/REGLER!$B$8,0))),"")</f>
        <v/>
      </c>
      <c r="N408" s="50" t="str">
        <f t="shared" si="88"/>
        <v>Klar</v>
      </c>
      <c r="O408" s="15" t="s">
        <v>152</v>
      </c>
      <c r="P408" s="16">
        <v>0.39583333333333298</v>
      </c>
      <c r="Q408" s="16">
        <v>0.47916666666666702</v>
      </c>
      <c r="R408" s="15">
        <f>IFERROR(MATCH(1,INDEX((MATCHER!$B$5:$B$504=A408)*(MATCHER!$D$5:$D$504=C408)*(MATCHER!$K$5:$K$504="Ja")*(MATCHER!$C$5:$C$504&lt;E408)*(MATCHER!$M$5:$M$504&gt;D408),0),0),"")</f>
        <v>147</v>
      </c>
      <c r="S408" s="15" t="str">
        <f>IF(R408="","",IFERROR(MATCH(1,INDEX((MATCHER!$B$5:$B$504=A408)*(MATCHER!$D$5:$D$504=C408)*(MATCHER!$K$5:$K$504="Ja")*(MATCHER!$C$5:$C$504&lt;E408)*(MATCHER!$M$5:$M$504&gt;D408)*(ROW(MATCHER!$A$5:$A$504)-ROW(MATCHER!$A$5)+1&gt;R408),0),0),""))</f>
        <v/>
      </c>
      <c r="T408" s="15" t="str">
        <f>IF(S408="","",IFERROR(MATCH(1,INDEX((MATCHER!$B$5:$B$504=A408)*(MATCHER!$D$5:$D$504=C408)*(MATCHER!$K$5:$K$504="Ja")*(MATCHER!$C$5:$C$504&lt;E408)*(MATCHER!$M$5:$M$504&gt;D408)*(ROW(MATCHER!$A$5:$A$504)-ROW(MATCHER!$A$5)+1&gt;S408),0),0),""))</f>
        <v/>
      </c>
      <c r="U408" s="15">
        <f t="shared" si="89"/>
        <v>0</v>
      </c>
      <c r="V408" s="15">
        <f>IF(OR(I408&lt;&gt;"Ja",J408=""),"",COUNTIFS($O$5:O408,O408,$U$5:U408,1))</f>
        <v>1</v>
      </c>
      <c r="W408" s="15" t="str">
        <f t="shared" si="90"/>
        <v>2027-02-06 | Tallbackaskolan|1</v>
      </c>
      <c r="X408" s="16" t="str">
        <f t="shared" si="91"/>
        <v/>
      </c>
      <c r="Y408" s="15">
        <f>IF(OR(I408&lt;&gt;"Ja",J408=""),0,IF(COUNTIFS($O$5:O408,O408,$I$5:I408,"Ja",$J$5:J408,"&lt;&gt;")=1,1,0))</f>
        <v>0</v>
      </c>
      <c r="Z408" s="15">
        <f>IF(OR(I408&lt;&gt;"Ja",J408=""),0,IF(COUNTIFS(O408:$O$546,O408,I408:$I$546,"Ja",J408:$J$546,"&lt;&gt;")=1,1,0))</f>
        <v>0</v>
      </c>
      <c r="AA408" s="15">
        <f>AA407</f>
        <v>1</v>
      </c>
      <c r="AB408" s="15" t="str">
        <f>IF(U408&lt;&gt;1,"",COUNTIF($U$5:U408,1))</f>
        <v/>
      </c>
      <c r="AC408" s="15" t="str">
        <f t="shared" si="92"/>
        <v/>
      </c>
      <c r="AD408" s="15" t="str">
        <f t="shared" si="93"/>
        <v>Minicafé</v>
      </c>
      <c r="AE408" s="15" t="str">
        <f t="shared" si="94"/>
        <v/>
      </c>
      <c r="AF408" t="str">
        <f>IF(T408="","",IFERROR(MATCH(1,INDEX((MATCHER!$B$5:$B$504=A408)*(MATCHER!$D$5:$D$504=C408)*(MATCHER!$K$5:$K$504="Ja")*(MATCHER!$C$5:$C$504&lt;E408)*(MATCHER!$M$5:$M$504&gt;D408)*(ROW(MATCHER!$A$5:$A$504)-ROW(MATCHER!$A$5)+1&gt;T408),0),0),""))</f>
        <v/>
      </c>
    </row>
    <row r="409" spans="1:32" ht="26.5" thickBot="1">
      <c r="A409" s="52">
        <v>46424</v>
      </c>
      <c r="B409" s="53" t="s">
        <v>85</v>
      </c>
      <c r="C409" s="53" t="s">
        <v>110</v>
      </c>
      <c r="D409" s="54">
        <v>0.45833333333333298</v>
      </c>
      <c r="E409" s="54">
        <v>0.47916666666666702</v>
      </c>
      <c r="F409" s="55" t="str">
        <f>IF(R409="","",HOUR(INDEX(MATCHER!$C$5:$C$504,R409))&amp;":"&amp;IF(MINUTE(INDEX(MATCHER!$C$5:$C$504,R409))&lt;10,"0","")&amp;MINUTE(INDEX(MATCHER!$C$5:$C$504,R409))&amp;" "&amp;INDEX(MATCHER!$H$5:$H$504,R409)&amp;" – "&amp;INDEX(MATCHER!$I$5:$I$504,R409))&amp;IF(S409="",""," | "&amp;HOUR(INDEX(MATCHER!$C$5:$C$504,S409))&amp;":"&amp;IF(MINUTE(INDEX(MATCHER!$C$5:$C$504,S409))&lt;10,"0","")&amp;MINUTE(INDEX(MATCHER!$C$5:$C$504,S409))&amp;" "&amp;INDEX(MATCHER!$H$5:$H$504,S409)&amp;" – "&amp;INDEX(MATCHER!$I$5:$I$504,S409))&amp;IF(T409="",""," | "&amp;HOUR(INDEX(MATCHER!$C$5:$C$504,T409))&amp;":"&amp;IF(MINUTE(INDEX(MATCHER!$C$5:$C$504,T409))&lt;10,"0","")&amp;MINUTE(INDEX(MATCHER!$C$5:$C$504,T409))&amp;" "&amp;INDEX(MATCHER!$H$5:$H$504,T409)&amp;" – "&amp;INDEX(MATCHER!$I$5:$I$504,T409))&amp;IF(AF409="",""," | "&amp;HOUR(INDEX(MATCHER!$C$5:$C$504,AF409))&amp;":"&amp;IF(MINUTE(INDEX(MATCHER!$C$5:$C$504,AF409))&lt;10,"0","")&amp;MINUTE(INDEX(MATCHER!$C$5:$C$504,AF409))&amp;" "&amp;INDEX(MATCHER!$H$5:$H$504,AF409)&amp;" – "&amp;INDEX(MATCHER!$I$5:$I$504,AF409))</f>
        <v>10:20 AIK 2 – Skånela IF 1</v>
      </c>
      <c r="G409" s="55" t="str">
        <f>MID(IF(R409="","",IF(OR(INDEX(MATCHER!$J$5:$J$504,R409)=""),""," / "&amp;INDEX(MATCHER!$J$5:$J$504,R409)))&amp;IF(S409="","",IF(OR(INDEX(MATCHER!$J$5:$J$504,S409)="",INDEX(MATCHER!$J$5:$J$504,S409)=IFERROR(INDEX(MATCHER!$J$5:$J$504,R409),"")),""," / "&amp;INDEX(MATCHER!$J$5:$J$504,S409)))&amp;IF(T409="","",IF(OR(INDEX(MATCHER!$J$5:$J$504,T409)="",INDEX(MATCHER!$J$5:$J$504,T409)=IFERROR(INDEX(MATCHER!$J$5:$J$504,R409),""),INDEX(MATCHER!$J$5:$J$504,T409)=IFERROR(INDEX(MATCHER!$J$5:$J$504,S409),"")),""," / "&amp;INDEX(MATCHER!$J$5:$J$504,T409)))&amp;IF(AF409="","",IF(OR(INDEX(MATCHER!$J$5:$J$504,AF409)="",INDEX(MATCHER!$J$5:$J$504,AF409)=IFERROR(INDEX(MATCHER!$J$5:$J$504,R409),""),INDEX(MATCHER!$J$5:$J$504,AF409)=IFERROR(INDEX(MATCHER!$J$5:$J$504,S409),""),INDEX(MATCHER!$J$5:$J$504,AF409)=IFERROR(INDEX(MATCHER!$J$5:$J$504,T409),"")),""," / "&amp;INDEX(MATCHER!$J$5:$J$504,AF409))),4,1000)</f>
        <v>F13 2</v>
      </c>
      <c r="H409" s="55" t="str">
        <f>H408</f>
        <v>F13</v>
      </c>
      <c r="I409" s="56" t="s">
        <v>90</v>
      </c>
      <c r="J409" s="57" t="s">
        <v>97</v>
      </c>
      <c r="K409" s="58"/>
      <c r="L409" s="59"/>
      <c r="M409" s="60" t="str">
        <f>IF(O409&lt;&gt;O408,MAX(1,MIN(AA409,ROUNDUP(SUMPRODUCT(($O$5:$O$546=O409)*($I$5:$I$546="Ja")*($E$5:$E$546-$D$5:$D$546))*24/REGLER!$B$8,0))),"")</f>
        <v/>
      </c>
      <c r="N409" s="60" t="str">
        <f t="shared" si="88"/>
        <v>Klar</v>
      </c>
      <c r="O409" s="15" t="s">
        <v>152</v>
      </c>
      <c r="P409" s="16">
        <v>0.39583333333333298</v>
      </c>
      <c r="Q409" s="16">
        <v>0.47916666666666702</v>
      </c>
      <c r="R409" s="15">
        <f>IFERROR(MATCH(1,INDEX((MATCHER!$B$5:$B$504=A409)*(MATCHER!$D$5:$D$504=C409)*(MATCHER!$K$5:$K$504="Ja")*(MATCHER!$C$5:$C$504&lt;E409)*(MATCHER!$M$5:$M$504&gt;D409),0),0),"")</f>
        <v>147</v>
      </c>
      <c r="S409" s="15" t="str">
        <f>IF(R409="","",IFERROR(MATCH(1,INDEX((MATCHER!$B$5:$B$504=A409)*(MATCHER!$D$5:$D$504=C409)*(MATCHER!$K$5:$K$504="Ja")*(MATCHER!$C$5:$C$504&lt;E409)*(MATCHER!$M$5:$M$504&gt;D409)*(ROW(MATCHER!$A$5:$A$504)-ROW(MATCHER!$A$5)+1&gt;R409),0),0),""))</f>
        <v/>
      </c>
      <c r="T409" s="15" t="str">
        <f>IF(S409="","",IFERROR(MATCH(1,INDEX((MATCHER!$B$5:$B$504=A409)*(MATCHER!$D$5:$D$504=C409)*(MATCHER!$K$5:$K$504="Ja")*(MATCHER!$C$5:$C$504&lt;E409)*(MATCHER!$M$5:$M$504&gt;D409)*(ROW(MATCHER!$A$5:$A$504)-ROW(MATCHER!$A$5)+1&gt;S409),0),0),""))</f>
        <v/>
      </c>
      <c r="U409" s="15">
        <f t="shared" si="89"/>
        <v>0</v>
      </c>
      <c r="V409" s="15">
        <f>IF(OR(I409&lt;&gt;"Ja",J409=""),"",COUNTIFS($O$5:O409,O409,$U$5:U409,1))</f>
        <v>1</v>
      </c>
      <c r="W409" s="15" t="str">
        <f t="shared" si="90"/>
        <v>2027-02-06 | Tallbackaskolan|1</v>
      </c>
      <c r="X409" s="16">
        <f t="shared" si="91"/>
        <v>0.47916666666666702</v>
      </c>
      <c r="Y409" s="15">
        <f>IF(OR(I409&lt;&gt;"Ja",J409=""),0,IF(COUNTIFS($O$5:O409,O409,$I$5:I409,"Ja",$J$5:J409,"&lt;&gt;")=1,1,0))</f>
        <v>0</v>
      </c>
      <c r="Z409" s="15">
        <f>IF(OR(I409&lt;&gt;"Ja",J409=""),0,IF(COUNTIFS(O409:$O$546,O409,I409:$I$546,"Ja",J409:$J$546,"&lt;&gt;")=1,1,0))</f>
        <v>1</v>
      </c>
      <c r="AA409" s="15">
        <f>AA408</f>
        <v>1</v>
      </c>
      <c r="AB409" s="15" t="str">
        <f>IF(U409&lt;&gt;1,"",COUNTIF($U$5:U409,1))</f>
        <v/>
      </c>
      <c r="AC409" s="15" t="str">
        <f t="shared" si="92"/>
        <v>2027-02-06 | Tallbackaskolan|1</v>
      </c>
      <c r="AD409" s="15" t="str">
        <f t="shared" si="93"/>
        <v>Minicafé</v>
      </c>
      <c r="AE409" s="15" t="str">
        <f t="shared" si="94"/>
        <v/>
      </c>
      <c r="AF409" t="str">
        <f>IF(T409="","",IFERROR(MATCH(1,INDEX((MATCHER!$B$5:$B$504=A409)*(MATCHER!$D$5:$D$504=C409)*(MATCHER!$K$5:$K$504="Ja")*(MATCHER!$C$5:$C$504&lt;E409)*(MATCHER!$M$5:$M$504&gt;D409)*(ROW(MATCHER!$A$5:$A$504)-ROW(MATCHER!$A$5)+1&gt;T409),0),0),""))</f>
        <v/>
      </c>
    </row>
    <row r="410" spans="1:32" ht="13">
      <c r="A410" s="42">
        <v>46431</v>
      </c>
      <c r="B410" s="43" t="s">
        <v>85</v>
      </c>
      <c r="C410" s="43" t="s">
        <v>94</v>
      </c>
      <c r="D410" s="44">
        <v>0.53125</v>
      </c>
      <c r="E410" s="44">
        <v>0.54166666666666696</v>
      </c>
      <c r="F410" s="45" t="str">
        <f>IF(R410="","",HOUR(INDEX(MATCHER!$C$5:$C$504,R410))&amp;":"&amp;IF(MINUTE(INDEX(MATCHER!$C$5:$C$504,R410))&lt;10,"0","")&amp;MINUTE(INDEX(MATCHER!$C$5:$C$504,R410))&amp;" "&amp;INDEX(MATCHER!$H$5:$H$504,R410)&amp;" – "&amp;INDEX(MATCHER!$I$5:$I$504,R410))&amp;IF(S410="",""," | "&amp;HOUR(INDEX(MATCHER!$C$5:$C$504,S410))&amp;":"&amp;IF(MINUTE(INDEX(MATCHER!$C$5:$C$504,S410))&lt;10,"0","")&amp;MINUTE(INDEX(MATCHER!$C$5:$C$504,S410))&amp;" "&amp;INDEX(MATCHER!$H$5:$H$504,S410)&amp;" – "&amp;INDEX(MATCHER!$I$5:$I$504,S410))&amp;IF(T410="",""," | "&amp;HOUR(INDEX(MATCHER!$C$5:$C$504,T410))&amp;":"&amp;IF(MINUTE(INDEX(MATCHER!$C$5:$C$504,T410))&lt;10,"0","")&amp;MINUTE(INDEX(MATCHER!$C$5:$C$504,T410))&amp;" "&amp;INDEX(MATCHER!$H$5:$H$504,T410)&amp;" – "&amp;INDEX(MATCHER!$I$5:$I$504,T410))&amp;IF(AF410="",""," | "&amp;HOUR(INDEX(MATCHER!$C$5:$C$504,AF410))&amp;":"&amp;IF(MINUTE(INDEX(MATCHER!$C$5:$C$504,AF410))&lt;10,"0","")&amp;MINUTE(INDEX(MATCHER!$C$5:$C$504,AF410))&amp;" "&amp;INDEX(MATCHER!$H$5:$H$504,AF410)&amp;" – "&amp;INDEX(MATCHER!$I$5:$I$504,AF410))</f>
        <v/>
      </c>
      <c r="G410" s="45" t="str">
        <f>MID(IF(R410="","",IF(OR(INDEX(MATCHER!$J$5:$J$504,R410)=""),""," / "&amp;INDEX(MATCHER!$J$5:$J$504,R410)))&amp;IF(S410="","",IF(OR(INDEX(MATCHER!$J$5:$J$504,S410)="",INDEX(MATCHER!$J$5:$J$504,S410)=IFERROR(INDEX(MATCHER!$J$5:$J$504,R410),"")),""," / "&amp;INDEX(MATCHER!$J$5:$J$504,S410)))&amp;IF(T410="","",IF(OR(INDEX(MATCHER!$J$5:$J$504,T410)="",INDEX(MATCHER!$J$5:$J$504,T410)=IFERROR(INDEX(MATCHER!$J$5:$J$504,R410),""),INDEX(MATCHER!$J$5:$J$504,T410)=IFERROR(INDEX(MATCHER!$J$5:$J$504,S410),"")),""," / "&amp;INDEX(MATCHER!$J$5:$J$504,T410)))&amp;IF(AF410="","",IF(OR(INDEX(MATCHER!$J$5:$J$504,AF410)="",INDEX(MATCHER!$J$5:$J$504,AF410)=IFERROR(INDEX(MATCHER!$J$5:$J$504,R410),""),INDEX(MATCHER!$J$5:$J$504,AF410)=IFERROR(INDEX(MATCHER!$J$5:$J$504,S410),""),INDEX(MATCHER!$J$5:$J$504,AF410)=IFERROR(INDEX(MATCHER!$J$5:$J$504,T410),"")),""," / "&amp;INDEX(MATCHER!$J$5:$J$504,AF410))),4,1000)</f>
        <v/>
      </c>
      <c r="H410" s="45" t="str">
        <f>MID(IF(COUNTIFS(MATCHER!$B$5:$B$504,A410,MATCHER!$D$5:$D$504,C410,MATCHER!$J$5:$J$504,REGLER!$I$6,MATCHER!$K$5:$K$504,"Ja")+COUNTIFS(MATCHER!$B$5:$B$504,A410,MATCHER!$D$5:$D$504,C410,MATCHER!$J$5:$J$504,REGLER!$I$6&amp;" 2",MATCHER!$K$5:$K$504,"Ja")&gt;0,", "&amp;REGLER!$I$6,"")&amp;IF(COUNTIFS(MATCHER!$B$5:$B$504,A410,MATCHER!$D$5:$D$504,C410,MATCHER!$J$5:$J$504,REGLER!$I$7,MATCHER!$K$5:$K$504,"Ja")+COUNTIFS(MATCHER!$B$5:$B$504,A410,MATCHER!$D$5:$D$504,C410,MATCHER!$J$5:$J$504,REGLER!$I$7&amp;" 2",MATCHER!$K$5:$K$504,"Ja")&gt;0,", "&amp;REGLER!$I$7,"")&amp;IF(COUNTIFS(MATCHER!$B$5:$B$504,A410,MATCHER!$D$5:$D$504,C410,MATCHER!$J$5:$J$504,REGLER!$I$8,MATCHER!$K$5:$K$504,"Ja")+COUNTIFS(MATCHER!$B$5:$B$504,A410,MATCHER!$D$5:$D$504,C410,MATCHER!$J$5:$J$504,REGLER!$I$8&amp;" 2",MATCHER!$K$5:$K$504,"Ja")&gt;0,", "&amp;REGLER!$I$8,"")&amp;IF(COUNTIFS(MATCHER!$B$5:$B$504,A410,MATCHER!$D$5:$D$504,C410,MATCHER!$J$5:$J$504,REGLER!$I$9,MATCHER!$K$5:$K$504,"Ja")+COUNTIFS(MATCHER!$B$5:$B$504,A410,MATCHER!$D$5:$D$504,C410,MATCHER!$J$5:$J$504,REGLER!$I$9&amp;" 2",MATCHER!$K$5:$K$504,"Ja")&gt;0,", "&amp;REGLER!$I$9,"")&amp;IF(COUNTIFS(MATCHER!$B$5:$B$504,A410,MATCHER!$D$5:$D$504,C410,MATCHER!$J$5:$J$504,REGLER!$I$10,MATCHER!$K$5:$K$504,"Ja")+COUNTIFS(MATCHER!$B$5:$B$504,A410,MATCHER!$D$5:$D$504,C410,MATCHER!$J$5:$J$504,REGLER!$I$10&amp;" 2",MATCHER!$K$5:$K$504,"Ja")&gt;0,", "&amp;REGLER!$I$10,"")&amp;IF(COUNTIFS(MATCHER!$B$5:$B$504,A410,MATCHER!$D$5:$D$504,C410,MATCHER!$J$5:$J$504,REGLER!$I$11,MATCHER!$K$5:$K$504,"Ja")+COUNTIFS(MATCHER!$B$5:$B$504,A410,MATCHER!$D$5:$D$504,C410,MATCHER!$J$5:$J$504,REGLER!$I$11&amp;" 2",MATCHER!$K$5:$K$504,"Ja")&gt;0,", "&amp;REGLER!$I$11,"")&amp;IF(COUNTIFS(MATCHER!$B$5:$B$504,A410,MATCHER!$D$5:$D$504,C410,MATCHER!$J$5:$J$504,REGLER!$I$12,MATCHER!$K$5:$K$504,"Ja")+COUNTIFS(MATCHER!$B$5:$B$504,A410,MATCHER!$D$5:$D$504,C410,MATCHER!$J$5:$J$504,REGLER!$I$12&amp;" 2",MATCHER!$K$5:$K$504,"Ja")&gt;0,", "&amp;REGLER!$I$12,"")&amp;IF(COUNTIFS(MATCHER!$B$5:$B$504,A410,MATCHER!$D$5:$D$504,C410,MATCHER!$J$5:$J$504,REGLER!$I$13,MATCHER!$K$5:$K$504,"Ja")+COUNTIFS(MATCHER!$B$5:$B$504,A410,MATCHER!$D$5:$D$504,C410,MATCHER!$J$5:$J$504,REGLER!$I$13&amp;" 2",MATCHER!$K$5:$K$504,"Ja")&gt;0,", "&amp;REGLER!$I$13,"")&amp;IF(COUNTIFS(MATCHER!$B$5:$B$504,A410,MATCHER!$D$5:$D$504,C410,MATCHER!$J$5:$J$504,REGLER!$I$14,MATCHER!$K$5:$K$504,"Ja")+COUNTIFS(MATCHER!$B$5:$B$504,A410,MATCHER!$D$5:$D$504,C410,MATCHER!$J$5:$J$504,REGLER!$I$14&amp;" 2",MATCHER!$K$5:$K$504,"Ja")&gt;0,", "&amp;REGLER!$I$14,"")&amp;IF(COUNTIFS(MATCHER!$B$5:$B$504,A410,MATCHER!$D$5:$D$504,C410,MATCHER!$J$5:$J$504,REGLER!$I$15,MATCHER!$K$5:$K$504,"Ja")+COUNTIFS(MATCHER!$B$5:$B$504,A410,MATCHER!$D$5:$D$504,C410,MATCHER!$J$5:$J$504,REGLER!$I$15&amp;" 2",MATCHER!$K$5:$K$504,"Ja")&gt;0,", "&amp;REGLER!$I$15,"")&amp;IF(COUNTIFS(MATCHER!$B$5:$B$504,A410,MATCHER!$D$5:$D$504,C410,MATCHER!$J$5:$J$504,REGLER!$I$16,MATCHER!$K$5:$K$504,"Ja")+COUNTIFS(MATCHER!$B$5:$B$504,A410,MATCHER!$D$5:$D$504,C410,MATCHER!$J$5:$J$504,REGLER!$I$16&amp;" 2",MATCHER!$K$5:$K$504,"Ja")&gt;0,", "&amp;REGLER!$I$16,"")&amp;IF(COUNTIFS(MATCHER!$B$5:$B$504,A410,MATCHER!$D$5:$D$504,C410,MATCHER!$J$5:$J$504,REGLER!$I$17,MATCHER!$K$5:$K$504,"Ja")+COUNTIFS(MATCHER!$B$5:$B$504,A410,MATCHER!$D$5:$D$504,C410,MATCHER!$J$5:$J$504,REGLER!$I$17&amp;" 2",MATCHER!$K$5:$K$504,"Ja")&gt;0,", "&amp;REGLER!$I$17,"")&amp;IF(COUNTIFS(MATCHER!$B$5:$B$504,A410,MATCHER!$D$5:$D$504,C410,MATCHER!$J$5:$J$504,REGLER!$I$18,MATCHER!$K$5:$K$504,"Ja")+COUNTIFS(MATCHER!$B$5:$B$504,A410,MATCHER!$D$5:$D$504,C410,MATCHER!$J$5:$J$504,REGLER!$I$18&amp;" 2",MATCHER!$K$5:$K$504,"Ja")&gt;0,", "&amp;REGLER!$I$18,"")&amp;IF(COUNTIFS(MATCHER!$B$5:$B$504,A410,MATCHER!$D$5:$D$504,C410,MATCHER!$J$5:$J$504,REGLER!$I$19,MATCHER!$K$5:$K$504,"Ja")+COUNTIFS(MATCHER!$B$5:$B$504,A410,MATCHER!$D$5:$D$504,C410,MATCHER!$J$5:$J$504,REGLER!$I$19&amp;" 2",MATCHER!$K$5:$K$504,"Ja")&gt;0,", "&amp;REGLER!$I$19,"")&amp;IF(COUNTIFS(MATCHER!$B$5:$B$504,A410,MATCHER!$D$5:$D$504,C410,MATCHER!$J$5:$J$504,REGLER!$I$20,MATCHER!$K$5:$K$504,"Ja")+COUNTIFS(MATCHER!$B$5:$B$504,A410,MATCHER!$D$5:$D$504,C410,MATCHER!$J$5:$J$504,REGLER!$I$20&amp;" 2",MATCHER!$K$5:$K$504,"Ja")&gt;0,", "&amp;REGLER!$I$20,"")&amp;IF(COUNTIFS(MATCHER!$B$5:$B$504,A410,MATCHER!$D$5:$D$504,C410,MATCHER!$J$5:$J$504,REGLER!$I$21,MATCHER!$K$5:$K$504,"Ja")+COUNTIFS(MATCHER!$B$5:$B$504,A410,MATCHER!$D$5:$D$504,C410,MATCHER!$J$5:$J$504,REGLER!$I$21&amp;" 2",MATCHER!$K$5:$K$504,"Ja")&gt;0,", "&amp;REGLER!$I$21,"")&amp;IF(COUNTIFS(MATCHER!$B$5:$B$504,A410,MATCHER!$D$5:$D$504,C410,MATCHER!$J$5:$J$504,REGLER!$I$22,MATCHER!$K$5:$K$504,"Ja")+COUNTIFS(MATCHER!$B$5:$B$504,A410,MATCHER!$D$5:$D$504,C410,MATCHER!$J$5:$J$504,REGLER!$I$22&amp;" 2",MATCHER!$K$5:$K$504,"Ja")&gt;0,", "&amp;REGLER!$I$22,"")&amp;IF(COUNTIFS(MATCHER!$B$5:$B$504,A410,MATCHER!$D$5:$D$504,C410,MATCHER!$J$5:$J$504,REGLER!$I$23,MATCHER!$K$5:$K$504,"Ja")+COUNTIFS(MATCHER!$B$5:$B$504,A410,MATCHER!$D$5:$D$504,C410,MATCHER!$J$5:$J$504,REGLER!$I$23&amp;" 2",MATCHER!$K$5:$K$504,"Ja")&gt;0,", "&amp;REGLER!$I$23,"")&amp;IF(COUNTIFS(MATCHER!$B$5:$B$504,A410,MATCHER!$D$5:$D$504,C410,MATCHER!$J$5:$J$504,REGLER!$I$24,MATCHER!$K$5:$K$504,"Ja")+COUNTIFS(MATCHER!$B$5:$B$504,A410,MATCHER!$D$5:$D$504,C410,MATCHER!$J$5:$J$504,REGLER!$I$24&amp;" 2",MATCHER!$K$5:$K$504,"Ja")&gt;0,", "&amp;REGLER!$I$24,"")&amp;IF(COUNTIFS(MATCHER!$B$5:$B$504,A410,MATCHER!$D$5:$D$504,C410,MATCHER!$J$5:$J$504,REGLER!$I$25,MATCHER!$K$5:$K$504,"Ja")+COUNTIFS(MATCHER!$B$5:$B$504,A410,MATCHER!$D$5:$D$504,C410,MATCHER!$J$5:$J$504,REGLER!$I$25&amp;" 2",MATCHER!$K$5:$K$504,"Ja")&gt;0,", "&amp;REGLER!$I$25,"")&amp;IF(COUNTIFS(MATCHER!$B$5:$B$504,A410,MATCHER!$D$5:$D$504,C410,MATCHER!$J$5:$J$504,REGLER!$I$26,MATCHER!$K$5:$K$504,"Ja")+COUNTIFS(MATCHER!$B$5:$B$504,A410,MATCHER!$D$5:$D$504,C410,MATCHER!$J$5:$J$504,REGLER!$I$26&amp;" 2",MATCHER!$K$5:$K$504,"Ja")&gt;0,", "&amp;REGLER!$I$26,""),3,1000)</f>
        <v>F16</v>
      </c>
      <c r="I410" s="46" t="s">
        <v>87</v>
      </c>
      <c r="J410" s="47"/>
      <c r="K410" s="48" t="s">
        <v>98</v>
      </c>
      <c r="L410" s="49"/>
      <c r="M410" s="50">
        <f>IF(O410&lt;&gt;O409,MAX(1,MIN(AA410,ROUNDUP(SUMPRODUCT(($O$5:$O$546=O410)*($I$5:$I$546="Ja")*($E$5:$E$546-$D$5:$D$546))*24/REGLER!$B$8,0))),"")</f>
        <v>1</v>
      </c>
      <c r="N410" s="50" t="str">
        <f t="shared" si="88"/>
        <v>Ej öppet</v>
      </c>
      <c r="O410" s="15" t="s">
        <v>153</v>
      </c>
      <c r="P410" s="16">
        <v>0.53125</v>
      </c>
      <c r="Q410" s="16">
        <v>0.625</v>
      </c>
      <c r="R410" s="15" t="str">
        <f>IFERROR(MATCH(1,INDEX((MATCHER!$B$5:$B$504=A410)*(MATCHER!$D$5:$D$504=C410)*(MATCHER!$K$5:$K$504="Ja")*(MATCHER!$C$5:$C$504&lt;E410)*(MATCHER!$M$5:$M$504&gt;D410),0),0),"")</f>
        <v/>
      </c>
      <c r="S410" s="15" t="str">
        <f>IF(R410="","",IFERROR(MATCH(1,INDEX((MATCHER!$B$5:$B$504=A410)*(MATCHER!$D$5:$D$504=C410)*(MATCHER!$K$5:$K$504="Ja")*(MATCHER!$C$5:$C$504&lt;E410)*(MATCHER!$M$5:$M$504&gt;D410)*(ROW(MATCHER!$A$5:$A$504)-ROW(MATCHER!$A$5)+1&gt;R410),0),0),""))</f>
        <v/>
      </c>
      <c r="T410" s="15" t="str">
        <f>IF(S410="","",IFERROR(MATCH(1,INDEX((MATCHER!$B$5:$B$504=A410)*(MATCHER!$D$5:$D$504=C410)*(MATCHER!$K$5:$K$504="Ja")*(MATCHER!$C$5:$C$504&lt;E410)*(MATCHER!$M$5:$M$504&gt;D410)*(ROW(MATCHER!$A$5:$A$504)-ROW(MATCHER!$A$5)+1&gt;S410),0),0),""))</f>
        <v/>
      </c>
      <c r="U410" s="15" t="str">
        <f t="shared" si="89"/>
        <v/>
      </c>
      <c r="V410" s="15" t="str">
        <f>IF(OR(I410&lt;&gt;"Ja",J410=""),"",COUNTIFS($O$5:O410,O410,$U$5:U410,1))</f>
        <v/>
      </c>
      <c r="W410" s="15" t="str">
        <f t="shared" si="90"/>
        <v/>
      </c>
      <c r="X410" s="16" t="str">
        <f t="shared" si="91"/>
        <v/>
      </c>
      <c r="Y410" s="15">
        <f>IF(OR(I410&lt;&gt;"Ja",J410=""),0,IF(COUNTIFS($O$5:O410,O410,$I$5:I410,"Ja",$J$5:J410,"&lt;&gt;")=1,1,0))</f>
        <v>0</v>
      </c>
      <c r="Z410" s="15">
        <f>IF(OR(I410&lt;&gt;"Ja",J410=""),0,IF(COUNTIFS(O410:$O$546,O410,I410:$I$546,"Ja",J410:$J$546,"&lt;&gt;")=1,1,0))</f>
        <v>0</v>
      </c>
      <c r="AA410" s="15">
        <f>IF(COUNTIFS(MATCHER!$B$5:$B$504,A410,MATCHER!$D$5:$D$504,C410,MATCHER!$J$5:$J$504,REGLER!$I$6,MATCHER!$K$5:$K$504,"Ja")+COUNTIFS(MATCHER!$B$5:$B$504,A410,MATCHER!$D$5:$D$504,C410,MATCHER!$J$5:$J$504,REGLER!$I$6&amp;" 2",MATCHER!$K$5:$K$504,"Ja")&gt;0,1,0)+IF(COUNTIFS(MATCHER!$B$5:$B$504,A410,MATCHER!$D$5:$D$504,C410,MATCHER!$J$5:$J$504,REGLER!$I$7,MATCHER!$K$5:$K$504,"Ja")+COUNTIFS(MATCHER!$B$5:$B$504,A410,MATCHER!$D$5:$D$504,C410,MATCHER!$J$5:$J$504,REGLER!$I$7&amp;" 2",MATCHER!$K$5:$K$504,"Ja")&gt;0,1,0)+IF(COUNTIFS(MATCHER!$B$5:$B$504,A410,MATCHER!$D$5:$D$504,C410,MATCHER!$J$5:$J$504,REGLER!$I$8,MATCHER!$K$5:$K$504,"Ja")+COUNTIFS(MATCHER!$B$5:$B$504,A410,MATCHER!$D$5:$D$504,C410,MATCHER!$J$5:$J$504,REGLER!$I$8&amp;" 2",MATCHER!$K$5:$K$504,"Ja")&gt;0,1,0)+IF(COUNTIFS(MATCHER!$B$5:$B$504,A410,MATCHER!$D$5:$D$504,C410,MATCHER!$J$5:$J$504,REGLER!$I$9,MATCHER!$K$5:$K$504,"Ja")+COUNTIFS(MATCHER!$B$5:$B$504,A410,MATCHER!$D$5:$D$504,C410,MATCHER!$J$5:$J$504,REGLER!$I$9&amp;" 2",MATCHER!$K$5:$K$504,"Ja")&gt;0,1,0)+IF(COUNTIFS(MATCHER!$B$5:$B$504,A410,MATCHER!$D$5:$D$504,C410,MATCHER!$J$5:$J$504,REGLER!$I$10,MATCHER!$K$5:$K$504,"Ja")+COUNTIFS(MATCHER!$B$5:$B$504,A410,MATCHER!$D$5:$D$504,C410,MATCHER!$J$5:$J$504,REGLER!$I$10&amp;" 2",MATCHER!$K$5:$K$504,"Ja")&gt;0,1,0)+IF(COUNTIFS(MATCHER!$B$5:$B$504,A410,MATCHER!$D$5:$D$504,C410,MATCHER!$J$5:$J$504,REGLER!$I$11,MATCHER!$K$5:$K$504,"Ja")+COUNTIFS(MATCHER!$B$5:$B$504,A410,MATCHER!$D$5:$D$504,C410,MATCHER!$J$5:$J$504,REGLER!$I$11&amp;" 2",MATCHER!$K$5:$K$504,"Ja")&gt;0,1,0)+IF(COUNTIFS(MATCHER!$B$5:$B$504,A410,MATCHER!$D$5:$D$504,C410,MATCHER!$J$5:$J$504,REGLER!$I$12,MATCHER!$K$5:$K$504,"Ja")+COUNTIFS(MATCHER!$B$5:$B$504,A410,MATCHER!$D$5:$D$504,C410,MATCHER!$J$5:$J$504,REGLER!$I$12&amp;" 2",MATCHER!$K$5:$K$504,"Ja")&gt;0,1,0)+IF(COUNTIFS(MATCHER!$B$5:$B$504,A410,MATCHER!$D$5:$D$504,C410,MATCHER!$J$5:$J$504,REGLER!$I$13,MATCHER!$K$5:$K$504,"Ja")+COUNTIFS(MATCHER!$B$5:$B$504,A410,MATCHER!$D$5:$D$504,C410,MATCHER!$J$5:$J$504,REGLER!$I$13&amp;" 2",MATCHER!$K$5:$K$504,"Ja")&gt;0,1,0)+IF(COUNTIFS(MATCHER!$B$5:$B$504,A410,MATCHER!$D$5:$D$504,C410,MATCHER!$J$5:$J$504,REGLER!$I$14,MATCHER!$K$5:$K$504,"Ja")+COUNTIFS(MATCHER!$B$5:$B$504,A410,MATCHER!$D$5:$D$504,C410,MATCHER!$J$5:$J$504,REGLER!$I$14&amp;" 2",MATCHER!$K$5:$K$504,"Ja")&gt;0,1,0)+IF(COUNTIFS(MATCHER!$B$5:$B$504,A410,MATCHER!$D$5:$D$504,C410,MATCHER!$J$5:$J$504,REGLER!$I$15,MATCHER!$K$5:$K$504,"Ja")+COUNTIFS(MATCHER!$B$5:$B$504,A410,MATCHER!$D$5:$D$504,C410,MATCHER!$J$5:$J$504,REGLER!$I$15&amp;" 2",MATCHER!$K$5:$K$504,"Ja")&gt;0,1,0)+IF(COUNTIFS(MATCHER!$B$5:$B$504,A410,MATCHER!$D$5:$D$504,C410,MATCHER!$J$5:$J$504,REGLER!$I$16,MATCHER!$K$5:$K$504,"Ja")+COUNTIFS(MATCHER!$B$5:$B$504,A410,MATCHER!$D$5:$D$504,C410,MATCHER!$J$5:$J$504,REGLER!$I$16&amp;" 2",MATCHER!$K$5:$K$504,"Ja")&gt;0,1,0)+IF(COUNTIFS(MATCHER!$B$5:$B$504,A410,MATCHER!$D$5:$D$504,C410,MATCHER!$J$5:$J$504,REGLER!$I$17,MATCHER!$K$5:$K$504,"Ja")+COUNTIFS(MATCHER!$B$5:$B$504,A410,MATCHER!$D$5:$D$504,C410,MATCHER!$J$5:$J$504,REGLER!$I$17&amp;" 2",MATCHER!$K$5:$K$504,"Ja")&gt;0,1,0)+IF(COUNTIFS(MATCHER!$B$5:$B$504,A410,MATCHER!$D$5:$D$504,C410,MATCHER!$J$5:$J$504,REGLER!$I$18,MATCHER!$K$5:$K$504,"Ja")+COUNTIFS(MATCHER!$B$5:$B$504,A410,MATCHER!$D$5:$D$504,C410,MATCHER!$J$5:$J$504,REGLER!$I$18&amp;" 2",MATCHER!$K$5:$K$504,"Ja")&gt;0,1,0)+IF(COUNTIFS(MATCHER!$B$5:$B$504,A410,MATCHER!$D$5:$D$504,C410,MATCHER!$J$5:$J$504,REGLER!$I$19,MATCHER!$K$5:$K$504,"Ja")+COUNTIFS(MATCHER!$B$5:$B$504,A410,MATCHER!$D$5:$D$504,C410,MATCHER!$J$5:$J$504,REGLER!$I$19&amp;" 2",MATCHER!$K$5:$K$504,"Ja")&gt;0,1,0)+IF(COUNTIFS(MATCHER!$B$5:$B$504,A410,MATCHER!$D$5:$D$504,C410,MATCHER!$J$5:$J$504,REGLER!$I$20,MATCHER!$K$5:$K$504,"Ja")+COUNTIFS(MATCHER!$B$5:$B$504,A410,MATCHER!$D$5:$D$504,C410,MATCHER!$J$5:$J$504,REGLER!$I$20&amp;" 2",MATCHER!$K$5:$K$504,"Ja")&gt;0,1,0)+IF(COUNTIFS(MATCHER!$B$5:$B$504,A410,MATCHER!$D$5:$D$504,C410,MATCHER!$J$5:$J$504,REGLER!$I$21,MATCHER!$K$5:$K$504,"Ja")+COUNTIFS(MATCHER!$B$5:$B$504,A410,MATCHER!$D$5:$D$504,C410,MATCHER!$J$5:$J$504,REGLER!$I$21&amp;" 2",MATCHER!$K$5:$K$504,"Ja")&gt;0,1,0)+IF(COUNTIFS(MATCHER!$B$5:$B$504,A410,MATCHER!$D$5:$D$504,C410,MATCHER!$J$5:$J$504,REGLER!$I$22,MATCHER!$K$5:$K$504,"Ja")+COUNTIFS(MATCHER!$B$5:$B$504,A410,MATCHER!$D$5:$D$504,C410,MATCHER!$J$5:$J$504,REGLER!$I$22&amp;" 2",MATCHER!$K$5:$K$504,"Ja")&gt;0,1,0)+IF(COUNTIFS(MATCHER!$B$5:$B$504,A410,MATCHER!$D$5:$D$504,C410,MATCHER!$J$5:$J$504,REGLER!$I$23,MATCHER!$K$5:$K$504,"Ja")+COUNTIFS(MATCHER!$B$5:$B$504,A410,MATCHER!$D$5:$D$504,C410,MATCHER!$J$5:$J$504,REGLER!$I$23&amp;" 2",MATCHER!$K$5:$K$504,"Ja")&gt;0,1,0)+IF(COUNTIFS(MATCHER!$B$5:$B$504,A410,MATCHER!$D$5:$D$504,C410,MATCHER!$J$5:$J$504,REGLER!$I$24,MATCHER!$K$5:$K$504,"Ja")+COUNTIFS(MATCHER!$B$5:$B$504,A410,MATCHER!$D$5:$D$504,C410,MATCHER!$J$5:$J$504,REGLER!$I$24&amp;" 2",MATCHER!$K$5:$K$504,"Ja")&gt;0,1,0)+IF(COUNTIFS(MATCHER!$B$5:$B$504,A410,MATCHER!$D$5:$D$504,C410,MATCHER!$J$5:$J$504,REGLER!$I$25,MATCHER!$K$5:$K$504,"Ja")+COUNTIFS(MATCHER!$B$5:$B$504,A410,MATCHER!$D$5:$D$504,C410,MATCHER!$J$5:$J$504,REGLER!$I$25&amp;" 2",MATCHER!$K$5:$K$504,"Ja")&gt;0,1,0)+IF(COUNTIFS(MATCHER!$B$5:$B$504,A410,MATCHER!$D$5:$D$504,C410,MATCHER!$J$5:$J$504,REGLER!$I$26,MATCHER!$K$5:$K$504,"Ja")+COUNTIFS(MATCHER!$B$5:$B$504,A410,MATCHER!$D$5:$D$504,C410,MATCHER!$J$5:$J$504,REGLER!$I$26&amp;" 2",MATCHER!$K$5:$K$504,"Ja")&gt;0,1,0)</f>
        <v>1</v>
      </c>
      <c r="AB410" s="15" t="str">
        <f>IF(U410&lt;&gt;1,"",COUNTIF($U$5:U410,1))</f>
        <v/>
      </c>
      <c r="AC410" s="15" t="str">
        <f t="shared" si="92"/>
        <v/>
      </c>
      <c r="AD410" s="15" t="str">
        <f t="shared" si="93"/>
        <v>Minicafé</v>
      </c>
      <c r="AE410" s="15" t="str">
        <f t="shared" si="94"/>
        <v/>
      </c>
      <c r="AF410" t="str">
        <f>IF(T410="","",IFERROR(MATCH(1,INDEX((MATCHER!$B$5:$B$504=A410)*(MATCHER!$D$5:$D$504=C410)*(MATCHER!$K$5:$K$504="Ja")*(MATCHER!$C$5:$C$504&lt;E410)*(MATCHER!$M$5:$M$504&gt;D410)*(ROW(MATCHER!$A$5:$A$504)-ROW(MATCHER!$A$5)+1&gt;T410),0),0),""))</f>
        <v/>
      </c>
    </row>
    <row r="411" spans="1:32" ht="13">
      <c r="A411" s="42">
        <v>46431</v>
      </c>
      <c r="B411" s="43" t="s">
        <v>85</v>
      </c>
      <c r="C411" s="43" t="s">
        <v>94</v>
      </c>
      <c r="D411" s="44">
        <v>0.54166666666666696</v>
      </c>
      <c r="E411" s="44">
        <v>0.5625</v>
      </c>
      <c r="F411" s="45" t="str">
        <f>IF(R411="","",HOUR(INDEX(MATCHER!$C$5:$C$504,R411))&amp;":"&amp;IF(MINUTE(INDEX(MATCHER!$C$5:$C$504,R411))&lt;10,"0","")&amp;MINUTE(INDEX(MATCHER!$C$5:$C$504,R411))&amp;" "&amp;INDEX(MATCHER!$H$5:$H$504,R411)&amp;" – "&amp;INDEX(MATCHER!$I$5:$I$504,R411))&amp;IF(S411="",""," | "&amp;HOUR(INDEX(MATCHER!$C$5:$C$504,S411))&amp;":"&amp;IF(MINUTE(INDEX(MATCHER!$C$5:$C$504,S411))&lt;10,"0","")&amp;MINUTE(INDEX(MATCHER!$C$5:$C$504,S411))&amp;" "&amp;INDEX(MATCHER!$H$5:$H$504,S411)&amp;" – "&amp;INDEX(MATCHER!$I$5:$I$504,S411))&amp;IF(T411="",""," | "&amp;HOUR(INDEX(MATCHER!$C$5:$C$504,T411))&amp;":"&amp;IF(MINUTE(INDEX(MATCHER!$C$5:$C$504,T411))&lt;10,"0","")&amp;MINUTE(INDEX(MATCHER!$C$5:$C$504,T411))&amp;" "&amp;INDEX(MATCHER!$H$5:$H$504,T411)&amp;" – "&amp;INDEX(MATCHER!$I$5:$I$504,T411))&amp;IF(AF411="",""," | "&amp;HOUR(INDEX(MATCHER!$C$5:$C$504,AF411))&amp;":"&amp;IF(MINUTE(INDEX(MATCHER!$C$5:$C$504,AF411))&lt;10,"0","")&amp;MINUTE(INDEX(MATCHER!$C$5:$C$504,AF411))&amp;" "&amp;INDEX(MATCHER!$H$5:$H$504,AF411)&amp;" – "&amp;INDEX(MATCHER!$I$5:$I$504,AF411))</f>
        <v/>
      </c>
      <c r="G411" s="45" t="str">
        <f>MID(IF(R411="","",IF(OR(INDEX(MATCHER!$J$5:$J$504,R411)=""),""," / "&amp;INDEX(MATCHER!$J$5:$J$504,R411)))&amp;IF(S411="","",IF(OR(INDEX(MATCHER!$J$5:$J$504,S411)="",INDEX(MATCHER!$J$5:$J$504,S411)=IFERROR(INDEX(MATCHER!$J$5:$J$504,R411),"")),""," / "&amp;INDEX(MATCHER!$J$5:$J$504,S411)))&amp;IF(T411="","",IF(OR(INDEX(MATCHER!$J$5:$J$504,T411)="",INDEX(MATCHER!$J$5:$J$504,T411)=IFERROR(INDEX(MATCHER!$J$5:$J$504,R411),""),INDEX(MATCHER!$J$5:$J$504,T411)=IFERROR(INDEX(MATCHER!$J$5:$J$504,S411),"")),""," / "&amp;INDEX(MATCHER!$J$5:$J$504,T411)))&amp;IF(AF411="","",IF(OR(INDEX(MATCHER!$J$5:$J$504,AF411)="",INDEX(MATCHER!$J$5:$J$504,AF411)=IFERROR(INDEX(MATCHER!$J$5:$J$504,R411),""),INDEX(MATCHER!$J$5:$J$504,AF411)=IFERROR(INDEX(MATCHER!$J$5:$J$504,S411),""),INDEX(MATCHER!$J$5:$J$504,AF411)=IFERROR(INDEX(MATCHER!$J$5:$J$504,T411),"")),""," / "&amp;INDEX(MATCHER!$J$5:$J$504,AF411))),4,1000)</f>
        <v/>
      </c>
      <c r="H411" s="45" t="str">
        <f>H410</f>
        <v>F16</v>
      </c>
      <c r="I411" s="46" t="s">
        <v>87</v>
      </c>
      <c r="J411" s="47"/>
      <c r="K411" s="48"/>
      <c r="L411" s="49"/>
      <c r="M411" s="50" t="str">
        <f>IF(O411&lt;&gt;O410,MAX(1,MIN(AA411,ROUNDUP(SUMPRODUCT(($O$5:$O$546=O411)*($I$5:$I$546="Ja")*($E$5:$E$546-$D$5:$D$546))*24/REGLER!$B$8,0))),"")</f>
        <v/>
      </c>
      <c r="N411" s="50" t="str">
        <f t="shared" si="88"/>
        <v>Ej öppet</v>
      </c>
      <c r="O411" s="15" t="s">
        <v>153</v>
      </c>
      <c r="P411" s="16">
        <v>0.53125</v>
      </c>
      <c r="Q411" s="16">
        <v>0.625</v>
      </c>
      <c r="R411" s="15" t="str">
        <f>IFERROR(MATCH(1,INDEX((MATCHER!$B$5:$B$504=A411)*(MATCHER!$D$5:$D$504=C411)*(MATCHER!$K$5:$K$504="Ja")*(MATCHER!$C$5:$C$504&lt;E411)*(MATCHER!$M$5:$M$504&gt;D411),0),0),"")</f>
        <v/>
      </c>
      <c r="S411" s="15" t="str">
        <f>IF(R411="","",IFERROR(MATCH(1,INDEX((MATCHER!$B$5:$B$504=A411)*(MATCHER!$D$5:$D$504=C411)*(MATCHER!$K$5:$K$504="Ja")*(MATCHER!$C$5:$C$504&lt;E411)*(MATCHER!$M$5:$M$504&gt;D411)*(ROW(MATCHER!$A$5:$A$504)-ROW(MATCHER!$A$5)+1&gt;R411),0),0),""))</f>
        <v/>
      </c>
      <c r="T411" s="15" t="str">
        <f>IF(S411="","",IFERROR(MATCH(1,INDEX((MATCHER!$B$5:$B$504=A411)*(MATCHER!$D$5:$D$504=C411)*(MATCHER!$K$5:$K$504="Ja")*(MATCHER!$C$5:$C$504&lt;E411)*(MATCHER!$M$5:$M$504&gt;D411)*(ROW(MATCHER!$A$5:$A$504)-ROW(MATCHER!$A$5)+1&gt;S411),0),0),""))</f>
        <v/>
      </c>
      <c r="U411" s="15" t="str">
        <f t="shared" si="89"/>
        <v/>
      </c>
      <c r="V411" s="15" t="str">
        <f>IF(OR(I411&lt;&gt;"Ja",J411=""),"",COUNTIFS($O$5:O411,O411,$U$5:U411,1))</f>
        <v/>
      </c>
      <c r="W411" s="15" t="str">
        <f t="shared" si="90"/>
        <v/>
      </c>
      <c r="X411" s="16" t="str">
        <f t="shared" si="91"/>
        <v/>
      </c>
      <c r="Y411" s="15">
        <f>IF(OR(I411&lt;&gt;"Ja",J411=""),0,IF(COUNTIFS($O$5:O411,O411,$I$5:I411,"Ja",$J$5:J411,"&lt;&gt;")=1,1,0))</f>
        <v>0</v>
      </c>
      <c r="Z411" s="15">
        <f>IF(OR(I411&lt;&gt;"Ja",J411=""),0,IF(COUNTIFS(O411:$O$546,O411,I411:$I$546,"Ja",J411:$J$546,"&lt;&gt;")=1,1,0))</f>
        <v>0</v>
      </c>
      <c r="AA411" s="15">
        <f>AA410</f>
        <v>1</v>
      </c>
      <c r="AB411" s="15" t="str">
        <f>IF(U411&lt;&gt;1,"",COUNTIF($U$5:U411,1))</f>
        <v/>
      </c>
      <c r="AC411" s="15" t="str">
        <f t="shared" si="92"/>
        <v/>
      </c>
      <c r="AD411" s="15" t="str">
        <f t="shared" si="93"/>
        <v>Minicafé</v>
      </c>
      <c r="AE411" s="15" t="str">
        <f t="shared" si="94"/>
        <v/>
      </c>
      <c r="AF411" t="str">
        <f>IF(T411="","",IFERROR(MATCH(1,INDEX((MATCHER!$B$5:$B$504=A411)*(MATCHER!$D$5:$D$504=C411)*(MATCHER!$K$5:$K$504="Ja")*(MATCHER!$C$5:$C$504&lt;E411)*(MATCHER!$M$5:$M$504&gt;D411)*(ROW(MATCHER!$A$5:$A$504)-ROW(MATCHER!$A$5)+1&gt;T411),0),0),""))</f>
        <v/>
      </c>
    </row>
    <row r="412" spans="1:32" ht="13">
      <c r="A412" s="42">
        <v>46431</v>
      </c>
      <c r="B412" s="43" t="s">
        <v>85</v>
      </c>
      <c r="C412" s="43" t="s">
        <v>94</v>
      </c>
      <c r="D412" s="44">
        <v>0.5625</v>
      </c>
      <c r="E412" s="44">
        <v>0.58333333333333304</v>
      </c>
      <c r="F412" s="45" t="str">
        <f>IF(R412="","",HOUR(INDEX(MATCHER!$C$5:$C$504,R412))&amp;":"&amp;IF(MINUTE(INDEX(MATCHER!$C$5:$C$504,R412))&lt;10,"0","")&amp;MINUTE(INDEX(MATCHER!$C$5:$C$504,R412))&amp;" "&amp;INDEX(MATCHER!$H$5:$H$504,R412)&amp;" – "&amp;INDEX(MATCHER!$I$5:$I$504,R412))&amp;IF(S412="",""," | "&amp;HOUR(INDEX(MATCHER!$C$5:$C$504,S412))&amp;":"&amp;IF(MINUTE(INDEX(MATCHER!$C$5:$C$504,S412))&lt;10,"0","")&amp;MINUTE(INDEX(MATCHER!$C$5:$C$504,S412))&amp;" "&amp;INDEX(MATCHER!$H$5:$H$504,S412)&amp;" – "&amp;INDEX(MATCHER!$I$5:$I$504,S412))&amp;IF(T412="",""," | "&amp;HOUR(INDEX(MATCHER!$C$5:$C$504,T412))&amp;":"&amp;IF(MINUTE(INDEX(MATCHER!$C$5:$C$504,T412))&lt;10,"0","")&amp;MINUTE(INDEX(MATCHER!$C$5:$C$504,T412))&amp;" "&amp;INDEX(MATCHER!$H$5:$H$504,T412)&amp;" – "&amp;INDEX(MATCHER!$I$5:$I$504,T412))&amp;IF(AF412="",""," | "&amp;HOUR(INDEX(MATCHER!$C$5:$C$504,AF412))&amp;":"&amp;IF(MINUTE(INDEX(MATCHER!$C$5:$C$504,AF412))&lt;10,"0","")&amp;MINUTE(INDEX(MATCHER!$C$5:$C$504,AF412))&amp;" "&amp;INDEX(MATCHER!$H$5:$H$504,AF412)&amp;" – "&amp;INDEX(MATCHER!$I$5:$I$504,AF412))</f>
        <v>13:40 AIK 2 – Rimbo Handbollklubb Roslagen</v>
      </c>
      <c r="G412" s="45" t="str">
        <f>MID(IF(R412="","",IF(OR(INDEX(MATCHER!$J$5:$J$504,R412)=""),""," / "&amp;INDEX(MATCHER!$J$5:$J$504,R412)))&amp;IF(S412="","",IF(OR(INDEX(MATCHER!$J$5:$J$504,S412)="",INDEX(MATCHER!$J$5:$J$504,S412)=IFERROR(INDEX(MATCHER!$J$5:$J$504,R412),"")),""," / "&amp;INDEX(MATCHER!$J$5:$J$504,S412)))&amp;IF(T412="","",IF(OR(INDEX(MATCHER!$J$5:$J$504,T412)="",INDEX(MATCHER!$J$5:$J$504,T412)=IFERROR(INDEX(MATCHER!$J$5:$J$504,R412),""),INDEX(MATCHER!$J$5:$J$504,T412)=IFERROR(INDEX(MATCHER!$J$5:$J$504,S412),"")),""," / "&amp;INDEX(MATCHER!$J$5:$J$504,T412)))&amp;IF(AF412="","",IF(OR(INDEX(MATCHER!$J$5:$J$504,AF412)="",INDEX(MATCHER!$J$5:$J$504,AF412)=IFERROR(INDEX(MATCHER!$J$5:$J$504,R412),""),INDEX(MATCHER!$J$5:$J$504,AF412)=IFERROR(INDEX(MATCHER!$J$5:$J$504,S412),""),INDEX(MATCHER!$J$5:$J$504,AF412)=IFERROR(INDEX(MATCHER!$J$5:$J$504,T412),"")),""," / "&amp;INDEX(MATCHER!$J$5:$J$504,AF412))),4,1000)</f>
        <v>F16 2</v>
      </c>
      <c r="H412" s="45" t="str">
        <f>H411</f>
        <v>F16</v>
      </c>
      <c r="I412" s="46" t="s">
        <v>90</v>
      </c>
      <c r="J412" s="47" t="s">
        <v>128</v>
      </c>
      <c r="K412" s="48"/>
      <c r="L412" s="49"/>
      <c r="M412" s="50" t="str">
        <f>IF(O412&lt;&gt;O411,MAX(1,MIN(AA412,ROUNDUP(SUMPRODUCT(($O$5:$O$546=O412)*($I$5:$I$546="Ja")*($E$5:$E$546-$D$5:$D$546))*24/REGLER!$B$8,0))),"")</f>
        <v/>
      </c>
      <c r="N412" s="50" t="str">
        <f t="shared" si="88"/>
        <v>Klar</v>
      </c>
      <c r="O412" s="15" t="s">
        <v>153</v>
      </c>
      <c r="P412" s="16">
        <v>0.53125</v>
      </c>
      <c r="Q412" s="16">
        <v>0.625</v>
      </c>
      <c r="R412" s="15">
        <f>IFERROR(MATCH(1,INDEX((MATCHER!$B$5:$B$504=A412)*(MATCHER!$D$5:$D$504=C412)*(MATCHER!$K$5:$K$504="Ja")*(MATCHER!$C$5:$C$504&lt;E412)*(MATCHER!$M$5:$M$504&gt;D412),0),0),"")</f>
        <v>150</v>
      </c>
      <c r="S412" s="15" t="str">
        <f>IF(R412="","",IFERROR(MATCH(1,INDEX((MATCHER!$B$5:$B$504=A412)*(MATCHER!$D$5:$D$504=C412)*(MATCHER!$K$5:$K$504="Ja")*(MATCHER!$C$5:$C$504&lt;E412)*(MATCHER!$M$5:$M$504&gt;D412)*(ROW(MATCHER!$A$5:$A$504)-ROW(MATCHER!$A$5)+1&gt;R412),0),0),""))</f>
        <v/>
      </c>
      <c r="T412" s="15" t="str">
        <f>IF(S412="","",IFERROR(MATCH(1,INDEX((MATCHER!$B$5:$B$504=A412)*(MATCHER!$D$5:$D$504=C412)*(MATCHER!$K$5:$K$504="Ja")*(MATCHER!$C$5:$C$504&lt;E412)*(MATCHER!$M$5:$M$504&gt;D412)*(ROW(MATCHER!$A$5:$A$504)-ROW(MATCHER!$A$5)+1&gt;S412),0),0),""))</f>
        <v/>
      </c>
      <c r="U412" s="15">
        <f t="shared" si="89"/>
        <v>1</v>
      </c>
      <c r="V412" s="15">
        <f>IF(OR(I412&lt;&gt;"Ja",J412=""),"",COUNTIFS($O$5:O412,O412,$U$5:U412,1))</f>
        <v>1</v>
      </c>
      <c r="W412" s="15" t="str">
        <f t="shared" si="90"/>
        <v>2027-02-13 | Råsta Park|1</v>
      </c>
      <c r="X412" s="16" t="str">
        <f t="shared" si="91"/>
        <v/>
      </c>
      <c r="Y412" s="15">
        <f>IF(OR(I412&lt;&gt;"Ja",J412=""),0,IF(COUNTIFS($O$5:O412,O412,$I$5:I412,"Ja",$J$5:J412,"&lt;&gt;")=1,1,0))</f>
        <v>1</v>
      </c>
      <c r="Z412" s="15">
        <f>IF(OR(I412&lt;&gt;"Ja",J412=""),0,IF(COUNTIFS(O412:$O$546,O412,I412:$I$546,"Ja",J412:$J$546,"&lt;&gt;")=1,1,0))</f>
        <v>0</v>
      </c>
      <c r="AA412" s="15">
        <f>AA411</f>
        <v>1</v>
      </c>
      <c r="AB412" s="15">
        <f>IF(U412&lt;&gt;1,"",COUNTIF($U$5:U412,1))</f>
        <v>67</v>
      </c>
      <c r="AC412" s="15" t="str">
        <f t="shared" si="92"/>
        <v/>
      </c>
      <c r="AD412" s="15" t="str">
        <f t="shared" si="93"/>
        <v>Minicafé</v>
      </c>
      <c r="AE412" s="15">
        <f t="shared" si="94"/>
        <v>1.5</v>
      </c>
      <c r="AF412" t="str">
        <f>IF(T412="","",IFERROR(MATCH(1,INDEX((MATCHER!$B$5:$B$504=A412)*(MATCHER!$D$5:$D$504=C412)*(MATCHER!$K$5:$K$504="Ja")*(MATCHER!$C$5:$C$504&lt;E412)*(MATCHER!$M$5:$M$504&gt;D412)*(ROW(MATCHER!$A$5:$A$504)-ROW(MATCHER!$A$5)+1&gt;T412),0),0),""))</f>
        <v/>
      </c>
    </row>
    <row r="413" spans="1:32" ht="13">
      <c r="A413" s="42">
        <v>46431</v>
      </c>
      <c r="B413" s="43" t="s">
        <v>85</v>
      </c>
      <c r="C413" s="43" t="s">
        <v>94</v>
      </c>
      <c r="D413" s="44">
        <v>0.58333333333333304</v>
      </c>
      <c r="E413" s="44">
        <v>0.60416666666666696</v>
      </c>
      <c r="F413" s="45" t="str">
        <f>IF(R413="","",HOUR(INDEX(MATCHER!$C$5:$C$504,R413))&amp;":"&amp;IF(MINUTE(INDEX(MATCHER!$C$5:$C$504,R413))&lt;10,"0","")&amp;MINUTE(INDEX(MATCHER!$C$5:$C$504,R413))&amp;" "&amp;INDEX(MATCHER!$H$5:$H$504,R413)&amp;" – "&amp;INDEX(MATCHER!$I$5:$I$504,R413))&amp;IF(S413="",""," | "&amp;HOUR(INDEX(MATCHER!$C$5:$C$504,S413))&amp;":"&amp;IF(MINUTE(INDEX(MATCHER!$C$5:$C$504,S413))&lt;10,"0","")&amp;MINUTE(INDEX(MATCHER!$C$5:$C$504,S413))&amp;" "&amp;INDEX(MATCHER!$H$5:$H$504,S413)&amp;" – "&amp;INDEX(MATCHER!$I$5:$I$504,S413))&amp;IF(T413="",""," | "&amp;HOUR(INDEX(MATCHER!$C$5:$C$504,T413))&amp;":"&amp;IF(MINUTE(INDEX(MATCHER!$C$5:$C$504,T413))&lt;10,"0","")&amp;MINUTE(INDEX(MATCHER!$C$5:$C$504,T413))&amp;" "&amp;INDEX(MATCHER!$H$5:$H$504,T413)&amp;" – "&amp;INDEX(MATCHER!$I$5:$I$504,T413))&amp;IF(AF413="",""," | "&amp;HOUR(INDEX(MATCHER!$C$5:$C$504,AF413))&amp;":"&amp;IF(MINUTE(INDEX(MATCHER!$C$5:$C$504,AF413))&lt;10,"0","")&amp;MINUTE(INDEX(MATCHER!$C$5:$C$504,AF413))&amp;" "&amp;INDEX(MATCHER!$H$5:$H$504,AF413)&amp;" – "&amp;INDEX(MATCHER!$I$5:$I$504,AF413))</f>
        <v>13:40 AIK 2 – Rimbo Handbollklubb Roslagen</v>
      </c>
      <c r="G413" s="45" t="str">
        <f>MID(IF(R413="","",IF(OR(INDEX(MATCHER!$J$5:$J$504,R413)=""),""," / "&amp;INDEX(MATCHER!$J$5:$J$504,R413)))&amp;IF(S413="","",IF(OR(INDEX(MATCHER!$J$5:$J$504,S413)="",INDEX(MATCHER!$J$5:$J$504,S413)=IFERROR(INDEX(MATCHER!$J$5:$J$504,R413),"")),""," / "&amp;INDEX(MATCHER!$J$5:$J$504,S413)))&amp;IF(T413="","",IF(OR(INDEX(MATCHER!$J$5:$J$504,T413)="",INDEX(MATCHER!$J$5:$J$504,T413)=IFERROR(INDEX(MATCHER!$J$5:$J$504,R413),""),INDEX(MATCHER!$J$5:$J$504,T413)=IFERROR(INDEX(MATCHER!$J$5:$J$504,S413),"")),""," / "&amp;INDEX(MATCHER!$J$5:$J$504,T413)))&amp;IF(AF413="","",IF(OR(INDEX(MATCHER!$J$5:$J$504,AF413)="",INDEX(MATCHER!$J$5:$J$504,AF413)=IFERROR(INDEX(MATCHER!$J$5:$J$504,R413),""),INDEX(MATCHER!$J$5:$J$504,AF413)=IFERROR(INDEX(MATCHER!$J$5:$J$504,S413),""),INDEX(MATCHER!$J$5:$J$504,AF413)=IFERROR(INDEX(MATCHER!$J$5:$J$504,T413),"")),""," / "&amp;INDEX(MATCHER!$J$5:$J$504,AF413))),4,1000)</f>
        <v>F16 2</v>
      </c>
      <c r="H413" s="45" t="str">
        <f>H412</f>
        <v>F16</v>
      </c>
      <c r="I413" s="46" t="s">
        <v>90</v>
      </c>
      <c r="J413" s="47" t="s">
        <v>128</v>
      </c>
      <c r="K413" s="48"/>
      <c r="L413" s="49"/>
      <c r="M413" s="50" t="str">
        <f>IF(O413&lt;&gt;O412,MAX(1,MIN(AA413,ROUNDUP(SUMPRODUCT(($O$5:$O$546=O413)*($I$5:$I$546="Ja")*($E$5:$E$546-$D$5:$D$546))*24/REGLER!$B$8,0))),"")</f>
        <v/>
      </c>
      <c r="N413" s="50" t="str">
        <f t="shared" si="88"/>
        <v>Klar</v>
      </c>
      <c r="O413" s="15" t="s">
        <v>153</v>
      </c>
      <c r="P413" s="16">
        <v>0.53125</v>
      </c>
      <c r="Q413" s="16">
        <v>0.625</v>
      </c>
      <c r="R413" s="15">
        <f>IFERROR(MATCH(1,INDEX((MATCHER!$B$5:$B$504=A413)*(MATCHER!$D$5:$D$504=C413)*(MATCHER!$K$5:$K$504="Ja")*(MATCHER!$C$5:$C$504&lt;E413)*(MATCHER!$M$5:$M$504&gt;D413),0),0),"")</f>
        <v>150</v>
      </c>
      <c r="S413" s="15" t="str">
        <f>IF(R413="","",IFERROR(MATCH(1,INDEX((MATCHER!$B$5:$B$504=A413)*(MATCHER!$D$5:$D$504=C413)*(MATCHER!$K$5:$K$504="Ja")*(MATCHER!$C$5:$C$504&lt;E413)*(MATCHER!$M$5:$M$504&gt;D413)*(ROW(MATCHER!$A$5:$A$504)-ROW(MATCHER!$A$5)+1&gt;R413),0),0),""))</f>
        <v/>
      </c>
      <c r="T413" s="15" t="str">
        <f>IF(S413="","",IFERROR(MATCH(1,INDEX((MATCHER!$B$5:$B$504=A413)*(MATCHER!$D$5:$D$504=C413)*(MATCHER!$K$5:$K$504="Ja")*(MATCHER!$C$5:$C$504&lt;E413)*(MATCHER!$M$5:$M$504&gt;D413)*(ROW(MATCHER!$A$5:$A$504)-ROW(MATCHER!$A$5)+1&gt;S413),0),0),""))</f>
        <v/>
      </c>
      <c r="U413" s="15">
        <f t="shared" si="89"/>
        <v>0</v>
      </c>
      <c r="V413" s="15">
        <f>IF(OR(I413&lt;&gt;"Ja",J413=""),"",COUNTIFS($O$5:O413,O413,$U$5:U413,1))</f>
        <v>1</v>
      </c>
      <c r="W413" s="15" t="str">
        <f t="shared" si="90"/>
        <v>2027-02-13 | Råsta Park|1</v>
      </c>
      <c r="X413" s="16" t="str">
        <f t="shared" si="91"/>
        <v/>
      </c>
      <c r="Y413" s="15">
        <f>IF(OR(I413&lt;&gt;"Ja",J413=""),0,IF(COUNTIFS($O$5:O413,O413,$I$5:I413,"Ja",$J$5:J413,"&lt;&gt;")=1,1,0))</f>
        <v>0</v>
      </c>
      <c r="Z413" s="15">
        <f>IF(OR(I413&lt;&gt;"Ja",J413=""),0,IF(COUNTIFS(O413:$O$546,O413,I413:$I$546,"Ja",J413:$J$546,"&lt;&gt;")=1,1,0))</f>
        <v>0</v>
      </c>
      <c r="AA413" s="15">
        <f>AA412</f>
        <v>1</v>
      </c>
      <c r="AB413" s="15" t="str">
        <f>IF(U413&lt;&gt;1,"",COUNTIF($U$5:U413,1))</f>
        <v/>
      </c>
      <c r="AC413" s="15" t="str">
        <f t="shared" si="92"/>
        <v/>
      </c>
      <c r="AD413" s="15" t="str">
        <f t="shared" si="93"/>
        <v>Minicafé</v>
      </c>
      <c r="AE413" s="15" t="str">
        <f t="shared" si="94"/>
        <v/>
      </c>
      <c r="AF413" t="str">
        <f>IF(T413="","",IFERROR(MATCH(1,INDEX((MATCHER!$B$5:$B$504=A413)*(MATCHER!$D$5:$D$504=C413)*(MATCHER!$K$5:$K$504="Ja")*(MATCHER!$C$5:$C$504&lt;E413)*(MATCHER!$M$5:$M$504&gt;D413)*(ROW(MATCHER!$A$5:$A$504)-ROW(MATCHER!$A$5)+1&gt;T413),0),0),""))</f>
        <v/>
      </c>
    </row>
    <row r="414" spans="1:32" ht="13.5" thickBot="1">
      <c r="A414" s="52">
        <v>46431</v>
      </c>
      <c r="B414" s="53" t="s">
        <v>85</v>
      </c>
      <c r="C414" s="53" t="s">
        <v>94</v>
      </c>
      <c r="D414" s="54">
        <v>0.60416666666666696</v>
      </c>
      <c r="E414" s="54">
        <v>0.625</v>
      </c>
      <c r="F414" s="55" t="str">
        <f>IF(R414="","",HOUR(INDEX(MATCHER!$C$5:$C$504,R414))&amp;":"&amp;IF(MINUTE(INDEX(MATCHER!$C$5:$C$504,R414))&lt;10,"0","")&amp;MINUTE(INDEX(MATCHER!$C$5:$C$504,R414))&amp;" "&amp;INDEX(MATCHER!$H$5:$H$504,R414)&amp;" – "&amp;INDEX(MATCHER!$I$5:$I$504,R414))&amp;IF(S414="",""," | "&amp;HOUR(INDEX(MATCHER!$C$5:$C$504,S414))&amp;":"&amp;IF(MINUTE(INDEX(MATCHER!$C$5:$C$504,S414))&lt;10,"0","")&amp;MINUTE(INDEX(MATCHER!$C$5:$C$504,S414))&amp;" "&amp;INDEX(MATCHER!$H$5:$H$504,S414)&amp;" – "&amp;INDEX(MATCHER!$I$5:$I$504,S414))&amp;IF(T414="",""," | "&amp;HOUR(INDEX(MATCHER!$C$5:$C$504,T414))&amp;":"&amp;IF(MINUTE(INDEX(MATCHER!$C$5:$C$504,T414))&lt;10,"0","")&amp;MINUTE(INDEX(MATCHER!$C$5:$C$504,T414))&amp;" "&amp;INDEX(MATCHER!$H$5:$H$504,T414)&amp;" – "&amp;INDEX(MATCHER!$I$5:$I$504,T414))&amp;IF(AF414="",""," | "&amp;HOUR(INDEX(MATCHER!$C$5:$C$504,AF414))&amp;":"&amp;IF(MINUTE(INDEX(MATCHER!$C$5:$C$504,AF414))&lt;10,"0","")&amp;MINUTE(INDEX(MATCHER!$C$5:$C$504,AF414))&amp;" "&amp;INDEX(MATCHER!$H$5:$H$504,AF414)&amp;" – "&amp;INDEX(MATCHER!$I$5:$I$504,AF414))</f>
        <v>13:40 AIK 2 – Rimbo Handbollklubb Roslagen</v>
      </c>
      <c r="G414" s="55" t="str">
        <f>MID(IF(R414="","",IF(OR(INDEX(MATCHER!$J$5:$J$504,R414)=""),""," / "&amp;INDEX(MATCHER!$J$5:$J$504,R414)))&amp;IF(S414="","",IF(OR(INDEX(MATCHER!$J$5:$J$504,S414)="",INDEX(MATCHER!$J$5:$J$504,S414)=IFERROR(INDEX(MATCHER!$J$5:$J$504,R414),"")),""," / "&amp;INDEX(MATCHER!$J$5:$J$504,S414)))&amp;IF(T414="","",IF(OR(INDEX(MATCHER!$J$5:$J$504,T414)="",INDEX(MATCHER!$J$5:$J$504,T414)=IFERROR(INDEX(MATCHER!$J$5:$J$504,R414),""),INDEX(MATCHER!$J$5:$J$504,T414)=IFERROR(INDEX(MATCHER!$J$5:$J$504,S414),"")),""," / "&amp;INDEX(MATCHER!$J$5:$J$504,T414)))&amp;IF(AF414="","",IF(OR(INDEX(MATCHER!$J$5:$J$504,AF414)="",INDEX(MATCHER!$J$5:$J$504,AF414)=IFERROR(INDEX(MATCHER!$J$5:$J$504,R414),""),INDEX(MATCHER!$J$5:$J$504,AF414)=IFERROR(INDEX(MATCHER!$J$5:$J$504,S414),""),INDEX(MATCHER!$J$5:$J$504,AF414)=IFERROR(INDEX(MATCHER!$J$5:$J$504,T414),"")),""," / "&amp;INDEX(MATCHER!$J$5:$J$504,AF414))),4,1000)</f>
        <v>F16 2</v>
      </c>
      <c r="H414" s="55" t="str">
        <f>H413</f>
        <v>F16</v>
      </c>
      <c r="I414" s="56" t="s">
        <v>90</v>
      </c>
      <c r="J414" s="57" t="s">
        <v>128</v>
      </c>
      <c r="K414" s="58"/>
      <c r="L414" s="59"/>
      <c r="M414" s="60" t="str">
        <f>IF(O414&lt;&gt;O413,MAX(1,MIN(AA414,ROUNDUP(SUMPRODUCT(($O$5:$O$546=O414)*($I$5:$I$546="Ja")*($E$5:$E$546-$D$5:$D$546))*24/REGLER!$B$8,0))),"")</f>
        <v/>
      </c>
      <c r="N414" s="60" t="str">
        <f t="shared" si="88"/>
        <v>Klar</v>
      </c>
      <c r="O414" s="15" t="s">
        <v>153</v>
      </c>
      <c r="P414" s="16">
        <v>0.53125</v>
      </c>
      <c r="Q414" s="16">
        <v>0.625</v>
      </c>
      <c r="R414" s="15">
        <f>IFERROR(MATCH(1,INDEX((MATCHER!$B$5:$B$504=A414)*(MATCHER!$D$5:$D$504=C414)*(MATCHER!$K$5:$K$504="Ja")*(MATCHER!$C$5:$C$504&lt;E414)*(MATCHER!$M$5:$M$504&gt;D414),0),0),"")</f>
        <v>150</v>
      </c>
      <c r="S414" s="15" t="str">
        <f>IF(R414="","",IFERROR(MATCH(1,INDEX((MATCHER!$B$5:$B$504=A414)*(MATCHER!$D$5:$D$504=C414)*(MATCHER!$K$5:$K$504="Ja")*(MATCHER!$C$5:$C$504&lt;E414)*(MATCHER!$M$5:$M$504&gt;D414)*(ROW(MATCHER!$A$5:$A$504)-ROW(MATCHER!$A$5)+1&gt;R414),0),0),""))</f>
        <v/>
      </c>
      <c r="T414" s="15" t="str">
        <f>IF(S414="","",IFERROR(MATCH(1,INDEX((MATCHER!$B$5:$B$504=A414)*(MATCHER!$D$5:$D$504=C414)*(MATCHER!$K$5:$K$504="Ja")*(MATCHER!$C$5:$C$504&lt;E414)*(MATCHER!$M$5:$M$504&gt;D414)*(ROW(MATCHER!$A$5:$A$504)-ROW(MATCHER!$A$5)+1&gt;S414),0),0),""))</f>
        <v/>
      </c>
      <c r="U414" s="15">
        <f t="shared" si="89"/>
        <v>0</v>
      </c>
      <c r="V414" s="15">
        <f>IF(OR(I414&lt;&gt;"Ja",J414=""),"",COUNTIFS($O$5:O414,O414,$U$5:U414,1))</f>
        <v>1</v>
      </c>
      <c r="W414" s="15" t="str">
        <f t="shared" si="90"/>
        <v>2027-02-13 | Råsta Park|1</v>
      </c>
      <c r="X414" s="16">
        <f t="shared" si="91"/>
        <v>0.625</v>
      </c>
      <c r="Y414" s="15">
        <f>IF(OR(I414&lt;&gt;"Ja",J414=""),0,IF(COUNTIFS($O$5:O414,O414,$I$5:I414,"Ja",$J$5:J414,"&lt;&gt;")=1,1,0))</f>
        <v>0</v>
      </c>
      <c r="Z414" s="15">
        <f>IF(OR(I414&lt;&gt;"Ja",J414=""),0,IF(COUNTIFS(O414:$O$546,O414,I414:$I$546,"Ja",J414:$J$546,"&lt;&gt;")=1,1,0))</f>
        <v>1</v>
      </c>
      <c r="AA414" s="15">
        <f>AA413</f>
        <v>1</v>
      </c>
      <c r="AB414" s="15" t="str">
        <f>IF(U414&lt;&gt;1,"",COUNTIF($U$5:U414,1))</f>
        <v/>
      </c>
      <c r="AC414" s="15" t="str">
        <f t="shared" si="92"/>
        <v>2027-02-13 | Råsta Park|1</v>
      </c>
      <c r="AD414" s="15" t="str">
        <f t="shared" si="93"/>
        <v>Minicafé</v>
      </c>
      <c r="AE414" s="15" t="str">
        <f t="shared" si="94"/>
        <v/>
      </c>
      <c r="AF414" t="str">
        <f>IF(T414="","",IFERROR(MATCH(1,INDEX((MATCHER!$B$5:$B$504=A414)*(MATCHER!$D$5:$D$504=C414)*(MATCHER!$K$5:$K$504="Ja")*(MATCHER!$C$5:$C$504&lt;E414)*(MATCHER!$M$5:$M$504&gt;D414)*(ROW(MATCHER!$A$5:$A$504)-ROW(MATCHER!$A$5)+1&gt;T414),0),0),""))</f>
        <v/>
      </c>
    </row>
    <row r="415" spans="1:32" ht="26">
      <c r="A415" s="42">
        <v>46431</v>
      </c>
      <c r="B415" s="43" t="s">
        <v>85</v>
      </c>
      <c r="C415" s="43" t="s">
        <v>86</v>
      </c>
      <c r="D415" s="44">
        <v>0.33333333333333298</v>
      </c>
      <c r="E415" s="44">
        <v>0.35416666666666702</v>
      </c>
      <c r="F415" s="45" t="str">
        <f>IF(R415="","",HOUR(INDEX(MATCHER!$C$5:$C$504,R415))&amp;":"&amp;IF(MINUTE(INDEX(MATCHER!$C$5:$C$504,R415))&lt;10,"0","")&amp;MINUTE(INDEX(MATCHER!$C$5:$C$504,R415))&amp;" "&amp;INDEX(MATCHER!$H$5:$H$504,R415)&amp;" – "&amp;INDEX(MATCHER!$I$5:$I$504,R415))&amp;IF(S415="",""," | "&amp;HOUR(INDEX(MATCHER!$C$5:$C$504,S415))&amp;":"&amp;IF(MINUTE(INDEX(MATCHER!$C$5:$C$504,S415))&lt;10,"0","")&amp;MINUTE(INDEX(MATCHER!$C$5:$C$504,S415))&amp;" "&amp;INDEX(MATCHER!$H$5:$H$504,S415)&amp;" – "&amp;INDEX(MATCHER!$I$5:$I$504,S415))&amp;IF(T415="",""," | "&amp;HOUR(INDEX(MATCHER!$C$5:$C$504,T415))&amp;":"&amp;IF(MINUTE(INDEX(MATCHER!$C$5:$C$504,T415))&lt;10,"0","")&amp;MINUTE(INDEX(MATCHER!$C$5:$C$504,T415))&amp;" "&amp;INDEX(MATCHER!$H$5:$H$504,T415)&amp;" – "&amp;INDEX(MATCHER!$I$5:$I$504,T415))&amp;IF(AF415="",""," | "&amp;HOUR(INDEX(MATCHER!$C$5:$C$504,AF415))&amp;":"&amp;IF(MINUTE(INDEX(MATCHER!$C$5:$C$504,AF415))&lt;10,"0","")&amp;MINUTE(INDEX(MATCHER!$C$5:$C$504,AF415))&amp;" "&amp;INDEX(MATCHER!$H$5:$H$504,AF415)&amp;" – "&amp;INDEX(MATCHER!$I$5:$I$504,AF415))</f>
        <v/>
      </c>
      <c r="G415" s="45" t="str">
        <f>MID(IF(R415="","",IF(OR(INDEX(MATCHER!$J$5:$J$504,R415)=""),""," / "&amp;INDEX(MATCHER!$J$5:$J$504,R415)))&amp;IF(S415="","",IF(OR(INDEX(MATCHER!$J$5:$J$504,S415)="",INDEX(MATCHER!$J$5:$J$504,S415)=IFERROR(INDEX(MATCHER!$J$5:$J$504,R415),"")),""," / "&amp;INDEX(MATCHER!$J$5:$J$504,S415)))&amp;IF(T415="","",IF(OR(INDEX(MATCHER!$J$5:$J$504,T415)="",INDEX(MATCHER!$J$5:$J$504,T415)=IFERROR(INDEX(MATCHER!$J$5:$J$504,R415),""),INDEX(MATCHER!$J$5:$J$504,T415)=IFERROR(INDEX(MATCHER!$J$5:$J$504,S415),"")),""," / "&amp;INDEX(MATCHER!$J$5:$J$504,T415)))&amp;IF(AF415="","",IF(OR(INDEX(MATCHER!$J$5:$J$504,AF415)="",INDEX(MATCHER!$J$5:$J$504,AF415)=IFERROR(INDEX(MATCHER!$J$5:$J$504,R415),""),INDEX(MATCHER!$J$5:$J$504,AF415)=IFERROR(INDEX(MATCHER!$J$5:$J$504,S415),""),INDEX(MATCHER!$J$5:$J$504,AF415)=IFERROR(INDEX(MATCHER!$J$5:$J$504,T415),"")),""," / "&amp;INDEX(MATCHER!$J$5:$J$504,AF415))),4,1000)</f>
        <v/>
      </c>
      <c r="H415" s="45" t="str">
        <f>MID(IF(COUNTIFS(MATCHER!$B$5:$B$504,A415,MATCHER!$D$5:$D$504,C415,MATCHER!$J$5:$J$504,REGLER!$I$6,MATCHER!$K$5:$K$504,"Ja")+COUNTIFS(MATCHER!$B$5:$B$504,A415,MATCHER!$D$5:$D$504,C415,MATCHER!$J$5:$J$504,REGLER!$I$6&amp;" 2",MATCHER!$K$5:$K$504,"Ja")&gt;0,", "&amp;REGLER!$I$6,"")&amp;IF(COUNTIFS(MATCHER!$B$5:$B$504,A415,MATCHER!$D$5:$D$504,C415,MATCHER!$J$5:$J$504,REGLER!$I$7,MATCHER!$K$5:$K$504,"Ja")+COUNTIFS(MATCHER!$B$5:$B$504,A415,MATCHER!$D$5:$D$504,C415,MATCHER!$J$5:$J$504,REGLER!$I$7&amp;" 2",MATCHER!$K$5:$K$504,"Ja")&gt;0,", "&amp;REGLER!$I$7,"")&amp;IF(COUNTIFS(MATCHER!$B$5:$B$504,A415,MATCHER!$D$5:$D$504,C415,MATCHER!$J$5:$J$504,REGLER!$I$8,MATCHER!$K$5:$K$504,"Ja")+COUNTIFS(MATCHER!$B$5:$B$504,A415,MATCHER!$D$5:$D$504,C415,MATCHER!$J$5:$J$504,REGLER!$I$8&amp;" 2",MATCHER!$K$5:$K$504,"Ja")&gt;0,", "&amp;REGLER!$I$8,"")&amp;IF(COUNTIFS(MATCHER!$B$5:$B$504,A415,MATCHER!$D$5:$D$504,C415,MATCHER!$J$5:$J$504,REGLER!$I$9,MATCHER!$K$5:$K$504,"Ja")+COUNTIFS(MATCHER!$B$5:$B$504,A415,MATCHER!$D$5:$D$504,C415,MATCHER!$J$5:$J$504,REGLER!$I$9&amp;" 2",MATCHER!$K$5:$K$504,"Ja")&gt;0,", "&amp;REGLER!$I$9,"")&amp;IF(COUNTIFS(MATCHER!$B$5:$B$504,A415,MATCHER!$D$5:$D$504,C415,MATCHER!$J$5:$J$504,REGLER!$I$10,MATCHER!$K$5:$K$504,"Ja")+COUNTIFS(MATCHER!$B$5:$B$504,A415,MATCHER!$D$5:$D$504,C415,MATCHER!$J$5:$J$504,REGLER!$I$10&amp;" 2",MATCHER!$K$5:$K$504,"Ja")&gt;0,", "&amp;REGLER!$I$10,"")&amp;IF(COUNTIFS(MATCHER!$B$5:$B$504,A415,MATCHER!$D$5:$D$504,C415,MATCHER!$J$5:$J$504,REGLER!$I$11,MATCHER!$K$5:$K$504,"Ja")+COUNTIFS(MATCHER!$B$5:$B$504,A415,MATCHER!$D$5:$D$504,C415,MATCHER!$J$5:$J$504,REGLER!$I$11&amp;" 2",MATCHER!$K$5:$K$504,"Ja")&gt;0,", "&amp;REGLER!$I$11,"")&amp;IF(COUNTIFS(MATCHER!$B$5:$B$504,A415,MATCHER!$D$5:$D$504,C415,MATCHER!$J$5:$J$504,REGLER!$I$12,MATCHER!$K$5:$K$504,"Ja")+COUNTIFS(MATCHER!$B$5:$B$504,A415,MATCHER!$D$5:$D$504,C415,MATCHER!$J$5:$J$504,REGLER!$I$12&amp;" 2",MATCHER!$K$5:$K$504,"Ja")&gt;0,", "&amp;REGLER!$I$12,"")&amp;IF(COUNTIFS(MATCHER!$B$5:$B$504,A415,MATCHER!$D$5:$D$504,C415,MATCHER!$J$5:$J$504,REGLER!$I$13,MATCHER!$K$5:$K$504,"Ja")+COUNTIFS(MATCHER!$B$5:$B$504,A415,MATCHER!$D$5:$D$504,C415,MATCHER!$J$5:$J$504,REGLER!$I$13&amp;" 2",MATCHER!$K$5:$K$504,"Ja")&gt;0,", "&amp;REGLER!$I$13,"")&amp;IF(COUNTIFS(MATCHER!$B$5:$B$504,A415,MATCHER!$D$5:$D$504,C415,MATCHER!$J$5:$J$504,REGLER!$I$14,MATCHER!$K$5:$K$504,"Ja")+COUNTIFS(MATCHER!$B$5:$B$504,A415,MATCHER!$D$5:$D$504,C415,MATCHER!$J$5:$J$504,REGLER!$I$14&amp;" 2",MATCHER!$K$5:$K$504,"Ja")&gt;0,", "&amp;REGLER!$I$14,"")&amp;IF(COUNTIFS(MATCHER!$B$5:$B$504,A415,MATCHER!$D$5:$D$504,C415,MATCHER!$J$5:$J$504,REGLER!$I$15,MATCHER!$K$5:$K$504,"Ja")+COUNTIFS(MATCHER!$B$5:$B$504,A415,MATCHER!$D$5:$D$504,C415,MATCHER!$J$5:$J$504,REGLER!$I$15&amp;" 2",MATCHER!$K$5:$K$504,"Ja")&gt;0,", "&amp;REGLER!$I$15,"")&amp;IF(COUNTIFS(MATCHER!$B$5:$B$504,A415,MATCHER!$D$5:$D$504,C415,MATCHER!$J$5:$J$504,REGLER!$I$16,MATCHER!$K$5:$K$504,"Ja")+COUNTIFS(MATCHER!$B$5:$B$504,A415,MATCHER!$D$5:$D$504,C415,MATCHER!$J$5:$J$504,REGLER!$I$16&amp;" 2",MATCHER!$K$5:$K$504,"Ja")&gt;0,", "&amp;REGLER!$I$16,"")&amp;IF(COUNTIFS(MATCHER!$B$5:$B$504,A415,MATCHER!$D$5:$D$504,C415,MATCHER!$J$5:$J$504,REGLER!$I$17,MATCHER!$K$5:$K$504,"Ja")+COUNTIFS(MATCHER!$B$5:$B$504,A415,MATCHER!$D$5:$D$504,C415,MATCHER!$J$5:$J$504,REGLER!$I$17&amp;" 2",MATCHER!$K$5:$K$504,"Ja")&gt;0,", "&amp;REGLER!$I$17,"")&amp;IF(COUNTIFS(MATCHER!$B$5:$B$504,A415,MATCHER!$D$5:$D$504,C415,MATCHER!$J$5:$J$504,REGLER!$I$18,MATCHER!$K$5:$K$504,"Ja")+COUNTIFS(MATCHER!$B$5:$B$504,A415,MATCHER!$D$5:$D$504,C415,MATCHER!$J$5:$J$504,REGLER!$I$18&amp;" 2",MATCHER!$K$5:$K$504,"Ja")&gt;0,", "&amp;REGLER!$I$18,"")&amp;IF(COUNTIFS(MATCHER!$B$5:$B$504,A415,MATCHER!$D$5:$D$504,C415,MATCHER!$J$5:$J$504,REGLER!$I$19,MATCHER!$K$5:$K$504,"Ja")+COUNTIFS(MATCHER!$B$5:$B$504,A415,MATCHER!$D$5:$D$504,C415,MATCHER!$J$5:$J$504,REGLER!$I$19&amp;" 2",MATCHER!$K$5:$K$504,"Ja")&gt;0,", "&amp;REGLER!$I$19,"")&amp;IF(COUNTIFS(MATCHER!$B$5:$B$504,A415,MATCHER!$D$5:$D$504,C415,MATCHER!$J$5:$J$504,REGLER!$I$20,MATCHER!$K$5:$K$504,"Ja")+COUNTIFS(MATCHER!$B$5:$B$504,A415,MATCHER!$D$5:$D$504,C415,MATCHER!$J$5:$J$504,REGLER!$I$20&amp;" 2",MATCHER!$K$5:$K$504,"Ja")&gt;0,", "&amp;REGLER!$I$20,"")&amp;IF(COUNTIFS(MATCHER!$B$5:$B$504,A415,MATCHER!$D$5:$D$504,C415,MATCHER!$J$5:$J$504,REGLER!$I$21,MATCHER!$K$5:$K$504,"Ja")+COUNTIFS(MATCHER!$B$5:$B$504,A415,MATCHER!$D$5:$D$504,C415,MATCHER!$J$5:$J$504,REGLER!$I$21&amp;" 2",MATCHER!$K$5:$K$504,"Ja")&gt;0,", "&amp;REGLER!$I$21,"")&amp;IF(COUNTIFS(MATCHER!$B$5:$B$504,A415,MATCHER!$D$5:$D$504,C415,MATCHER!$J$5:$J$504,REGLER!$I$22,MATCHER!$K$5:$K$504,"Ja")+COUNTIFS(MATCHER!$B$5:$B$504,A415,MATCHER!$D$5:$D$504,C415,MATCHER!$J$5:$J$504,REGLER!$I$22&amp;" 2",MATCHER!$K$5:$K$504,"Ja")&gt;0,", "&amp;REGLER!$I$22,"")&amp;IF(COUNTIFS(MATCHER!$B$5:$B$504,A415,MATCHER!$D$5:$D$504,C415,MATCHER!$J$5:$J$504,REGLER!$I$23,MATCHER!$K$5:$K$504,"Ja")+COUNTIFS(MATCHER!$B$5:$B$504,A415,MATCHER!$D$5:$D$504,C415,MATCHER!$J$5:$J$504,REGLER!$I$23&amp;" 2",MATCHER!$K$5:$K$504,"Ja")&gt;0,", "&amp;REGLER!$I$23,"")&amp;IF(COUNTIFS(MATCHER!$B$5:$B$504,A415,MATCHER!$D$5:$D$504,C415,MATCHER!$J$5:$J$504,REGLER!$I$24,MATCHER!$K$5:$K$504,"Ja")+COUNTIFS(MATCHER!$B$5:$B$504,A415,MATCHER!$D$5:$D$504,C415,MATCHER!$J$5:$J$504,REGLER!$I$24&amp;" 2",MATCHER!$K$5:$K$504,"Ja")&gt;0,", "&amp;REGLER!$I$24,"")&amp;IF(COUNTIFS(MATCHER!$B$5:$B$504,A415,MATCHER!$D$5:$D$504,C415,MATCHER!$J$5:$J$504,REGLER!$I$25,MATCHER!$K$5:$K$504,"Ja")+COUNTIFS(MATCHER!$B$5:$B$504,A415,MATCHER!$D$5:$D$504,C415,MATCHER!$J$5:$J$504,REGLER!$I$25&amp;" 2",MATCHER!$K$5:$K$504,"Ja")&gt;0,", "&amp;REGLER!$I$25,"")&amp;IF(COUNTIFS(MATCHER!$B$5:$B$504,A415,MATCHER!$D$5:$D$504,C415,MATCHER!$J$5:$J$504,REGLER!$I$26,MATCHER!$K$5:$K$504,"Ja")+COUNTIFS(MATCHER!$B$5:$B$504,A415,MATCHER!$D$5:$D$504,C415,MATCHER!$J$5:$J$504,REGLER!$I$26&amp;" 2",MATCHER!$K$5:$K$504,"Ja")&gt;0,", "&amp;REGLER!$I$26,""),3,1000)</f>
        <v>F12, F13</v>
      </c>
      <c r="I415" s="46" t="s">
        <v>90</v>
      </c>
      <c r="J415" s="47" t="s">
        <v>148</v>
      </c>
      <c r="K415" s="48" t="s">
        <v>88</v>
      </c>
      <c r="L415" s="49"/>
      <c r="M415" s="50">
        <f>IF(O415&lt;&gt;O414,MAX(1,MIN(AA415,ROUNDUP(SUMPRODUCT(($O$5:$O$546=O415)*($I$5:$I$546="Ja")*($E$5:$E$546-$D$5:$D$546))*24/REGLER!$B$8,0))),"")</f>
        <v>2</v>
      </c>
      <c r="N415" s="50" t="str">
        <f t="shared" si="88"/>
        <v>Kontrollera lag</v>
      </c>
      <c r="O415" s="15" t="s">
        <v>154</v>
      </c>
      <c r="P415" s="16">
        <v>0.33333333333333298</v>
      </c>
      <c r="Q415" s="16">
        <v>0.79166666666666696</v>
      </c>
      <c r="R415" s="15" t="str">
        <f>IFERROR(MATCH(1,INDEX((MATCHER!$B$5:$B$504=A415)*(MATCHER!$D$5:$D$504=C415)*(MATCHER!$K$5:$K$504="Ja")*(MATCHER!$C$5:$C$504&lt;E415)*(MATCHER!$M$5:$M$504&gt;D415),0),0),"")</f>
        <v/>
      </c>
      <c r="S415" s="15" t="str">
        <f>IF(R415="","",IFERROR(MATCH(1,INDEX((MATCHER!$B$5:$B$504=A415)*(MATCHER!$D$5:$D$504=C415)*(MATCHER!$K$5:$K$504="Ja")*(MATCHER!$C$5:$C$504&lt;E415)*(MATCHER!$M$5:$M$504&gt;D415)*(ROW(MATCHER!$A$5:$A$504)-ROW(MATCHER!$A$5)+1&gt;R415),0),0),""))</f>
        <v/>
      </c>
      <c r="T415" s="15" t="str">
        <f>IF(S415="","",IFERROR(MATCH(1,INDEX((MATCHER!$B$5:$B$504=A415)*(MATCHER!$D$5:$D$504=C415)*(MATCHER!$K$5:$K$504="Ja")*(MATCHER!$C$5:$C$504&lt;E415)*(MATCHER!$M$5:$M$504&gt;D415)*(ROW(MATCHER!$A$5:$A$504)-ROW(MATCHER!$A$5)+1&gt;S415),0),0),""))</f>
        <v/>
      </c>
      <c r="U415" s="15">
        <f t="shared" si="89"/>
        <v>1</v>
      </c>
      <c r="V415" s="15">
        <f>IF(OR(I415&lt;&gt;"Ja",J415=""),"",COUNTIFS($O$5:O415,O415,$U$5:U415,1))</f>
        <v>1</v>
      </c>
      <c r="W415" s="15" t="str">
        <f t="shared" si="90"/>
        <v>2027-02-13 | Ulriksdalshallen|1</v>
      </c>
      <c r="X415" s="16" t="str">
        <f t="shared" si="91"/>
        <v/>
      </c>
      <c r="Y415" s="15">
        <f>IF(OR(I415&lt;&gt;"Ja",J415=""),0,IF(COUNTIFS($O$5:O415,O415,$I$5:I415,"Ja",$J$5:J415,"&lt;&gt;")=1,1,0))</f>
        <v>1</v>
      </c>
      <c r="Z415" s="15">
        <f>IF(OR(I415&lt;&gt;"Ja",J415=""),0,IF(COUNTIFS(O415:$O$546,O415,I415:$I$546,"Ja",J415:$J$546,"&lt;&gt;")=1,1,0))</f>
        <v>0</v>
      </c>
      <c r="AA415" s="15">
        <f>IF(COUNTIFS(MATCHER!$B$5:$B$504,A415,MATCHER!$D$5:$D$504,C415,MATCHER!$J$5:$J$504,REGLER!$I$6,MATCHER!$K$5:$K$504,"Ja")+COUNTIFS(MATCHER!$B$5:$B$504,A415,MATCHER!$D$5:$D$504,C415,MATCHER!$J$5:$J$504,REGLER!$I$6&amp;" 2",MATCHER!$K$5:$K$504,"Ja")&gt;0,1,0)+IF(COUNTIFS(MATCHER!$B$5:$B$504,A415,MATCHER!$D$5:$D$504,C415,MATCHER!$J$5:$J$504,REGLER!$I$7,MATCHER!$K$5:$K$504,"Ja")+COUNTIFS(MATCHER!$B$5:$B$504,A415,MATCHER!$D$5:$D$504,C415,MATCHER!$J$5:$J$504,REGLER!$I$7&amp;" 2",MATCHER!$K$5:$K$504,"Ja")&gt;0,1,0)+IF(COUNTIFS(MATCHER!$B$5:$B$504,A415,MATCHER!$D$5:$D$504,C415,MATCHER!$J$5:$J$504,REGLER!$I$8,MATCHER!$K$5:$K$504,"Ja")+COUNTIFS(MATCHER!$B$5:$B$504,A415,MATCHER!$D$5:$D$504,C415,MATCHER!$J$5:$J$504,REGLER!$I$8&amp;" 2",MATCHER!$K$5:$K$504,"Ja")&gt;0,1,0)+IF(COUNTIFS(MATCHER!$B$5:$B$504,A415,MATCHER!$D$5:$D$504,C415,MATCHER!$J$5:$J$504,REGLER!$I$9,MATCHER!$K$5:$K$504,"Ja")+COUNTIFS(MATCHER!$B$5:$B$504,A415,MATCHER!$D$5:$D$504,C415,MATCHER!$J$5:$J$504,REGLER!$I$9&amp;" 2",MATCHER!$K$5:$K$504,"Ja")&gt;0,1,0)+IF(COUNTIFS(MATCHER!$B$5:$B$504,A415,MATCHER!$D$5:$D$504,C415,MATCHER!$J$5:$J$504,REGLER!$I$10,MATCHER!$K$5:$K$504,"Ja")+COUNTIFS(MATCHER!$B$5:$B$504,A415,MATCHER!$D$5:$D$504,C415,MATCHER!$J$5:$J$504,REGLER!$I$10&amp;" 2",MATCHER!$K$5:$K$504,"Ja")&gt;0,1,0)+IF(COUNTIFS(MATCHER!$B$5:$B$504,A415,MATCHER!$D$5:$D$504,C415,MATCHER!$J$5:$J$504,REGLER!$I$11,MATCHER!$K$5:$K$504,"Ja")+COUNTIFS(MATCHER!$B$5:$B$504,A415,MATCHER!$D$5:$D$504,C415,MATCHER!$J$5:$J$504,REGLER!$I$11&amp;" 2",MATCHER!$K$5:$K$504,"Ja")&gt;0,1,0)+IF(COUNTIFS(MATCHER!$B$5:$B$504,A415,MATCHER!$D$5:$D$504,C415,MATCHER!$J$5:$J$504,REGLER!$I$12,MATCHER!$K$5:$K$504,"Ja")+COUNTIFS(MATCHER!$B$5:$B$504,A415,MATCHER!$D$5:$D$504,C415,MATCHER!$J$5:$J$504,REGLER!$I$12&amp;" 2",MATCHER!$K$5:$K$504,"Ja")&gt;0,1,0)+IF(COUNTIFS(MATCHER!$B$5:$B$504,A415,MATCHER!$D$5:$D$504,C415,MATCHER!$J$5:$J$504,REGLER!$I$13,MATCHER!$K$5:$K$504,"Ja")+COUNTIFS(MATCHER!$B$5:$B$504,A415,MATCHER!$D$5:$D$504,C415,MATCHER!$J$5:$J$504,REGLER!$I$13&amp;" 2",MATCHER!$K$5:$K$504,"Ja")&gt;0,1,0)+IF(COUNTIFS(MATCHER!$B$5:$B$504,A415,MATCHER!$D$5:$D$504,C415,MATCHER!$J$5:$J$504,REGLER!$I$14,MATCHER!$K$5:$K$504,"Ja")+COUNTIFS(MATCHER!$B$5:$B$504,A415,MATCHER!$D$5:$D$504,C415,MATCHER!$J$5:$J$504,REGLER!$I$14&amp;" 2",MATCHER!$K$5:$K$504,"Ja")&gt;0,1,0)+IF(COUNTIFS(MATCHER!$B$5:$B$504,A415,MATCHER!$D$5:$D$504,C415,MATCHER!$J$5:$J$504,REGLER!$I$15,MATCHER!$K$5:$K$504,"Ja")+COUNTIFS(MATCHER!$B$5:$B$504,A415,MATCHER!$D$5:$D$504,C415,MATCHER!$J$5:$J$504,REGLER!$I$15&amp;" 2",MATCHER!$K$5:$K$504,"Ja")&gt;0,1,0)+IF(COUNTIFS(MATCHER!$B$5:$B$504,A415,MATCHER!$D$5:$D$504,C415,MATCHER!$J$5:$J$504,REGLER!$I$16,MATCHER!$K$5:$K$504,"Ja")+COUNTIFS(MATCHER!$B$5:$B$504,A415,MATCHER!$D$5:$D$504,C415,MATCHER!$J$5:$J$504,REGLER!$I$16&amp;" 2",MATCHER!$K$5:$K$504,"Ja")&gt;0,1,0)+IF(COUNTIFS(MATCHER!$B$5:$B$504,A415,MATCHER!$D$5:$D$504,C415,MATCHER!$J$5:$J$504,REGLER!$I$17,MATCHER!$K$5:$K$504,"Ja")+COUNTIFS(MATCHER!$B$5:$B$504,A415,MATCHER!$D$5:$D$504,C415,MATCHER!$J$5:$J$504,REGLER!$I$17&amp;" 2",MATCHER!$K$5:$K$504,"Ja")&gt;0,1,0)+IF(COUNTIFS(MATCHER!$B$5:$B$504,A415,MATCHER!$D$5:$D$504,C415,MATCHER!$J$5:$J$504,REGLER!$I$18,MATCHER!$K$5:$K$504,"Ja")+COUNTIFS(MATCHER!$B$5:$B$504,A415,MATCHER!$D$5:$D$504,C415,MATCHER!$J$5:$J$504,REGLER!$I$18&amp;" 2",MATCHER!$K$5:$K$504,"Ja")&gt;0,1,0)+IF(COUNTIFS(MATCHER!$B$5:$B$504,A415,MATCHER!$D$5:$D$504,C415,MATCHER!$J$5:$J$504,REGLER!$I$19,MATCHER!$K$5:$K$504,"Ja")+COUNTIFS(MATCHER!$B$5:$B$504,A415,MATCHER!$D$5:$D$504,C415,MATCHER!$J$5:$J$504,REGLER!$I$19&amp;" 2",MATCHER!$K$5:$K$504,"Ja")&gt;0,1,0)+IF(COUNTIFS(MATCHER!$B$5:$B$504,A415,MATCHER!$D$5:$D$504,C415,MATCHER!$J$5:$J$504,REGLER!$I$20,MATCHER!$K$5:$K$504,"Ja")+COUNTIFS(MATCHER!$B$5:$B$504,A415,MATCHER!$D$5:$D$504,C415,MATCHER!$J$5:$J$504,REGLER!$I$20&amp;" 2",MATCHER!$K$5:$K$504,"Ja")&gt;0,1,0)+IF(COUNTIFS(MATCHER!$B$5:$B$504,A415,MATCHER!$D$5:$D$504,C415,MATCHER!$J$5:$J$504,REGLER!$I$21,MATCHER!$K$5:$K$504,"Ja")+COUNTIFS(MATCHER!$B$5:$B$504,A415,MATCHER!$D$5:$D$504,C415,MATCHER!$J$5:$J$504,REGLER!$I$21&amp;" 2",MATCHER!$K$5:$K$504,"Ja")&gt;0,1,0)+IF(COUNTIFS(MATCHER!$B$5:$B$504,A415,MATCHER!$D$5:$D$504,C415,MATCHER!$J$5:$J$504,REGLER!$I$22,MATCHER!$K$5:$K$504,"Ja")+COUNTIFS(MATCHER!$B$5:$B$504,A415,MATCHER!$D$5:$D$504,C415,MATCHER!$J$5:$J$504,REGLER!$I$22&amp;" 2",MATCHER!$K$5:$K$504,"Ja")&gt;0,1,0)+IF(COUNTIFS(MATCHER!$B$5:$B$504,A415,MATCHER!$D$5:$D$504,C415,MATCHER!$J$5:$J$504,REGLER!$I$23,MATCHER!$K$5:$K$504,"Ja")+COUNTIFS(MATCHER!$B$5:$B$504,A415,MATCHER!$D$5:$D$504,C415,MATCHER!$J$5:$J$504,REGLER!$I$23&amp;" 2",MATCHER!$K$5:$K$504,"Ja")&gt;0,1,0)+IF(COUNTIFS(MATCHER!$B$5:$B$504,A415,MATCHER!$D$5:$D$504,C415,MATCHER!$J$5:$J$504,REGLER!$I$24,MATCHER!$K$5:$K$504,"Ja")+COUNTIFS(MATCHER!$B$5:$B$504,A415,MATCHER!$D$5:$D$504,C415,MATCHER!$J$5:$J$504,REGLER!$I$24&amp;" 2",MATCHER!$K$5:$K$504,"Ja")&gt;0,1,0)+IF(COUNTIFS(MATCHER!$B$5:$B$504,A415,MATCHER!$D$5:$D$504,C415,MATCHER!$J$5:$J$504,REGLER!$I$25,MATCHER!$K$5:$K$504,"Ja")+COUNTIFS(MATCHER!$B$5:$B$504,A415,MATCHER!$D$5:$D$504,C415,MATCHER!$J$5:$J$504,REGLER!$I$25&amp;" 2",MATCHER!$K$5:$K$504,"Ja")&gt;0,1,0)+IF(COUNTIFS(MATCHER!$B$5:$B$504,A415,MATCHER!$D$5:$D$504,C415,MATCHER!$J$5:$J$504,REGLER!$I$26,MATCHER!$K$5:$K$504,"Ja")+COUNTIFS(MATCHER!$B$5:$B$504,A415,MATCHER!$D$5:$D$504,C415,MATCHER!$J$5:$J$504,REGLER!$I$26&amp;" 2",MATCHER!$K$5:$K$504,"Ja")&gt;0,1,0)</f>
        <v>2</v>
      </c>
      <c r="AB415" s="15">
        <f>IF(U415&lt;&gt;1,"",COUNTIF($U$5:U415,1))</f>
        <v>68</v>
      </c>
      <c r="AC415" s="15" t="str">
        <f t="shared" si="92"/>
        <v/>
      </c>
      <c r="AD415" s="15" t="str">
        <f t="shared" si="93"/>
        <v>Vanligt café</v>
      </c>
      <c r="AE415" s="15">
        <f t="shared" si="94"/>
        <v>4.0000000000000089</v>
      </c>
      <c r="AF415" t="str">
        <f>IF(T415="","",IFERROR(MATCH(1,INDEX((MATCHER!$B$5:$B$504=A415)*(MATCHER!$D$5:$D$504=C415)*(MATCHER!$K$5:$K$504="Ja")*(MATCHER!$C$5:$C$504&lt;E415)*(MATCHER!$M$5:$M$504&gt;D415)*(ROW(MATCHER!$A$5:$A$504)-ROW(MATCHER!$A$5)+1&gt;T415),0),0),""))</f>
        <v/>
      </c>
    </row>
    <row r="416" spans="1:32" ht="26">
      <c r="A416" s="42">
        <v>46431</v>
      </c>
      <c r="B416" s="43" t="s">
        <v>85</v>
      </c>
      <c r="C416" s="43" t="s">
        <v>86</v>
      </c>
      <c r="D416" s="44">
        <v>0.35416666666666702</v>
      </c>
      <c r="E416" s="44">
        <v>0.375</v>
      </c>
      <c r="F416" s="45" t="str">
        <f>IF(R416="","",HOUR(INDEX(MATCHER!$C$5:$C$504,R416))&amp;":"&amp;IF(MINUTE(INDEX(MATCHER!$C$5:$C$504,R416))&lt;10,"0","")&amp;MINUTE(INDEX(MATCHER!$C$5:$C$504,R416))&amp;" "&amp;INDEX(MATCHER!$H$5:$H$504,R416)&amp;" – "&amp;INDEX(MATCHER!$I$5:$I$504,R416))&amp;IF(S416="",""," | "&amp;HOUR(INDEX(MATCHER!$C$5:$C$504,S416))&amp;":"&amp;IF(MINUTE(INDEX(MATCHER!$C$5:$C$504,S416))&lt;10,"0","")&amp;MINUTE(INDEX(MATCHER!$C$5:$C$504,S416))&amp;" "&amp;INDEX(MATCHER!$H$5:$H$504,S416)&amp;" – "&amp;INDEX(MATCHER!$I$5:$I$504,S416))&amp;IF(T416="",""," | "&amp;HOUR(INDEX(MATCHER!$C$5:$C$504,T416))&amp;":"&amp;IF(MINUTE(INDEX(MATCHER!$C$5:$C$504,T416))&lt;10,"0","")&amp;MINUTE(INDEX(MATCHER!$C$5:$C$504,T416))&amp;" "&amp;INDEX(MATCHER!$H$5:$H$504,T416)&amp;" – "&amp;INDEX(MATCHER!$I$5:$I$504,T416))&amp;IF(AF416="",""," | "&amp;HOUR(INDEX(MATCHER!$C$5:$C$504,AF416))&amp;":"&amp;IF(MINUTE(INDEX(MATCHER!$C$5:$C$504,AF416))&lt;10,"0","")&amp;MINUTE(INDEX(MATCHER!$C$5:$C$504,AF416))&amp;" "&amp;INDEX(MATCHER!$H$5:$H$504,AF416)&amp;" – "&amp;INDEX(MATCHER!$I$5:$I$504,AF416))</f>
        <v/>
      </c>
      <c r="G416" s="45" t="str">
        <f>MID(IF(R416="","",IF(OR(INDEX(MATCHER!$J$5:$J$504,R416)=""),""," / "&amp;INDEX(MATCHER!$J$5:$J$504,R416)))&amp;IF(S416="","",IF(OR(INDEX(MATCHER!$J$5:$J$504,S416)="",INDEX(MATCHER!$J$5:$J$504,S416)=IFERROR(INDEX(MATCHER!$J$5:$J$504,R416),"")),""," / "&amp;INDEX(MATCHER!$J$5:$J$504,S416)))&amp;IF(T416="","",IF(OR(INDEX(MATCHER!$J$5:$J$504,T416)="",INDEX(MATCHER!$J$5:$J$504,T416)=IFERROR(INDEX(MATCHER!$J$5:$J$504,R416),""),INDEX(MATCHER!$J$5:$J$504,T416)=IFERROR(INDEX(MATCHER!$J$5:$J$504,S416),"")),""," / "&amp;INDEX(MATCHER!$J$5:$J$504,T416)))&amp;IF(AF416="","",IF(OR(INDEX(MATCHER!$J$5:$J$504,AF416)="",INDEX(MATCHER!$J$5:$J$504,AF416)=IFERROR(INDEX(MATCHER!$J$5:$J$504,R416),""),INDEX(MATCHER!$J$5:$J$504,AF416)=IFERROR(INDEX(MATCHER!$J$5:$J$504,S416),""),INDEX(MATCHER!$J$5:$J$504,AF416)=IFERROR(INDEX(MATCHER!$J$5:$J$504,T416),"")),""," / "&amp;INDEX(MATCHER!$J$5:$J$504,AF416))),4,1000)</f>
        <v/>
      </c>
      <c r="H416" s="45" t="str">
        <f t="shared" ref="H416:H436" si="95">H415</f>
        <v>F12, F13</v>
      </c>
      <c r="I416" s="46" t="s">
        <v>90</v>
      </c>
      <c r="J416" s="47" t="s">
        <v>148</v>
      </c>
      <c r="K416" s="48"/>
      <c r="L416" s="49"/>
      <c r="M416" s="50" t="str">
        <f>IF(O416&lt;&gt;O415,MAX(1,MIN(AA416,ROUNDUP(SUMPRODUCT(($O$5:$O$546=O416)*($I$5:$I$546="Ja")*($E$5:$E$546-$D$5:$D$546))*24/REGLER!$B$8,0))),"")</f>
        <v/>
      </c>
      <c r="N416" s="50" t="str">
        <f t="shared" si="88"/>
        <v>Kontrollera lag</v>
      </c>
      <c r="O416" s="15" t="s">
        <v>154</v>
      </c>
      <c r="P416" s="16">
        <v>0.33333333333333298</v>
      </c>
      <c r="Q416" s="16">
        <v>0.79166666666666696</v>
      </c>
      <c r="R416" s="15" t="str">
        <f>IFERROR(MATCH(1,INDEX((MATCHER!$B$5:$B$504=A416)*(MATCHER!$D$5:$D$504=C416)*(MATCHER!$K$5:$K$504="Ja")*(MATCHER!$C$5:$C$504&lt;E416)*(MATCHER!$M$5:$M$504&gt;D416),0),0),"")</f>
        <v/>
      </c>
      <c r="S416" s="15" t="str">
        <f>IF(R416="","",IFERROR(MATCH(1,INDEX((MATCHER!$B$5:$B$504=A416)*(MATCHER!$D$5:$D$504=C416)*(MATCHER!$K$5:$K$504="Ja")*(MATCHER!$C$5:$C$504&lt;E416)*(MATCHER!$M$5:$M$504&gt;D416)*(ROW(MATCHER!$A$5:$A$504)-ROW(MATCHER!$A$5)+1&gt;R416),0),0),""))</f>
        <v/>
      </c>
      <c r="T416" s="15" t="str">
        <f>IF(S416="","",IFERROR(MATCH(1,INDEX((MATCHER!$B$5:$B$504=A416)*(MATCHER!$D$5:$D$504=C416)*(MATCHER!$K$5:$K$504="Ja")*(MATCHER!$C$5:$C$504&lt;E416)*(MATCHER!$M$5:$M$504&gt;D416)*(ROW(MATCHER!$A$5:$A$504)-ROW(MATCHER!$A$5)+1&gt;S416),0),0),""))</f>
        <v/>
      </c>
      <c r="U416" s="15">
        <f t="shared" si="89"/>
        <v>0</v>
      </c>
      <c r="V416" s="15">
        <f>IF(OR(I416&lt;&gt;"Ja",J416=""),"",COUNTIFS($O$5:O416,O416,$U$5:U416,1))</f>
        <v>1</v>
      </c>
      <c r="W416" s="15" t="str">
        <f t="shared" si="90"/>
        <v>2027-02-13 | Ulriksdalshallen|1</v>
      </c>
      <c r="X416" s="16" t="str">
        <f t="shared" si="91"/>
        <v/>
      </c>
      <c r="Y416" s="15">
        <f>IF(OR(I416&lt;&gt;"Ja",J416=""),0,IF(COUNTIFS($O$5:O416,O416,$I$5:I416,"Ja",$J$5:J416,"&lt;&gt;")=1,1,0))</f>
        <v>0</v>
      </c>
      <c r="Z416" s="15">
        <f>IF(OR(I416&lt;&gt;"Ja",J416=""),0,IF(COUNTIFS(O416:$O$546,O416,I416:$I$546,"Ja",J416:$J$546,"&lt;&gt;")=1,1,0))</f>
        <v>0</v>
      </c>
      <c r="AA416" s="15">
        <f t="shared" ref="AA416:AA436" si="96">AA415</f>
        <v>2</v>
      </c>
      <c r="AB416" s="15" t="str">
        <f>IF(U416&lt;&gt;1,"",COUNTIF($U$5:U416,1))</f>
        <v/>
      </c>
      <c r="AC416" s="15" t="str">
        <f t="shared" si="92"/>
        <v/>
      </c>
      <c r="AD416" s="15" t="str">
        <f t="shared" si="93"/>
        <v>Vanligt café</v>
      </c>
      <c r="AE416" s="15" t="str">
        <f t="shared" si="94"/>
        <v/>
      </c>
      <c r="AF416" t="str">
        <f>IF(T416="","",IFERROR(MATCH(1,INDEX((MATCHER!$B$5:$B$504=A416)*(MATCHER!$D$5:$D$504=C416)*(MATCHER!$K$5:$K$504="Ja")*(MATCHER!$C$5:$C$504&lt;E416)*(MATCHER!$M$5:$M$504&gt;D416)*(ROW(MATCHER!$A$5:$A$504)-ROW(MATCHER!$A$5)+1&gt;T416),0),0),""))</f>
        <v/>
      </c>
    </row>
    <row r="417" spans="1:32" ht="26">
      <c r="A417" s="42">
        <v>46431</v>
      </c>
      <c r="B417" s="43" t="s">
        <v>85</v>
      </c>
      <c r="C417" s="43" t="s">
        <v>86</v>
      </c>
      <c r="D417" s="44">
        <v>0.375</v>
      </c>
      <c r="E417" s="44">
        <v>0.39583333333333298</v>
      </c>
      <c r="F417" s="45" t="str">
        <f>IF(R417="","",HOUR(INDEX(MATCHER!$C$5:$C$504,R417))&amp;":"&amp;IF(MINUTE(INDEX(MATCHER!$C$5:$C$504,R417))&lt;10,"0","")&amp;MINUTE(INDEX(MATCHER!$C$5:$C$504,R417))&amp;" "&amp;INDEX(MATCHER!$H$5:$H$504,R417)&amp;" – "&amp;INDEX(MATCHER!$I$5:$I$504,R417))&amp;IF(S417="",""," | "&amp;HOUR(INDEX(MATCHER!$C$5:$C$504,S417))&amp;":"&amp;IF(MINUTE(INDEX(MATCHER!$C$5:$C$504,S417))&lt;10,"0","")&amp;MINUTE(INDEX(MATCHER!$C$5:$C$504,S417))&amp;" "&amp;INDEX(MATCHER!$H$5:$H$504,S417)&amp;" – "&amp;INDEX(MATCHER!$I$5:$I$504,S417))&amp;IF(T417="",""," | "&amp;HOUR(INDEX(MATCHER!$C$5:$C$504,T417))&amp;":"&amp;IF(MINUTE(INDEX(MATCHER!$C$5:$C$504,T417))&lt;10,"0","")&amp;MINUTE(INDEX(MATCHER!$C$5:$C$504,T417))&amp;" "&amp;INDEX(MATCHER!$H$5:$H$504,T417)&amp;" – "&amp;INDEX(MATCHER!$I$5:$I$504,T417))&amp;IF(AF417="",""," | "&amp;HOUR(INDEX(MATCHER!$C$5:$C$504,AF417))&amp;":"&amp;IF(MINUTE(INDEX(MATCHER!$C$5:$C$504,AF417))&lt;10,"0","")&amp;MINUTE(INDEX(MATCHER!$C$5:$C$504,AF417))&amp;" "&amp;INDEX(MATCHER!$H$5:$H$504,AF417)&amp;" – "&amp;INDEX(MATCHER!$I$5:$I$504,AF417))</f>
        <v>9:00 HF Öst – HF Öst 2</v>
      </c>
      <c r="G417" s="45" t="str">
        <f>MID(IF(R417="","",IF(OR(INDEX(MATCHER!$J$5:$J$504,R417)=""),""," / "&amp;INDEX(MATCHER!$J$5:$J$504,R417)))&amp;IF(S417="","",IF(OR(INDEX(MATCHER!$J$5:$J$504,S417)="",INDEX(MATCHER!$J$5:$J$504,S417)=IFERROR(INDEX(MATCHER!$J$5:$J$504,R417),"")),""," / "&amp;INDEX(MATCHER!$J$5:$J$504,S417)))&amp;IF(T417="","",IF(OR(INDEX(MATCHER!$J$5:$J$504,T417)="",INDEX(MATCHER!$J$5:$J$504,T417)=IFERROR(INDEX(MATCHER!$J$5:$J$504,R417),""),INDEX(MATCHER!$J$5:$J$504,T417)=IFERROR(INDEX(MATCHER!$J$5:$J$504,S417),"")),""," / "&amp;INDEX(MATCHER!$J$5:$J$504,T417)))&amp;IF(AF417="","",IF(OR(INDEX(MATCHER!$J$5:$J$504,AF417)="",INDEX(MATCHER!$J$5:$J$504,AF417)=IFERROR(INDEX(MATCHER!$J$5:$J$504,R417),""),INDEX(MATCHER!$J$5:$J$504,AF417)=IFERROR(INDEX(MATCHER!$J$5:$J$504,S417),""),INDEX(MATCHER!$J$5:$J$504,AF417)=IFERROR(INDEX(MATCHER!$J$5:$J$504,T417),"")),""," / "&amp;INDEX(MATCHER!$J$5:$J$504,AF417))),4,1000)</f>
        <v/>
      </c>
      <c r="H417" s="45" t="str">
        <f t="shared" si="95"/>
        <v>F12, F13</v>
      </c>
      <c r="I417" s="46" t="s">
        <v>90</v>
      </c>
      <c r="J417" s="47" t="s">
        <v>148</v>
      </c>
      <c r="K417" s="48"/>
      <c r="L417" s="49"/>
      <c r="M417" s="50" t="str">
        <f>IF(O417&lt;&gt;O416,MAX(1,MIN(AA417,ROUNDUP(SUMPRODUCT(($O$5:$O$546=O417)*($I$5:$I$546="Ja")*($E$5:$E$546-$D$5:$D$546))*24/REGLER!$B$8,0))),"")</f>
        <v/>
      </c>
      <c r="N417" s="50" t="str">
        <f t="shared" si="88"/>
        <v>Kontrollera lag</v>
      </c>
      <c r="O417" s="15" t="s">
        <v>154</v>
      </c>
      <c r="P417" s="16">
        <v>0.33333333333333298</v>
      </c>
      <c r="Q417" s="16">
        <v>0.79166666666666696</v>
      </c>
      <c r="R417" s="15">
        <f>IFERROR(MATCH(1,INDEX((MATCHER!$B$5:$B$504=A417)*(MATCHER!$D$5:$D$504=C417)*(MATCHER!$K$5:$K$504="Ja")*(MATCHER!$C$5:$C$504&lt;E417)*(MATCHER!$M$5:$M$504&gt;D417),0),0),"")</f>
        <v>151</v>
      </c>
      <c r="S417" s="15" t="str">
        <f>IF(R417="","",IFERROR(MATCH(1,INDEX((MATCHER!$B$5:$B$504=A417)*(MATCHER!$D$5:$D$504=C417)*(MATCHER!$K$5:$K$504="Ja")*(MATCHER!$C$5:$C$504&lt;E417)*(MATCHER!$M$5:$M$504&gt;D417)*(ROW(MATCHER!$A$5:$A$504)-ROW(MATCHER!$A$5)+1&gt;R417),0),0),""))</f>
        <v/>
      </c>
      <c r="T417" s="15" t="str">
        <f>IF(S417="","",IFERROR(MATCH(1,INDEX((MATCHER!$B$5:$B$504=A417)*(MATCHER!$D$5:$D$504=C417)*(MATCHER!$K$5:$K$504="Ja")*(MATCHER!$C$5:$C$504&lt;E417)*(MATCHER!$M$5:$M$504&gt;D417)*(ROW(MATCHER!$A$5:$A$504)-ROW(MATCHER!$A$5)+1&gt;S417),0),0),""))</f>
        <v/>
      </c>
      <c r="U417" s="15">
        <f t="shared" si="89"/>
        <v>0</v>
      </c>
      <c r="V417" s="15">
        <f>IF(OR(I417&lt;&gt;"Ja",J417=""),"",COUNTIFS($O$5:O417,O417,$U$5:U417,1))</f>
        <v>1</v>
      </c>
      <c r="W417" s="15" t="str">
        <f t="shared" si="90"/>
        <v>2027-02-13 | Ulriksdalshallen|1</v>
      </c>
      <c r="X417" s="16" t="str">
        <f t="shared" si="91"/>
        <v/>
      </c>
      <c r="Y417" s="15">
        <f>IF(OR(I417&lt;&gt;"Ja",J417=""),0,IF(COUNTIFS($O$5:O417,O417,$I$5:I417,"Ja",$J$5:J417,"&lt;&gt;")=1,1,0))</f>
        <v>0</v>
      </c>
      <c r="Z417" s="15">
        <f>IF(OR(I417&lt;&gt;"Ja",J417=""),0,IF(COUNTIFS(O417:$O$546,O417,I417:$I$546,"Ja",J417:$J$546,"&lt;&gt;")=1,1,0))</f>
        <v>0</v>
      </c>
      <c r="AA417" s="15">
        <f t="shared" si="96"/>
        <v>2</v>
      </c>
      <c r="AB417" s="15" t="str">
        <f>IF(U417&lt;&gt;1,"",COUNTIF($U$5:U417,1))</f>
        <v/>
      </c>
      <c r="AC417" s="15" t="str">
        <f t="shared" si="92"/>
        <v/>
      </c>
      <c r="AD417" s="15" t="str">
        <f t="shared" si="93"/>
        <v>Vanligt café</v>
      </c>
      <c r="AE417" s="15" t="str">
        <f t="shared" si="94"/>
        <v/>
      </c>
      <c r="AF417" t="str">
        <f>IF(T417="","",IFERROR(MATCH(1,INDEX((MATCHER!$B$5:$B$504=A417)*(MATCHER!$D$5:$D$504=C417)*(MATCHER!$K$5:$K$504="Ja")*(MATCHER!$C$5:$C$504&lt;E417)*(MATCHER!$M$5:$M$504&gt;D417)*(ROW(MATCHER!$A$5:$A$504)-ROW(MATCHER!$A$5)+1&gt;T417),0),0),""))</f>
        <v/>
      </c>
    </row>
    <row r="418" spans="1:32" ht="26">
      <c r="A418" s="42">
        <v>46431</v>
      </c>
      <c r="B418" s="43" t="s">
        <v>85</v>
      </c>
      <c r="C418" s="43" t="s">
        <v>86</v>
      </c>
      <c r="D418" s="44">
        <v>0.39583333333333298</v>
      </c>
      <c r="E418" s="44">
        <v>0.41666666666666702</v>
      </c>
      <c r="F418" s="45" t="str">
        <f>IF(R418="","",HOUR(INDEX(MATCHER!$C$5:$C$504,R418))&amp;":"&amp;IF(MINUTE(INDEX(MATCHER!$C$5:$C$504,R418))&lt;10,"0","")&amp;MINUTE(INDEX(MATCHER!$C$5:$C$504,R418))&amp;" "&amp;INDEX(MATCHER!$H$5:$H$504,R418)&amp;" – "&amp;INDEX(MATCHER!$I$5:$I$504,R418))&amp;IF(S418="",""," | "&amp;HOUR(INDEX(MATCHER!$C$5:$C$504,S418))&amp;":"&amp;IF(MINUTE(INDEX(MATCHER!$C$5:$C$504,S418))&lt;10,"0","")&amp;MINUTE(INDEX(MATCHER!$C$5:$C$504,S418))&amp;" "&amp;INDEX(MATCHER!$H$5:$H$504,S418)&amp;" – "&amp;INDEX(MATCHER!$I$5:$I$504,S418))&amp;IF(T418="",""," | "&amp;HOUR(INDEX(MATCHER!$C$5:$C$504,T418))&amp;":"&amp;IF(MINUTE(INDEX(MATCHER!$C$5:$C$504,T418))&lt;10,"0","")&amp;MINUTE(INDEX(MATCHER!$C$5:$C$504,T418))&amp;" "&amp;INDEX(MATCHER!$H$5:$H$504,T418)&amp;" – "&amp;INDEX(MATCHER!$I$5:$I$504,T418))&amp;IF(AF418="",""," | "&amp;HOUR(INDEX(MATCHER!$C$5:$C$504,AF418))&amp;":"&amp;IF(MINUTE(INDEX(MATCHER!$C$5:$C$504,AF418))&lt;10,"0","")&amp;MINUTE(INDEX(MATCHER!$C$5:$C$504,AF418))&amp;" "&amp;INDEX(MATCHER!$H$5:$H$504,AF418)&amp;" – "&amp;INDEX(MATCHER!$I$5:$I$504,AF418))</f>
        <v>9:00 HF Öst – HF Öst 2</v>
      </c>
      <c r="G418" s="45" t="str">
        <f>MID(IF(R418="","",IF(OR(INDEX(MATCHER!$J$5:$J$504,R418)=""),""," / "&amp;INDEX(MATCHER!$J$5:$J$504,R418)))&amp;IF(S418="","",IF(OR(INDEX(MATCHER!$J$5:$J$504,S418)="",INDEX(MATCHER!$J$5:$J$504,S418)=IFERROR(INDEX(MATCHER!$J$5:$J$504,R418),"")),""," / "&amp;INDEX(MATCHER!$J$5:$J$504,S418)))&amp;IF(T418="","",IF(OR(INDEX(MATCHER!$J$5:$J$504,T418)="",INDEX(MATCHER!$J$5:$J$504,T418)=IFERROR(INDEX(MATCHER!$J$5:$J$504,R418),""),INDEX(MATCHER!$J$5:$J$504,T418)=IFERROR(INDEX(MATCHER!$J$5:$J$504,S418),"")),""," / "&amp;INDEX(MATCHER!$J$5:$J$504,T418)))&amp;IF(AF418="","",IF(OR(INDEX(MATCHER!$J$5:$J$504,AF418)="",INDEX(MATCHER!$J$5:$J$504,AF418)=IFERROR(INDEX(MATCHER!$J$5:$J$504,R418),""),INDEX(MATCHER!$J$5:$J$504,AF418)=IFERROR(INDEX(MATCHER!$J$5:$J$504,S418),""),INDEX(MATCHER!$J$5:$J$504,AF418)=IFERROR(INDEX(MATCHER!$J$5:$J$504,T418),"")),""," / "&amp;INDEX(MATCHER!$J$5:$J$504,AF418))),4,1000)</f>
        <v/>
      </c>
      <c r="H418" s="45" t="str">
        <f t="shared" si="95"/>
        <v>F12, F13</v>
      </c>
      <c r="I418" s="46" t="s">
        <v>90</v>
      </c>
      <c r="J418" s="47" t="s">
        <v>148</v>
      </c>
      <c r="K418" s="48"/>
      <c r="L418" s="49"/>
      <c r="M418" s="50" t="str">
        <f>IF(O418&lt;&gt;O417,MAX(1,MIN(AA418,ROUNDUP(SUMPRODUCT(($O$5:$O$546=O418)*($I$5:$I$546="Ja")*($E$5:$E$546-$D$5:$D$546))*24/REGLER!$B$8,0))),"")</f>
        <v/>
      </c>
      <c r="N418" s="50" t="str">
        <f t="shared" si="88"/>
        <v>Kontrollera lag</v>
      </c>
      <c r="O418" s="15" t="s">
        <v>154</v>
      </c>
      <c r="P418" s="16">
        <v>0.33333333333333298</v>
      </c>
      <c r="Q418" s="16">
        <v>0.79166666666666696</v>
      </c>
      <c r="R418" s="15">
        <f>IFERROR(MATCH(1,INDEX((MATCHER!$B$5:$B$504=A418)*(MATCHER!$D$5:$D$504=C418)*(MATCHER!$K$5:$K$504="Ja")*(MATCHER!$C$5:$C$504&lt;E418)*(MATCHER!$M$5:$M$504&gt;D418),0),0),"")</f>
        <v>151</v>
      </c>
      <c r="S418" s="15" t="str">
        <f>IF(R418="","",IFERROR(MATCH(1,INDEX((MATCHER!$B$5:$B$504=A418)*(MATCHER!$D$5:$D$504=C418)*(MATCHER!$K$5:$K$504="Ja")*(MATCHER!$C$5:$C$504&lt;E418)*(MATCHER!$M$5:$M$504&gt;D418)*(ROW(MATCHER!$A$5:$A$504)-ROW(MATCHER!$A$5)+1&gt;R418),0),0),""))</f>
        <v/>
      </c>
      <c r="T418" s="15" t="str">
        <f>IF(S418="","",IFERROR(MATCH(1,INDEX((MATCHER!$B$5:$B$504=A418)*(MATCHER!$D$5:$D$504=C418)*(MATCHER!$K$5:$K$504="Ja")*(MATCHER!$C$5:$C$504&lt;E418)*(MATCHER!$M$5:$M$504&gt;D418)*(ROW(MATCHER!$A$5:$A$504)-ROW(MATCHER!$A$5)+1&gt;S418),0),0),""))</f>
        <v/>
      </c>
      <c r="U418" s="15">
        <f t="shared" si="89"/>
        <v>0</v>
      </c>
      <c r="V418" s="15">
        <f>IF(OR(I418&lt;&gt;"Ja",J418=""),"",COUNTIFS($O$5:O418,O418,$U$5:U418,1))</f>
        <v>1</v>
      </c>
      <c r="W418" s="15" t="str">
        <f t="shared" si="90"/>
        <v>2027-02-13 | Ulriksdalshallen|1</v>
      </c>
      <c r="X418" s="16" t="str">
        <f t="shared" si="91"/>
        <v/>
      </c>
      <c r="Y418" s="15">
        <f>IF(OR(I418&lt;&gt;"Ja",J418=""),0,IF(COUNTIFS($O$5:O418,O418,$I$5:I418,"Ja",$J$5:J418,"&lt;&gt;")=1,1,0))</f>
        <v>0</v>
      </c>
      <c r="Z418" s="15">
        <f>IF(OR(I418&lt;&gt;"Ja",J418=""),0,IF(COUNTIFS(O418:$O$546,O418,I418:$I$546,"Ja",J418:$J$546,"&lt;&gt;")=1,1,0))</f>
        <v>0</v>
      </c>
      <c r="AA418" s="15">
        <f t="shared" si="96"/>
        <v>2</v>
      </c>
      <c r="AB418" s="15" t="str">
        <f>IF(U418&lt;&gt;1,"",COUNTIF($U$5:U418,1))</f>
        <v/>
      </c>
      <c r="AC418" s="15" t="str">
        <f t="shared" si="92"/>
        <v/>
      </c>
      <c r="AD418" s="15" t="str">
        <f t="shared" si="93"/>
        <v>Vanligt café</v>
      </c>
      <c r="AE418" s="15" t="str">
        <f t="shared" si="94"/>
        <v/>
      </c>
      <c r="AF418" t="str">
        <f>IF(T418="","",IFERROR(MATCH(1,INDEX((MATCHER!$B$5:$B$504=A418)*(MATCHER!$D$5:$D$504=C418)*(MATCHER!$K$5:$K$504="Ja")*(MATCHER!$C$5:$C$504&lt;E418)*(MATCHER!$M$5:$M$504&gt;D418)*(ROW(MATCHER!$A$5:$A$504)-ROW(MATCHER!$A$5)+1&gt;T418),0),0),""))</f>
        <v/>
      </c>
    </row>
    <row r="419" spans="1:32" ht="26">
      <c r="A419" s="42">
        <v>46431</v>
      </c>
      <c r="B419" s="43" t="s">
        <v>85</v>
      </c>
      <c r="C419" s="43" t="s">
        <v>86</v>
      </c>
      <c r="D419" s="44">
        <v>0.41666666666666702</v>
      </c>
      <c r="E419" s="44">
        <v>0.4375</v>
      </c>
      <c r="F419" s="45" t="str">
        <f>IF(R419="","",HOUR(INDEX(MATCHER!$C$5:$C$504,R419))&amp;":"&amp;IF(MINUTE(INDEX(MATCHER!$C$5:$C$504,R419))&lt;10,"0","")&amp;MINUTE(INDEX(MATCHER!$C$5:$C$504,R419))&amp;" "&amp;INDEX(MATCHER!$H$5:$H$504,R419)&amp;" – "&amp;INDEX(MATCHER!$I$5:$I$504,R419))&amp;IF(S419="",""," | "&amp;HOUR(INDEX(MATCHER!$C$5:$C$504,S419))&amp;":"&amp;IF(MINUTE(INDEX(MATCHER!$C$5:$C$504,S419))&lt;10,"0","")&amp;MINUTE(INDEX(MATCHER!$C$5:$C$504,S419))&amp;" "&amp;INDEX(MATCHER!$H$5:$H$504,S419)&amp;" – "&amp;INDEX(MATCHER!$I$5:$I$504,S419))&amp;IF(T419="",""," | "&amp;HOUR(INDEX(MATCHER!$C$5:$C$504,T419))&amp;":"&amp;IF(MINUTE(INDEX(MATCHER!$C$5:$C$504,T419))&lt;10,"0","")&amp;MINUTE(INDEX(MATCHER!$C$5:$C$504,T419))&amp;" "&amp;INDEX(MATCHER!$H$5:$H$504,T419)&amp;" – "&amp;INDEX(MATCHER!$I$5:$I$504,T419))&amp;IF(AF419="",""," | "&amp;HOUR(INDEX(MATCHER!$C$5:$C$504,AF419))&amp;":"&amp;IF(MINUTE(INDEX(MATCHER!$C$5:$C$504,AF419))&lt;10,"0","")&amp;MINUTE(INDEX(MATCHER!$C$5:$C$504,AF419))&amp;" "&amp;INDEX(MATCHER!$H$5:$H$504,AF419)&amp;" – "&amp;INDEX(MATCHER!$I$5:$I$504,AF419))</f>
        <v>9:00 HF Öst – HF Öst 2</v>
      </c>
      <c r="G419" s="45" t="str">
        <f>MID(IF(R419="","",IF(OR(INDEX(MATCHER!$J$5:$J$504,R419)=""),""," / "&amp;INDEX(MATCHER!$J$5:$J$504,R419)))&amp;IF(S419="","",IF(OR(INDEX(MATCHER!$J$5:$J$504,S419)="",INDEX(MATCHER!$J$5:$J$504,S419)=IFERROR(INDEX(MATCHER!$J$5:$J$504,R419),"")),""," / "&amp;INDEX(MATCHER!$J$5:$J$504,S419)))&amp;IF(T419="","",IF(OR(INDEX(MATCHER!$J$5:$J$504,T419)="",INDEX(MATCHER!$J$5:$J$504,T419)=IFERROR(INDEX(MATCHER!$J$5:$J$504,R419),""),INDEX(MATCHER!$J$5:$J$504,T419)=IFERROR(INDEX(MATCHER!$J$5:$J$504,S419),"")),""," / "&amp;INDEX(MATCHER!$J$5:$J$504,T419)))&amp;IF(AF419="","",IF(OR(INDEX(MATCHER!$J$5:$J$504,AF419)="",INDEX(MATCHER!$J$5:$J$504,AF419)=IFERROR(INDEX(MATCHER!$J$5:$J$504,R419),""),INDEX(MATCHER!$J$5:$J$504,AF419)=IFERROR(INDEX(MATCHER!$J$5:$J$504,S419),""),INDEX(MATCHER!$J$5:$J$504,AF419)=IFERROR(INDEX(MATCHER!$J$5:$J$504,T419),"")),""," / "&amp;INDEX(MATCHER!$J$5:$J$504,AF419))),4,1000)</f>
        <v/>
      </c>
      <c r="H419" s="45" t="str">
        <f t="shared" si="95"/>
        <v>F12, F13</v>
      </c>
      <c r="I419" s="46" t="s">
        <v>90</v>
      </c>
      <c r="J419" s="47" t="s">
        <v>148</v>
      </c>
      <c r="K419" s="48"/>
      <c r="L419" s="49"/>
      <c r="M419" s="50" t="str">
        <f>IF(O419&lt;&gt;O418,MAX(1,MIN(AA419,ROUNDUP(SUMPRODUCT(($O$5:$O$546=O419)*($I$5:$I$546="Ja")*($E$5:$E$546-$D$5:$D$546))*24/REGLER!$B$8,0))),"")</f>
        <v/>
      </c>
      <c r="N419" s="50" t="str">
        <f t="shared" si="88"/>
        <v>Kontrollera lag</v>
      </c>
      <c r="O419" s="15" t="s">
        <v>154</v>
      </c>
      <c r="P419" s="16">
        <v>0.33333333333333298</v>
      </c>
      <c r="Q419" s="16">
        <v>0.79166666666666696</v>
      </c>
      <c r="R419" s="15">
        <f>IFERROR(MATCH(1,INDEX((MATCHER!$B$5:$B$504=A419)*(MATCHER!$D$5:$D$504=C419)*(MATCHER!$K$5:$K$504="Ja")*(MATCHER!$C$5:$C$504&lt;E419)*(MATCHER!$M$5:$M$504&gt;D419),0),0),"")</f>
        <v>151</v>
      </c>
      <c r="S419" s="15" t="str">
        <f>IF(R419="","",IFERROR(MATCH(1,INDEX((MATCHER!$B$5:$B$504=A419)*(MATCHER!$D$5:$D$504=C419)*(MATCHER!$K$5:$K$504="Ja")*(MATCHER!$C$5:$C$504&lt;E419)*(MATCHER!$M$5:$M$504&gt;D419)*(ROW(MATCHER!$A$5:$A$504)-ROW(MATCHER!$A$5)+1&gt;R419),0),0),""))</f>
        <v/>
      </c>
      <c r="T419" s="15" t="str">
        <f>IF(S419="","",IFERROR(MATCH(1,INDEX((MATCHER!$B$5:$B$504=A419)*(MATCHER!$D$5:$D$504=C419)*(MATCHER!$K$5:$K$504="Ja")*(MATCHER!$C$5:$C$504&lt;E419)*(MATCHER!$M$5:$M$504&gt;D419)*(ROW(MATCHER!$A$5:$A$504)-ROW(MATCHER!$A$5)+1&gt;S419),0),0),""))</f>
        <v/>
      </c>
      <c r="U419" s="15">
        <f t="shared" si="89"/>
        <v>0</v>
      </c>
      <c r="V419" s="15">
        <f>IF(OR(I419&lt;&gt;"Ja",J419=""),"",COUNTIFS($O$5:O419,O419,$U$5:U419,1))</f>
        <v>1</v>
      </c>
      <c r="W419" s="15" t="str">
        <f t="shared" si="90"/>
        <v>2027-02-13 | Ulriksdalshallen|1</v>
      </c>
      <c r="X419" s="16" t="str">
        <f t="shared" si="91"/>
        <v/>
      </c>
      <c r="Y419" s="15">
        <f>IF(OR(I419&lt;&gt;"Ja",J419=""),0,IF(COUNTIFS($O$5:O419,O419,$I$5:I419,"Ja",$J$5:J419,"&lt;&gt;")=1,1,0))</f>
        <v>0</v>
      </c>
      <c r="Z419" s="15">
        <f>IF(OR(I419&lt;&gt;"Ja",J419=""),0,IF(COUNTIFS(O419:$O$546,O419,I419:$I$546,"Ja",J419:$J$546,"&lt;&gt;")=1,1,0))</f>
        <v>0</v>
      </c>
      <c r="AA419" s="15">
        <f t="shared" si="96"/>
        <v>2</v>
      </c>
      <c r="AB419" s="15" t="str">
        <f>IF(U419&lt;&gt;1,"",COUNTIF($U$5:U419,1))</f>
        <v/>
      </c>
      <c r="AC419" s="15" t="str">
        <f t="shared" si="92"/>
        <v/>
      </c>
      <c r="AD419" s="15" t="str">
        <f t="shared" si="93"/>
        <v>Vanligt café</v>
      </c>
      <c r="AE419" s="15" t="str">
        <f t="shared" si="94"/>
        <v/>
      </c>
      <c r="AF419" t="str">
        <f>IF(T419="","",IFERROR(MATCH(1,INDEX((MATCHER!$B$5:$B$504=A419)*(MATCHER!$D$5:$D$504=C419)*(MATCHER!$K$5:$K$504="Ja")*(MATCHER!$C$5:$C$504&lt;E419)*(MATCHER!$M$5:$M$504&gt;D419)*(ROW(MATCHER!$A$5:$A$504)-ROW(MATCHER!$A$5)+1&gt;T419),0),0),""))</f>
        <v/>
      </c>
    </row>
    <row r="420" spans="1:32" ht="26">
      <c r="A420" s="42">
        <v>46431</v>
      </c>
      <c r="B420" s="43" t="s">
        <v>85</v>
      </c>
      <c r="C420" s="43" t="s">
        <v>86</v>
      </c>
      <c r="D420" s="44">
        <v>0.4375</v>
      </c>
      <c r="E420" s="44">
        <v>0.45833333333333298</v>
      </c>
      <c r="F420" s="45" t="str">
        <f>IF(R420="","",HOUR(INDEX(MATCHER!$C$5:$C$504,R420))&amp;":"&amp;IF(MINUTE(INDEX(MATCHER!$C$5:$C$504,R420))&lt;10,"0","")&amp;MINUTE(INDEX(MATCHER!$C$5:$C$504,R420))&amp;" "&amp;INDEX(MATCHER!$H$5:$H$504,R420)&amp;" – "&amp;INDEX(MATCHER!$I$5:$I$504,R420))&amp;IF(S420="",""," | "&amp;HOUR(INDEX(MATCHER!$C$5:$C$504,S420))&amp;":"&amp;IF(MINUTE(INDEX(MATCHER!$C$5:$C$504,S420))&lt;10,"0","")&amp;MINUTE(INDEX(MATCHER!$C$5:$C$504,S420))&amp;" "&amp;INDEX(MATCHER!$H$5:$H$504,S420)&amp;" – "&amp;INDEX(MATCHER!$I$5:$I$504,S420))&amp;IF(T420="",""," | "&amp;HOUR(INDEX(MATCHER!$C$5:$C$504,T420))&amp;":"&amp;IF(MINUTE(INDEX(MATCHER!$C$5:$C$504,T420))&lt;10,"0","")&amp;MINUTE(INDEX(MATCHER!$C$5:$C$504,T420))&amp;" "&amp;INDEX(MATCHER!$H$5:$H$504,T420)&amp;" – "&amp;INDEX(MATCHER!$I$5:$I$504,T420))&amp;IF(AF420="",""," | "&amp;HOUR(INDEX(MATCHER!$C$5:$C$504,AF420))&amp;":"&amp;IF(MINUTE(INDEX(MATCHER!$C$5:$C$504,AF420))&lt;10,"0","")&amp;MINUTE(INDEX(MATCHER!$C$5:$C$504,AF420))&amp;" "&amp;INDEX(MATCHER!$H$5:$H$504,AF420)&amp;" – "&amp;INDEX(MATCHER!$I$5:$I$504,AF420))</f>
        <v>9:00 HF Öst – HF Öst 2</v>
      </c>
      <c r="G420" s="45" t="str">
        <f>MID(IF(R420="","",IF(OR(INDEX(MATCHER!$J$5:$J$504,R420)=""),""," / "&amp;INDEX(MATCHER!$J$5:$J$504,R420)))&amp;IF(S420="","",IF(OR(INDEX(MATCHER!$J$5:$J$504,S420)="",INDEX(MATCHER!$J$5:$J$504,S420)=IFERROR(INDEX(MATCHER!$J$5:$J$504,R420),"")),""," / "&amp;INDEX(MATCHER!$J$5:$J$504,S420)))&amp;IF(T420="","",IF(OR(INDEX(MATCHER!$J$5:$J$504,T420)="",INDEX(MATCHER!$J$5:$J$504,T420)=IFERROR(INDEX(MATCHER!$J$5:$J$504,R420),""),INDEX(MATCHER!$J$5:$J$504,T420)=IFERROR(INDEX(MATCHER!$J$5:$J$504,S420),"")),""," / "&amp;INDEX(MATCHER!$J$5:$J$504,T420)))&amp;IF(AF420="","",IF(OR(INDEX(MATCHER!$J$5:$J$504,AF420)="",INDEX(MATCHER!$J$5:$J$504,AF420)=IFERROR(INDEX(MATCHER!$J$5:$J$504,R420),""),INDEX(MATCHER!$J$5:$J$504,AF420)=IFERROR(INDEX(MATCHER!$J$5:$J$504,S420),""),INDEX(MATCHER!$J$5:$J$504,AF420)=IFERROR(INDEX(MATCHER!$J$5:$J$504,T420),"")),""," / "&amp;INDEX(MATCHER!$J$5:$J$504,AF420))),4,1000)</f>
        <v/>
      </c>
      <c r="H420" s="45" t="str">
        <f t="shared" si="95"/>
        <v>F12, F13</v>
      </c>
      <c r="I420" s="46" t="s">
        <v>90</v>
      </c>
      <c r="J420" s="47" t="s">
        <v>148</v>
      </c>
      <c r="K420" s="48"/>
      <c r="L420" s="49"/>
      <c r="M420" s="50" t="str">
        <f>IF(O420&lt;&gt;O419,MAX(1,MIN(AA420,ROUNDUP(SUMPRODUCT(($O$5:$O$546=O420)*($I$5:$I$546="Ja")*($E$5:$E$546-$D$5:$D$546))*24/REGLER!$B$8,0))),"")</f>
        <v/>
      </c>
      <c r="N420" s="50" t="str">
        <f t="shared" si="88"/>
        <v>Kontrollera lag</v>
      </c>
      <c r="O420" s="15" t="s">
        <v>154</v>
      </c>
      <c r="P420" s="16">
        <v>0.33333333333333298</v>
      </c>
      <c r="Q420" s="16">
        <v>0.79166666666666696</v>
      </c>
      <c r="R420" s="15">
        <f>IFERROR(MATCH(1,INDEX((MATCHER!$B$5:$B$504=A420)*(MATCHER!$D$5:$D$504=C420)*(MATCHER!$K$5:$K$504="Ja")*(MATCHER!$C$5:$C$504&lt;E420)*(MATCHER!$M$5:$M$504&gt;D420),0),0),"")</f>
        <v>151</v>
      </c>
      <c r="S420" s="15" t="str">
        <f>IF(R420="","",IFERROR(MATCH(1,INDEX((MATCHER!$B$5:$B$504=A420)*(MATCHER!$D$5:$D$504=C420)*(MATCHER!$K$5:$K$504="Ja")*(MATCHER!$C$5:$C$504&lt;E420)*(MATCHER!$M$5:$M$504&gt;D420)*(ROW(MATCHER!$A$5:$A$504)-ROW(MATCHER!$A$5)+1&gt;R420),0),0),""))</f>
        <v/>
      </c>
      <c r="T420" s="15" t="str">
        <f>IF(S420="","",IFERROR(MATCH(1,INDEX((MATCHER!$B$5:$B$504=A420)*(MATCHER!$D$5:$D$504=C420)*(MATCHER!$K$5:$K$504="Ja")*(MATCHER!$C$5:$C$504&lt;E420)*(MATCHER!$M$5:$M$504&gt;D420)*(ROW(MATCHER!$A$5:$A$504)-ROW(MATCHER!$A$5)+1&gt;S420),0),0),""))</f>
        <v/>
      </c>
      <c r="U420" s="15">
        <f t="shared" si="89"/>
        <v>0</v>
      </c>
      <c r="V420" s="15">
        <f>IF(OR(I420&lt;&gt;"Ja",J420=""),"",COUNTIFS($O$5:O420,O420,$U$5:U420,1))</f>
        <v>1</v>
      </c>
      <c r="W420" s="15" t="str">
        <f t="shared" si="90"/>
        <v>2027-02-13 | Ulriksdalshallen|1</v>
      </c>
      <c r="X420" s="16" t="str">
        <f t="shared" si="91"/>
        <v/>
      </c>
      <c r="Y420" s="15">
        <f>IF(OR(I420&lt;&gt;"Ja",J420=""),0,IF(COUNTIFS($O$5:O420,O420,$I$5:I420,"Ja",$J$5:J420,"&lt;&gt;")=1,1,0))</f>
        <v>0</v>
      </c>
      <c r="Z420" s="15">
        <f>IF(OR(I420&lt;&gt;"Ja",J420=""),0,IF(COUNTIFS(O420:$O$546,O420,I420:$I$546,"Ja",J420:$J$546,"&lt;&gt;")=1,1,0))</f>
        <v>0</v>
      </c>
      <c r="AA420" s="15">
        <f t="shared" si="96"/>
        <v>2</v>
      </c>
      <c r="AB420" s="15" t="str">
        <f>IF(U420&lt;&gt;1,"",COUNTIF($U$5:U420,1))</f>
        <v/>
      </c>
      <c r="AC420" s="15" t="str">
        <f t="shared" si="92"/>
        <v/>
      </c>
      <c r="AD420" s="15" t="str">
        <f t="shared" si="93"/>
        <v>Vanligt café</v>
      </c>
      <c r="AE420" s="15" t="str">
        <f t="shared" si="94"/>
        <v/>
      </c>
      <c r="AF420" t="str">
        <f>IF(T420="","",IFERROR(MATCH(1,INDEX((MATCHER!$B$5:$B$504=A420)*(MATCHER!$D$5:$D$504=C420)*(MATCHER!$K$5:$K$504="Ja")*(MATCHER!$C$5:$C$504&lt;E420)*(MATCHER!$M$5:$M$504&gt;D420)*(ROW(MATCHER!$A$5:$A$504)-ROW(MATCHER!$A$5)+1&gt;T420),0),0),""))</f>
        <v/>
      </c>
    </row>
    <row r="421" spans="1:32" ht="26">
      <c r="A421" s="42">
        <v>46431</v>
      </c>
      <c r="B421" s="43" t="s">
        <v>85</v>
      </c>
      <c r="C421" s="43" t="s">
        <v>86</v>
      </c>
      <c r="D421" s="44">
        <v>0.45833333333333298</v>
      </c>
      <c r="E421" s="44">
        <v>0.47916666666666702</v>
      </c>
      <c r="F421" s="45" t="str">
        <f>IF(R421="","",HOUR(INDEX(MATCHER!$C$5:$C$504,R421))&amp;":"&amp;IF(MINUTE(INDEX(MATCHER!$C$5:$C$504,R421))&lt;10,"0","")&amp;MINUTE(INDEX(MATCHER!$C$5:$C$504,R421))&amp;" "&amp;INDEX(MATCHER!$H$5:$H$504,R421)&amp;" – "&amp;INDEX(MATCHER!$I$5:$I$504,R421))&amp;IF(S421="",""," | "&amp;HOUR(INDEX(MATCHER!$C$5:$C$504,S421))&amp;":"&amp;IF(MINUTE(INDEX(MATCHER!$C$5:$C$504,S421))&lt;10,"0","")&amp;MINUTE(INDEX(MATCHER!$C$5:$C$504,S421))&amp;" "&amp;INDEX(MATCHER!$H$5:$H$504,S421)&amp;" – "&amp;INDEX(MATCHER!$I$5:$I$504,S421))&amp;IF(T421="",""," | "&amp;HOUR(INDEX(MATCHER!$C$5:$C$504,T421))&amp;":"&amp;IF(MINUTE(INDEX(MATCHER!$C$5:$C$504,T421))&lt;10,"0","")&amp;MINUTE(INDEX(MATCHER!$C$5:$C$504,T421))&amp;" "&amp;INDEX(MATCHER!$H$5:$H$504,T421)&amp;" – "&amp;INDEX(MATCHER!$I$5:$I$504,T421))&amp;IF(AF421="",""," | "&amp;HOUR(INDEX(MATCHER!$C$5:$C$504,AF421))&amp;":"&amp;IF(MINUTE(INDEX(MATCHER!$C$5:$C$504,AF421))&lt;10,"0","")&amp;MINUTE(INDEX(MATCHER!$C$5:$C$504,AF421))&amp;" "&amp;INDEX(MATCHER!$H$5:$H$504,AF421)&amp;" – "&amp;INDEX(MATCHER!$I$5:$I$504,AF421))</f>
        <v>9:00 HF Öst – HF Öst 2</v>
      </c>
      <c r="G421" s="45" t="str">
        <f>MID(IF(R421="","",IF(OR(INDEX(MATCHER!$J$5:$J$504,R421)=""),""," / "&amp;INDEX(MATCHER!$J$5:$J$504,R421)))&amp;IF(S421="","",IF(OR(INDEX(MATCHER!$J$5:$J$504,S421)="",INDEX(MATCHER!$J$5:$J$504,S421)=IFERROR(INDEX(MATCHER!$J$5:$J$504,R421),"")),""," / "&amp;INDEX(MATCHER!$J$5:$J$504,S421)))&amp;IF(T421="","",IF(OR(INDEX(MATCHER!$J$5:$J$504,T421)="",INDEX(MATCHER!$J$5:$J$504,T421)=IFERROR(INDEX(MATCHER!$J$5:$J$504,R421),""),INDEX(MATCHER!$J$5:$J$504,T421)=IFERROR(INDEX(MATCHER!$J$5:$J$504,S421),"")),""," / "&amp;INDEX(MATCHER!$J$5:$J$504,T421)))&amp;IF(AF421="","",IF(OR(INDEX(MATCHER!$J$5:$J$504,AF421)="",INDEX(MATCHER!$J$5:$J$504,AF421)=IFERROR(INDEX(MATCHER!$J$5:$J$504,R421),""),INDEX(MATCHER!$J$5:$J$504,AF421)=IFERROR(INDEX(MATCHER!$J$5:$J$504,S421),""),INDEX(MATCHER!$J$5:$J$504,AF421)=IFERROR(INDEX(MATCHER!$J$5:$J$504,T421),"")),""," / "&amp;INDEX(MATCHER!$J$5:$J$504,AF421))),4,1000)</f>
        <v/>
      </c>
      <c r="H421" s="45" t="str">
        <f t="shared" si="95"/>
        <v>F12, F13</v>
      </c>
      <c r="I421" s="46" t="s">
        <v>90</v>
      </c>
      <c r="J421" s="47" t="s">
        <v>148</v>
      </c>
      <c r="K421" s="48"/>
      <c r="L421" s="49"/>
      <c r="M421" s="50" t="str">
        <f>IF(O421&lt;&gt;O420,MAX(1,MIN(AA421,ROUNDUP(SUMPRODUCT(($O$5:$O$546=O421)*($I$5:$I$546="Ja")*($E$5:$E$546-$D$5:$D$546))*24/REGLER!$B$8,0))),"")</f>
        <v/>
      </c>
      <c r="N421" s="50" t="str">
        <f t="shared" si="88"/>
        <v>Kontrollera lag</v>
      </c>
      <c r="O421" s="15" t="s">
        <v>154</v>
      </c>
      <c r="P421" s="16">
        <v>0.33333333333333298</v>
      </c>
      <c r="Q421" s="16">
        <v>0.79166666666666696</v>
      </c>
      <c r="R421" s="15">
        <f>IFERROR(MATCH(1,INDEX((MATCHER!$B$5:$B$504=A421)*(MATCHER!$D$5:$D$504=C421)*(MATCHER!$K$5:$K$504="Ja")*(MATCHER!$C$5:$C$504&lt;E421)*(MATCHER!$M$5:$M$504&gt;D421),0),0),"")</f>
        <v>151</v>
      </c>
      <c r="S421" s="15" t="str">
        <f>IF(R421="","",IFERROR(MATCH(1,INDEX((MATCHER!$B$5:$B$504=A421)*(MATCHER!$D$5:$D$504=C421)*(MATCHER!$K$5:$K$504="Ja")*(MATCHER!$C$5:$C$504&lt;E421)*(MATCHER!$M$5:$M$504&gt;D421)*(ROW(MATCHER!$A$5:$A$504)-ROW(MATCHER!$A$5)+1&gt;R421),0),0),""))</f>
        <v/>
      </c>
      <c r="T421" s="15" t="str">
        <f>IF(S421="","",IFERROR(MATCH(1,INDEX((MATCHER!$B$5:$B$504=A421)*(MATCHER!$D$5:$D$504=C421)*(MATCHER!$K$5:$K$504="Ja")*(MATCHER!$C$5:$C$504&lt;E421)*(MATCHER!$M$5:$M$504&gt;D421)*(ROW(MATCHER!$A$5:$A$504)-ROW(MATCHER!$A$5)+1&gt;S421),0),0),""))</f>
        <v/>
      </c>
      <c r="U421" s="15">
        <f t="shared" si="89"/>
        <v>0</v>
      </c>
      <c r="V421" s="15">
        <f>IF(OR(I421&lt;&gt;"Ja",J421=""),"",COUNTIFS($O$5:O421,O421,$U$5:U421,1))</f>
        <v>1</v>
      </c>
      <c r="W421" s="15" t="str">
        <f t="shared" si="90"/>
        <v>2027-02-13 | Ulriksdalshallen|1</v>
      </c>
      <c r="X421" s="16" t="str">
        <f t="shared" si="91"/>
        <v/>
      </c>
      <c r="Y421" s="15">
        <f>IF(OR(I421&lt;&gt;"Ja",J421=""),0,IF(COUNTIFS($O$5:O421,O421,$I$5:I421,"Ja",$J$5:J421,"&lt;&gt;")=1,1,0))</f>
        <v>0</v>
      </c>
      <c r="Z421" s="15">
        <f>IF(OR(I421&lt;&gt;"Ja",J421=""),0,IF(COUNTIFS(O421:$O$546,O421,I421:$I$546,"Ja",J421:$J$546,"&lt;&gt;")=1,1,0))</f>
        <v>0</v>
      </c>
      <c r="AA421" s="15">
        <f t="shared" si="96"/>
        <v>2</v>
      </c>
      <c r="AB421" s="15" t="str">
        <f>IF(U421&lt;&gt;1,"",COUNTIF($U$5:U421,1))</f>
        <v/>
      </c>
      <c r="AC421" s="15" t="str">
        <f t="shared" si="92"/>
        <v/>
      </c>
      <c r="AD421" s="15" t="str">
        <f t="shared" si="93"/>
        <v>Vanligt café</v>
      </c>
      <c r="AE421" s="15" t="str">
        <f t="shared" si="94"/>
        <v/>
      </c>
      <c r="AF421" t="str">
        <f>IF(T421="","",IFERROR(MATCH(1,INDEX((MATCHER!$B$5:$B$504=A421)*(MATCHER!$D$5:$D$504=C421)*(MATCHER!$K$5:$K$504="Ja")*(MATCHER!$C$5:$C$504&lt;E421)*(MATCHER!$M$5:$M$504&gt;D421)*(ROW(MATCHER!$A$5:$A$504)-ROW(MATCHER!$A$5)+1&gt;T421),0),0),""))</f>
        <v/>
      </c>
    </row>
    <row r="422" spans="1:32" ht="26">
      <c r="A422" s="42">
        <v>46431</v>
      </c>
      <c r="B422" s="43" t="s">
        <v>85</v>
      </c>
      <c r="C422" s="43" t="s">
        <v>86</v>
      </c>
      <c r="D422" s="44">
        <v>0.47916666666666702</v>
      </c>
      <c r="E422" s="44">
        <v>0.5</v>
      </c>
      <c r="F422" s="45" t="str">
        <f>IF(R422="","",HOUR(INDEX(MATCHER!$C$5:$C$504,R422))&amp;":"&amp;IF(MINUTE(INDEX(MATCHER!$C$5:$C$504,R422))&lt;10,"0","")&amp;MINUTE(INDEX(MATCHER!$C$5:$C$504,R422))&amp;" "&amp;INDEX(MATCHER!$H$5:$H$504,R422)&amp;" – "&amp;INDEX(MATCHER!$I$5:$I$504,R422))&amp;IF(S422="",""," | "&amp;HOUR(INDEX(MATCHER!$C$5:$C$504,S422))&amp;":"&amp;IF(MINUTE(INDEX(MATCHER!$C$5:$C$504,S422))&lt;10,"0","")&amp;MINUTE(INDEX(MATCHER!$C$5:$C$504,S422))&amp;" "&amp;INDEX(MATCHER!$H$5:$H$504,S422)&amp;" – "&amp;INDEX(MATCHER!$I$5:$I$504,S422))&amp;IF(T422="",""," | "&amp;HOUR(INDEX(MATCHER!$C$5:$C$504,T422))&amp;":"&amp;IF(MINUTE(INDEX(MATCHER!$C$5:$C$504,T422))&lt;10,"0","")&amp;MINUTE(INDEX(MATCHER!$C$5:$C$504,T422))&amp;" "&amp;INDEX(MATCHER!$H$5:$H$504,T422)&amp;" – "&amp;INDEX(MATCHER!$I$5:$I$504,T422))&amp;IF(AF422="",""," | "&amp;HOUR(INDEX(MATCHER!$C$5:$C$504,AF422))&amp;":"&amp;IF(MINUTE(INDEX(MATCHER!$C$5:$C$504,AF422))&lt;10,"0","")&amp;MINUTE(INDEX(MATCHER!$C$5:$C$504,AF422))&amp;" "&amp;INDEX(MATCHER!$H$5:$H$504,AF422)&amp;" – "&amp;INDEX(MATCHER!$I$5:$I$504,AF422))</f>
        <v>9:00 HF Öst – HF Öst 2</v>
      </c>
      <c r="G422" s="45" t="str">
        <f>MID(IF(R422="","",IF(OR(INDEX(MATCHER!$J$5:$J$504,R422)=""),""," / "&amp;INDEX(MATCHER!$J$5:$J$504,R422)))&amp;IF(S422="","",IF(OR(INDEX(MATCHER!$J$5:$J$504,S422)="",INDEX(MATCHER!$J$5:$J$504,S422)=IFERROR(INDEX(MATCHER!$J$5:$J$504,R422),"")),""," / "&amp;INDEX(MATCHER!$J$5:$J$504,S422)))&amp;IF(T422="","",IF(OR(INDEX(MATCHER!$J$5:$J$504,T422)="",INDEX(MATCHER!$J$5:$J$504,T422)=IFERROR(INDEX(MATCHER!$J$5:$J$504,R422),""),INDEX(MATCHER!$J$5:$J$504,T422)=IFERROR(INDEX(MATCHER!$J$5:$J$504,S422),"")),""," / "&amp;INDEX(MATCHER!$J$5:$J$504,T422)))&amp;IF(AF422="","",IF(OR(INDEX(MATCHER!$J$5:$J$504,AF422)="",INDEX(MATCHER!$J$5:$J$504,AF422)=IFERROR(INDEX(MATCHER!$J$5:$J$504,R422),""),INDEX(MATCHER!$J$5:$J$504,AF422)=IFERROR(INDEX(MATCHER!$J$5:$J$504,S422),""),INDEX(MATCHER!$J$5:$J$504,AF422)=IFERROR(INDEX(MATCHER!$J$5:$J$504,T422),"")),""," / "&amp;INDEX(MATCHER!$J$5:$J$504,AF422))),4,1000)</f>
        <v/>
      </c>
      <c r="H422" s="45" t="str">
        <f t="shared" si="95"/>
        <v>F12, F13</v>
      </c>
      <c r="I422" s="46" t="s">
        <v>90</v>
      </c>
      <c r="J422" s="47" t="s">
        <v>148</v>
      </c>
      <c r="K422" s="48"/>
      <c r="L422" s="49"/>
      <c r="M422" s="50" t="str">
        <f>IF(O422&lt;&gt;O421,MAX(1,MIN(AA422,ROUNDUP(SUMPRODUCT(($O$5:$O$546=O422)*($I$5:$I$546="Ja")*($E$5:$E$546-$D$5:$D$546))*24/REGLER!$B$8,0))),"")</f>
        <v/>
      </c>
      <c r="N422" s="50" t="str">
        <f t="shared" si="88"/>
        <v>Kontrollera lag</v>
      </c>
      <c r="O422" s="15" t="s">
        <v>154</v>
      </c>
      <c r="P422" s="16">
        <v>0.33333333333333298</v>
      </c>
      <c r="Q422" s="16">
        <v>0.79166666666666696</v>
      </c>
      <c r="R422" s="15">
        <f>IFERROR(MATCH(1,INDEX((MATCHER!$B$5:$B$504=A422)*(MATCHER!$D$5:$D$504=C422)*(MATCHER!$K$5:$K$504="Ja")*(MATCHER!$C$5:$C$504&lt;E422)*(MATCHER!$M$5:$M$504&gt;D422),0),0),"")</f>
        <v>151</v>
      </c>
      <c r="S422" s="15" t="str">
        <f>IF(R422="","",IFERROR(MATCH(1,INDEX((MATCHER!$B$5:$B$504=A422)*(MATCHER!$D$5:$D$504=C422)*(MATCHER!$K$5:$K$504="Ja")*(MATCHER!$C$5:$C$504&lt;E422)*(MATCHER!$M$5:$M$504&gt;D422)*(ROW(MATCHER!$A$5:$A$504)-ROW(MATCHER!$A$5)+1&gt;R422),0),0),""))</f>
        <v/>
      </c>
      <c r="T422" s="15" t="str">
        <f>IF(S422="","",IFERROR(MATCH(1,INDEX((MATCHER!$B$5:$B$504=A422)*(MATCHER!$D$5:$D$504=C422)*(MATCHER!$K$5:$K$504="Ja")*(MATCHER!$C$5:$C$504&lt;E422)*(MATCHER!$M$5:$M$504&gt;D422)*(ROW(MATCHER!$A$5:$A$504)-ROW(MATCHER!$A$5)+1&gt;S422),0),0),""))</f>
        <v/>
      </c>
      <c r="U422" s="15">
        <f t="shared" si="89"/>
        <v>0</v>
      </c>
      <c r="V422" s="15">
        <f>IF(OR(I422&lt;&gt;"Ja",J422=""),"",COUNTIFS($O$5:O422,O422,$U$5:U422,1))</f>
        <v>1</v>
      </c>
      <c r="W422" s="15" t="str">
        <f t="shared" si="90"/>
        <v>2027-02-13 | Ulriksdalshallen|1</v>
      </c>
      <c r="X422" s="16">
        <f t="shared" si="91"/>
        <v>0.5</v>
      </c>
      <c r="Y422" s="15">
        <f>IF(OR(I422&lt;&gt;"Ja",J422=""),0,IF(COUNTIFS($O$5:O422,O422,$I$5:I422,"Ja",$J$5:J422,"&lt;&gt;")=1,1,0))</f>
        <v>0</v>
      </c>
      <c r="Z422" s="15">
        <f>IF(OR(I422&lt;&gt;"Ja",J422=""),0,IF(COUNTIFS(O422:$O$546,O422,I422:$I$546,"Ja",J422:$J$546,"&lt;&gt;")=1,1,0))</f>
        <v>0</v>
      </c>
      <c r="AA422" s="15">
        <f t="shared" si="96"/>
        <v>2</v>
      </c>
      <c r="AB422" s="15" t="str">
        <f>IF(U422&lt;&gt;1,"",COUNTIF($U$5:U422,1))</f>
        <v/>
      </c>
      <c r="AC422" s="15" t="str">
        <f t="shared" si="92"/>
        <v>2027-02-13 | Ulriksdalshallen|1</v>
      </c>
      <c r="AD422" s="15" t="str">
        <f t="shared" si="93"/>
        <v>Vanligt café</v>
      </c>
      <c r="AE422" s="15" t="str">
        <f t="shared" si="94"/>
        <v/>
      </c>
      <c r="AF422" t="str">
        <f>IF(T422="","",IFERROR(MATCH(1,INDEX((MATCHER!$B$5:$B$504=A422)*(MATCHER!$D$5:$D$504=C422)*(MATCHER!$K$5:$K$504="Ja")*(MATCHER!$C$5:$C$504&lt;E422)*(MATCHER!$M$5:$M$504&gt;D422)*(ROW(MATCHER!$A$5:$A$504)-ROW(MATCHER!$A$5)+1&gt;T422),0),0),""))</f>
        <v/>
      </c>
    </row>
    <row r="423" spans="1:32" ht="26">
      <c r="A423" s="42">
        <v>46431</v>
      </c>
      <c r="B423" s="43" t="s">
        <v>85</v>
      </c>
      <c r="C423" s="43" t="s">
        <v>86</v>
      </c>
      <c r="D423" s="44">
        <v>0.5</v>
      </c>
      <c r="E423" s="44">
        <v>0.52083333333333304</v>
      </c>
      <c r="F423" s="45" t="str">
        <f>IF(R423="","",HOUR(INDEX(MATCHER!$C$5:$C$504,R423))&amp;":"&amp;IF(MINUTE(INDEX(MATCHER!$C$5:$C$504,R423))&lt;10,"0","")&amp;MINUTE(INDEX(MATCHER!$C$5:$C$504,R423))&amp;" "&amp;INDEX(MATCHER!$H$5:$H$504,R423)&amp;" – "&amp;INDEX(MATCHER!$I$5:$I$504,R423))&amp;IF(S423="",""," | "&amp;HOUR(INDEX(MATCHER!$C$5:$C$504,S423))&amp;":"&amp;IF(MINUTE(INDEX(MATCHER!$C$5:$C$504,S423))&lt;10,"0","")&amp;MINUTE(INDEX(MATCHER!$C$5:$C$504,S423))&amp;" "&amp;INDEX(MATCHER!$H$5:$H$504,S423)&amp;" – "&amp;INDEX(MATCHER!$I$5:$I$504,S423))&amp;IF(T423="",""," | "&amp;HOUR(INDEX(MATCHER!$C$5:$C$504,T423))&amp;":"&amp;IF(MINUTE(INDEX(MATCHER!$C$5:$C$504,T423))&lt;10,"0","")&amp;MINUTE(INDEX(MATCHER!$C$5:$C$504,T423))&amp;" "&amp;INDEX(MATCHER!$H$5:$H$504,T423)&amp;" – "&amp;INDEX(MATCHER!$I$5:$I$504,T423))&amp;IF(AF423="",""," | "&amp;HOUR(INDEX(MATCHER!$C$5:$C$504,AF423))&amp;":"&amp;IF(MINUTE(INDEX(MATCHER!$C$5:$C$504,AF423))&lt;10,"0","")&amp;MINUTE(INDEX(MATCHER!$C$5:$C$504,AF423))&amp;" "&amp;INDEX(MATCHER!$H$5:$H$504,AF423)&amp;" – "&amp;INDEX(MATCHER!$I$5:$I$504,AF423))</f>
        <v>12:15 AIK – Vacant- 75</v>
      </c>
      <c r="G423" s="45" t="str">
        <f>MID(IF(R423="","",IF(OR(INDEX(MATCHER!$J$5:$J$504,R423)=""),""," / "&amp;INDEX(MATCHER!$J$5:$J$504,R423)))&amp;IF(S423="","",IF(OR(INDEX(MATCHER!$J$5:$J$504,S423)="",INDEX(MATCHER!$J$5:$J$504,S423)=IFERROR(INDEX(MATCHER!$J$5:$J$504,R423),"")),""," / "&amp;INDEX(MATCHER!$J$5:$J$504,S423)))&amp;IF(T423="","",IF(OR(INDEX(MATCHER!$J$5:$J$504,T423)="",INDEX(MATCHER!$J$5:$J$504,T423)=IFERROR(INDEX(MATCHER!$J$5:$J$504,R423),""),INDEX(MATCHER!$J$5:$J$504,T423)=IFERROR(INDEX(MATCHER!$J$5:$J$504,S423),"")),""," / "&amp;INDEX(MATCHER!$J$5:$J$504,T423)))&amp;IF(AF423="","",IF(OR(INDEX(MATCHER!$J$5:$J$504,AF423)="",INDEX(MATCHER!$J$5:$J$504,AF423)=IFERROR(INDEX(MATCHER!$J$5:$J$504,R423),""),INDEX(MATCHER!$J$5:$J$504,AF423)=IFERROR(INDEX(MATCHER!$J$5:$J$504,S423),""),INDEX(MATCHER!$J$5:$J$504,AF423)=IFERROR(INDEX(MATCHER!$J$5:$J$504,T423),"")),""," / "&amp;INDEX(MATCHER!$J$5:$J$504,AF423))),4,1000)</f>
        <v>F12</v>
      </c>
      <c r="H423" s="45" t="str">
        <f t="shared" si="95"/>
        <v>F12, F13</v>
      </c>
      <c r="I423" s="46" t="s">
        <v>90</v>
      </c>
      <c r="J423" s="47" t="s">
        <v>101</v>
      </c>
      <c r="K423" s="48"/>
      <c r="L423" s="49"/>
      <c r="M423" s="50" t="str">
        <f>IF(O423&lt;&gt;O422,MAX(1,MIN(AA423,ROUNDUP(SUMPRODUCT(($O$5:$O$546=O423)*($I$5:$I$546="Ja")*($E$5:$E$546-$D$5:$D$546))*24/REGLER!$B$8,0))),"")</f>
        <v/>
      </c>
      <c r="N423" s="50" t="str">
        <f t="shared" si="88"/>
        <v>Klar</v>
      </c>
      <c r="O423" s="15" t="s">
        <v>154</v>
      </c>
      <c r="P423" s="16">
        <v>0.33333333333333298</v>
      </c>
      <c r="Q423" s="16">
        <v>0.79166666666666696</v>
      </c>
      <c r="R423" s="15">
        <f>IFERROR(MATCH(1,INDEX((MATCHER!$B$5:$B$504=A423)*(MATCHER!$D$5:$D$504=C423)*(MATCHER!$K$5:$K$504="Ja")*(MATCHER!$C$5:$C$504&lt;E423)*(MATCHER!$M$5:$M$504&gt;D423),0),0),"")</f>
        <v>152</v>
      </c>
      <c r="S423" s="15" t="str">
        <f>IF(R423="","",IFERROR(MATCH(1,INDEX((MATCHER!$B$5:$B$504=A423)*(MATCHER!$D$5:$D$504=C423)*(MATCHER!$K$5:$K$504="Ja")*(MATCHER!$C$5:$C$504&lt;E423)*(MATCHER!$M$5:$M$504&gt;D423)*(ROW(MATCHER!$A$5:$A$504)-ROW(MATCHER!$A$5)+1&gt;R423),0),0),""))</f>
        <v/>
      </c>
      <c r="T423" s="15" t="str">
        <f>IF(S423="","",IFERROR(MATCH(1,INDEX((MATCHER!$B$5:$B$504=A423)*(MATCHER!$D$5:$D$504=C423)*(MATCHER!$K$5:$K$504="Ja")*(MATCHER!$C$5:$C$504&lt;E423)*(MATCHER!$M$5:$M$504&gt;D423)*(ROW(MATCHER!$A$5:$A$504)-ROW(MATCHER!$A$5)+1&gt;S423),0),0),""))</f>
        <v/>
      </c>
      <c r="U423" s="15">
        <f t="shared" si="89"/>
        <v>1</v>
      </c>
      <c r="V423" s="15">
        <f>IF(OR(I423&lt;&gt;"Ja",J423=""),"",COUNTIFS($O$5:O423,O423,$U$5:U423,1))</f>
        <v>2</v>
      </c>
      <c r="W423" s="15" t="str">
        <f t="shared" si="90"/>
        <v>2027-02-13 | Ulriksdalshallen|2</v>
      </c>
      <c r="X423" s="16" t="str">
        <f t="shared" si="91"/>
        <v/>
      </c>
      <c r="Y423" s="15">
        <f>IF(OR(I423&lt;&gt;"Ja",J423=""),0,IF(COUNTIFS($O$5:O423,O423,$I$5:I423,"Ja",$J$5:J423,"&lt;&gt;")=1,1,0))</f>
        <v>0</v>
      </c>
      <c r="Z423" s="15">
        <f>IF(OR(I423&lt;&gt;"Ja",J423=""),0,IF(COUNTIFS(O423:$O$546,O423,I423:$I$546,"Ja",J423:$J$546,"&lt;&gt;")=1,1,0))</f>
        <v>0</v>
      </c>
      <c r="AA423" s="15">
        <f t="shared" si="96"/>
        <v>2</v>
      </c>
      <c r="AB423" s="15">
        <f>IF(U423&lt;&gt;1,"",COUNTIF($U$5:U423,1))</f>
        <v>69</v>
      </c>
      <c r="AC423" s="15" t="str">
        <f t="shared" si="92"/>
        <v/>
      </c>
      <c r="AD423" s="15" t="str">
        <f t="shared" si="93"/>
        <v>Vanligt café</v>
      </c>
      <c r="AE423" s="15">
        <f t="shared" si="94"/>
        <v>4.9999999999999929</v>
      </c>
      <c r="AF423" t="str">
        <f>IF(T423="","",IFERROR(MATCH(1,INDEX((MATCHER!$B$5:$B$504=A423)*(MATCHER!$D$5:$D$504=C423)*(MATCHER!$K$5:$K$504="Ja")*(MATCHER!$C$5:$C$504&lt;E423)*(MATCHER!$M$5:$M$504&gt;D423)*(ROW(MATCHER!$A$5:$A$504)-ROW(MATCHER!$A$5)+1&gt;T423),0),0),""))</f>
        <v/>
      </c>
    </row>
    <row r="424" spans="1:32" ht="26">
      <c r="A424" s="42">
        <v>46431</v>
      </c>
      <c r="B424" s="43" t="s">
        <v>85</v>
      </c>
      <c r="C424" s="43" t="s">
        <v>86</v>
      </c>
      <c r="D424" s="44">
        <v>0.52083333333333304</v>
      </c>
      <c r="E424" s="44">
        <v>0.54166666666666696</v>
      </c>
      <c r="F424" s="45" t="str">
        <f>IF(R424="","",HOUR(INDEX(MATCHER!$C$5:$C$504,R424))&amp;":"&amp;IF(MINUTE(INDEX(MATCHER!$C$5:$C$504,R424))&lt;10,"0","")&amp;MINUTE(INDEX(MATCHER!$C$5:$C$504,R424))&amp;" "&amp;INDEX(MATCHER!$H$5:$H$504,R424)&amp;" – "&amp;INDEX(MATCHER!$I$5:$I$504,R424))&amp;IF(S424="",""," | "&amp;HOUR(INDEX(MATCHER!$C$5:$C$504,S424))&amp;":"&amp;IF(MINUTE(INDEX(MATCHER!$C$5:$C$504,S424))&lt;10,"0","")&amp;MINUTE(INDEX(MATCHER!$C$5:$C$504,S424))&amp;" "&amp;INDEX(MATCHER!$H$5:$H$504,S424)&amp;" – "&amp;INDEX(MATCHER!$I$5:$I$504,S424))&amp;IF(T424="",""," | "&amp;HOUR(INDEX(MATCHER!$C$5:$C$504,T424))&amp;":"&amp;IF(MINUTE(INDEX(MATCHER!$C$5:$C$504,T424))&lt;10,"0","")&amp;MINUTE(INDEX(MATCHER!$C$5:$C$504,T424))&amp;" "&amp;INDEX(MATCHER!$H$5:$H$504,T424)&amp;" – "&amp;INDEX(MATCHER!$I$5:$I$504,T424))&amp;IF(AF424="",""," | "&amp;HOUR(INDEX(MATCHER!$C$5:$C$504,AF424))&amp;":"&amp;IF(MINUTE(INDEX(MATCHER!$C$5:$C$504,AF424))&lt;10,"0","")&amp;MINUTE(INDEX(MATCHER!$C$5:$C$504,AF424))&amp;" "&amp;INDEX(MATCHER!$H$5:$H$504,AF424)&amp;" – "&amp;INDEX(MATCHER!$I$5:$I$504,AF424))</f>
        <v>12:15 AIK – Vacant- 75</v>
      </c>
      <c r="G424" s="45" t="str">
        <f>MID(IF(R424="","",IF(OR(INDEX(MATCHER!$J$5:$J$504,R424)=""),""," / "&amp;INDEX(MATCHER!$J$5:$J$504,R424)))&amp;IF(S424="","",IF(OR(INDEX(MATCHER!$J$5:$J$504,S424)="",INDEX(MATCHER!$J$5:$J$504,S424)=IFERROR(INDEX(MATCHER!$J$5:$J$504,R424),"")),""," / "&amp;INDEX(MATCHER!$J$5:$J$504,S424)))&amp;IF(T424="","",IF(OR(INDEX(MATCHER!$J$5:$J$504,T424)="",INDEX(MATCHER!$J$5:$J$504,T424)=IFERROR(INDEX(MATCHER!$J$5:$J$504,R424),""),INDEX(MATCHER!$J$5:$J$504,T424)=IFERROR(INDEX(MATCHER!$J$5:$J$504,S424),"")),""," / "&amp;INDEX(MATCHER!$J$5:$J$504,T424)))&amp;IF(AF424="","",IF(OR(INDEX(MATCHER!$J$5:$J$504,AF424)="",INDEX(MATCHER!$J$5:$J$504,AF424)=IFERROR(INDEX(MATCHER!$J$5:$J$504,R424),""),INDEX(MATCHER!$J$5:$J$504,AF424)=IFERROR(INDEX(MATCHER!$J$5:$J$504,S424),""),INDEX(MATCHER!$J$5:$J$504,AF424)=IFERROR(INDEX(MATCHER!$J$5:$J$504,T424),"")),""," / "&amp;INDEX(MATCHER!$J$5:$J$504,AF424))),4,1000)</f>
        <v>F12</v>
      </c>
      <c r="H424" s="45" t="str">
        <f t="shared" si="95"/>
        <v>F12, F13</v>
      </c>
      <c r="I424" s="46" t="s">
        <v>90</v>
      </c>
      <c r="J424" s="47" t="s">
        <v>101</v>
      </c>
      <c r="K424" s="48"/>
      <c r="L424" s="49"/>
      <c r="M424" s="50" t="str">
        <f>IF(O424&lt;&gt;O423,MAX(1,MIN(AA424,ROUNDUP(SUMPRODUCT(($O$5:$O$546=O424)*($I$5:$I$546="Ja")*($E$5:$E$546-$D$5:$D$546))*24/REGLER!$B$8,0))),"")</f>
        <v/>
      </c>
      <c r="N424" s="50" t="str">
        <f t="shared" si="88"/>
        <v>Klar</v>
      </c>
      <c r="O424" s="15" t="s">
        <v>154</v>
      </c>
      <c r="P424" s="16">
        <v>0.33333333333333298</v>
      </c>
      <c r="Q424" s="16">
        <v>0.79166666666666696</v>
      </c>
      <c r="R424" s="15">
        <f>IFERROR(MATCH(1,INDEX((MATCHER!$B$5:$B$504=A424)*(MATCHER!$D$5:$D$504=C424)*(MATCHER!$K$5:$K$504="Ja")*(MATCHER!$C$5:$C$504&lt;E424)*(MATCHER!$M$5:$M$504&gt;D424),0),0),"")</f>
        <v>152</v>
      </c>
      <c r="S424" s="15" t="str">
        <f>IF(R424="","",IFERROR(MATCH(1,INDEX((MATCHER!$B$5:$B$504=A424)*(MATCHER!$D$5:$D$504=C424)*(MATCHER!$K$5:$K$504="Ja")*(MATCHER!$C$5:$C$504&lt;E424)*(MATCHER!$M$5:$M$504&gt;D424)*(ROW(MATCHER!$A$5:$A$504)-ROW(MATCHER!$A$5)+1&gt;R424),0),0),""))</f>
        <v/>
      </c>
      <c r="T424" s="15" t="str">
        <f>IF(S424="","",IFERROR(MATCH(1,INDEX((MATCHER!$B$5:$B$504=A424)*(MATCHER!$D$5:$D$504=C424)*(MATCHER!$K$5:$K$504="Ja")*(MATCHER!$C$5:$C$504&lt;E424)*(MATCHER!$M$5:$M$504&gt;D424)*(ROW(MATCHER!$A$5:$A$504)-ROW(MATCHER!$A$5)+1&gt;S424),0),0),""))</f>
        <v/>
      </c>
      <c r="U424" s="15">
        <f t="shared" si="89"/>
        <v>0</v>
      </c>
      <c r="V424" s="15">
        <f>IF(OR(I424&lt;&gt;"Ja",J424=""),"",COUNTIFS($O$5:O424,O424,$U$5:U424,1))</f>
        <v>2</v>
      </c>
      <c r="W424" s="15" t="str">
        <f t="shared" si="90"/>
        <v>2027-02-13 | Ulriksdalshallen|2</v>
      </c>
      <c r="X424" s="16" t="str">
        <f t="shared" si="91"/>
        <v/>
      </c>
      <c r="Y424" s="15">
        <f>IF(OR(I424&lt;&gt;"Ja",J424=""),0,IF(COUNTIFS($O$5:O424,O424,$I$5:I424,"Ja",$J$5:J424,"&lt;&gt;")=1,1,0))</f>
        <v>0</v>
      </c>
      <c r="Z424" s="15">
        <f>IF(OR(I424&lt;&gt;"Ja",J424=""),0,IF(COUNTIFS(O424:$O$546,O424,I424:$I$546,"Ja",J424:$J$546,"&lt;&gt;")=1,1,0))</f>
        <v>0</v>
      </c>
      <c r="AA424" s="15">
        <f t="shared" si="96"/>
        <v>2</v>
      </c>
      <c r="AB424" s="15" t="str">
        <f>IF(U424&lt;&gt;1,"",COUNTIF($U$5:U424,1))</f>
        <v/>
      </c>
      <c r="AC424" s="15" t="str">
        <f t="shared" si="92"/>
        <v/>
      </c>
      <c r="AD424" s="15" t="str">
        <f t="shared" si="93"/>
        <v>Vanligt café</v>
      </c>
      <c r="AE424" s="15" t="str">
        <f t="shared" si="94"/>
        <v/>
      </c>
      <c r="AF424" t="str">
        <f>IF(T424="","",IFERROR(MATCH(1,INDEX((MATCHER!$B$5:$B$504=A424)*(MATCHER!$D$5:$D$504=C424)*(MATCHER!$K$5:$K$504="Ja")*(MATCHER!$C$5:$C$504&lt;E424)*(MATCHER!$M$5:$M$504&gt;D424)*(ROW(MATCHER!$A$5:$A$504)-ROW(MATCHER!$A$5)+1&gt;T424),0),0),""))</f>
        <v/>
      </c>
    </row>
    <row r="425" spans="1:32" ht="26">
      <c r="A425" s="42">
        <v>46431</v>
      </c>
      <c r="B425" s="43" t="s">
        <v>85</v>
      </c>
      <c r="C425" s="43" t="s">
        <v>86</v>
      </c>
      <c r="D425" s="44">
        <v>0.54166666666666696</v>
      </c>
      <c r="E425" s="44">
        <v>0.5625</v>
      </c>
      <c r="F425" s="45" t="str">
        <f>IF(R425="","",HOUR(INDEX(MATCHER!$C$5:$C$504,R425))&amp;":"&amp;IF(MINUTE(INDEX(MATCHER!$C$5:$C$504,R425))&lt;10,"0","")&amp;MINUTE(INDEX(MATCHER!$C$5:$C$504,R425))&amp;" "&amp;INDEX(MATCHER!$H$5:$H$504,R425)&amp;" – "&amp;INDEX(MATCHER!$I$5:$I$504,R425))&amp;IF(S425="",""," | "&amp;HOUR(INDEX(MATCHER!$C$5:$C$504,S425))&amp;":"&amp;IF(MINUTE(INDEX(MATCHER!$C$5:$C$504,S425))&lt;10,"0","")&amp;MINUTE(INDEX(MATCHER!$C$5:$C$504,S425))&amp;" "&amp;INDEX(MATCHER!$H$5:$H$504,S425)&amp;" – "&amp;INDEX(MATCHER!$I$5:$I$504,S425))&amp;IF(T425="",""," | "&amp;HOUR(INDEX(MATCHER!$C$5:$C$504,T425))&amp;":"&amp;IF(MINUTE(INDEX(MATCHER!$C$5:$C$504,T425))&lt;10,"0","")&amp;MINUTE(INDEX(MATCHER!$C$5:$C$504,T425))&amp;" "&amp;INDEX(MATCHER!$H$5:$H$504,T425)&amp;" – "&amp;INDEX(MATCHER!$I$5:$I$504,T425))&amp;IF(AF425="",""," | "&amp;HOUR(INDEX(MATCHER!$C$5:$C$504,AF425))&amp;":"&amp;IF(MINUTE(INDEX(MATCHER!$C$5:$C$504,AF425))&lt;10,"0","")&amp;MINUTE(INDEX(MATCHER!$C$5:$C$504,AF425))&amp;" "&amp;INDEX(MATCHER!$H$5:$H$504,AF425)&amp;" – "&amp;INDEX(MATCHER!$I$5:$I$504,AF425))</f>
        <v>13:00 Vacant- 75 – Vacant- 75</v>
      </c>
      <c r="G425" s="45" t="str">
        <f>MID(IF(R425="","",IF(OR(INDEX(MATCHER!$J$5:$J$504,R425)=""),""," / "&amp;INDEX(MATCHER!$J$5:$J$504,R425)))&amp;IF(S425="","",IF(OR(INDEX(MATCHER!$J$5:$J$504,S425)="",INDEX(MATCHER!$J$5:$J$504,S425)=IFERROR(INDEX(MATCHER!$J$5:$J$504,R425),"")),""," / "&amp;INDEX(MATCHER!$J$5:$J$504,S425)))&amp;IF(T425="","",IF(OR(INDEX(MATCHER!$J$5:$J$504,T425)="",INDEX(MATCHER!$J$5:$J$504,T425)=IFERROR(INDEX(MATCHER!$J$5:$J$504,R425),""),INDEX(MATCHER!$J$5:$J$504,T425)=IFERROR(INDEX(MATCHER!$J$5:$J$504,S425),"")),""," / "&amp;INDEX(MATCHER!$J$5:$J$504,T425)))&amp;IF(AF425="","",IF(OR(INDEX(MATCHER!$J$5:$J$504,AF425)="",INDEX(MATCHER!$J$5:$J$504,AF425)=IFERROR(INDEX(MATCHER!$J$5:$J$504,R425),""),INDEX(MATCHER!$J$5:$J$504,AF425)=IFERROR(INDEX(MATCHER!$J$5:$J$504,S425),""),INDEX(MATCHER!$J$5:$J$504,AF425)=IFERROR(INDEX(MATCHER!$J$5:$J$504,T425),"")),""," / "&amp;INDEX(MATCHER!$J$5:$J$504,AF425))),4,1000)</f>
        <v/>
      </c>
      <c r="H425" s="45" t="str">
        <f t="shared" si="95"/>
        <v>F12, F13</v>
      </c>
      <c r="I425" s="46" t="s">
        <v>90</v>
      </c>
      <c r="J425" s="47" t="s">
        <v>101</v>
      </c>
      <c r="K425" s="48"/>
      <c r="L425" s="49"/>
      <c r="M425" s="50" t="str">
        <f>IF(O425&lt;&gt;O424,MAX(1,MIN(AA425,ROUNDUP(SUMPRODUCT(($O$5:$O$546=O425)*($I$5:$I$546="Ja")*($E$5:$E$546-$D$5:$D$546))*24/REGLER!$B$8,0))),"")</f>
        <v/>
      </c>
      <c r="N425" s="50" t="str">
        <f t="shared" si="88"/>
        <v>Klar</v>
      </c>
      <c r="O425" s="15" t="s">
        <v>154</v>
      </c>
      <c r="P425" s="16">
        <v>0.33333333333333298</v>
      </c>
      <c r="Q425" s="16">
        <v>0.79166666666666696</v>
      </c>
      <c r="R425" s="15">
        <f>IFERROR(MATCH(1,INDEX((MATCHER!$B$5:$B$504=A425)*(MATCHER!$D$5:$D$504=C425)*(MATCHER!$K$5:$K$504="Ja")*(MATCHER!$C$5:$C$504&lt;E425)*(MATCHER!$M$5:$M$504&gt;D425),0),0),"")</f>
        <v>153</v>
      </c>
      <c r="S425" s="15" t="str">
        <f>IF(R425="","",IFERROR(MATCH(1,INDEX((MATCHER!$B$5:$B$504=A425)*(MATCHER!$D$5:$D$504=C425)*(MATCHER!$K$5:$K$504="Ja")*(MATCHER!$C$5:$C$504&lt;E425)*(MATCHER!$M$5:$M$504&gt;D425)*(ROW(MATCHER!$A$5:$A$504)-ROW(MATCHER!$A$5)+1&gt;R425),0),0),""))</f>
        <v/>
      </c>
      <c r="T425" s="15" t="str">
        <f>IF(S425="","",IFERROR(MATCH(1,INDEX((MATCHER!$B$5:$B$504=A425)*(MATCHER!$D$5:$D$504=C425)*(MATCHER!$K$5:$K$504="Ja")*(MATCHER!$C$5:$C$504&lt;E425)*(MATCHER!$M$5:$M$504&gt;D425)*(ROW(MATCHER!$A$5:$A$504)-ROW(MATCHER!$A$5)+1&gt;S425),0),0),""))</f>
        <v/>
      </c>
      <c r="U425" s="15">
        <f t="shared" si="89"/>
        <v>0</v>
      </c>
      <c r="V425" s="15">
        <f>IF(OR(I425&lt;&gt;"Ja",J425=""),"",COUNTIFS($O$5:O425,O425,$U$5:U425,1))</f>
        <v>2</v>
      </c>
      <c r="W425" s="15" t="str">
        <f t="shared" si="90"/>
        <v>2027-02-13 | Ulriksdalshallen|2</v>
      </c>
      <c r="X425" s="16" t="str">
        <f t="shared" si="91"/>
        <v/>
      </c>
      <c r="Y425" s="15">
        <f>IF(OR(I425&lt;&gt;"Ja",J425=""),0,IF(COUNTIFS($O$5:O425,O425,$I$5:I425,"Ja",$J$5:J425,"&lt;&gt;")=1,1,0))</f>
        <v>0</v>
      </c>
      <c r="Z425" s="15">
        <f>IF(OR(I425&lt;&gt;"Ja",J425=""),0,IF(COUNTIFS(O425:$O$546,O425,I425:$I$546,"Ja",J425:$J$546,"&lt;&gt;")=1,1,0))</f>
        <v>0</v>
      </c>
      <c r="AA425" s="15">
        <f t="shared" si="96"/>
        <v>2</v>
      </c>
      <c r="AB425" s="15" t="str">
        <f>IF(U425&lt;&gt;1,"",COUNTIF($U$5:U425,1))</f>
        <v/>
      </c>
      <c r="AC425" s="15" t="str">
        <f t="shared" si="92"/>
        <v/>
      </c>
      <c r="AD425" s="15" t="str">
        <f t="shared" si="93"/>
        <v>Vanligt café</v>
      </c>
      <c r="AE425" s="15" t="str">
        <f t="shared" si="94"/>
        <v/>
      </c>
      <c r="AF425" t="str">
        <f>IF(T425="","",IFERROR(MATCH(1,INDEX((MATCHER!$B$5:$B$504=A425)*(MATCHER!$D$5:$D$504=C425)*(MATCHER!$K$5:$K$504="Ja")*(MATCHER!$C$5:$C$504&lt;E425)*(MATCHER!$M$5:$M$504&gt;D425)*(ROW(MATCHER!$A$5:$A$504)-ROW(MATCHER!$A$5)+1&gt;T425),0),0),""))</f>
        <v/>
      </c>
    </row>
    <row r="426" spans="1:32" ht="26">
      <c r="A426" s="42">
        <v>46431</v>
      </c>
      <c r="B426" s="43" t="s">
        <v>85</v>
      </c>
      <c r="C426" s="43" t="s">
        <v>86</v>
      </c>
      <c r="D426" s="44">
        <v>0.5625</v>
      </c>
      <c r="E426" s="44">
        <v>0.58333333333333304</v>
      </c>
      <c r="F426" s="45" t="str">
        <f>IF(R426="","",HOUR(INDEX(MATCHER!$C$5:$C$504,R426))&amp;":"&amp;IF(MINUTE(INDEX(MATCHER!$C$5:$C$504,R426))&lt;10,"0","")&amp;MINUTE(INDEX(MATCHER!$C$5:$C$504,R426))&amp;" "&amp;INDEX(MATCHER!$H$5:$H$504,R426)&amp;" – "&amp;INDEX(MATCHER!$I$5:$I$504,R426))&amp;IF(S426="",""," | "&amp;HOUR(INDEX(MATCHER!$C$5:$C$504,S426))&amp;":"&amp;IF(MINUTE(INDEX(MATCHER!$C$5:$C$504,S426))&lt;10,"0","")&amp;MINUTE(INDEX(MATCHER!$C$5:$C$504,S426))&amp;" "&amp;INDEX(MATCHER!$H$5:$H$504,S426)&amp;" – "&amp;INDEX(MATCHER!$I$5:$I$504,S426))&amp;IF(T426="",""," | "&amp;HOUR(INDEX(MATCHER!$C$5:$C$504,T426))&amp;":"&amp;IF(MINUTE(INDEX(MATCHER!$C$5:$C$504,T426))&lt;10,"0","")&amp;MINUTE(INDEX(MATCHER!$C$5:$C$504,T426))&amp;" "&amp;INDEX(MATCHER!$H$5:$H$504,T426)&amp;" – "&amp;INDEX(MATCHER!$I$5:$I$504,T426))&amp;IF(AF426="",""," | "&amp;HOUR(INDEX(MATCHER!$C$5:$C$504,AF426))&amp;":"&amp;IF(MINUTE(INDEX(MATCHER!$C$5:$C$504,AF426))&lt;10,"0","")&amp;MINUTE(INDEX(MATCHER!$C$5:$C$504,AF426))&amp;" "&amp;INDEX(MATCHER!$H$5:$H$504,AF426)&amp;" – "&amp;INDEX(MATCHER!$I$5:$I$504,AF426))</f>
        <v>13:00 Vacant- 75 – Vacant- 75</v>
      </c>
      <c r="G426" s="45" t="str">
        <f>MID(IF(R426="","",IF(OR(INDEX(MATCHER!$J$5:$J$504,R426)=""),""," / "&amp;INDEX(MATCHER!$J$5:$J$504,R426)))&amp;IF(S426="","",IF(OR(INDEX(MATCHER!$J$5:$J$504,S426)="",INDEX(MATCHER!$J$5:$J$504,S426)=IFERROR(INDEX(MATCHER!$J$5:$J$504,R426),"")),""," / "&amp;INDEX(MATCHER!$J$5:$J$504,S426)))&amp;IF(T426="","",IF(OR(INDEX(MATCHER!$J$5:$J$504,T426)="",INDEX(MATCHER!$J$5:$J$504,T426)=IFERROR(INDEX(MATCHER!$J$5:$J$504,R426),""),INDEX(MATCHER!$J$5:$J$504,T426)=IFERROR(INDEX(MATCHER!$J$5:$J$504,S426),"")),""," / "&amp;INDEX(MATCHER!$J$5:$J$504,T426)))&amp;IF(AF426="","",IF(OR(INDEX(MATCHER!$J$5:$J$504,AF426)="",INDEX(MATCHER!$J$5:$J$504,AF426)=IFERROR(INDEX(MATCHER!$J$5:$J$504,R426),""),INDEX(MATCHER!$J$5:$J$504,AF426)=IFERROR(INDEX(MATCHER!$J$5:$J$504,S426),""),INDEX(MATCHER!$J$5:$J$504,AF426)=IFERROR(INDEX(MATCHER!$J$5:$J$504,T426),"")),""," / "&amp;INDEX(MATCHER!$J$5:$J$504,AF426))),4,1000)</f>
        <v/>
      </c>
      <c r="H426" s="45" t="str">
        <f t="shared" si="95"/>
        <v>F12, F13</v>
      </c>
      <c r="I426" s="46" t="s">
        <v>90</v>
      </c>
      <c r="J426" s="47" t="s">
        <v>101</v>
      </c>
      <c r="K426" s="48"/>
      <c r="L426" s="49"/>
      <c r="M426" s="50" t="str">
        <f>IF(O426&lt;&gt;O425,MAX(1,MIN(AA426,ROUNDUP(SUMPRODUCT(($O$5:$O$546=O426)*($I$5:$I$546="Ja")*($E$5:$E$546-$D$5:$D$546))*24/REGLER!$B$8,0))),"")</f>
        <v/>
      </c>
      <c r="N426" s="50" t="str">
        <f t="shared" si="88"/>
        <v>Klar</v>
      </c>
      <c r="O426" s="15" t="s">
        <v>154</v>
      </c>
      <c r="P426" s="16">
        <v>0.33333333333333298</v>
      </c>
      <c r="Q426" s="16">
        <v>0.79166666666666696</v>
      </c>
      <c r="R426" s="15">
        <f>IFERROR(MATCH(1,INDEX((MATCHER!$B$5:$B$504=A426)*(MATCHER!$D$5:$D$504=C426)*(MATCHER!$K$5:$K$504="Ja")*(MATCHER!$C$5:$C$504&lt;E426)*(MATCHER!$M$5:$M$504&gt;D426),0),0),"")</f>
        <v>153</v>
      </c>
      <c r="S426" s="15" t="str">
        <f>IF(R426="","",IFERROR(MATCH(1,INDEX((MATCHER!$B$5:$B$504=A426)*(MATCHER!$D$5:$D$504=C426)*(MATCHER!$K$5:$K$504="Ja")*(MATCHER!$C$5:$C$504&lt;E426)*(MATCHER!$M$5:$M$504&gt;D426)*(ROW(MATCHER!$A$5:$A$504)-ROW(MATCHER!$A$5)+1&gt;R426),0),0),""))</f>
        <v/>
      </c>
      <c r="T426" s="15" t="str">
        <f>IF(S426="","",IFERROR(MATCH(1,INDEX((MATCHER!$B$5:$B$504=A426)*(MATCHER!$D$5:$D$504=C426)*(MATCHER!$K$5:$K$504="Ja")*(MATCHER!$C$5:$C$504&lt;E426)*(MATCHER!$M$5:$M$504&gt;D426)*(ROW(MATCHER!$A$5:$A$504)-ROW(MATCHER!$A$5)+1&gt;S426),0),0),""))</f>
        <v/>
      </c>
      <c r="U426" s="15">
        <f t="shared" si="89"/>
        <v>0</v>
      </c>
      <c r="V426" s="15">
        <f>IF(OR(I426&lt;&gt;"Ja",J426=""),"",COUNTIFS($O$5:O426,O426,$U$5:U426,1))</f>
        <v>2</v>
      </c>
      <c r="W426" s="15" t="str">
        <f t="shared" si="90"/>
        <v>2027-02-13 | Ulriksdalshallen|2</v>
      </c>
      <c r="X426" s="16" t="str">
        <f t="shared" si="91"/>
        <v/>
      </c>
      <c r="Y426" s="15">
        <f>IF(OR(I426&lt;&gt;"Ja",J426=""),0,IF(COUNTIFS($O$5:O426,O426,$I$5:I426,"Ja",$J$5:J426,"&lt;&gt;")=1,1,0))</f>
        <v>0</v>
      </c>
      <c r="Z426" s="15">
        <f>IF(OR(I426&lt;&gt;"Ja",J426=""),0,IF(COUNTIFS(O426:$O$546,O426,I426:$I$546,"Ja",J426:$J$546,"&lt;&gt;")=1,1,0))</f>
        <v>0</v>
      </c>
      <c r="AA426" s="15">
        <f t="shared" si="96"/>
        <v>2</v>
      </c>
      <c r="AB426" s="15" t="str">
        <f>IF(U426&lt;&gt;1,"",COUNTIF($U$5:U426,1))</f>
        <v/>
      </c>
      <c r="AC426" s="15" t="str">
        <f t="shared" si="92"/>
        <v/>
      </c>
      <c r="AD426" s="15" t="str">
        <f t="shared" si="93"/>
        <v>Vanligt café</v>
      </c>
      <c r="AE426" s="15" t="str">
        <f t="shared" si="94"/>
        <v/>
      </c>
      <c r="AF426" t="str">
        <f>IF(T426="","",IFERROR(MATCH(1,INDEX((MATCHER!$B$5:$B$504=A426)*(MATCHER!$D$5:$D$504=C426)*(MATCHER!$K$5:$K$504="Ja")*(MATCHER!$C$5:$C$504&lt;E426)*(MATCHER!$M$5:$M$504&gt;D426)*(ROW(MATCHER!$A$5:$A$504)-ROW(MATCHER!$A$5)+1&gt;T426),0),0),""))</f>
        <v/>
      </c>
    </row>
    <row r="427" spans="1:32" ht="26">
      <c r="A427" s="42">
        <v>46431</v>
      </c>
      <c r="B427" s="43" t="s">
        <v>85</v>
      </c>
      <c r="C427" s="43" t="s">
        <v>86</v>
      </c>
      <c r="D427" s="44">
        <v>0.58333333333333304</v>
      </c>
      <c r="E427" s="44">
        <v>0.60416666666666696</v>
      </c>
      <c r="F427" s="45" t="str">
        <f>IF(R427="","",HOUR(INDEX(MATCHER!$C$5:$C$504,R427))&amp;":"&amp;IF(MINUTE(INDEX(MATCHER!$C$5:$C$504,R427))&lt;10,"0","")&amp;MINUTE(INDEX(MATCHER!$C$5:$C$504,R427))&amp;" "&amp;INDEX(MATCHER!$H$5:$H$504,R427)&amp;" – "&amp;INDEX(MATCHER!$I$5:$I$504,R427))&amp;IF(S427="",""," | "&amp;HOUR(INDEX(MATCHER!$C$5:$C$504,S427))&amp;":"&amp;IF(MINUTE(INDEX(MATCHER!$C$5:$C$504,S427))&lt;10,"0","")&amp;MINUTE(INDEX(MATCHER!$C$5:$C$504,S427))&amp;" "&amp;INDEX(MATCHER!$H$5:$H$504,S427)&amp;" – "&amp;INDEX(MATCHER!$I$5:$I$504,S427))&amp;IF(T427="",""," | "&amp;HOUR(INDEX(MATCHER!$C$5:$C$504,T427))&amp;":"&amp;IF(MINUTE(INDEX(MATCHER!$C$5:$C$504,T427))&lt;10,"0","")&amp;MINUTE(INDEX(MATCHER!$C$5:$C$504,T427))&amp;" "&amp;INDEX(MATCHER!$H$5:$H$504,T427)&amp;" – "&amp;INDEX(MATCHER!$I$5:$I$504,T427))&amp;IF(AF427="",""," | "&amp;HOUR(INDEX(MATCHER!$C$5:$C$504,AF427))&amp;":"&amp;IF(MINUTE(INDEX(MATCHER!$C$5:$C$504,AF427))&lt;10,"0","")&amp;MINUTE(INDEX(MATCHER!$C$5:$C$504,AF427))&amp;" "&amp;INDEX(MATCHER!$H$5:$H$504,AF427)&amp;" – "&amp;INDEX(MATCHER!$I$5:$I$504,AF427))</f>
        <v>14:15 AIK – Vacant- 75</v>
      </c>
      <c r="G427" s="45" t="str">
        <f>MID(IF(R427="","",IF(OR(INDEX(MATCHER!$J$5:$J$504,R427)=""),""," / "&amp;INDEX(MATCHER!$J$5:$J$504,R427)))&amp;IF(S427="","",IF(OR(INDEX(MATCHER!$J$5:$J$504,S427)="",INDEX(MATCHER!$J$5:$J$504,S427)=IFERROR(INDEX(MATCHER!$J$5:$J$504,R427),"")),""," / "&amp;INDEX(MATCHER!$J$5:$J$504,S427)))&amp;IF(T427="","",IF(OR(INDEX(MATCHER!$J$5:$J$504,T427)="",INDEX(MATCHER!$J$5:$J$504,T427)=IFERROR(INDEX(MATCHER!$J$5:$J$504,R427),""),INDEX(MATCHER!$J$5:$J$504,T427)=IFERROR(INDEX(MATCHER!$J$5:$J$504,S427),"")),""," / "&amp;INDEX(MATCHER!$J$5:$J$504,T427)))&amp;IF(AF427="","",IF(OR(INDEX(MATCHER!$J$5:$J$504,AF427)="",INDEX(MATCHER!$J$5:$J$504,AF427)=IFERROR(INDEX(MATCHER!$J$5:$J$504,R427),""),INDEX(MATCHER!$J$5:$J$504,AF427)=IFERROR(INDEX(MATCHER!$J$5:$J$504,S427),""),INDEX(MATCHER!$J$5:$J$504,AF427)=IFERROR(INDEX(MATCHER!$J$5:$J$504,T427),"")),""," / "&amp;INDEX(MATCHER!$J$5:$J$504,AF427))),4,1000)</f>
        <v>F12</v>
      </c>
      <c r="H427" s="45" t="str">
        <f t="shared" si="95"/>
        <v>F12, F13</v>
      </c>
      <c r="I427" s="46" t="s">
        <v>90</v>
      </c>
      <c r="J427" s="47" t="s">
        <v>101</v>
      </c>
      <c r="K427" s="48"/>
      <c r="L427" s="49"/>
      <c r="M427" s="50" t="str">
        <f>IF(O427&lt;&gt;O426,MAX(1,MIN(AA427,ROUNDUP(SUMPRODUCT(($O$5:$O$546=O427)*($I$5:$I$546="Ja")*($E$5:$E$546-$D$5:$D$546))*24/REGLER!$B$8,0))),"")</f>
        <v/>
      </c>
      <c r="N427" s="50" t="str">
        <f t="shared" si="88"/>
        <v>Klar</v>
      </c>
      <c r="O427" s="15" t="s">
        <v>154</v>
      </c>
      <c r="P427" s="16">
        <v>0.33333333333333298</v>
      </c>
      <c r="Q427" s="16">
        <v>0.79166666666666696</v>
      </c>
      <c r="R427" s="15">
        <f>IFERROR(MATCH(1,INDEX((MATCHER!$B$5:$B$504=A427)*(MATCHER!$D$5:$D$504=C427)*(MATCHER!$K$5:$K$504="Ja")*(MATCHER!$C$5:$C$504&lt;E427)*(MATCHER!$M$5:$M$504&gt;D427),0),0),"")</f>
        <v>154</v>
      </c>
      <c r="S427" s="15" t="str">
        <f>IF(R427="","",IFERROR(MATCH(1,INDEX((MATCHER!$B$5:$B$504=A427)*(MATCHER!$D$5:$D$504=C427)*(MATCHER!$K$5:$K$504="Ja")*(MATCHER!$C$5:$C$504&lt;E427)*(MATCHER!$M$5:$M$504&gt;D427)*(ROW(MATCHER!$A$5:$A$504)-ROW(MATCHER!$A$5)+1&gt;R427),0),0),""))</f>
        <v/>
      </c>
      <c r="T427" s="15" t="str">
        <f>IF(S427="","",IFERROR(MATCH(1,INDEX((MATCHER!$B$5:$B$504=A427)*(MATCHER!$D$5:$D$504=C427)*(MATCHER!$K$5:$K$504="Ja")*(MATCHER!$C$5:$C$504&lt;E427)*(MATCHER!$M$5:$M$504&gt;D427)*(ROW(MATCHER!$A$5:$A$504)-ROW(MATCHER!$A$5)+1&gt;S427),0),0),""))</f>
        <v/>
      </c>
      <c r="U427" s="15">
        <f t="shared" si="89"/>
        <v>0</v>
      </c>
      <c r="V427" s="15">
        <f>IF(OR(I427&lt;&gt;"Ja",J427=""),"",COUNTIFS($O$5:O427,O427,$U$5:U427,1))</f>
        <v>2</v>
      </c>
      <c r="W427" s="15" t="str">
        <f t="shared" si="90"/>
        <v>2027-02-13 | Ulriksdalshallen|2</v>
      </c>
      <c r="X427" s="16" t="str">
        <f t="shared" si="91"/>
        <v/>
      </c>
      <c r="Y427" s="15">
        <f>IF(OR(I427&lt;&gt;"Ja",J427=""),0,IF(COUNTIFS($O$5:O427,O427,$I$5:I427,"Ja",$J$5:J427,"&lt;&gt;")=1,1,0))</f>
        <v>0</v>
      </c>
      <c r="Z427" s="15">
        <f>IF(OR(I427&lt;&gt;"Ja",J427=""),0,IF(COUNTIFS(O427:$O$546,O427,I427:$I$546,"Ja",J427:$J$546,"&lt;&gt;")=1,1,0))</f>
        <v>0</v>
      </c>
      <c r="AA427" s="15">
        <f t="shared" si="96"/>
        <v>2</v>
      </c>
      <c r="AB427" s="15" t="str">
        <f>IF(U427&lt;&gt;1,"",COUNTIF($U$5:U427,1))</f>
        <v/>
      </c>
      <c r="AC427" s="15" t="str">
        <f t="shared" si="92"/>
        <v/>
      </c>
      <c r="AD427" s="15" t="str">
        <f t="shared" si="93"/>
        <v>Vanligt café</v>
      </c>
      <c r="AE427" s="15" t="str">
        <f t="shared" si="94"/>
        <v/>
      </c>
      <c r="AF427" t="str">
        <f>IF(T427="","",IFERROR(MATCH(1,INDEX((MATCHER!$B$5:$B$504=A427)*(MATCHER!$D$5:$D$504=C427)*(MATCHER!$K$5:$K$504="Ja")*(MATCHER!$C$5:$C$504&lt;E427)*(MATCHER!$M$5:$M$504&gt;D427)*(ROW(MATCHER!$A$5:$A$504)-ROW(MATCHER!$A$5)+1&gt;T427),0),0),""))</f>
        <v/>
      </c>
    </row>
    <row r="428" spans="1:32" ht="26">
      <c r="A428" s="42">
        <v>46431</v>
      </c>
      <c r="B428" s="43" t="s">
        <v>85</v>
      </c>
      <c r="C428" s="43" t="s">
        <v>86</v>
      </c>
      <c r="D428" s="44">
        <v>0.60416666666666696</v>
      </c>
      <c r="E428" s="44">
        <v>0.625</v>
      </c>
      <c r="F428" s="45" t="str">
        <f>IF(R428="","",HOUR(INDEX(MATCHER!$C$5:$C$504,R428))&amp;":"&amp;IF(MINUTE(INDEX(MATCHER!$C$5:$C$504,R428))&lt;10,"0","")&amp;MINUTE(INDEX(MATCHER!$C$5:$C$504,R428))&amp;" "&amp;INDEX(MATCHER!$H$5:$H$504,R428)&amp;" – "&amp;INDEX(MATCHER!$I$5:$I$504,R428))&amp;IF(S428="",""," | "&amp;HOUR(INDEX(MATCHER!$C$5:$C$504,S428))&amp;":"&amp;IF(MINUTE(INDEX(MATCHER!$C$5:$C$504,S428))&lt;10,"0","")&amp;MINUTE(INDEX(MATCHER!$C$5:$C$504,S428))&amp;" "&amp;INDEX(MATCHER!$H$5:$H$504,S428)&amp;" – "&amp;INDEX(MATCHER!$I$5:$I$504,S428))&amp;IF(T428="",""," | "&amp;HOUR(INDEX(MATCHER!$C$5:$C$504,T428))&amp;":"&amp;IF(MINUTE(INDEX(MATCHER!$C$5:$C$504,T428))&lt;10,"0","")&amp;MINUTE(INDEX(MATCHER!$C$5:$C$504,T428))&amp;" "&amp;INDEX(MATCHER!$H$5:$H$504,T428)&amp;" – "&amp;INDEX(MATCHER!$I$5:$I$504,T428))&amp;IF(AF428="",""," | "&amp;HOUR(INDEX(MATCHER!$C$5:$C$504,AF428))&amp;":"&amp;IF(MINUTE(INDEX(MATCHER!$C$5:$C$504,AF428))&lt;10,"0","")&amp;MINUTE(INDEX(MATCHER!$C$5:$C$504,AF428))&amp;" "&amp;INDEX(MATCHER!$H$5:$H$504,AF428)&amp;" – "&amp;INDEX(MATCHER!$I$5:$I$504,AF428))</f>
        <v>14:15 AIK – Vacant- 75</v>
      </c>
      <c r="G428" s="45" t="str">
        <f>MID(IF(R428="","",IF(OR(INDEX(MATCHER!$J$5:$J$504,R428)=""),""," / "&amp;INDEX(MATCHER!$J$5:$J$504,R428)))&amp;IF(S428="","",IF(OR(INDEX(MATCHER!$J$5:$J$504,S428)="",INDEX(MATCHER!$J$5:$J$504,S428)=IFERROR(INDEX(MATCHER!$J$5:$J$504,R428),"")),""," / "&amp;INDEX(MATCHER!$J$5:$J$504,S428)))&amp;IF(T428="","",IF(OR(INDEX(MATCHER!$J$5:$J$504,T428)="",INDEX(MATCHER!$J$5:$J$504,T428)=IFERROR(INDEX(MATCHER!$J$5:$J$504,R428),""),INDEX(MATCHER!$J$5:$J$504,T428)=IFERROR(INDEX(MATCHER!$J$5:$J$504,S428),"")),""," / "&amp;INDEX(MATCHER!$J$5:$J$504,T428)))&amp;IF(AF428="","",IF(OR(INDEX(MATCHER!$J$5:$J$504,AF428)="",INDEX(MATCHER!$J$5:$J$504,AF428)=IFERROR(INDEX(MATCHER!$J$5:$J$504,R428),""),INDEX(MATCHER!$J$5:$J$504,AF428)=IFERROR(INDEX(MATCHER!$J$5:$J$504,S428),""),INDEX(MATCHER!$J$5:$J$504,AF428)=IFERROR(INDEX(MATCHER!$J$5:$J$504,T428),"")),""," / "&amp;INDEX(MATCHER!$J$5:$J$504,AF428))),4,1000)</f>
        <v>F12</v>
      </c>
      <c r="H428" s="45" t="str">
        <f t="shared" si="95"/>
        <v>F12, F13</v>
      </c>
      <c r="I428" s="46" t="s">
        <v>90</v>
      </c>
      <c r="J428" s="47" t="s">
        <v>101</v>
      </c>
      <c r="K428" s="48"/>
      <c r="L428" s="49"/>
      <c r="M428" s="50" t="str">
        <f>IF(O428&lt;&gt;O427,MAX(1,MIN(AA428,ROUNDUP(SUMPRODUCT(($O$5:$O$546=O428)*($I$5:$I$546="Ja")*($E$5:$E$546-$D$5:$D$546))*24/REGLER!$B$8,0))),"")</f>
        <v/>
      </c>
      <c r="N428" s="50" t="str">
        <f t="shared" si="88"/>
        <v>Klar</v>
      </c>
      <c r="O428" s="15" t="s">
        <v>154</v>
      </c>
      <c r="P428" s="16">
        <v>0.33333333333333298</v>
      </c>
      <c r="Q428" s="16">
        <v>0.79166666666666696</v>
      </c>
      <c r="R428" s="15">
        <f>IFERROR(MATCH(1,INDEX((MATCHER!$B$5:$B$504=A428)*(MATCHER!$D$5:$D$504=C428)*(MATCHER!$K$5:$K$504="Ja")*(MATCHER!$C$5:$C$504&lt;E428)*(MATCHER!$M$5:$M$504&gt;D428),0),0),"")</f>
        <v>154</v>
      </c>
      <c r="S428" s="15" t="str">
        <f>IF(R428="","",IFERROR(MATCH(1,INDEX((MATCHER!$B$5:$B$504=A428)*(MATCHER!$D$5:$D$504=C428)*(MATCHER!$K$5:$K$504="Ja")*(MATCHER!$C$5:$C$504&lt;E428)*(MATCHER!$M$5:$M$504&gt;D428)*(ROW(MATCHER!$A$5:$A$504)-ROW(MATCHER!$A$5)+1&gt;R428),0),0),""))</f>
        <v/>
      </c>
      <c r="T428" s="15" t="str">
        <f>IF(S428="","",IFERROR(MATCH(1,INDEX((MATCHER!$B$5:$B$504=A428)*(MATCHER!$D$5:$D$504=C428)*(MATCHER!$K$5:$K$504="Ja")*(MATCHER!$C$5:$C$504&lt;E428)*(MATCHER!$M$5:$M$504&gt;D428)*(ROW(MATCHER!$A$5:$A$504)-ROW(MATCHER!$A$5)+1&gt;S428),0),0),""))</f>
        <v/>
      </c>
      <c r="U428" s="15">
        <f t="shared" si="89"/>
        <v>0</v>
      </c>
      <c r="V428" s="15">
        <f>IF(OR(I428&lt;&gt;"Ja",J428=""),"",COUNTIFS($O$5:O428,O428,$U$5:U428,1))</f>
        <v>2</v>
      </c>
      <c r="W428" s="15" t="str">
        <f t="shared" si="90"/>
        <v>2027-02-13 | Ulriksdalshallen|2</v>
      </c>
      <c r="X428" s="16" t="str">
        <f t="shared" si="91"/>
        <v/>
      </c>
      <c r="Y428" s="15">
        <f>IF(OR(I428&lt;&gt;"Ja",J428=""),0,IF(COUNTIFS($O$5:O428,O428,$I$5:I428,"Ja",$J$5:J428,"&lt;&gt;")=1,1,0))</f>
        <v>0</v>
      </c>
      <c r="Z428" s="15">
        <f>IF(OR(I428&lt;&gt;"Ja",J428=""),0,IF(COUNTIFS(O428:$O$546,O428,I428:$I$546,"Ja",J428:$J$546,"&lt;&gt;")=1,1,0))</f>
        <v>0</v>
      </c>
      <c r="AA428" s="15">
        <f t="shared" si="96"/>
        <v>2</v>
      </c>
      <c r="AB428" s="15" t="str">
        <f>IF(U428&lt;&gt;1,"",COUNTIF($U$5:U428,1))</f>
        <v/>
      </c>
      <c r="AC428" s="15" t="str">
        <f t="shared" si="92"/>
        <v/>
      </c>
      <c r="AD428" s="15" t="str">
        <f t="shared" si="93"/>
        <v>Vanligt café</v>
      </c>
      <c r="AE428" s="15" t="str">
        <f t="shared" si="94"/>
        <v/>
      </c>
      <c r="AF428" t="str">
        <f>IF(T428="","",IFERROR(MATCH(1,INDEX((MATCHER!$B$5:$B$504=A428)*(MATCHER!$D$5:$D$504=C428)*(MATCHER!$K$5:$K$504="Ja")*(MATCHER!$C$5:$C$504&lt;E428)*(MATCHER!$M$5:$M$504&gt;D428)*(ROW(MATCHER!$A$5:$A$504)-ROW(MATCHER!$A$5)+1&gt;T428),0),0),""))</f>
        <v/>
      </c>
    </row>
    <row r="429" spans="1:32" ht="26">
      <c r="A429" s="42">
        <v>46431</v>
      </c>
      <c r="B429" s="43" t="s">
        <v>85</v>
      </c>
      <c r="C429" s="43" t="s">
        <v>86</v>
      </c>
      <c r="D429" s="44">
        <v>0.625</v>
      </c>
      <c r="E429" s="44">
        <v>0.64583333333333304</v>
      </c>
      <c r="F429" s="45" t="str">
        <f>IF(R429="","",HOUR(INDEX(MATCHER!$C$5:$C$504,R429))&amp;":"&amp;IF(MINUTE(INDEX(MATCHER!$C$5:$C$504,R429))&lt;10,"0","")&amp;MINUTE(INDEX(MATCHER!$C$5:$C$504,R429))&amp;" "&amp;INDEX(MATCHER!$H$5:$H$504,R429)&amp;" – "&amp;INDEX(MATCHER!$I$5:$I$504,R429))&amp;IF(S429="",""," | "&amp;HOUR(INDEX(MATCHER!$C$5:$C$504,S429))&amp;":"&amp;IF(MINUTE(INDEX(MATCHER!$C$5:$C$504,S429))&lt;10,"0","")&amp;MINUTE(INDEX(MATCHER!$C$5:$C$504,S429))&amp;" "&amp;INDEX(MATCHER!$H$5:$H$504,S429)&amp;" – "&amp;INDEX(MATCHER!$I$5:$I$504,S429))&amp;IF(T429="",""," | "&amp;HOUR(INDEX(MATCHER!$C$5:$C$504,T429))&amp;":"&amp;IF(MINUTE(INDEX(MATCHER!$C$5:$C$504,T429))&lt;10,"0","")&amp;MINUTE(INDEX(MATCHER!$C$5:$C$504,T429))&amp;" "&amp;INDEX(MATCHER!$H$5:$H$504,T429)&amp;" – "&amp;INDEX(MATCHER!$I$5:$I$504,T429))&amp;IF(AF429="",""," | "&amp;HOUR(INDEX(MATCHER!$C$5:$C$504,AF429))&amp;":"&amp;IF(MINUTE(INDEX(MATCHER!$C$5:$C$504,AF429))&lt;10,"0","")&amp;MINUTE(INDEX(MATCHER!$C$5:$C$504,AF429))&amp;" "&amp;INDEX(MATCHER!$H$5:$H$504,AF429)&amp;" – "&amp;INDEX(MATCHER!$I$5:$I$504,AF429))</f>
        <v>15:00 Vacant- 75 – Vacant- 75</v>
      </c>
      <c r="G429" s="45" t="str">
        <f>MID(IF(R429="","",IF(OR(INDEX(MATCHER!$J$5:$J$504,R429)=""),""," / "&amp;INDEX(MATCHER!$J$5:$J$504,R429)))&amp;IF(S429="","",IF(OR(INDEX(MATCHER!$J$5:$J$504,S429)="",INDEX(MATCHER!$J$5:$J$504,S429)=IFERROR(INDEX(MATCHER!$J$5:$J$504,R429),"")),""," / "&amp;INDEX(MATCHER!$J$5:$J$504,S429)))&amp;IF(T429="","",IF(OR(INDEX(MATCHER!$J$5:$J$504,T429)="",INDEX(MATCHER!$J$5:$J$504,T429)=IFERROR(INDEX(MATCHER!$J$5:$J$504,R429),""),INDEX(MATCHER!$J$5:$J$504,T429)=IFERROR(INDEX(MATCHER!$J$5:$J$504,S429),"")),""," / "&amp;INDEX(MATCHER!$J$5:$J$504,T429)))&amp;IF(AF429="","",IF(OR(INDEX(MATCHER!$J$5:$J$504,AF429)="",INDEX(MATCHER!$J$5:$J$504,AF429)=IFERROR(INDEX(MATCHER!$J$5:$J$504,R429),""),INDEX(MATCHER!$J$5:$J$504,AF429)=IFERROR(INDEX(MATCHER!$J$5:$J$504,S429),""),INDEX(MATCHER!$J$5:$J$504,AF429)=IFERROR(INDEX(MATCHER!$J$5:$J$504,T429),"")),""," / "&amp;INDEX(MATCHER!$J$5:$J$504,AF429))),4,1000)</f>
        <v/>
      </c>
      <c r="H429" s="45" t="str">
        <f t="shared" si="95"/>
        <v>F12, F13</v>
      </c>
      <c r="I429" s="46" t="s">
        <v>90</v>
      </c>
      <c r="J429" s="47" t="s">
        <v>101</v>
      </c>
      <c r="K429" s="48"/>
      <c r="L429" s="49"/>
      <c r="M429" s="50" t="str">
        <f>IF(O429&lt;&gt;O428,MAX(1,MIN(AA429,ROUNDUP(SUMPRODUCT(($O$5:$O$546=O429)*($I$5:$I$546="Ja")*($E$5:$E$546-$D$5:$D$546))*24/REGLER!$B$8,0))),"")</f>
        <v/>
      </c>
      <c r="N429" s="50" t="str">
        <f t="shared" si="88"/>
        <v>Klar</v>
      </c>
      <c r="O429" s="15" t="s">
        <v>154</v>
      </c>
      <c r="P429" s="16">
        <v>0.33333333333333298</v>
      </c>
      <c r="Q429" s="16">
        <v>0.79166666666666696</v>
      </c>
      <c r="R429" s="15">
        <f>IFERROR(MATCH(1,INDEX((MATCHER!$B$5:$B$504=A429)*(MATCHER!$D$5:$D$504=C429)*(MATCHER!$K$5:$K$504="Ja")*(MATCHER!$C$5:$C$504&lt;E429)*(MATCHER!$M$5:$M$504&gt;D429),0),0),"")</f>
        <v>155</v>
      </c>
      <c r="S429" s="15" t="str">
        <f>IF(R429="","",IFERROR(MATCH(1,INDEX((MATCHER!$B$5:$B$504=A429)*(MATCHER!$D$5:$D$504=C429)*(MATCHER!$K$5:$K$504="Ja")*(MATCHER!$C$5:$C$504&lt;E429)*(MATCHER!$M$5:$M$504&gt;D429)*(ROW(MATCHER!$A$5:$A$504)-ROW(MATCHER!$A$5)+1&gt;R429),0),0),""))</f>
        <v/>
      </c>
      <c r="T429" s="15" t="str">
        <f>IF(S429="","",IFERROR(MATCH(1,INDEX((MATCHER!$B$5:$B$504=A429)*(MATCHER!$D$5:$D$504=C429)*(MATCHER!$K$5:$K$504="Ja")*(MATCHER!$C$5:$C$504&lt;E429)*(MATCHER!$M$5:$M$504&gt;D429)*(ROW(MATCHER!$A$5:$A$504)-ROW(MATCHER!$A$5)+1&gt;S429),0),0),""))</f>
        <v/>
      </c>
      <c r="U429" s="15">
        <f t="shared" si="89"/>
        <v>0</v>
      </c>
      <c r="V429" s="15">
        <f>IF(OR(I429&lt;&gt;"Ja",J429=""),"",COUNTIFS($O$5:O429,O429,$U$5:U429,1))</f>
        <v>2</v>
      </c>
      <c r="W429" s="15" t="str">
        <f t="shared" si="90"/>
        <v>2027-02-13 | Ulriksdalshallen|2</v>
      </c>
      <c r="X429" s="16" t="str">
        <f t="shared" si="91"/>
        <v/>
      </c>
      <c r="Y429" s="15">
        <f>IF(OR(I429&lt;&gt;"Ja",J429=""),0,IF(COUNTIFS($O$5:O429,O429,$I$5:I429,"Ja",$J$5:J429,"&lt;&gt;")=1,1,0))</f>
        <v>0</v>
      </c>
      <c r="Z429" s="15">
        <f>IF(OR(I429&lt;&gt;"Ja",J429=""),0,IF(COUNTIFS(O429:$O$546,O429,I429:$I$546,"Ja",J429:$J$546,"&lt;&gt;")=1,1,0))</f>
        <v>0</v>
      </c>
      <c r="AA429" s="15">
        <f t="shared" si="96"/>
        <v>2</v>
      </c>
      <c r="AB429" s="15" t="str">
        <f>IF(U429&lt;&gt;1,"",COUNTIF($U$5:U429,1))</f>
        <v/>
      </c>
      <c r="AC429" s="15" t="str">
        <f t="shared" si="92"/>
        <v/>
      </c>
      <c r="AD429" s="15" t="str">
        <f t="shared" si="93"/>
        <v>Vanligt café</v>
      </c>
      <c r="AE429" s="15" t="str">
        <f t="shared" si="94"/>
        <v/>
      </c>
      <c r="AF429" t="str">
        <f>IF(T429="","",IFERROR(MATCH(1,INDEX((MATCHER!$B$5:$B$504=A429)*(MATCHER!$D$5:$D$504=C429)*(MATCHER!$K$5:$K$504="Ja")*(MATCHER!$C$5:$C$504&lt;E429)*(MATCHER!$M$5:$M$504&gt;D429)*(ROW(MATCHER!$A$5:$A$504)-ROW(MATCHER!$A$5)+1&gt;T429),0),0),""))</f>
        <v/>
      </c>
    </row>
    <row r="430" spans="1:32" ht="26">
      <c r="A430" s="42">
        <v>46431</v>
      </c>
      <c r="B430" s="43" t="s">
        <v>85</v>
      </c>
      <c r="C430" s="43" t="s">
        <v>86</v>
      </c>
      <c r="D430" s="44">
        <v>0.64583333333333304</v>
      </c>
      <c r="E430" s="44">
        <v>0.66666666666666696</v>
      </c>
      <c r="F430" s="45" t="str">
        <f>IF(R430="","",HOUR(INDEX(MATCHER!$C$5:$C$504,R430))&amp;":"&amp;IF(MINUTE(INDEX(MATCHER!$C$5:$C$504,R430))&lt;10,"0","")&amp;MINUTE(INDEX(MATCHER!$C$5:$C$504,R430))&amp;" "&amp;INDEX(MATCHER!$H$5:$H$504,R430)&amp;" – "&amp;INDEX(MATCHER!$I$5:$I$504,R430))&amp;IF(S430="",""," | "&amp;HOUR(INDEX(MATCHER!$C$5:$C$504,S430))&amp;":"&amp;IF(MINUTE(INDEX(MATCHER!$C$5:$C$504,S430))&lt;10,"0","")&amp;MINUTE(INDEX(MATCHER!$C$5:$C$504,S430))&amp;" "&amp;INDEX(MATCHER!$H$5:$H$504,S430)&amp;" – "&amp;INDEX(MATCHER!$I$5:$I$504,S430))&amp;IF(T430="",""," | "&amp;HOUR(INDEX(MATCHER!$C$5:$C$504,T430))&amp;":"&amp;IF(MINUTE(INDEX(MATCHER!$C$5:$C$504,T430))&lt;10,"0","")&amp;MINUTE(INDEX(MATCHER!$C$5:$C$504,T430))&amp;" "&amp;INDEX(MATCHER!$H$5:$H$504,T430)&amp;" – "&amp;INDEX(MATCHER!$I$5:$I$504,T430))&amp;IF(AF430="",""," | "&amp;HOUR(INDEX(MATCHER!$C$5:$C$504,AF430))&amp;":"&amp;IF(MINUTE(INDEX(MATCHER!$C$5:$C$504,AF430))&lt;10,"0","")&amp;MINUTE(INDEX(MATCHER!$C$5:$C$504,AF430))&amp;" "&amp;INDEX(MATCHER!$H$5:$H$504,AF430)&amp;" – "&amp;INDEX(MATCHER!$I$5:$I$504,AF430))</f>
        <v>15:00 Vacant- 75 – Vacant- 75</v>
      </c>
      <c r="G430" s="45" t="str">
        <f>MID(IF(R430="","",IF(OR(INDEX(MATCHER!$J$5:$J$504,R430)=""),""," / "&amp;INDEX(MATCHER!$J$5:$J$504,R430)))&amp;IF(S430="","",IF(OR(INDEX(MATCHER!$J$5:$J$504,S430)="",INDEX(MATCHER!$J$5:$J$504,S430)=IFERROR(INDEX(MATCHER!$J$5:$J$504,R430),"")),""," / "&amp;INDEX(MATCHER!$J$5:$J$504,S430)))&amp;IF(T430="","",IF(OR(INDEX(MATCHER!$J$5:$J$504,T430)="",INDEX(MATCHER!$J$5:$J$504,T430)=IFERROR(INDEX(MATCHER!$J$5:$J$504,R430),""),INDEX(MATCHER!$J$5:$J$504,T430)=IFERROR(INDEX(MATCHER!$J$5:$J$504,S430),"")),""," / "&amp;INDEX(MATCHER!$J$5:$J$504,T430)))&amp;IF(AF430="","",IF(OR(INDEX(MATCHER!$J$5:$J$504,AF430)="",INDEX(MATCHER!$J$5:$J$504,AF430)=IFERROR(INDEX(MATCHER!$J$5:$J$504,R430),""),INDEX(MATCHER!$J$5:$J$504,AF430)=IFERROR(INDEX(MATCHER!$J$5:$J$504,S430),""),INDEX(MATCHER!$J$5:$J$504,AF430)=IFERROR(INDEX(MATCHER!$J$5:$J$504,T430),"")),""," / "&amp;INDEX(MATCHER!$J$5:$J$504,AF430))),4,1000)</f>
        <v/>
      </c>
      <c r="H430" s="45" t="str">
        <f t="shared" si="95"/>
        <v>F12, F13</v>
      </c>
      <c r="I430" s="46" t="s">
        <v>90</v>
      </c>
      <c r="J430" s="47" t="s">
        <v>101</v>
      </c>
      <c r="K430" s="48"/>
      <c r="L430" s="49"/>
      <c r="M430" s="50" t="str">
        <f>IF(O430&lt;&gt;O429,MAX(1,MIN(AA430,ROUNDUP(SUMPRODUCT(($O$5:$O$546=O430)*($I$5:$I$546="Ja")*($E$5:$E$546-$D$5:$D$546))*24/REGLER!$B$8,0))),"")</f>
        <v/>
      </c>
      <c r="N430" s="50" t="str">
        <f t="shared" si="88"/>
        <v>Klar</v>
      </c>
      <c r="O430" s="15" t="s">
        <v>154</v>
      </c>
      <c r="P430" s="16">
        <v>0.33333333333333298</v>
      </c>
      <c r="Q430" s="16">
        <v>0.79166666666666696</v>
      </c>
      <c r="R430" s="15">
        <f>IFERROR(MATCH(1,INDEX((MATCHER!$B$5:$B$504=A430)*(MATCHER!$D$5:$D$504=C430)*(MATCHER!$K$5:$K$504="Ja")*(MATCHER!$C$5:$C$504&lt;E430)*(MATCHER!$M$5:$M$504&gt;D430),0),0),"")</f>
        <v>155</v>
      </c>
      <c r="S430" s="15" t="str">
        <f>IF(R430="","",IFERROR(MATCH(1,INDEX((MATCHER!$B$5:$B$504=A430)*(MATCHER!$D$5:$D$504=C430)*(MATCHER!$K$5:$K$504="Ja")*(MATCHER!$C$5:$C$504&lt;E430)*(MATCHER!$M$5:$M$504&gt;D430)*(ROW(MATCHER!$A$5:$A$504)-ROW(MATCHER!$A$5)+1&gt;R430),0),0),""))</f>
        <v/>
      </c>
      <c r="T430" s="15" t="str">
        <f>IF(S430="","",IFERROR(MATCH(1,INDEX((MATCHER!$B$5:$B$504=A430)*(MATCHER!$D$5:$D$504=C430)*(MATCHER!$K$5:$K$504="Ja")*(MATCHER!$C$5:$C$504&lt;E430)*(MATCHER!$M$5:$M$504&gt;D430)*(ROW(MATCHER!$A$5:$A$504)-ROW(MATCHER!$A$5)+1&gt;S430),0),0),""))</f>
        <v/>
      </c>
      <c r="U430" s="15">
        <f t="shared" si="89"/>
        <v>0</v>
      </c>
      <c r="V430" s="15">
        <f>IF(OR(I430&lt;&gt;"Ja",J430=""),"",COUNTIFS($O$5:O430,O430,$U$5:U430,1))</f>
        <v>2</v>
      </c>
      <c r="W430" s="15" t="str">
        <f t="shared" si="90"/>
        <v>2027-02-13 | Ulriksdalshallen|2</v>
      </c>
      <c r="X430" s="16" t="str">
        <f t="shared" si="91"/>
        <v/>
      </c>
      <c r="Y430" s="15">
        <f>IF(OR(I430&lt;&gt;"Ja",J430=""),0,IF(COUNTIFS($O$5:O430,O430,$I$5:I430,"Ja",$J$5:J430,"&lt;&gt;")=1,1,0))</f>
        <v>0</v>
      </c>
      <c r="Z430" s="15">
        <f>IF(OR(I430&lt;&gt;"Ja",J430=""),0,IF(COUNTIFS(O430:$O$546,O430,I430:$I$546,"Ja",J430:$J$546,"&lt;&gt;")=1,1,0))</f>
        <v>0</v>
      </c>
      <c r="AA430" s="15">
        <f t="shared" si="96"/>
        <v>2</v>
      </c>
      <c r="AB430" s="15" t="str">
        <f>IF(U430&lt;&gt;1,"",COUNTIF($U$5:U430,1))</f>
        <v/>
      </c>
      <c r="AC430" s="15" t="str">
        <f t="shared" si="92"/>
        <v/>
      </c>
      <c r="AD430" s="15" t="str">
        <f t="shared" si="93"/>
        <v>Vanligt café</v>
      </c>
      <c r="AE430" s="15" t="str">
        <f t="shared" si="94"/>
        <v/>
      </c>
      <c r="AF430" t="str">
        <f>IF(T430="","",IFERROR(MATCH(1,INDEX((MATCHER!$B$5:$B$504=A430)*(MATCHER!$D$5:$D$504=C430)*(MATCHER!$K$5:$K$504="Ja")*(MATCHER!$C$5:$C$504&lt;E430)*(MATCHER!$M$5:$M$504&gt;D430)*(ROW(MATCHER!$A$5:$A$504)-ROW(MATCHER!$A$5)+1&gt;T430),0),0),""))</f>
        <v/>
      </c>
    </row>
    <row r="431" spans="1:32" ht="26">
      <c r="A431" s="42">
        <v>46431</v>
      </c>
      <c r="B431" s="43" t="s">
        <v>85</v>
      </c>
      <c r="C431" s="43" t="s">
        <v>86</v>
      </c>
      <c r="D431" s="44">
        <v>0.66666666666666696</v>
      </c>
      <c r="E431" s="44">
        <v>0.6875</v>
      </c>
      <c r="F431" s="45" t="str">
        <f>IF(R431="","",HOUR(INDEX(MATCHER!$C$5:$C$504,R431))&amp;":"&amp;IF(MINUTE(INDEX(MATCHER!$C$5:$C$504,R431))&lt;10,"0","")&amp;MINUTE(INDEX(MATCHER!$C$5:$C$504,R431))&amp;" "&amp;INDEX(MATCHER!$H$5:$H$504,R431)&amp;" – "&amp;INDEX(MATCHER!$I$5:$I$504,R431))&amp;IF(S431="",""," | "&amp;HOUR(INDEX(MATCHER!$C$5:$C$504,S431))&amp;":"&amp;IF(MINUTE(INDEX(MATCHER!$C$5:$C$504,S431))&lt;10,"0","")&amp;MINUTE(INDEX(MATCHER!$C$5:$C$504,S431))&amp;" "&amp;INDEX(MATCHER!$H$5:$H$504,S431)&amp;" – "&amp;INDEX(MATCHER!$I$5:$I$504,S431))&amp;IF(T431="",""," | "&amp;HOUR(INDEX(MATCHER!$C$5:$C$504,T431))&amp;":"&amp;IF(MINUTE(INDEX(MATCHER!$C$5:$C$504,T431))&lt;10,"0","")&amp;MINUTE(INDEX(MATCHER!$C$5:$C$504,T431))&amp;" "&amp;INDEX(MATCHER!$H$5:$H$504,T431)&amp;" – "&amp;INDEX(MATCHER!$I$5:$I$504,T431))&amp;IF(AF431="",""," | "&amp;HOUR(INDEX(MATCHER!$C$5:$C$504,AF431))&amp;":"&amp;IF(MINUTE(INDEX(MATCHER!$C$5:$C$504,AF431))&lt;10,"0","")&amp;MINUTE(INDEX(MATCHER!$C$5:$C$504,AF431))&amp;" "&amp;INDEX(MATCHER!$H$5:$H$504,AF431)&amp;" – "&amp;INDEX(MATCHER!$I$5:$I$504,AF431))</f>
        <v>16:15 Vacant- 75 – Vacant- 75</v>
      </c>
      <c r="G431" s="45" t="str">
        <f>MID(IF(R431="","",IF(OR(INDEX(MATCHER!$J$5:$J$504,R431)=""),""," / "&amp;INDEX(MATCHER!$J$5:$J$504,R431)))&amp;IF(S431="","",IF(OR(INDEX(MATCHER!$J$5:$J$504,S431)="",INDEX(MATCHER!$J$5:$J$504,S431)=IFERROR(INDEX(MATCHER!$J$5:$J$504,R431),"")),""," / "&amp;INDEX(MATCHER!$J$5:$J$504,S431)))&amp;IF(T431="","",IF(OR(INDEX(MATCHER!$J$5:$J$504,T431)="",INDEX(MATCHER!$J$5:$J$504,T431)=IFERROR(INDEX(MATCHER!$J$5:$J$504,R431),""),INDEX(MATCHER!$J$5:$J$504,T431)=IFERROR(INDEX(MATCHER!$J$5:$J$504,S431),"")),""," / "&amp;INDEX(MATCHER!$J$5:$J$504,T431)))&amp;IF(AF431="","",IF(OR(INDEX(MATCHER!$J$5:$J$504,AF431)="",INDEX(MATCHER!$J$5:$J$504,AF431)=IFERROR(INDEX(MATCHER!$J$5:$J$504,R431),""),INDEX(MATCHER!$J$5:$J$504,AF431)=IFERROR(INDEX(MATCHER!$J$5:$J$504,S431),""),INDEX(MATCHER!$J$5:$J$504,AF431)=IFERROR(INDEX(MATCHER!$J$5:$J$504,T431),"")),""," / "&amp;INDEX(MATCHER!$J$5:$J$504,AF431))),4,1000)</f>
        <v/>
      </c>
      <c r="H431" s="45" t="str">
        <f t="shared" si="95"/>
        <v>F12, F13</v>
      </c>
      <c r="I431" s="46" t="s">
        <v>90</v>
      </c>
      <c r="J431" s="47" t="s">
        <v>101</v>
      </c>
      <c r="K431" s="48"/>
      <c r="L431" s="49"/>
      <c r="M431" s="50" t="str">
        <f>IF(O431&lt;&gt;O430,MAX(1,MIN(AA431,ROUNDUP(SUMPRODUCT(($O$5:$O$546=O431)*($I$5:$I$546="Ja")*($E$5:$E$546-$D$5:$D$546))*24/REGLER!$B$8,0))),"")</f>
        <v/>
      </c>
      <c r="N431" s="50" t="str">
        <f t="shared" si="88"/>
        <v>Klar</v>
      </c>
      <c r="O431" s="15" t="s">
        <v>154</v>
      </c>
      <c r="P431" s="16">
        <v>0.33333333333333298</v>
      </c>
      <c r="Q431" s="16">
        <v>0.79166666666666696</v>
      </c>
      <c r="R431" s="15">
        <f>IFERROR(MATCH(1,INDEX((MATCHER!$B$5:$B$504=A431)*(MATCHER!$D$5:$D$504=C431)*(MATCHER!$K$5:$K$504="Ja")*(MATCHER!$C$5:$C$504&lt;E431)*(MATCHER!$M$5:$M$504&gt;D431),0),0),"")</f>
        <v>156</v>
      </c>
      <c r="S431" s="15" t="str">
        <f>IF(R431="","",IFERROR(MATCH(1,INDEX((MATCHER!$B$5:$B$504=A431)*(MATCHER!$D$5:$D$504=C431)*(MATCHER!$K$5:$K$504="Ja")*(MATCHER!$C$5:$C$504&lt;E431)*(MATCHER!$M$5:$M$504&gt;D431)*(ROW(MATCHER!$A$5:$A$504)-ROW(MATCHER!$A$5)+1&gt;R431),0),0),""))</f>
        <v/>
      </c>
      <c r="T431" s="15" t="str">
        <f>IF(S431="","",IFERROR(MATCH(1,INDEX((MATCHER!$B$5:$B$504=A431)*(MATCHER!$D$5:$D$504=C431)*(MATCHER!$K$5:$K$504="Ja")*(MATCHER!$C$5:$C$504&lt;E431)*(MATCHER!$M$5:$M$504&gt;D431)*(ROW(MATCHER!$A$5:$A$504)-ROW(MATCHER!$A$5)+1&gt;S431),0),0),""))</f>
        <v/>
      </c>
      <c r="U431" s="15">
        <f t="shared" si="89"/>
        <v>0</v>
      </c>
      <c r="V431" s="15">
        <f>IF(OR(I431&lt;&gt;"Ja",J431=""),"",COUNTIFS($O$5:O431,O431,$U$5:U431,1))</f>
        <v>2</v>
      </c>
      <c r="W431" s="15" t="str">
        <f t="shared" si="90"/>
        <v>2027-02-13 | Ulriksdalshallen|2</v>
      </c>
      <c r="X431" s="16" t="str">
        <f t="shared" si="91"/>
        <v/>
      </c>
      <c r="Y431" s="15">
        <f>IF(OR(I431&lt;&gt;"Ja",J431=""),0,IF(COUNTIFS($O$5:O431,O431,$I$5:I431,"Ja",$J$5:J431,"&lt;&gt;")=1,1,0))</f>
        <v>0</v>
      </c>
      <c r="Z431" s="15">
        <f>IF(OR(I431&lt;&gt;"Ja",J431=""),0,IF(COUNTIFS(O431:$O$546,O431,I431:$I$546,"Ja",J431:$J$546,"&lt;&gt;")=1,1,0))</f>
        <v>0</v>
      </c>
      <c r="AA431" s="15">
        <f t="shared" si="96"/>
        <v>2</v>
      </c>
      <c r="AB431" s="15" t="str">
        <f>IF(U431&lt;&gt;1,"",COUNTIF($U$5:U431,1))</f>
        <v/>
      </c>
      <c r="AC431" s="15" t="str">
        <f t="shared" si="92"/>
        <v/>
      </c>
      <c r="AD431" s="15" t="str">
        <f t="shared" si="93"/>
        <v>Vanligt café</v>
      </c>
      <c r="AE431" s="15" t="str">
        <f t="shared" si="94"/>
        <v/>
      </c>
      <c r="AF431" t="str">
        <f>IF(T431="","",IFERROR(MATCH(1,INDEX((MATCHER!$B$5:$B$504=A431)*(MATCHER!$D$5:$D$504=C431)*(MATCHER!$K$5:$K$504="Ja")*(MATCHER!$C$5:$C$504&lt;E431)*(MATCHER!$M$5:$M$504&gt;D431)*(ROW(MATCHER!$A$5:$A$504)-ROW(MATCHER!$A$5)+1&gt;T431),0),0),""))</f>
        <v/>
      </c>
    </row>
    <row r="432" spans="1:32" ht="26">
      <c r="A432" s="42">
        <v>46431</v>
      </c>
      <c r="B432" s="43" t="s">
        <v>85</v>
      </c>
      <c r="C432" s="43" t="s">
        <v>86</v>
      </c>
      <c r="D432" s="44">
        <v>0.6875</v>
      </c>
      <c r="E432" s="44">
        <v>0.70833333333333304</v>
      </c>
      <c r="F432" s="45" t="str">
        <f>IF(R432="","",HOUR(INDEX(MATCHER!$C$5:$C$504,R432))&amp;":"&amp;IF(MINUTE(INDEX(MATCHER!$C$5:$C$504,R432))&lt;10,"0","")&amp;MINUTE(INDEX(MATCHER!$C$5:$C$504,R432))&amp;" "&amp;INDEX(MATCHER!$H$5:$H$504,R432)&amp;" – "&amp;INDEX(MATCHER!$I$5:$I$504,R432))&amp;IF(S432="",""," | "&amp;HOUR(INDEX(MATCHER!$C$5:$C$504,S432))&amp;":"&amp;IF(MINUTE(INDEX(MATCHER!$C$5:$C$504,S432))&lt;10,"0","")&amp;MINUTE(INDEX(MATCHER!$C$5:$C$504,S432))&amp;" "&amp;INDEX(MATCHER!$H$5:$H$504,S432)&amp;" – "&amp;INDEX(MATCHER!$I$5:$I$504,S432))&amp;IF(T432="",""," | "&amp;HOUR(INDEX(MATCHER!$C$5:$C$504,T432))&amp;":"&amp;IF(MINUTE(INDEX(MATCHER!$C$5:$C$504,T432))&lt;10,"0","")&amp;MINUTE(INDEX(MATCHER!$C$5:$C$504,T432))&amp;" "&amp;INDEX(MATCHER!$H$5:$H$504,T432)&amp;" – "&amp;INDEX(MATCHER!$I$5:$I$504,T432))&amp;IF(AF432="",""," | "&amp;HOUR(INDEX(MATCHER!$C$5:$C$504,AF432))&amp;":"&amp;IF(MINUTE(INDEX(MATCHER!$C$5:$C$504,AF432))&lt;10,"0","")&amp;MINUTE(INDEX(MATCHER!$C$5:$C$504,AF432))&amp;" "&amp;INDEX(MATCHER!$H$5:$H$504,AF432)&amp;" – "&amp;INDEX(MATCHER!$I$5:$I$504,AF432))</f>
        <v>16:15 Vacant- 75 – Vacant- 75</v>
      </c>
      <c r="G432" s="45" t="str">
        <f>MID(IF(R432="","",IF(OR(INDEX(MATCHER!$J$5:$J$504,R432)=""),""," / "&amp;INDEX(MATCHER!$J$5:$J$504,R432)))&amp;IF(S432="","",IF(OR(INDEX(MATCHER!$J$5:$J$504,S432)="",INDEX(MATCHER!$J$5:$J$504,S432)=IFERROR(INDEX(MATCHER!$J$5:$J$504,R432),"")),""," / "&amp;INDEX(MATCHER!$J$5:$J$504,S432)))&amp;IF(T432="","",IF(OR(INDEX(MATCHER!$J$5:$J$504,T432)="",INDEX(MATCHER!$J$5:$J$504,T432)=IFERROR(INDEX(MATCHER!$J$5:$J$504,R432),""),INDEX(MATCHER!$J$5:$J$504,T432)=IFERROR(INDEX(MATCHER!$J$5:$J$504,S432),"")),""," / "&amp;INDEX(MATCHER!$J$5:$J$504,T432)))&amp;IF(AF432="","",IF(OR(INDEX(MATCHER!$J$5:$J$504,AF432)="",INDEX(MATCHER!$J$5:$J$504,AF432)=IFERROR(INDEX(MATCHER!$J$5:$J$504,R432),""),INDEX(MATCHER!$J$5:$J$504,AF432)=IFERROR(INDEX(MATCHER!$J$5:$J$504,S432),""),INDEX(MATCHER!$J$5:$J$504,AF432)=IFERROR(INDEX(MATCHER!$J$5:$J$504,T432),"")),""," / "&amp;INDEX(MATCHER!$J$5:$J$504,AF432))),4,1000)</f>
        <v/>
      </c>
      <c r="H432" s="45" t="str">
        <f t="shared" si="95"/>
        <v>F12, F13</v>
      </c>
      <c r="I432" s="46" t="s">
        <v>90</v>
      </c>
      <c r="J432" s="47" t="s">
        <v>101</v>
      </c>
      <c r="K432" s="48"/>
      <c r="L432" s="49"/>
      <c r="M432" s="50" t="str">
        <f>IF(O432&lt;&gt;O431,MAX(1,MIN(AA432,ROUNDUP(SUMPRODUCT(($O$5:$O$546=O432)*($I$5:$I$546="Ja")*($E$5:$E$546-$D$5:$D$546))*24/REGLER!$B$8,0))),"")</f>
        <v/>
      </c>
      <c r="N432" s="50" t="str">
        <f t="shared" si="88"/>
        <v>Klar</v>
      </c>
      <c r="O432" s="15" t="s">
        <v>154</v>
      </c>
      <c r="P432" s="16">
        <v>0.33333333333333298</v>
      </c>
      <c r="Q432" s="16">
        <v>0.79166666666666696</v>
      </c>
      <c r="R432" s="15">
        <f>IFERROR(MATCH(1,INDEX((MATCHER!$B$5:$B$504=A432)*(MATCHER!$D$5:$D$504=C432)*(MATCHER!$K$5:$K$504="Ja")*(MATCHER!$C$5:$C$504&lt;E432)*(MATCHER!$M$5:$M$504&gt;D432),0),0),"")</f>
        <v>156</v>
      </c>
      <c r="S432" s="15" t="str">
        <f>IF(R432="","",IFERROR(MATCH(1,INDEX((MATCHER!$B$5:$B$504=A432)*(MATCHER!$D$5:$D$504=C432)*(MATCHER!$K$5:$K$504="Ja")*(MATCHER!$C$5:$C$504&lt;E432)*(MATCHER!$M$5:$M$504&gt;D432)*(ROW(MATCHER!$A$5:$A$504)-ROW(MATCHER!$A$5)+1&gt;R432),0),0),""))</f>
        <v/>
      </c>
      <c r="T432" s="15" t="str">
        <f>IF(S432="","",IFERROR(MATCH(1,INDEX((MATCHER!$B$5:$B$504=A432)*(MATCHER!$D$5:$D$504=C432)*(MATCHER!$K$5:$K$504="Ja")*(MATCHER!$C$5:$C$504&lt;E432)*(MATCHER!$M$5:$M$504&gt;D432)*(ROW(MATCHER!$A$5:$A$504)-ROW(MATCHER!$A$5)+1&gt;S432),0),0),""))</f>
        <v/>
      </c>
      <c r="U432" s="15">
        <f t="shared" si="89"/>
        <v>0</v>
      </c>
      <c r="V432" s="15">
        <f>IF(OR(I432&lt;&gt;"Ja",J432=""),"",COUNTIFS($O$5:O432,O432,$U$5:U432,1))</f>
        <v>2</v>
      </c>
      <c r="W432" s="15" t="str">
        <f t="shared" si="90"/>
        <v>2027-02-13 | Ulriksdalshallen|2</v>
      </c>
      <c r="X432" s="16">
        <f t="shared" si="91"/>
        <v>0.70833333333333304</v>
      </c>
      <c r="Y432" s="15">
        <f>IF(OR(I432&lt;&gt;"Ja",J432=""),0,IF(COUNTIFS($O$5:O432,O432,$I$5:I432,"Ja",$J$5:J432,"&lt;&gt;")=1,1,0))</f>
        <v>0</v>
      </c>
      <c r="Z432" s="15">
        <f>IF(OR(I432&lt;&gt;"Ja",J432=""),0,IF(COUNTIFS(O432:$O$546,O432,I432:$I$546,"Ja",J432:$J$546,"&lt;&gt;")=1,1,0))</f>
        <v>0</v>
      </c>
      <c r="AA432" s="15">
        <f t="shared" si="96"/>
        <v>2</v>
      </c>
      <c r="AB432" s="15" t="str">
        <f>IF(U432&lt;&gt;1,"",COUNTIF($U$5:U432,1))</f>
        <v/>
      </c>
      <c r="AC432" s="15" t="str">
        <f t="shared" si="92"/>
        <v>2027-02-13 | Ulriksdalshallen|2</v>
      </c>
      <c r="AD432" s="15" t="str">
        <f t="shared" si="93"/>
        <v>Vanligt café</v>
      </c>
      <c r="AE432" s="15" t="str">
        <f t="shared" si="94"/>
        <v/>
      </c>
      <c r="AF432" t="str">
        <f>IF(T432="","",IFERROR(MATCH(1,INDEX((MATCHER!$B$5:$B$504=A432)*(MATCHER!$D$5:$D$504=C432)*(MATCHER!$K$5:$K$504="Ja")*(MATCHER!$C$5:$C$504&lt;E432)*(MATCHER!$M$5:$M$504&gt;D432)*(ROW(MATCHER!$A$5:$A$504)-ROW(MATCHER!$A$5)+1&gt;T432),0),0),""))</f>
        <v/>
      </c>
    </row>
    <row r="433" spans="1:32" ht="26">
      <c r="A433" s="42">
        <v>46431</v>
      </c>
      <c r="B433" s="43" t="s">
        <v>85</v>
      </c>
      <c r="C433" s="43" t="s">
        <v>86</v>
      </c>
      <c r="D433" s="44">
        <v>0.70833333333333304</v>
      </c>
      <c r="E433" s="44">
        <v>0.72916666666666696</v>
      </c>
      <c r="F433" s="45" t="str">
        <f>IF(R433="","",HOUR(INDEX(MATCHER!$C$5:$C$504,R433))&amp;":"&amp;IF(MINUTE(INDEX(MATCHER!$C$5:$C$504,R433))&lt;10,"0","")&amp;MINUTE(INDEX(MATCHER!$C$5:$C$504,R433))&amp;" "&amp;INDEX(MATCHER!$H$5:$H$504,R433)&amp;" – "&amp;INDEX(MATCHER!$I$5:$I$504,R433))&amp;IF(S433="",""," | "&amp;HOUR(INDEX(MATCHER!$C$5:$C$504,S433))&amp;":"&amp;IF(MINUTE(INDEX(MATCHER!$C$5:$C$504,S433))&lt;10,"0","")&amp;MINUTE(INDEX(MATCHER!$C$5:$C$504,S433))&amp;" "&amp;INDEX(MATCHER!$H$5:$H$504,S433)&amp;" – "&amp;INDEX(MATCHER!$I$5:$I$504,S433))&amp;IF(T433="",""," | "&amp;HOUR(INDEX(MATCHER!$C$5:$C$504,T433))&amp;":"&amp;IF(MINUTE(INDEX(MATCHER!$C$5:$C$504,T433))&lt;10,"0","")&amp;MINUTE(INDEX(MATCHER!$C$5:$C$504,T433))&amp;" "&amp;INDEX(MATCHER!$H$5:$H$504,T433)&amp;" – "&amp;INDEX(MATCHER!$I$5:$I$504,T433))&amp;IF(AF433="",""," | "&amp;HOUR(INDEX(MATCHER!$C$5:$C$504,AF433))&amp;":"&amp;IF(MINUTE(INDEX(MATCHER!$C$5:$C$504,AF433))&lt;10,"0","")&amp;MINUTE(INDEX(MATCHER!$C$5:$C$504,AF433))&amp;" "&amp;INDEX(MATCHER!$H$5:$H$504,AF433)&amp;" – "&amp;INDEX(MATCHER!$I$5:$I$504,AF433))</f>
        <v>17:00 AIK – Vacant- 75</v>
      </c>
      <c r="G433" s="45" t="str">
        <f>MID(IF(R433="","",IF(OR(INDEX(MATCHER!$J$5:$J$504,R433)=""),""," / "&amp;INDEX(MATCHER!$J$5:$J$504,R433)))&amp;IF(S433="","",IF(OR(INDEX(MATCHER!$J$5:$J$504,S433)="",INDEX(MATCHER!$J$5:$J$504,S433)=IFERROR(INDEX(MATCHER!$J$5:$J$504,R433),"")),""," / "&amp;INDEX(MATCHER!$J$5:$J$504,S433)))&amp;IF(T433="","",IF(OR(INDEX(MATCHER!$J$5:$J$504,T433)="",INDEX(MATCHER!$J$5:$J$504,T433)=IFERROR(INDEX(MATCHER!$J$5:$J$504,R433),""),INDEX(MATCHER!$J$5:$J$504,T433)=IFERROR(INDEX(MATCHER!$J$5:$J$504,S433),"")),""," / "&amp;INDEX(MATCHER!$J$5:$J$504,T433)))&amp;IF(AF433="","",IF(OR(INDEX(MATCHER!$J$5:$J$504,AF433)="",INDEX(MATCHER!$J$5:$J$504,AF433)=IFERROR(INDEX(MATCHER!$J$5:$J$504,R433),""),INDEX(MATCHER!$J$5:$J$504,AF433)=IFERROR(INDEX(MATCHER!$J$5:$J$504,S433),""),INDEX(MATCHER!$J$5:$J$504,AF433)=IFERROR(INDEX(MATCHER!$J$5:$J$504,T433),"")),""," / "&amp;INDEX(MATCHER!$J$5:$J$504,AF433))),4,1000)</f>
        <v>F12</v>
      </c>
      <c r="H433" s="45" t="str">
        <f t="shared" si="95"/>
        <v>F12, F13</v>
      </c>
      <c r="I433" s="46" t="s">
        <v>90</v>
      </c>
      <c r="J433" s="47" t="s">
        <v>97</v>
      </c>
      <c r="K433" s="48"/>
      <c r="L433" s="49"/>
      <c r="M433" s="50" t="str">
        <f>IF(O433&lt;&gt;O432,MAX(1,MIN(AA433,ROUNDUP(SUMPRODUCT(($O$5:$O$546=O433)*($I$5:$I$546="Ja")*($E$5:$E$546-$D$5:$D$546))*24/REGLER!$B$8,0))),"")</f>
        <v/>
      </c>
      <c r="N433" s="50" t="str">
        <f t="shared" si="88"/>
        <v>Klar</v>
      </c>
      <c r="O433" s="15" t="s">
        <v>154</v>
      </c>
      <c r="P433" s="16">
        <v>0.33333333333333298</v>
      </c>
      <c r="Q433" s="16">
        <v>0.79166666666666696</v>
      </c>
      <c r="R433" s="15">
        <f>IFERROR(MATCH(1,INDEX((MATCHER!$B$5:$B$504=A433)*(MATCHER!$D$5:$D$504=C433)*(MATCHER!$K$5:$K$504="Ja")*(MATCHER!$C$5:$C$504&lt;E433)*(MATCHER!$M$5:$M$504&gt;D433),0),0),"")</f>
        <v>157</v>
      </c>
      <c r="S433" s="15" t="str">
        <f>IF(R433="","",IFERROR(MATCH(1,INDEX((MATCHER!$B$5:$B$504=A433)*(MATCHER!$D$5:$D$504=C433)*(MATCHER!$K$5:$K$504="Ja")*(MATCHER!$C$5:$C$504&lt;E433)*(MATCHER!$M$5:$M$504&gt;D433)*(ROW(MATCHER!$A$5:$A$504)-ROW(MATCHER!$A$5)+1&gt;R433),0),0),""))</f>
        <v/>
      </c>
      <c r="T433" s="15" t="str">
        <f>IF(S433="","",IFERROR(MATCH(1,INDEX((MATCHER!$B$5:$B$504=A433)*(MATCHER!$D$5:$D$504=C433)*(MATCHER!$K$5:$K$504="Ja")*(MATCHER!$C$5:$C$504&lt;E433)*(MATCHER!$M$5:$M$504&gt;D433)*(ROW(MATCHER!$A$5:$A$504)-ROW(MATCHER!$A$5)+1&gt;S433),0),0),""))</f>
        <v/>
      </c>
      <c r="U433" s="15">
        <f t="shared" si="89"/>
        <v>1</v>
      </c>
      <c r="V433" s="15">
        <f>IF(OR(I433&lt;&gt;"Ja",J433=""),"",COUNTIFS($O$5:O433,O433,$U$5:U433,1))</f>
        <v>3</v>
      </c>
      <c r="W433" s="15" t="str">
        <f t="shared" si="90"/>
        <v>2027-02-13 | Ulriksdalshallen|3</v>
      </c>
      <c r="X433" s="16" t="str">
        <f t="shared" si="91"/>
        <v/>
      </c>
      <c r="Y433" s="15">
        <f>IF(OR(I433&lt;&gt;"Ja",J433=""),0,IF(COUNTIFS($O$5:O433,O433,$I$5:I433,"Ja",$J$5:J433,"&lt;&gt;")=1,1,0))</f>
        <v>0</v>
      </c>
      <c r="Z433" s="15">
        <f>IF(OR(I433&lt;&gt;"Ja",J433=""),0,IF(COUNTIFS(O433:$O$546,O433,I433:$I$546,"Ja",J433:$J$546,"&lt;&gt;")=1,1,0))</f>
        <v>0</v>
      </c>
      <c r="AA433" s="15">
        <f t="shared" si="96"/>
        <v>2</v>
      </c>
      <c r="AB433" s="15">
        <f>IF(U433&lt;&gt;1,"",COUNTIF($U$5:U433,1))</f>
        <v>70</v>
      </c>
      <c r="AC433" s="15" t="str">
        <f t="shared" si="92"/>
        <v/>
      </c>
      <c r="AD433" s="15" t="str">
        <f t="shared" si="93"/>
        <v>Vanligt café</v>
      </c>
      <c r="AE433" s="15">
        <f t="shared" si="94"/>
        <v>2.0000000000000142</v>
      </c>
      <c r="AF433" t="str">
        <f>IF(T433="","",IFERROR(MATCH(1,INDEX((MATCHER!$B$5:$B$504=A433)*(MATCHER!$D$5:$D$504=C433)*(MATCHER!$K$5:$K$504="Ja")*(MATCHER!$C$5:$C$504&lt;E433)*(MATCHER!$M$5:$M$504&gt;D433)*(ROW(MATCHER!$A$5:$A$504)-ROW(MATCHER!$A$5)+1&gt;T433),0),0),""))</f>
        <v/>
      </c>
    </row>
    <row r="434" spans="1:32" ht="26">
      <c r="A434" s="42">
        <v>46431</v>
      </c>
      <c r="B434" s="43" t="s">
        <v>85</v>
      </c>
      <c r="C434" s="43" t="s">
        <v>86</v>
      </c>
      <c r="D434" s="44">
        <v>0.72916666666666696</v>
      </c>
      <c r="E434" s="44">
        <v>0.75</v>
      </c>
      <c r="F434" s="45" t="str">
        <f>IF(R434="","",HOUR(INDEX(MATCHER!$C$5:$C$504,R434))&amp;":"&amp;IF(MINUTE(INDEX(MATCHER!$C$5:$C$504,R434))&lt;10,"0","")&amp;MINUTE(INDEX(MATCHER!$C$5:$C$504,R434))&amp;" "&amp;INDEX(MATCHER!$H$5:$H$504,R434)&amp;" – "&amp;INDEX(MATCHER!$I$5:$I$504,R434))&amp;IF(S434="",""," | "&amp;HOUR(INDEX(MATCHER!$C$5:$C$504,S434))&amp;":"&amp;IF(MINUTE(INDEX(MATCHER!$C$5:$C$504,S434))&lt;10,"0","")&amp;MINUTE(INDEX(MATCHER!$C$5:$C$504,S434))&amp;" "&amp;INDEX(MATCHER!$H$5:$H$504,S434)&amp;" – "&amp;INDEX(MATCHER!$I$5:$I$504,S434))&amp;IF(T434="",""," | "&amp;HOUR(INDEX(MATCHER!$C$5:$C$504,T434))&amp;":"&amp;IF(MINUTE(INDEX(MATCHER!$C$5:$C$504,T434))&lt;10,"0","")&amp;MINUTE(INDEX(MATCHER!$C$5:$C$504,T434))&amp;" "&amp;INDEX(MATCHER!$H$5:$H$504,T434)&amp;" – "&amp;INDEX(MATCHER!$I$5:$I$504,T434))&amp;IF(AF434="",""," | "&amp;HOUR(INDEX(MATCHER!$C$5:$C$504,AF434))&amp;":"&amp;IF(MINUTE(INDEX(MATCHER!$C$5:$C$504,AF434))&lt;10,"0","")&amp;MINUTE(INDEX(MATCHER!$C$5:$C$504,AF434))&amp;" "&amp;INDEX(MATCHER!$H$5:$H$504,AF434)&amp;" – "&amp;INDEX(MATCHER!$I$5:$I$504,AF434))</f>
        <v>17:00 AIK – Vacant- 75</v>
      </c>
      <c r="G434" s="45" t="str">
        <f>MID(IF(R434="","",IF(OR(INDEX(MATCHER!$J$5:$J$504,R434)=""),""," / "&amp;INDEX(MATCHER!$J$5:$J$504,R434)))&amp;IF(S434="","",IF(OR(INDEX(MATCHER!$J$5:$J$504,S434)="",INDEX(MATCHER!$J$5:$J$504,S434)=IFERROR(INDEX(MATCHER!$J$5:$J$504,R434),"")),""," / "&amp;INDEX(MATCHER!$J$5:$J$504,S434)))&amp;IF(T434="","",IF(OR(INDEX(MATCHER!$J$5:$J$504,T434)="",INDEX(MATCHER!$J$5:$J$504,T434)=IFERROR(INDEX(MATCHER!$J$5:$J$504,R434),""),INDEX(MATCHER!$J$5:$J$504,T434)=IFERROR(INDEX(MATCHER!$J$5:$J$504,S434),"")),""," / "&amp;INDEX(MATCHER!$J$5:$J$504,T434)))&amp;IF(AF434="","",IF(OR(INDEX(MATCHER!$J$5:$J$504,AF434)="",INDEX(MATCHER!$J$5:$J$504,AF434)=IFERROR(INDEX(MATCHER!$J$5:$J$504,R434),""),INDEX(MATCHER!$J$5:$J$504,AF434)=IFERROR(INDEX(MATCHER!$J$5:$J$504,S434),""),INDEX(MATCHER!$J$5:$J$504,AF434)=IFERROR(INDEX(MATCHER!$J$5:$J$504,T434),"")),""," / "&amp;INDEX(MATCHER!$J$5:$J$504,AF434))),4,1000)</f>
        <v>F12</v>
      </c>
      <c r="H434" s="45" t="str">
        <f t="shared" si="95"/>
        <v>F12, F13</v>
      </c>
      <c r="I434" s="46" t="s">
        <v>90</v>
      </c>
      <c r="J434" s="47" t="s">
        <v>97</v>
      </c>
      <c r="K434" s="48"/>
      <c r="L434" s="49"/>
      <c r="M434" s="50" t="str">
        <f>IF(O434&lt;&gt;O433,MAX(1,MIN(AA434,ROUNDUP(SUMPRODUCT(($O$5:$O$546=O434)*($I$5:$I$546="Ja")*($E$5:$E$546-$D$5:$D$546))*24/REGLER!$B$8,0))),"")</f>
        <v/>
      </c>
      <c r="N434" s="50" t="str">
        <f t="shared" si="88"/>
        <v>Klar</v>
      </c>
      <c r="O434" s="15" t="s">
        <v>154</v>
      </c>
      <c r="P434" s="16">
        <v>0.33333333333333298</v>
      </c>
      <c r="Q434" s="16">
        <v>0.79166666666666696</v>
      </c>
      <c r="R434" s="15">
        <f>IFERROR(MATCH(1,INDEX((MATCHER!$B$5:$B$504=A434)*(MATCHER!$D$5:$D$504=C434)*(MATCHER!$K$5:$K$504="Ja")*(MATCHER!$C$5:$C$504&lt;E434)*(MATCHER!$M$5:$M$504&gt;D434),0),0),"")</f>
        <v>157</v>
      </c>
      <c r="S434" s="15" t="str">
        <f>IF(R434="","",IFERROR(MATCH(1,INDEX((MATCHER!$B$5:$B$504=A434)*(MATCHER!$D$5:$D$504=C434)*(MATCHER!$K$5:$K$504="Ja")*(MATCHER!$C$5:$C$504&lt;E434)*(MATCHER!$M$5:$M$504&gt;D434)*(ROW(MATCHER!$A$5:$A$504)-ROW(MATCHER!$A$5)+1&gt;R434),0),0),""))</f>
        <v/>
      </c>
      <c r="T434" s="15" t="str">
        <f>IF(S434="","",IFERROR(MATCH(1,INDEX((MATCHER!$B$5:$B$504=A434)*(MATCHER!$D$5:$D$504=C434)*(MATCHER!$K$5:$K$504="Ja")*(MATCHER!$C$5:$C$504&lt;E434)*(MATCHER!$M$5:$M$504&gt;D434)*(ROW(MATCHER!$A$5:$A$504)-ROW(MATCHER!$A$5)+1&gt;S434),0),0),""))</f>
        <v/>
      </c>
      <c r="U434" s="15">
        <f t="shared" si="89"/>
        <v>0</v>
      </c>
      <c r="V434" s="15">
        <f>IF(OR(I434&lt;&gt;"Ja",J434=""),"",COUNTIFS($O$5:O434,O434,$U$5:U434,1))</f>
        <v>3</v>
      </c>
      <c r="W434" s="15" t="str">
        <f t="shared" si="90"/>
        <v>2027-02-13 | Ulriksdalshallen|3</v>
      </c>
      <c r="X434" s="16" t="str">
        <f t="shared" si="91"/>
        <v/>
      </c>
      <c r="Y434" s="15">
        <f>IF(OR(I434&lt;&gt;"Ja",J434=""),0,IF(COUNTIFS($O$5:O434,O434,$I$5:I434,"Ja",$J$5:J434,"&lt;&gt;")=1,1,0))</f>
        <v>0</v>
      </c>
      <c r="Z434" s="15">
        <f>IF(OR(I434&lt;&gt;"Ja",J434=""),0,IF(COUNTIFS(O434:$O$546,O434,I434:$I$546,"Ja",J434:$J$546,"&lt;&gt;")=1,1,0))</f>
        <v>0</v>
      </c>
      <c r="AA434" s="15">
        <f t="shared" si="96"/>
        <v>2</v>
      </c>
      <c r="AB434" s="15" t="str">
        <f>IF(U434&lt;&gt;1,"",COUNTIF($U$5:U434,1))</f>
        <v/>
      </c>
      <c r="AC434" s="15" t="str">
        <f t="shared" si="92"/>
        <v/>
      </c>
      <c r="AD434" s="15" t="str">
        <f t="shared" si="93"/>
        <v>Vanligt café</v>
      </c>
      <c r="AE434" s="15" t="str">
        <f t="shared" si="94"/>
        <v/>
      </c>
      <c r="AF434" t="str">
        <f>IF(T434="","",IFERROR(MATCH(1,INDEX((MATCHER!$B$5:$B$504=A434)*(MATCHER!$D$5:$D$504=C434)*(MATCHER!$K$5:$K$504="Ja")*(MATCHER!$C$5:$C$504&lt;E434)*(MATCHER!$M$5:$M$504&gt;D434)*(ROW(MATCHER!$A$5:$A$504)-ROW(MATCHER!$A$5)+1&gt;T434),0),0),""))</f>
        <v/>
      </c>
    </row>
    <row r="435" spans="1:32" ht="26">
      <c r="A435" s="42">
        <v>46431</v>
      </c>
      <c r="B435" s="43" t="s">
        <v>85</v>
      </c>
      <c r="C435" s="43" t="s">
        <v>86</v>
      </c>
      <c r="D435" s="44">
        <v>0.75</v>
      </c>
      <c r="E435" s="44">
        <v>0.77083333333333304</v>
      </c>
      <c r="F435" s="45" t="str">
        <f>IF(R435="","",HOUR(INDEX(MATCHER!$C$5:$C$504,R435))&amp;":"&amp;IF(MINUTE(INDEX(MATCHER!$C$5:$C$504,R435))&lt;10,"0","")&amp;MINUTE(INDEX(MATCHER!$C$5:$C$504,R435))&amp;" "&amp;INDEX(MATCHER!$H$5:$H$504,R435)&amp;" – "&amp;INDEX(MATCHER!$I$5:$I$504,R435))&amp;IF(S435="",""," | "&amp;HOUR(INDEX(MATCHER!$C$5:$C$504,S435))&amp;":"&amp;IF(MINUTE(INDEX(MATCHER!$C$5:$C$504,S435))&lt;10,"0","")&amp;MINUTE(INDEX(MATCHER!$C$5:$C$504,S435))&amp;" "&amp;INDEX(MATCHER!$H$5:$H$504,S435)&amp;" – "&amp;INDEX(MATCHER!$I$5:$I$504,S435))&amp;IF(T435="",""," | "&amp;HOUR(INDEX(MATCHER!$C$5:$C$504,T435))&amp;":"&amp;IF(MINUTE(INDEX(MATCHER!$C$5:$C$504,T435))&lt;10,"0","")&amp;MINUTE(INDEX(MATCHER!$C$5:$C$504,T435))&amp;" "&amp;INDEX(MATCHER!$H$5:$H$504,T435)&amp;" – "&amp;INDEX(MATCHER!$I$5:$I$504,T435))&amp;IF(AF435="",""," | "&amp;HOUR(INDEX(MATCHER!$C$5:$C$504,AF435))&amp;":"&amp;IF(MINUTE(INDEX(MATCHER!$C$5:$C$504,AF435))&lt;10,"0","")&amp;MINUTE(INDEX(MATCHER!$C$5:$C$504,AF435))&amp;" "&amp;INDEX(MATCHER!$H$5:$H$504,AF435)&amp;" – "&amp;INDEX(MATCHER!$I$5:$I$504,AF435))</f>
        <v>18:00 AIK – Haninge HK</v>
      </c>
      <c r="G435" s="45" t="str">
        <f>MID(IF(R435="","",IF(OR(INDEX(MATCHER!$J$5:$J$504,R435)=""),""," / "&amp;INDEX(MATCHER!$J$5:$J$504,R435)))&amp;IF(S435="","",IF(OR(INDEX(MATCHER!$J$5:$J$504,S435)="",INDEX(MATCHER!$J$5:$J$504,S435)=IFERROR(INDEX(MATCHER!$J$5:$J$504,R435),"")),""," / "&amp;INDEX(MATCHER!$J$5:$J$504,S435)))&amp;IF(T435="","",IF(OR(INDEX(MATCHER!$J$5:$J$504,T435)="",INDEX(MATCHER!$J$5:$J$504,T435)=IFERROR(INDEX(MATCHER!$J$5:$J$504,R435),""),INDEX(MATCHER!$J$5:$J$504,T435)=IFERROR(INDEX(MATCHER!$J$5:$J$504,S435),"")),""," / "&amp;INDEX(MATCHER!$J$5:$J$504,T435)))&amp;IF(AF435="","",IF(OR(INDEX(MATCHER!$J$5:$J$504,AF435)="",INDEX(MATCHER!$J$5:$J$504,AF435)=IFERROR(INDEX(MATCHER!$J$5:$J$504,R435),""),INDEX(MATCHER!$J$5:$J$504,AF435)=IFERROR(INDEX(MATCHER!$J$5:$J$504,S435),""),INDEX(MATCHER!$J$5:$J$504,AF435)=IFERROR(INDEX(MATCHER!$J$5:$J$504,T435),"")),""," / "&amp;INDEX(MATCHER!$J$5:$J$504,AF435))),4,1000)</f>
        <v>F13</v>
      </c>
      <c r="H435" s="45" t="str">
        <f t="shared" si="95"/>
        <v>F12, F13</v>
      </c>
      <c r="I435" s="46" t="s">
        <v>90</v>
      </c>
      <c r="J435" s="47" t="s">
        <v>97</v>
      </c>
      <c r="K435" s="48"/>
      <c r="L435" s="49"/>
      <c r="M435" s="50" t="str">
        <f>IF(O435&lt;&gt;O434,MAX(1,MIN(AA435,ROUNDUP(SUMPRODUCT(($O$5:$O$546=O435)*($I$5:$I$546="Ja")*($E$5:$E$546-$D$5:$D$546))*24/REGLER!$B$8,0))),"")</f>
        <v/>
      </c>
      <c r="N435" s="50" t="str">
        <f t="shared" si="88"/>
        <v>Klar</v>
      </c>
      <c r="O435" s="15" t="s">
        <v>154</v>
      </c>
      <c r="P435" s="16">
        <v>0.33333333333333298</v>
      </c>
      <c r="Q435" s="16">
        <v>0.79166666666666696</v>
      </c>
      <c r="R435" s="15">
        <f>IFERROR(MATCH(1,INDEX((MATCHER!$B$5:$B$504=A435)*(MATCHER!$D$5:$D$504=C435)*(MATCHER!$K$5:$K$504="Ja")*(MATCHER!$C$5:$C$504&lt;E435)*(MATCHER!$M$5:$M$504&gt;D435),0),0),"")</f>
        <v>158</v>
      </c>
      <c r="S435" s="15" t="str">
        <f>IF(R435="","",IFERROR(MATCH(1,INDEX((MATCHER!$B$5:$B$504=A435)*(MATCHER!$D$5:$D$504=C435)*(MATCHER!$K$5:$K$504="Ja")*(MATCHER!$C$5:$C$504&lt;E435)*(MATCHER!$M$5:$M$504&gt;D435)*(ROW(MATCHER!$A$5:$A$504)-ROW(MATCHER!$A$5)+1&gt;R435),0),0),""))</f>
        <v/>
      </c>
      <c r="T435" s="15" t="str">
        <f>IF(S435="","",IFERROR(MATCH(1,INDEX((MATCHER!$B$5:$B$504=A435)*(MATCHER!$D$5:$D$504=C435)*(MATCHER!$K$5:$K$504="Ja")*(MATCHER!$C$5:$C$504&lt;E435)*(MATCHER!$M$5:$M$504&gt;D435)*(ROW(MATCHER!$A$5:$A$504)-ROW(MATCHER!$A$5)+1&gt;S435),0),0),""))</f>
        <v/>
      </c>
      <c r="U435" s="15">
        <f t="shared" si="89"/>
        <v>0</v>
      </c>
      <c r="V435" s="15">
        <f>IF(OR(I435&lt;&gt;"Ja",J435=""),"",COUNTIFS($O$5:O435,O435,$U$5:U435,1))</f>
        <v>3</v>
      </c>
      <c r="W435" s="15" t="str">
        <f t="shared" si="90"/>
        <v>2027-02-13 | Ulriksdalshallen|3</v>
      </c>
      <c r="X435" s="16" t="str">
        <f t="shared" si="91"/>
        <v/>
      </c>
      <c r="Y435" s="15">
        <f>IF(OR(I435&lt;&gt;"Ja",J435=""),0,IF(COUNTIFS($O$5:O435,O435,$I$5:I435,"Ja",$J$5:J435,"&lt;&gt;")=1,1,0))</f>
        <v>0</v>
      </c>
      <c r="Z435" s="15">
        <f>IF(OR(I435&lt;&gt;"Ja",J435=""),0,IF(COUNTIFS(O435:$O$546,O435,I435:$I$546,"Ja",J435:$J$546,"&lt;&gt;")=1,1,0))</f>
        <v>0</v>
      </c>
      <c r="AA435" s="15">
        <f t="shared" si="96"/>
        <v>2</v>
      </c>
      <c r="AB435" s="15" t="str">
        <f>IF(U435&lt;&gt;1,"",COUNTIF($U$5:U435,1))</f>
        <v/>
      </c>
      <c r="AC435" s="15" t="str">
        <f t="shared" si="92"/>
        <v/>
      </c>
      <c r="AD435" s="15" t="str">
        <f t="shared" si="93"/>
        <v>Vanligt café</v>
      </c>
      <c r="AE435" s="15" t="str">
        <f t="shared" si="94"/>
        <v/>
      </c>
      <c r="AF435" t="str">
        <f>IF(T435="","",IFERROR(MATCH(1,INDEX((MATCHER!$B$5:$B$504=A435)*(MATCHER!$D$5:$D$504=C435)*(MATCHER!$K$5:$K$504="Ja")*(MATCHER!$C$5:$C$504&lt;E435)*(MATCHER!$M$5:$M$504&gt;D435)*(ROW(MATCHER!$A$5:$A$504)-ROW(MATCHER!$A$5)+1&gt;T435),0),0),""))</f>
        <v/>
      </c>
    </row>
    <row r="436" spans="1:32" ht="26.5" thickBot="1">
      <c r="A436" s="52">
        <v>46431</v>
      </c>
      <c r="B436" s="53" t="s">
        <v>85</v>
      </c>
      <c r="C436" s="53" t="s">
        <v>86</v>
      </c>
      <c r="D436" s="54">
        <v>0.77083333333333304</v>
      </c>
      <c r="E436" s="54">
        <v>0.79166666666666696</v>
      </c>
      <c r="F436" s="55" t="str">
        <f>IF(R436="","",HOUR(INDEX(MATCHER!$C$5:$C$504,R436))&amp;":"&amp;IF(MINUTE(INDEX(MATCHER!$C$5:$C$504,R436))&lt;10,"0","")&amp;MINUTE(INDEX(MATCHER!$C$5:$C$504,R436))&amp;" "&amp;INDEX(MATCHER!$H$5:$H$504,R436)&amp;" – "&amp;INDEX(MATCHER!$I$5:$I$504,R436))&amp;IF(S436="",""," | "&amp;HOUR(INDEX(MATCHER!$C$5:$C$504,S436))&amp;":"&amp;IF(MINUTE(INDEX(MATCHER!$C$5:$C$504,S436))&lt;10,"0","")&amp;MINUTE(INDEX(MATCHER!$C$5:$C$504,S436))&amp;" "&amp;INDEX(MATCHER!$H$5:$H$504,S436)&amp;" – "&amp;INDEX(MATCHER!$I$5:$I$504,S436))&amp;IF(T436="",""," | "&amp;HOUR(INDEX(MATCHER!$C$5:$C$504,T436))&amp;":"&amp;IF(MINUTE(INDEX(MATCHER!$C$5:$C$504,T436))&lt;10,"0","")&amp;MINUTE(INDEX(MATCHER!$C$5:$C$504,T436))&amp;" "&amp;INDEX(MATCHER!$H$5:$H$504,T436)&amp;" – "&amp;INDEX(MATCHER!$I$5:$I$504,T436))&amp;IF(AF436="",""," | "&amp;HOUR(INDEX(MATCHER!$C$5:$C$504,AF436))&amp;":"&amp;IF(MINUTE(INDEX(MATCHER!$C$5:$C$504,AF436))&lt;10,"0","")&amp;MINUTE(INDEX(MATCHER!$C$5:$C$504,AF436))&amp;" "&amp;INDEX(MATCHER!$H$5:$H$504,AF436)&amp;" – "&amp;INDEX(MATCHER!$I$5:$I$504,AF436))</f>
        <v>18:00 AIK – Haninge HK</v>
      </c>
      <c r="G436" s="55" t="str">
        <f>MID(IF(R436="","",IF(OR(INDEX(MATCHER!$J$5:$J$504,R436)=""),""," / "&amp;INDEX(MATCHER!$J$5:$J$504,R436)))&amp;IF(S436="","",IF(OR(INDEX(MATCHER!$J$5:$J$504,S436)="",INDEX(MATCHER!$J$5:$J$504,S436)=IFERROR(INDEX(MATCHER!$J$5:$J$504,R436),"")),""," / "&amp;INDEX(MATCHER!$J$5:$J$504,S436)))&amp;IF(T436="","",IF(OR(INDEX(MATCHER!$J$5:$J$504,T436)="",INDEX(MATCHER!$J$5:$J$504,T436)=IFERROR(INDEX(MATCHER!$J$5:$J$504,R436),""),INDEX(MATCHER!$J$5:$J$504,T436)=IFERROR(INDEX(MATCHER!$J$5:$J$504,S436),"")),""," / "&amp;INDEX(MATCHER!$J$5:$J$504,T436)))&amp;IF(AF436="","",IF(OR(INDEX(MATCHER!$J$5:$J$504,AF436)="",INDEX(MATCHER!$J$5:$J$504,AF436)=IFERROR(INDEX(MATCHER!$J$5:$J$504,R436),""),INDEX(MATCHER!$J$5:$J$504,AF436)=IFERROR(INDEX(MATCHER!$J$5:$J$504,S436),""),INDEX(MATCHER!$J$5:$J$504,AF436)=IFERROR(INDEX(MATCHER!$J$5:$J$504,T436),"")),""," / "&amp;INDEX(MATCHER!$J$5:$J$504,AF436))),4,1000)</f>
        <v>F13</v>
      </c>
      <c r="H436" s="55" t="str">
        <f t="shared" si="95"/>
        <v>F12, F13</v>
      </c>
      <c r="I436" s="56" t="s">
        <v>90</v>
      </c>
      <c r="J436" s="57" t="s">
        <v>97</v>
      </c>
      <c r="K436" s="58"/>
      <c r="L436" s="59"/>
      <c r="M436" s="60" t="str">
        <f>IF(O436&lt;&gt;O435,MAX(1,MIN(AA436,ROUNDUP(SUMPRODUCT(($O$5:$O$546=O436)*($I$5:$I$546="Ja")*($E$5:$E$546-$D$5:$D$546))*24/REGLER!$B$8,0))),"")</f>
        <v/>
      </c>
      <c r="N436" s="60" t="str">
        <f t="shared" si="88"/>
        <v>Klar</v>
      </c>
      <c r="O436" s="15" t="s">
        <v>154</v>
      </c>
      <c r="P436" s="16">
        <v>0.33333333333333298</v>
      </c>
      <c r="Q436" s="16">
        <v>0.79166666666666696</v>
      </c>
      <c r="R436" s="15">
        <f>IFERROR(MATCH(1,INDEX((MATCHER!$B$5:$B$504=A436)*(MATCHER!$D$5:$D$504=C436)*(MATCHER!$K$5:$K$504="Ja")*(MATCHER!$C$5:$C$504&lt;E436)*(MATCHER!$M$5:$M$504&gt;D436),0),0),"")</f>
        <v>158</v>
      </c>
      <c r="S436" s="15" t="str">
        <f>IF(R436="","",IFERROR(MATCH(1,INDEX((MATCHER!$B$5:$B$504=A436)*(MATCHER!$D$5:$D$504=C436)*(MATCHER!$K$5:$K$504="Ja")*(MATCHER!$C$5:$C$504&lt;E436)*(MATCHER!$M$5:$M$504&gt;D436)*(ROW(MATCHER!$A$5:$A$504)-ROW(MATCHER!$A$5)+1&gt;R436),0),0),""))</f>
        <v/>
      </c>
      <c r="T436" s="15" t="str">
        <f>IF(S436="","",IFERROR(MATCH(1,INDEX((MATCHER!$B$5:$B$504=A436)*(MATCHER!$D$5:$D$504=C436)*(MATCHER!$K$5:$K$504="Ja")*(MATCHER!$C$5:$C$504&lt;E436)*(MATCHER!$M$5:$M$504&gt;D436)*(ROW(MATCHER!$A$5:$A$504)-ROW(MATCHER!$A$5)+1&gt;S436),0),0),""))</f>
        <v/>
      </c>
      <c r="U436" s="15">
        <f t="shared" si="89"/>
        <v>0</v>
      </c>
      <c r="V436" s="15">
        <f>IF(OR(I436&lt;&gt;"Ja",J436=""),"",COUNTIFS($O$5:O436,O436,$U$5:U436,1))</f>
        <v>3</v>
      </c>
      <c r="W436" s="15" t="str">
        <f t="shared" si="90"/>
        <v>2027-02-13 | Ulriksdalshallen|3</v>
      </c>
      <c r="X436" s="16">
        <f t="shared" si="91"/>
        <v>0.79166666666666696</v>
      </c>
      <c r="Y436" s="15">
        <f>IF(OR(I436&lt;&gt;"Ja",J436=""),0,IF(COUNTIFS($O$5:O436,O436,$I$5:I436,"Ja",$J$5:J436,"&lt;&gt;")=1,1,0))</f>
        <v>0</v>
      </c>
      <c r="Z436" s="15">
        <f>IF(OR(I436&lt;&gt;"Ja",J436=""),0,IF(COUNTIFS(O436:$O$546,O436,I436:$I$546,"Ja",J436:$J$546,"&lt;&gt;")=1,1,0))</f>
        <v>1</v>
      </c>
      <c r="AA436" s="15">
        <f t="shared" si="96"/>
        <v>2</v>
      </c>
      <c r="AB436" s="15" t="str">
        <f>IF(U436&lt;&gt;1,"",COUNTIF($U$5:U436,1))</f>
        <v/>
      </c>
      <c r="AC436" s="15" t="str">
        <f t="shared" si="92"/>
        <v>2027-02-13 | Ulriksdalshallen|3</v>
      </c>
      <c r="AD436" s="15" t="str">
        <f t="shared" si="93"/>
        <v>Vanligt café</v>
      </c>
      <c r="AE436" s="15" t="str">
        <f t="shared" si="94"/>
        <v/>
      </c>
      <c r="AF436" t="str">
        <f>IF(T436="","",IFERROR(MATCH(1,INDEX((MATCHER!$B$5:$B$504=A436)*(MATCHER!$D$5:$D$504=C436)*(MATCHER!$K$5:$K$504="Ja")*(MATCHER!$C$5:$C$504&lt;E436)*(MATCHER!$M$5:$M$504&gt;D436)*(ROW(MATCHER!$A$5:$A$504)-ROW(MATCHER!$A$5)+1&gt;T436),0),0),""))</f>
        <v/>
      </c>
    </row>
    <row r="437" spans="1:32" ht="13">
      <c r="A437" s="42">
        <v>46434</v>
      </c>
      <c r="B437" s="43" t="s">
        <v>104</v>
      </c>
      <c r="C437" s="43" t="s">
        <v>94</v>
      </c>
      <c r="D437" s="44">
        <v>0.83333333333333304</v>
      </c>
      <c r="E437" s="44">
        <v>0.85416666666666696</v>
      </c>
      <c r="F437" s="45" t="str">
        <f>IF(R437="","",HOUR(INDEX(MATCHER!$C$5:$C$504,R437))&amp;":"&amp;IF(MINUTE(INDEX(MATCHER!$C$5:$C$504,R437))&lt;10,"0","")&amp;MINUTE(INDEX(MATCHER!$C$5:$C$504,R437))&amp;" "&amp;INDEX(MATCHER!$H$5:$H$504,R437)&amp;" – "&amp;INDEX(MATCHER!$I$5:$I$504,R437))&amp;IF(S437="",""," | "&amp;HOUR(INDEX(MATCHER!$C$5:$C$504,S437))&amp;":"&amp;IF(MINUTE(INDEX(MATCHER!$C$5:$C$504,S437))&lt;10,"0","")&amp;MINUTE(INDEX(MATCHER!$C$5:$C$504,S437))&amp;" "&amp;INDEX(MATCHER!$H$5:$H$504,S437)&amp;" – "&amp;INDEX(MATCHER!$I$5:$I$504,S437))&amp;IF(T437="",""," | "&amp;HOUR(INDEX(MATCHER!$C$5:$C$504,T437))&amp;":"&amp;IF(MINUTE(INDEX(MATCHER!$C$5:$C$504,T437))&lt;10,"0","")&amp;MINUTE(INDEX(MATCHER!$C$5:$C$504,T437))&amp;" "&amp;INDEX(MATCHER!$H$5:$H$504,T437)&amp;" – "&amp;INDEX(MATCHER!$I$5:$I$504,T437))&amp;IF(AF437="",""," | "&amp;HOUR(INDEX(MATCHER!$C$5:$C$504,AF437))&amp;":"&amp;IF(MINUTE(INDEX(MATCHER!$C$5:$C$504,AF437))&lt;10,"0","")&amp;MINUTE(INDEX(MATCHER!$C$5:$C$504,AF437))&amp;" "&amp;INDEX(MATCHER!$H$5:$H$504,AF437)&amp;" – "&amp;INDEX(MATCHER!$I$5:$I$504,AF437))</f>
        <v/>
      </c>
      <c r="G437" s="45" t="str">
        <f>MID(IF(R437="","",IF(OR(INDEX(MATCHER!$J$5:$J$504,R437)=""),""," / "&amp;INDEX(MATCHER!$J$5:$J$504,R437)))&amp;IF(S437="","",IF(OR(INDEX(MATCHER!$J$5:$J$504,S437)="",INDEX(MATCHER!$J$5:$J$504,S437)=IFERROR(INDEX(MATCHER!$J$5:$J$504,R437),"")),""," / "&amp;INDEX(MATCHER!$J$5:$J$504,S437)))&amp;IF(T437="","",IF(OR(INDEX(MATCHER!$J$5:$J$504,T437)="",INDEX(MATCHER!$J$5:$J$504,T437)=IFERROR(INDEX(MATCHER!$J$5:$J$504,R437),""),INDEX(MATCHER!$J$5:$J$504,T437)=IFERROR(INDEX(MATCHER!$J$5:$J$504,S437),"")),""," / "&amp;INDEX(MATCHER!$J$5:$J$504,T437)))&amp;IF(AF437="","",IF(OR(INDEX(MATCHER!$J$5:$J$504,AF437)="",INDEX(MATCHER!$J$5:$J$504,AF437)=IFERROR(INDEX(MATCHER!$J$5:$J$504,R437),""),INDEX(MATCHER!$J$5:$J$504,AF437)=IFERROR(INDEX(MATCHER!$J$5:$J$504,S437),""),INDEX(MATCHER!$J$5:$J$504,AF437)=IFERROR(INDEX(MATCHER!$J$5:$J$504,T437),"")),""," / "&amp;INDEX(MATCHER!$J$5:$J$504,AF437))),4,1000)</f>
        <v/>
      </c>
      <c r="H437" s="45" t="str">
        <f>MID(IF(COUNTIFS(MATCHER!$B$5:$B$504,A437,MATCHER!$D$5:$D$504,C437,MATCHER!$J$5:$J$504,REGLER!$I$6,MATCHER!$K$5:$K$504,"Ja")+COUNTIFS(MATCHER!$B$5:$B$504,A437,MATCHER!$D$5:$D$504,C437,MATCHER!$J$5:$J$504,REGLER!$I$6&amp;" 2",MATCHER!$K$5:$K$504,"Ja")&gt;0,", "&amp;REGLER!$I$6,"")&amp;IF(COUNTIFS(MATCHER!$B$5:$B$504,A437,MATCHER!$D$5:$D$504,C437,MATCHER!$J$5:$J$504,REGLER!$I$7,MATCHER!$K$5:$K$504,"Ja")+COUNTIFS(MATCHER!$B$5:$B$504,A437,MATCHER!$D$5:$D$504,C437,MATCHER!$J$5:$J$504,REGLER!$I$7&amp;" 2",MATCHER!$K$5:$K$504,"Ja")&gt;0,", "&amp;REGLER!$I$7,"")&amp;IF(COUNTIFS(MATCHER!$B$5:$B$504,A437,MATCHER!$D$5:$D$504,C437,MATCHER!$J$5:$J$504,REGLER!$I$8,MATCHER!$K$5:$K$504,"Ja")+COUNTIFS(MATCHER!$B$5:$B$504,A437,MATCHER!$D$5:$D$504,C437,MATCHER!$J$5:$J$504,REGLER!$I$8&amp;" 2",MATCHER!$K$5:$K$504,"Ja")&gt;0,", "&amp;REGLER!$I$8,"")&amp;IF(COUNTIFS(MATCHER!$B$5:$B$504,A437,MATCHER!$D$5:$D$504,C437,MATCHER!$J$5:$J$504,REGLER!$I$9,MATCHER!$K$5:$K$504,"Ja")+COUNTIFS(MATCHER!$B$5:$B$504,A437,MATCHER!$D$5:$D$504,C437,MATCHER!$J$5:$J$504,REGLER!$I$9&amp;" 2",MATCHER!$K$5:$K$504,"Ja")&gt;0,", "&amp;REGLER!$I$9,"")&amp;IF(COUNTIFS(MATCHER!$B$5:$B$504,A437,MATCHER!$D$5:$D$504,C437,MATCHER!$J$5:$J$504,REGLER!$I$10,MATCHER!$K$5:$K$504,"Ja")+COUNTIFS(MATCHER!$B$5:$B$504,A437,MATCHER!$D$5:$D$504,C437,MATCHER!$J$5:$J$504,REGLER!$I$10&amp;" 2",MATCHER!$K$5:$K$504,"Ja")&gt;0,", "&amp;REGLER!$I$10,"")&amp;IF(COUNTIFS(MATCHER!$B$5:$B$504,A437,MATCHER!$D$5:$D$504,C437,MATCHER!$J$5:$J$504,REGLER!$I$11,MATCHER!$K$5:$K$504,"Ja")+COUNTIFS(MATCHER!$B$5:$B$504,A437,MATCHER!$D$5:$D$504,C437,MATCHER!$J$5:$J$504,REGLER!$I$11&amp;" 2",MATCHER!$K$5:$K$504,"Ja")&gt;0,", "&amp;REGLER!$I$11,"")&amp;IF(COUNTIFS(MATCHER!$B$5:$B$504,A437,MATCHER!$D$5:$D$504,C437,MATCHER!$J$5:$J$504,REGLER!$I$12,MATCHER!$K$5:$K$504,"Ja")+COUNTIFS(MATCHER!$B$5:$B$504,A437,MATCHER!$D$5:$D$504,C437,MATCHER!$J$5:$J$504,REGLER!$I$12&amp;" 2",MATCHER!$K$5:$K$504,"Ja")&gt;0,", "&amp;REGLER!$I$12,"")&amp;IF(COUNTIFS(MATCHER!$B$5:$B$504,A437,MATCHER!$D$5:$D$504,C437,MATCHER!$J$5:$J$504,REGLER!$I$13,MATCHER!$K$5:$K$504,"Ja")+COUNTIFS(MATCHER!$B$5:$B$504,A437,MATCHER!$D$5:$D$504,C437,MATCHER!$J$5:$J$504,REGLER!$I$13&amp;" 2",MATCHER!$K$5:$K$504,"Ja")&gt;0,", "&amp;REGLER!$I$13,"")&amp;IF(COUNTIFS(MATCHER!$B$5:$B$504,A437,MATCHER!$D$5:$D$504,C437,MATCHER!$J$5:$J$504,REGLER!$I$14,MATCHER!$K$5:$K$504,"Ja")+COUNTIFS(MATCHER!$B$5:$B$504,A437,MATCHER!$D$5:$D$504,C437,MATCHER!$J$5:$J$504,REGLER!$I$14&amp;" 2",MATCHER!$K$5:$K$504,"Ja")&gt;0,", "&amp;REGLER!$I$14,"")&amp;IF(COUNTIFS(MATCHER!$B$5:$B$504,A437,MATCHER!$D$5:$D$504,C437,MATCHER!$J$5:$J$504,REGLER!$I$15,MATCHER!$K$5:$K$504,"Ja")+COUNTIFS(MATCHER!$B$5:$B$504,A437,MATCHER!$D$5:$D$504,C437,MATCHER!$J$5:$J$504,REGLER!$I$15&amp;" 2",MATCHER!$K$5:$K$504,"Ja")&gt;0,", "&amp;REGLER!$I$15,"")&amp;IF(COUNTIFS(MATCHER!$B$5:$B$504,A437,MATCHER!$D$5:$D$504,C437,MATCHER!$J$5:$J$504,REGLER!$I$16,MATCHER!$K$5:$K$504,"Ja")+COUNTIFS(MATCHER!$B$5:$B$504,A437,MATCHER!$D$5:$D$504,C437,MATCHER!$J$5:$J$504,REGLER!$I$16&amp;" 2",MATCHER!$K$5:$K$504,"Ja")&gt;0,", "&amp;REGLER!$I$16,"")&amp;IF(COUNTIFS(MATCHER!$B$5:$B$504,A437,MATCHER!$D$5:$D$504,C437,MATCHER!$J$5:$J$504,REGLER!$I$17,MATCHER!$K$5:$K$504,"Ja")+COUNTIFS(MATCHER!$B$5:$B$504,A437,MATCHER!$D$5:$D$504,C437,MATCHER!$J$5:$J$504,REGLER!$I$17&amp;" 2",MATCHER!$K$5:$K$504,"Ja")&gt;0,", "&amp;REGLER!$I$17,"")&amp;IF(COUNTIFS(MATCHER!$B$5:$B$504,A437,MATCHER!$D$5:$D$504,C437,MATCHER!$J$5:$J$504,REGLER!$I$18,MATCHER!$K$5:$K$504,"Ja")+COUNTIFS(MATCHER!$B$5:$B$504,A437,MATCHER!$D$5:$D$504,C437,MATCHER!$J$5:$J$504,REGLER!$I$18&amp;" 2",MATCHER!$K$5:$K$504,"Ja")&gt;0,", "&amp;REGLER!$I$18,"")&amp;IF(COUNTIFS(MATCHER!$B$5:$B$504,A437,MATCHER!$D$5:$D$504,C437,MATCHER!$J$5:$J$504,REGLER!$I$19,MATCHER!$K$5:$K$504,"Ja")+COUNTIFS(MATCHER!$B$5:$B$504,A437,MATCHER!$D$5:$D$504,C437,MATCHER!$J$5:$J$504,REGLER!$I$19&amp;" 2",MATCHER!$K$5:$K$504,"Ja")&gt;0,", "&amp;REGLER!$I$19,"")&amp;IF(COUNTIFS(MATCHER!$B$5:$B$504,A437,MATCHER!$D$5:$D$504,C437,MATCHER!$J$5:$J$504,REGLER!$I$20,MATCHER!$K$5:$K$504,"Ja")+COUNTIFS(MATCHER!$B$5:$B$504,A437,MATCHER!$D$5:$D$504,C437,MATCHER!$J$5:$J$504,REGLER!$I$20&amp;" 2",MATCHER!$K$5:$K$504,"Ja")&gt;0,", "&amp;REGLER!$I$20,"")&amp;IF(COUNTIFS(MATCHER!$B$5:$B$504,A437,MATCHER!$D$5:$D$504,C437,MATCHER!$J$5:$J$504,REGLER!$I$21,MATCHER!$K$5:$K$504,"Ja")+COUNTIFS(MATCHER!$B$5:$B$504,A437,MATCHER!$D$5:$D$504,C437,MATCHER!$J$5:$J$504,REGLER!$I$21&amp;" 2",MATCHER!$K$5:$K$504,"Ja")&gt;0,", "&amp;REGLER!$I$21,"")&amp;IF(COUNTIFS(MATCHER!$B$5:$B$504,A437,MATCHER!$D$5:$D$504,C437,MATCHER!$J$5:$J$504,REGLER!$I$22,MATCHER!$K$5:$K$504,"Ja")+COUNTIFS(MATCHER!$B$5:$B$504,A437,MATCHER!$D$5:$D$504,C437,MATCHER!$J$5:$J$504,REGLER!$I$22&amp;" 2",MATCHER!$K$5:$K$504,"Ja")&gt;0,", "&amp;REGLER!$I$22,"")&amp;IF(COUNTIFS(MATCHER!$B$5:$B$504,A437,MATCHER!$D$5:$D$504,C437,MATCHER!$J$5:$J$504,REGLER!$I$23,MATCHER!$K$5:$K$504,"Ja")+COUNTIFS(MATCHER!$B$5:$B$504,A437,MATCHER!$D$5:$D$504,C437,MATCHER!$J$5:$J$504,REGLER!$I$23&amp;" 2",MATCHER!$K$5:$K$504,"Ja")&gt;0,", "&amp;REGLER!$I$23,"")&amp;IF(COUNTIFS(MATCHER!$B$5:$B$504,A437,MATCHER!$D$5:$D$504,C437,MATCHER!$J$5:$J$504,REGLER!$I$24,MATCHER!$K$5:$K$504,"Ja")+COUNTIFS(MATCHER!$B$5:$B$504,A437,MATCHER!$D$5:$D$504,C437,MATCHER!$J$5:$J$504,REGLER!$I$24&amp;" 2",MATCHER!$K$5:$K$504,"Ja")&gt;0,", "&amp;REGLER!$I$24,"")&amp;IF(COUNTIFS(MATCHER!$B$5:$B$504,A437,MATCHER!$D$5:$D$504,C437,MATCHER!$J$5:$J$504,REGLER!$I$25,MATCHER!$K$5:$K$504,"Ja")+COUNTIFS(MATCHER!$B$5:$B$504,A437,MATCHER!$D$5:$D$504,C437,MATCHER!$J$5:$J$504,REGLER!$I$25&amp;" 2",MATCHER!$K$5:$K$504,"Ja")&gt;0,", "&amp;REGLER!$I$25,"")&amp;IF(COUNTIFS(MATCHER!$B$5:$B$504,A437,MATCHER!$D$5:$D$504,C437,MATCHER!$J$5:$J$504,REGLER!$I$26,MATCHER!$K$5:$K$504,"Ja")+COUNTIFS(MATCHER!$B$5:$B$504,A437,MATCHER!$D$5:$D$504,C437,MATCHER!$J$5:$J$504,REGLER!$I$26&amp;" 2",MATCHER!$K$5:$K$504,"Ja")&gt;0,", "&amp;REGLER!$I$26,""),3,1000)</f>
        <v>F19</v>
      </c>
      <c r="I437" s="46" t="s">
        <v>90</v>
      </c>
      <c r="J437" s="47" t="s">
        <v>105</v>
      </c>
      <c r="K437" s="48" t="s">
        <v>98</v>
      </c>
      <c r="L437" s="49"/>
      <c r="M437" s="50">
        <f>IF(O437&lt;&gt;O436,MAX(1,MIN(AA437,ROUNDUP(SUMPRODUCT(($O$5:$O$546=O437)*($I$5:$I$546="Ja")*($E$5:$E$546-$D$5:$D$546))*24/REGLER!$B$8,0))),"")</f>
        <v>1</v>
      </c>
      <c r="N437" s="50" t="str">
        <f t="shared" si="88"/>
        <v>Klar</v>
      </c>
      <c r="O437" s="15" t="s">
        <v>155</v>
      </c>
      <c r="P437" s="16">
        <v>0.83333333333333304</v>
      </c>
      <c r="Q437" s="16">
        <v>0.91666666666666696</v>
      </c>
      <c r="R437" s="15" t="str">
        <f>IFERROR(MATCH(1,INDEX((MATCHER!$B$5:$B$504=A437)*(MATCHER!$D$5:$D$504=C437)*(MATCHER!$K$5:$K$504="Ja")*(MATCHER!$C$5:$C$504&lt;E437)*(MATCHER!$M$5:$M$504&gt;D437),0),0),"")</f>
        <v/>
      </c>
      <c r="S437" s="15" t="str">
        <f>IF(R437="","",IFERROR(MATCH(1,INDEX((MATCHER!$B$5:$B$504=A437)*(MATCHER!$D$5:$D$504=C437)*(MATCHER!$K$5:$K$504="Ja")*(MATCHER!$C$5:$C$504&lt;E437)*(MATCHER!$M$5:$M$504&gt;D437)*(ROW(MATCHER!$A$5:$A$504)-ROW(MATCHER!$A$5)+1&gt;R437),0),0),""))</f>
        <v/>
      </c>
      <c r="T437" s="15" t="str">
        <f>IF(S437="","",IFERROR(MATCH(1,INDEX((MATCHER!$B$5:$B$504=A437)*(MATCHER!$D$5:$D$504=C437)*(MATCHER!$K$5:$K$504="Ja")*(MATCHER!$C$5:$C$504&lt;E437)*(MATCHER!$M$5:$M$504&gt;D437)*(ROW(MATCHER!$A$5:$A$504)-ROW(MATCHER!$A$5)+1&gt;S437),0),0),""))</f>
        <v/>
      </c>
      <c r="U437" s="15">
        <f t="shared" si="89"/>
        <v>1</v>
      </c>
      <c r="V437" s="15">
        <f>IF(OR(I437&lt;&gt;"Ja",J437=""),"",COUNTIFS($O$5:O437,O437,$U$5:U437,1))</f>
        <v>1</v>
      </c>
      <c r="W437" s="15" t="str">
        <f t="shared" si="90"/>
        <v>2027-02-16 | Råsta Park|1</v>
      </c>
      <c r="X437" s="16" t="str">
        <f t="shared" si="91"/>
        <v/>
      </c>
      <c r="Y437" s="15">
        <f>IF(OR(I437&lt;&gt;"Ja",J437=""),0,IF(COUNTIFS($O$5:O437,O437,$I$5:I437,"Ja",$J$5:J437,"&lt;&gt;")=1,1,0))</f>
        <v>1</v>
      </c>
      <c r="Z437" s="15">
        <f>IF(OR(I437&lt;&gt;"Ja",J437=""),0,IF(COUNTIFS(O437:$O$546,O437,I437:$I$546,"Ja",J437:$J$546,"&lt;&gt;")=1,1,0))</f>
        <v>0</v>
      </c>
      <c r="AA437" s="15">
        <f>IF(COUNTIFS(MATCHER!$B$5:$B$504,A437,MATCHER!$D$5:$D$504,C437,MATCHER!$J$5:$J$504,REGLER!$I$6,MATCHER!$K$5:$K$504,"Ja")+COUNTIFS(MATCHER!$B$5:$B$504,A437,MATCHER!$D$5:$D$504,C437,MATCHER!$J$5:$J$504,REGLER!$I$6&amp;" 2",MATCHER!$K$5:$K$504,"Ja")&gt;0,1,0)+IF(COUNTIFS(MATCHER!$B$5:$B$504,A437,MATCHER!$D$5:$D$504,C437,MATCHER!$J$5:$J$504,REGLER!$I$7,MATCHER!$K$5:$K$504,"Ja")+COUNTIFS(MATCHER!$B$5:$B$504,A437,MATCHER!$D$5:$D$504,C437,MATCHER!$J$5:$J$504,REGLER!$I$7&amp;" 2",MATCHER!$K$5:$K$504,"Ja")&gt;0,1,0)+IF(COUNTIFS(MATCHER!$B$5:$B$504,A437,MATCHER!$D$5:$D$504,C437,MATCHER!$J$5:$J$504,REGLER!$I$8,MATCHER!$K$5:$K$504,"Ja")+COUNTIFS(MATCHER!$B$5:$B$504,A437,MATCHER!$D$5:$D$504,C437,MATCHER!$J$5:$J$504,REGLER!$I$8&amp;" 2",MATCHER!$K$5:$K$504,"Ja")&gt;0,1,0)+IF(COUNTIFS(MATCHER!$B$5:$B$504,A437,MATCHER!$D$5:$D$504,C437,MATCHER!$J$5:$J$504,REGLER!$I$9,MATCHER!$K$5:$K$504,"Ja")+COUNTIFS(MATCHER!$B$5:$B$504,A437,MATCHER!$D$5:$D$504,C437,MATCHER!$J$5:$J$504,REGLER!$I$9&amp;" 2",MATCHER!$K$5:$K$504,"Ja")&gt;0,1,0)+IF(COUNTIFS(MATCHER!$B$5:$B$504,A437,MATCHER!$D$5:$D$504,C437,MATCHER!$J$5:$J$504,REGLER!$I$10,MATCHER!$K$5:$K$504,"Ja")+COUNTIFS(MATCHER!$B$5:$B$504,A437,MATCHER!$D$5:$D$504,C437,MATCHER!$J$5:$J$504,REGLER!$I$10&amp;" 2",MATCHER!$K$5:$K$504,"Ja")&gt;0,1,0)+IF(COUNTIFS(MATCHER!$B$5:$B$504,A437,MATCHER!$D$5:$D$504,C437,MATCHER!$J$5:$J$504,REGLER!$I$11,MATCHER!$K$5:$K$504,"Ja")+COUNTIFS(MATCHER!$B$5:$B$504,A437,MATCHER!$D$5:$D$504,C437,MATCHER!$J$5:$J$504,REGLER!$I$11&amp;" 2",MATCHER!$K$5:$K$504,"Ja")&gt;0,1,0)+IF(COUNTIFS(MATCHER!$B$5:$B$504,A437,MATCHER!$D$5:$D$504,C437,MATCHER!$J$5:$J$504,REGLER!$I$12,MATCHER!$K$5:$K$504,"Ja")+COUNTIFS(MATCHER!$B$5:$B$504,A437,MATCHER!$D$5:$D$504,C437,MATCHER!$J$5:$J$504,REGLER!$I$12&amp;" 2",MATCHER!$K$5:$K$504,"Ja")&gt;0,1,0)+IF(COUNTIFS(MATCHER!$B$5:$B$504,A437,MATCHER!$D$5:$D$504,C437,MATCHER!$J$5:$J$504,REGLER!$I$13,MATCHER!$K$5:$K$504,"Ja")+COUNTIFS(MATCHER!$B$5:$B$504,A437,MATCHER!$D$5:$D$504,C437,MATCHER!$J$5:$J$504,REGLER!$I$13&amp;" 2",MATCHER!$K$5:$K$504,"Ja")&gt;0,1,0)+IF(COUNTIFS(MATCHER!$B$5:$B$504,A437,MATCHER!$D$5:$D$504,C437,MATCHER!$J$5:$J$504,REGLER!$I$14,MATCHER!$K$5:$K$504,"Ja")+COUNTIFS(MATCHER!$B$5:$B$504,A437,MATCHER!$D$5:$D$504,C437,MATCHER!$J$5:$J$504,REGLER!$I$14&amp;" 2",MATCHER!$K$5:$K$504,"Ja")&gt;0,1,0)+IF(COUNTIFS(MATCHER!$B$5:$B$504,A437,MATCHER!$D$5:$D$504,C437,MATCHER!$J$5:$J$504,REGLER!$I$15,MATCHER!$K$5:$K$504,"Ja")+COUNTIFS(MATCHER!$B$5:$B$504,A437,MATCHER!$D$5:$D$504,C437,MATCHER!$J$5:$J$504,REGLER!$I$15&amp;" 2",MATCHER!$K$5:$K$504,"Ja")&gt;0,1,0)+IF(COUNTIFS(MATCHER!$B$5:$B$504,A437,MATCHER!$D$5:$D$504,C437,MATCHER!$J$5:$J$504,REGLER!$I$16,MATCHER!$K$5:$K$504,"Ja")+COUNTIFS(MATCHER!$B$5:$B$504,A437,MATCHER!$D$5:$D$504,C437,MATCHER!$J$5:$J$504,REGLER!$I$16&amp;" 2",MATCHER!$K$5:$K$504,"Ja")&gt;0,1,0)+IF(COUNTIFS(MATCHER!$B$5:$B$504,A437,MATCHER!$D$5:$D$504,C437,MATCHER!$J$5:$J$504,REGLER!$I$17,MATCHER!$K$5:$K$504,"Ja")+COUNTIFS(MATCHER!$B$5:$B$504,A437,MATCHER!$D$5:$D$504,C437,MATCHER!$J$5:$J$504,REGLER!$I$17&amp;" 2",MATCHER!$K$5:$K$504,"Ja")&gt;0,1,0)+IF(COUNTIFS(MATCHER!$B$5:$B$504,A437,MATCHER!$D$5:$D$504,C437,MATCHER!$J$5:$J$504,REGLER!$I$18,MATCHER!$K$5:$K$504,"Ja")+COUNTIFS(MATCHER!$B$5:$B$504,A437,MATCHER!$D$5:$D$504,C437,MATCHER!$J$5:$J$504,REGLER!$I$18&amp;" 2",MATCHER!$K$5:$K$504,"Ja")&gt;0,1,0)+IF(COUNTIFS(MATCHER!$B$5:$B$504,A437,MATCHER!$D$5:$D$504,C437,MATCHER!$J$5:$J$504,REGLER!$I$19,MATCHER!$K$5:$K$504,"Ja")+COUNTIFS(MATCHER!$B$5:$B$504,A437,MATCHER!$D$5:$D$504,C437,MATCHER!$J$5:$J$504,REGLER!$I$19&amp;" 2",MATCHER!$K$5:$K$504,"Ja")&gt;0,1,0)+IF(COUNTIFS(MATCHER!$B$5:$B$504,A437,MATCHER!$D$5:$D$504,C437,MATCHER!$J$5:$J$504,REGLER!$I$20,MATCHER!$K$5:$K$504,"Ja")+COUNTIFS(MATCHER!$B$5:$B$504,A437,MATCHER!$D$5:$D$504,C437,MATCHER!$J$5:$J$504,REGLER!$I$20&amp;" 2",MATCHER!$K$5:$K$504,"Ja")&gt;0,1,0)+IF(COUNTIFS(MATCHER!$B$5:$B$504,A437,MATCHER!$D$5:$D$504,C437,MATCHER!$J$5:$J$504,REGLER!$I$21,MATCHER!$K$5:$K$504,"Ja")+COUNTIFS(MATCHER!$B$5:$B$504,A437,MATCHER!$D$5:$D$504,C437,MATCHER!$J$5:$J$504,REGLER!$I$21&amp;" 2",MATCHER!$K$5:$K$504,"Ja")&gt;0,1,0)+IF(COUNTIFS(MATCHER!$B$5:$B$504,A437,MATCHER!$D$5:$D$504,C437,MATCHER!$J$5:$J$504,REGLER!$I$22,MATCHER!$K$5:$K$504,"Ja")+COUNTIFS(MATCHER!$B$5:$B$504,A437,MATCHER!$D$5:$D$504,C437,MATCHER!$J$5:$J$504,REGLER!$I$22&amp;" 2",MATCHER!$K$5:$K$504,"Ja")&gt;0,1,0)+IF(COUNTIFS(MATCHER!$B$5:$B$504,A437,MATCHER!$D$5:$D$504,C437,MATCHER!$J$5:$J$504,REGLER!$I$23,MATCHER!$K$5:$K$504,"Ja")+COUNTIFS(MATCHER!$B$5:$B$504,A437,MATCHER!$D$5:$D$504,C437,MATCHER!$J$5:$J$504,REGLER!$I$23&amp;" 2",MATCHER!$K$5:$K$504,"Ja")&gt;0,1,0)+IF(COUNTIFS(MATCHER!$B$5:$B$504,A437,MATCHER!$D$5:$D$504,C437,MATCHER!$J$5:$J$504,REGLER!$I$24,MATCHER!$K$5:$K$504,"Ja")+COUNTIFS(MATCHER!$B$5:$B$504,A437,MATCHER!$D$5:$D$504,C437,MATCHER!$J$5:$J$504,REGLER!$I$24&amp;" 2",MATCHER!$K$5:$K$504,"Ja")&gt;0,1,0)+IF(COUNTIFS(MATCHER!$B$5:$B$504,A437,MATCHER!$D$5:$D$504,C437,MATCHER!$J$5:$J$504,REGLER!$I$25,MATCHER!$K$5:$K$504,"Ja")+COUNTIFS(MATCHER!$B$5:$B$504,A437,MATCHER!$D$5:$D$504,C437,MATCHER!$J$5:$J$504,REGLER!$I$25&amp;" 2",MATCHER!$K$5:$K$504,"Ja")&gt;0,1,0)+IF(COUNTIFS(MATCHER!$B$5:$B$504,A437,MATCHER!$D$5:$D$504,C437,MATCHER!$J$5:$J$504,REGLER!$I$26,MATCHER!$K$5:$K$504,"Ja")+COUNTIFS(MATCHER!$B$5:$B$504,A437,MATCHER!$D$5:$D$504,C437,MATCHER!$J$5:$J$504,REGLER!$I$26&amp;" 2",MATCHER!$K$5:$K$504,"Ja")&gt;0,1,0)</f>
        <v>1</v>
      </c>
      <c r="AB437" s="15">
        <f>IF(U437&lt;&gt;1,"",COUNTIF($U$5:U437,1))</f>
        <v>71</v>
      </c>
      <c r="AC437" s="15" t="str">
        <f t="shared" si="92"/>
        <v/>
      </c>
      <c r="AD437" s="15" t="str">
        <f t="shared" si="93"/>
        <v>Minicafé</v>
      </c>
      <c r="AE437" s="15">
        <f t="shared" si="94"/>
        <v>2.0000000000000142</v>
      </c>
      <c r="AF437" t="str">
        <f>IF(T437="","",IFERROR(MATCH(1,INDEX((MATCHER!$B$5:$B$504=A437)*(MATCHER!$D$5:$D$504=C437)*(MATCHER!$K$5:$K$504="Ja")*(MATCHER!$C$5:$C$504&lt;E437)*(MATCHER!$M$5:$M$504&gt;D437)*(ROW(MATCHER!$A$5:$A$504)-ROW(MATCHER!$A$5)+1&gt;T437),0),0),""))</f>
        <v/>
      </c>
    </row>
    <row r="438" spans="1:32" ht="13">
      <c r="A438" s="42">
        <v>46434</v>
      </c>
      <c r="B438" s="43" t="s">
        <v>104</v>
      </c>
      <c r="C438" s="43" t="s">
        <v>94</v>
      </c>
      <c r="D438" s="44">
        <v>0.85416666666666696</v>
      </c>
      <c r="E438" s="44">
        <v>0.875</v>
      </c>
      <c r="F438" s="45" t="str">
        <f>IF(R438="","",HOUR(INDEX(MATCHER!$C$5:$C$504,R438))&amp;":"&amp;IF(MINUTE(INDEX(MATCHER!$C$5:$C$504,R438))&lt;10,"0","")&amp;MINUTE(INDEX(MATCHER!$C$5:$C$504,R438))&amp;" "&amp;INDEX(MATCHER!$H$5:$H$504,R438)&amp;" – "&amp;INDEX(MATCHER!$I$5:$I$504,R438))&amp;IF(S438="",""," | "&amp;HOUR(INDEX(MATCHER!$C$5:$C$504,S438))&amp;":"&amp;IF(MINUTE(INDEX(MATCHER!$C$5:$C$504,S438))&lt;10,"0","")&amp;MINUTE(INDEX(MATCHER!$C$5:$C$504,S438))&amp;" "&amp;INDEX(MATCHER!$H$5:$H$504,S438)&amp;" – "&amp;INDEX(MATCHER!$I$5:$I$504,S438))&amp;IF(T438="",""," | "&amp;HOUR(INDEX(MATCHER!$C$5:$C$504,T438))&amp;":"&amp;IF(MINUTE(INDEX(MATCHER!$C$5:$C$504,T438))&lt;10,"0","")&amp;MINUTE(INDEX(MATCHER!$C$5:$C$504,T438))&amp;" "&amp;INDEX(MATCHER!$H$5:$H$504,T438)&amp;" – "&amp;INDEX(MATCHER!$I$5:$I$504,T438))&amp;IF(AF438="",""," | "&amp;HOUR(INDEX(MATCHER!$C$5:$C$504,AF438))&amp;":"&amp;IF(MINUTE(INDEX(MATCHER!$C$5:$C$504,AF438))&lt;10,"0","")&amp;MINUTE(INDEX(MATCHER!$C$5:$C$504,AF438))&amp;" "&amp;INDEX(MATCHER!$H$5:$H$504,AF438)&amp;" – "&amp;INDEX(MATCHER!$I$5:$I$504,AF438))</f>
        <v>20:45 AIK – Skånela IF</v>
      </c>
      <c r="G438" s="45" t="str">
        <f>MID(IF(R438="","",IF(OR(INDEX(MATCHER!$J$5:$J$504,R438)=""),""," / "&amp;INDEX(MATCHER!$J$5:$J$504,R438)))&amp;IF(S438="","",IF(OR(INDEX(MATCHER!$J$5:$J$504,S438)="",INDEX(MATCHER!$J$5:$J$504,S438)=IFERROR(INDEX(MATCHER!$J$5:$J$504,R438),"")),""," / "&amp;INDEX(MATCHER!$J$5:$J$504,S438)))&amp;IF(T438="","",IF(OR(INDEX(MATCHER!$J$5:$J$504,T438)="",INDEX(MATCHER!$J$5:$J$504,T438)=IFERROR(INDEX(MATCHER!$J$5:$J$504,R438),""),INDEX(MATCHER!$J$5:$J$504,T438)=IFERROR(INDEX(MATCHER!$J$5:$J$504,S438),"")),""," / "&amp;INDEX(MATCHER!$J$5:$J$504,T438)))&amp;IF(AF438="","",IF(OR(INDEX(MATCHER!$J$5:$J$504,AF438)="",INDEX(MATCHER!$J$5:$J$504,AF438)=IFERROR(INDEX(MATCHER!$J$5:$J$504,R438),""),INDEX(MATCHER!$J$5:$J$504,AF438)=IFERROR(INDEX(MATCHER!$J$5:$J$504,S438),""),INDEX(MATCHER!$J$5:$J$504,AF438)=IFERROR(INDEX(MATCHER!$J$5:$J$504,T438),"")),""," / "&amp;INDEX(MATCHER!$J$5:$J$504,AF438))),4,1000)</f>
        <v>F19</v>
      </c>
      <c r="H438" s="45" t="str">
        <f>H437</f>
        <v>F19</v>
      </c>
      <c r="I438" s="46" t="s">
        <v>90</v>
      </c>
      <c r="J438" s="47" t="s">
        <v>105</v>
      </c>
      <c r="K438" s="48"/>
      <c r="L438" s="49"/>
      <c r="M438" s="50" t="str">
        <f>IF(O438&lt;&gt;O437,MAX(1,MIN(AA438,ROUNDUP(SUMPRODUCT(($O$5:$O$546=O438)*($I$5:$I$546="Ja")*($E$5:$E$546-$D$5:$D$546))*24/REGLER!$B$8,0))),"")</f>
        <v/>
      </c>
      <c r="N438" s="50" t="str">
        <f t="shared" si="88"/>
        <v>Klar</v>
      </c>
      <c r="O438" s="15" t="s">
        <v>155</v>
      </c>
      <c r="P438" s="16">
        <v>0.83333333333333304</v>
      </c>
      <c r="Q438" s="16">
        <v>0.91666666666666696</v>
      </c>
      <c r="R438" s="15">
        <f>IFERROR(MATCH(1,INDEX((MATCHER!$B$5:$B$504=A438)*(MATCHER!$D$5:$D$504=C438)*(MATCHER!$K$5:$K$504="Ja")*(MATCHER!$C$5:$C$504&lt;E438)*(MATCHER!$M$5:$M$504&gt;D438),0),0),"")</f>
        <v>161</v>
      </c>
      <c r="S438" s="15" t="str">
        <f>IF(R438="","",IFERROR(MATCH(1,INDEX((MATCHER!$B$5:$B$504=A438)*(MATCHER!$D$5:$D$504=C438)*(MATCHER!$K$5:$K$504="Ja")*(MATCHER!$C$5:$C$504&lt;E438)*(MATCHER!$M$5:$M$504&gt;D438)*(ROW(MATCHER!$A$5:$A$504)-ROW(MATCHER!$A$5)+1&gt;R438),0),0),""))</f>
        <v/>
      </c>
      <c r="T438" s="15" t="str">
        <f>IF(S438="","",IFERROR(MATCH(1,INDEX((MATCHER!$B$5:$B$504=A438)*(MATCHER!$D$5:$D$504=C438)*(MATCHER!$K$5:$K$504="Ja")*(MATCHER!$C$5:$C$504&lt;E438)*(MATCHER!$M$5:$M$504&gt;D438)*(ROW(MATCHER!$A$5:$A$504)-ROW(MATCHER!$A$5)+1&gt;S438),0),0),""))</f>
        <v/>
      </c>
      <c r="U438" s="15">
        <f t="shared" si="89"/>
        <v>0</v>
      </c>
      <c r="V438" s="15">
        <f>IF(OR(I438&lt;&gt;"Ja",J438=""),"",COUNTIFS($O$5:O438,O438,$U$5:U438,1))</f>
        <v>1</v>
      </c>
      <c r="W438" s="15" t="str">
        <f t="shared" si="90"/>
        <v>2027-02-16 | Råsta Park|1</v>
      </c>
      <c r="X438" s="16" t="str">
        <f t="shared" si="91"/>
        <v/>
      </c>
      <c r="Y438" s="15">
        <f>IF(OR(I438&lt;&gt;"Ja",J438=""),0,IF(COUNTIFS($O$5:O438,O438,$I$5:I438,"Ja",$J$5:J438,"&lt;&gt;")=1,1,0))</f>
        <v>0</v>
      </c>
      <c r="Z438" s="15">
        <f>IF(OR(I438&lt;&gt;"Ja",J438=""),0,IF(COUNTIFS(O438:$O$546,O438,I438:$I$546,"Ja",J438:$J$546,"&lt;&gt;")=1,1,0))</f>
        <v>0</v>
      </c>
      <c r="AA438" s="15">
        <f>AA437</f>
        <v>1</v>
      </c>
      <c r="AB438" s="15" t="str">
        <f>IF(U438&lt;&gt;1,"",COUNTIF($U$5:U438,1))</f>
        <v/>
      </c>
      <c r="AC438" s="15" t="str">
        <f t="shared" si="92"/>
        <v/>
      </c>
      <c r="AD438" s="15" t="str">
        <f t="shared" si="93"/>
        <v>Minicafé</v>
      </c>
      <c r="AE438" s="15" t="str">
        <f t="shared" si="94"/>
        <v/>
      </c>
      <c r="AF438" t="str">
        <f>IF(T438="","",IFERROR(MATCH(1,INDEX((MATCHER!$B$5:$B$504=A438)*(MATCHER!$D$5:$D$504=C438)*(MATCHER!$K$5:$K$504="Ja")*(MATCHER!$C$5:$C$504&lt;E438)*(MATCHER!$M$5:$M$504&gt;D438)*(ROW(MATCHER!$A$5:$A$504)-ROW(MATCHER!$A$5)+1&gt;T438),0),0),""))</f>
        <v/>
      </c>
    </row>
    <row r="439" spans="1:32" ht="13">
      <c r="A439" s="42">
        <v>46434</v>
      </c>
      <c r="B439" s="43" t="s">
        <v>104</v>
      </c>
      <c r="C439" s="43" t="s">
        <v>94</v>
      </c>
      <c r="D439" s="44">
        <v>0.875</v>
      </c>
      <c r="E439" s="44">
        <v>0.89583333333333304</v>
      </c>
      <c r="F439" s="45" t="str">
        <f>IF(R439="","",HOUR(INDEX(MATCHER!$C$5:$C$504,R439))&amp;":"&amp;IF(MINUTE(INDEX(MATCHER!$C$5:$C$504,R439))&lt;10,"0","")&amp;MINUTE(INDEX(MATCHER!$C$5:$C$504,R439))&amp;" "&amp;INDEX(MATCHER!$H$5:$H$504,R439)&amp;" – "&amp;INDEX(MATCHER!$I$5:$I$504,R439))&amp;IF(S439="",""," | "&amp;HOUR(INDEX(MATCHER!$C$5:$C$504,S439))&amp;":"&amp;IF(MINUTE(INDEX(MATCHER!$C$5:$C$504,S439))&lt;10,"0","")&amp;MINUTE(INDEX(MATCHER!$C$5:$C$504,S439))&amp;" "&amp;INDEX(MATCHER!$H$5:$H$504,S439)&amp;" – "&amp;INDEX(MATCHER!$I$5:$I$504,S439))&amp;IF(T439="",""," | "&amp;HOUR(INDEX(MATCHER!$C$5:$C$504,T439))&amp;":"&amp;IF(MINUTE(INDEX(MATCHER!$C$5:$C$504,T439))&lt;10,"0","")&amp;MINUTE(INDEX(MATCHER!$C$5:$C$504,T439))&amp;" "&amp;INDEX(MATCHER!$H$5:$H$504,T439)&amp;" – "&amp;INDEX(MATCHER!$I$5:$I$504,T439))&amp;IF(AF439="",""," | "&amp;HOUR(INDEX(MATCHER!$C$5:$C$504,AF439))&amp;":"&amp;IF(MINUTE(INDEX(MATCHER!$C$5:$C$504,AF439))&lt;10,"0","")&amp;MINUTE(INDEX(MATCHER!$C$5:$C$504,AF439))&amp;" "&amp;INDEX(MATCHER!$H$5:$H$504,AF439)&amp;" – "&amp;INDEX(MATCHER!$I$5:$I$504,AF439))</f>
        <v>20:45 AIK – Skånela IF</v>
      </c>
      <c r="G439" s="45" t="str">
        <f>MID(IF(R439="","",IF(OR(INDEX(MATCHER!$J$5:$J$504,R439)=""),""," / "&amp;INDEX(MATCHER!$J$5:$J$504,R439)))&amp;IF(S439="","",IF(OR(INDEX(MATCHER!$J$5:$J$504,S439)="",INDEX(MATCHER!$J$5:$J$504,S439)=IFERROR(INDEX(MATCHER!$J$5:$J$504,R439),"")),""," / "&amp;INDEX(MATCHER!$J$5:$J$504,S439)))&amp;IF(T439="","",IF(OR(INDEX(MATCHER!$J$5:$J$504,T439)="",INDEX(MATCHER!$J$5:$J$504,T439)=IFERROR(INDEX(MATCHER!$J$5:$J$504,R439),""),INDEX(MATCHER!$J$5:$J$504,T439)=IFERROR(INDEX(MATCHER!$J$5:$J$504,S439),"")),""," / "&amp;INDEX(MATCHER!$J$5:$J$504,T439)))&amp;IF(AF439="","",IF(OR(INDEX(MATCHER!$J$5:$J$504,AF439)="",INDEX(MATCHER!$J$5:$J$504,AF439)=IFERROR(INDEX(MATCHER!$J$5:$J$504,R439),""),INDEX(MATCHER!$J$5:$J$504,AF439)=IFERROR(INDEX(MATCHER!$J$5:$J$504,S439),""),INDEX(MATCHER!$J$5:$J$504,AF439)=IFERROR(INDEX(MATCHER!$J$5:$J$504,T439),"")),""," / "&amp;INDEX(MATCHER!$J$5:$J$504,AF439))),4,1000)</f>
        <v>F19</v>
      </c>
      <c r="H439" s="45" t="str">
        <f>H438</f>
        <v>F19</v>
      </c>
      <c r="I439" s="46" t="s">
        <v>90</v>
      </c>
      <c r="J439" s="47" t="s">
        <v>105</v>
      </c>
      <c r="K439" s="48"/>
      <c r="L439" s="49"/>
      <c r="M439" s="50" t="str">
        <f>IF(O439&lt;&gt;O438,MAX(1,MIN(AA439,ROUNDUP(SUMPRODUCT(($O$5:$O$546=O439)*($I$5:$I$546="Ja")*($E$5:$E$546-$D$5:$D$546))*24/REGLER!$B$8,0))),"")</f>
        <v/>
      </c>
      <c r="N439" s="50" t="str">
        <f t="shared" si="88"/>
        <v>Klar</v>
      </c>
      <c r="O439" s="15" t="s">
        <v>155</v>
      </c>
      <c r="P439" s="16">
        <v>0.83333333333333304</v>
      </c>
      <c r="Q439" s="16">
        <v>0.91666666666666696</v>
      </c>
      <c r="R439" s="15">
        <f>IFERROR(MATCH(1,INDEX((MATCHER!$B$5:$B$504=A439)*(MATCHER!$D$5:$D$504=C439)*(MATCHER!$K$5:$K$504="Ja")*(MATCHER!$C$5:$C$504&lt;E439)*(MATCHER!$M$5:$M$504&gt;D439),0),0),"")</f>
        <v>161</v>
      </c>
      <c r="S439" s="15" t="str">
        <f>IF(R439="","",IFERROR(MATCH(1,INDEX((MATCHER!$B$5:$B$504=A439)*(MATCHER!$D$5:$D$504=C439)*(MATCHER!$K$5:$K$504="Ja")*(MATCHER!$C$5:$C$504&lt;E439)*(MATCHER!$M$5:$M$504&gt;D439)*(ROW(MATCHER!$A$5:$A$504)-ROW(MATCHER!$A$5)+1&gt;R439),0),0),""))</f>
        <v/>
      </c>
      <c r="T439" s="15" t="str">
        <f>IF(S439="","",IFERROR(MATCH(1,INDEX((MATCHER!$B$5:$B$504=A439)*(MATCHER!$D$5:$D$504=C439)*(MATCHER!$K$5:$K$504="Ja")*(MATCHER!$C$5:$C$504&lt;E439)*(MATCHER!$M$5:$M$504&gt;D439)*(ROW(MATCHER!$A$5:$A$504)-ROW(MATCHER!$A$5)+1&gt;S439),0),0),""))</f>
        <v/>
      </c>
      <c r="U439" s="15">
        <f t="shared" si="89"/>
        <v>0</v>
      </c>
      <c r="V439" s="15">
        <f>IF(OR(I439&lt;&gt;"Ja",J439=""),"",COUNTIFS($O$5:O439,O439,$U$5:U439,1))</f>
        <v>1</v>
      </c>
      <c r="W439" s="15" t="str">
        <f t="shared" si="90"/>
        <v>2027-02-16 | Råsta Park|1</v>
      </c>
      <c r="X439" s="16" t="str">
        <f t="shared" si="91"/>
        <v/>
      </c>
      <c r="Y439" s="15">
        <f>IF(OR(I439&lt;&gt;"Ja",J439=""),0,IF(COUNTIFS($O$5:O439,O439,$I$5:I439,"Ja",$J$5:J439,"&lt;&gt;")=1,1,0))</f>
        <v>0</v>
      </c>
      <c r="Z439" s="15">
        <f>IF(OR(I439&lt;&gt;"Ja",J439=""),0,IF(COUNTIFS(O439:$O$546,O439,I439:$I$546,"Ja",J439:$J$546,"&lt;&gt;")=1,1,0))</f>
        <v>0</v>
      </c>
      <c r="AA439" s="15">
        <f>AA438</f>
        <v>1</v>
      </c>
      <c r="AB439" s="15" t="str">
        <f>IF(U439&lt;&gt;1,"",COUNTIF($U$5:U439,1))</f>
        <v/>
      </c>
      <c r="AC439" s="15" t="str">
        <f t="shared" si="92"/>
        <v/>
      </c>
      <c r="AD439" s="15" t="str">
        <f t="shared" si="93"/>
        <v>Minicafé</v>
      </c>
      <c r="AE439" s="15" t="str">
        <f t="shared" si="94"/>
        <v/>
      </c>
      <c r="AF439" t="str">
        <f>IF(T439="","",IFERROR(MATCH(1,INDEX((MATCHER!$B$5:$B$504=A439)*(MATCHER!$D$5:$D$504=C439)*(MATCHER!$K$5:$K$504="Ja")*(MATCHER!$C$5:$C$504&lt;E439)*(MATCHER!$M$5:$M$504&gt;D439)*(ROW(MATCHER!$A$5:$A$504)-ROW(MATCHER!$A$5)+1&gt;T439),0),0),""))</f>
        <v/>
      </c>
    </row>
    <row r="440" spans="1:32" ht="13.5" thickBot="1">
      <c r="A440" s="52">
        <v>46434</v>
      </c>
      <c r="B440" s="53" t="s">
        <v>104</v>
      </c>
      <c r="C440" s="53" t="s">
        <v>94</v>
      </c>
      <c r="D440" s="54">
        <v>0.89583333333333304</v>
      </c>
      <c r="E440" s="54">
        <v>0.91666666666666696</v>
      </c>
      <c r="F440" s="55" t="str">
        <f>IF(R440="","",HOUR(INDEX(MATCHER!$C$5:$C$504,R440))&amp;":"&amp;IF(MINUTE(INDEX(MATCHER!$C$5:$C$504,R440))&lt;10,"0","")&amp;MINUTE(INDEX(MATCHER!$C$5:$C$504,R440))&amp;" "&amp;INDEX(MATCHER!$H$5:$H$504,R440)&amp;" – "&amp;INDEX(MATCHER!$I$5:$I$504,R440))&amp;IF(S440="",""," | "&amp;HOUR(INDEX(MATCHER!$C$5:$C$504,S440))&amp;":"&amp;IF(MINUTE(INDEX(MATCHER!$C$5:$C$504,S440))&lt;10,"0","")&amp;MINUTE(INDEX(MATCHER!$C$5:$C$504,S440))&amp;" "&amp;INDEX(MATCHER!$H$5:$H$504,S440)&amp;" – "&amp;INDEX(MATCHER!$I$5:$I$504,S440))&amp;IF(T440="",""," | "&amp;HOUR(INDEX(MATCHER!$C$5:$C$504,T440))&amp;":"&amp;IF(MINUTE(INDEX(MATCHER!$C$5:$C$504,T440))&lt;10,"0","")&amp;MINUTE(INDEX(MATCHER!$C$5:$C$504,T440))&amp;" "&amp;INDEX(MATCHER!$H$5:$H$504,T440)&amp;" – "&amp;INDEX(MATCHER!$I$5:$I$504,T440))&amp;IF(AF440="",""," | "&amp;HOUR(INDEX(MATCHER!$C$5:$C$504,AF440))&amp;":"&amp;IF(MINUTE(INDEX(MATCHER!$C$5:$C$504,AF440))&lt;10,"0","")&amp;MINUTE(INDEX(MATCHER!$C$5:$C$504,AF440))&amp;" "&amp;INDEX(MATCHER!$H$5:$H$504,AF440)&amp;" – "&amp;INDEX(MATCHER!$I$5:$I$504,AF440))</f>
        <v>20:45 AIK – Skånela IF</v>
      </c>
      <c r="G440" s="55" t="str">
        <f>MID(IF(R440="","",IF(OR(INDEX(MATCHER!$J$5:$J$504,R440)=""),""," / "&amp;INDEX(MATCHER!$J$5:$J$504,R440)))&amp;IF(S440="","",IF(OR(INDEX(MATCHER!$J$5:$J$504,S440)="",INDEX(MATCHER!$J$5:$J$504,S440)=IFERROR(INDEX(MATCHER!$J$5:$J$504,R440),"")),""," / "&amp;INDEX(MATCHER!$J$5:$J$504,S440)))&amp;IF(T440="","",IF(OR(INDEX(MATCHER!$J$5:$J$504,T440)="",INDEX(MATCHER!$J$5:$J$504,T440)=IFERROR(INDEX(MATCHER!$J$5:$J$504,R440),""),INDEX(MATCHER!$J$5:$J$504,T440)=IFERROR(INDEX(MATCHER!$J$5:$J$504,S440),"")),""," / "&amp;INDEX(MATCHER!$J$5:$J$504,T440)))&amp;IF(AF440="","",IF(OR(INDEX(MATCHER!$J$5:$J$504,AF440)="",INDEX(MATCHER!$J$5:$J$504,AF440)=IFERROR(INDEX(MATCHER!$J$5:$J$504,R440),""),INDEX(MATCHER!$J$5:$J$504,AF440)=IFERROR(INDEX(MATCHER!$J$5:$J$504,S440),""),INDEX(MATCHER!$J$5:$J$504,AF440)=IFERROR(INDEX(MATCHER!$J$5:$J$504,T440),"")),""," / "&amp;INDEX(MATCHER!$J$5:$J$504,AF440))),4,1000)</f>
        <v>F19</v>
      </c>
      <c r="H440" s="55" t="str">
        <f>H439</f>
        <v>F19</v>
      </c>
      <c r="I440" s="56" t="s">
        <v>90</v>
      </c>
      <c r="J440" s="57" t="s">
        <v>105</v>
      </c>
      <c r="K440" s="58"/>
      <c r="L440" s="59"/>
      <c r="M440" s="60" t="str">
        <f>IF(O440&lt;&gt;O439,MAX(1,MIN(AA440,ROUNDUP(SUMPRODUCT(($O$5:$O$546=O440)*($I$5:$I$546="Ja")*($E$5:$E$546-$D$5:$D$546))*24/REGLER!$B$8,0))),"")</f>
        <v/>
      </c>
      <c r="N440" s="60" t="str">
        <f t="shared" si="88"/>
        <v>Klar</v>
      </c>
      <c r="O440" s="15" t="s">
        <v>155</v>
      </c>
      <c r="P440" s="16">
        <v>0.83333333333333304</v>
      </c>
      <c r="Q440" s="16">
        <v>0.91666666666666696</v>
      </c>
      <c r="R440" s="15">
        <f>IFERROR(MATCH(1,INDEX((MATCHER!$B$5:$B$504=A440)*(MATCHER!$D$5:$D$504=C440)*(MATCHER!$K$5:$K$504="Ja")*(MATCHER!$C$5:$C$504&lt;E440)*(MATCHER!$M$5:$M$504&gt;D440),0),0),"")</f>
        <v>161</v>
      </c>
      <c r="S440" s="15" t="str">
        <f>IF(R440="","",IFERROR(MATCH(1,INDEX((MATCHER!$B$5:$B$504=A440)*(MATCHER!$D$5:$D$504=C440)*(MATCHER!$K$5:$K$504="Ja")*(MATCHER!$C$5:$C$504&lt;E440)*(MATCHER!$M$5:$M$504&gt;D440)*(ROW(MATCHER!$A$5:$A$504)-ROW(MATCHER!$A$5)+1&gt;R440),0),0),""))</f>
        <v/>
      </c>
      <c r="T440" s="15" t="str">
        <f>IF(S440="","",IFERROR(MATCH(1,INDEX((MATCHER!$B$5:$B$504=A440)*(MATCHER!$D$5:$D$504=C440)*(MATCHER!$K$5:$K$504="Ja")*(MATCHER!$C$5:$C$504&lt;E440)*(MATCHER!$M$5:$M$504&gt;D440)*(ROW(MATCHER!$A$5:$A$504)-ROW(MATCHER!$A$5)+1&gt;S440),0),0),""))</f>
        <v/>
      </c>
      <c r="U440" s="15">
        <f t="shared" si="89"/>
        <v>0</v>
      </c>
      <c r="V440" s="15">
        <f>IF(OR(I440&lt;&gt;"Ja",J440=""),"",COUNTIFS($O$5:O440,O440,$U$5:U440,1))</f>
        <v>1</v>
      </c>
      <c r="W440" s="15" t="str">
        <f t="shared" si="90"/>
        <v>2027-02-16 | Råsta Park|1</v>
      </c>
      <c r="X440" s="16">
        <f t="shared" si="91"/>
        <v>0.91666666666666696</v>
      </c>
      <c r="Y440" s="15">
        <f>IF(OR(I440&lt;&gt;"Ja",J440=""),0,IF(COUNTIFS($O$5:O440,O440,$I$5:I440,"Ja",$J$5:J440,"&lt;&gt;")=1,1,0))</f>
        <v>0</v>
      </c>
      <c r="Z440" s="15">
        <f>IF(OR(I440&lt;&gt;"Ja",J440=""),0,IF(COUNTIFS(O440:$O$546,O440,I440:$I$546,"Ja",J440:$J$546,"&lt;&gt;")=1,1,0))</f>
        <v>1</v>
      </c>
      <c r="AA440" s="15">
        <f>AA439</f>
        <v>1</v>
      </c>
      <c r="AB440" s="15" t="str">
        <f>IF(U440&lt;&gt;1,"",COUNTIF($U$5:U440,1))</f>
        <v/>
      </c>
      <c r="AC440" s="15" t="str">
        <f t="shared" si="92"/>
        <v>2027-02-16 | Råsta Park|1</v>
      </c>
      <c r="AD440" s="15" t="str">
        <f t="shared" si="93"/>
        <v>Minicafé</v>
      </c>
      <c r="AE440" s="15" t="str">
        <f t="shared" si="94"/>
        <v/>
      </c>
      <c r="AF440" t="str">
        <f>IF(T440="","",IFERROR(MATCH(1,INDEX((MATCHER!$B$5:$B$504=A440)*(MATCHER!$D$5:$D$504=C440)*(MATCHER!$K$5:$K$504="Ja")*(MATCHER!$C$5:$C$504&lt;E440)*(MATCHER!$M$5:$M$504&gt;D440)*(ROW(MATCHER!$A$5:$A$504)-ROW(MATCHER!$A$5)+1&gt;T440),0),0),""))</f>
        <v/>
      </c>
    </row>
    <row r="441" spans="1:32" ht="26">
      <c r="A441" s="42">
        <v>46438</v>
      </c>
      <c r="B441" s="43" t="s">
        <v>85</v>
      </c>
      <c r="C441" s="43" t="s">
        <v>110</v>
      </c>
      <c r="D441" s="44">
        <v>0.33333333333333298</v>
      </c>
      <c r="E441" s="44">
        <v>0.35416666666666702</v>
      </c>
      <c r="F441" s="45" t="str">
        <f>IF(R441="","",HOUR(INDEX(MATCHER!$C$5:$C$504,R441))&amp;":"&amp;IF(MINUTE(INDEX(MATCHER!$C$5:$C$504,R441))&lt;10,"0","")&amp;MINUTE(INDEX(MATCHER!$C$5:$C$504,R441))&amp;" "&amp;INDEX(MATCHER!$H$5:$H$504,R441)&amp;" – "&amp;INDEX(MATCHER!$I$5:$I$504,R441))&amp;IF(S441="",""," | "&amp;HOUR(INDEX(MATCHER!$C$5:$C$504,S441))&amp;":"&amp;IF(MINUTE(INDEX(MATCHER!$C$5:$C$504,S441))&lt;10,"0","")&amp;MINUTE(INDEX(MATCHER!$C$5:$C$504,S441))&amp;" "&amp;INDEX(MATCHER!$H$5:$H$504,S441)&amp;" – "&amp;INDEX(MATCHER!$I$5:$I$504,S441))&amp;IF(T441="",""," | "&amp;HOUR(INDEX(MATCHER!$C$5:$C$504,T441))&amp;":"&amp;IF(MINUTE(INDEX(MATCHER!$C$5:$C$504,T441))&lt;10,"0","")&amp;MINUTE(INDEX(MATCHER!$C$5:$C$504,T441))&amp;" "&amp;INDEX(MATCHER!$H$5:$H$504,T441)&amp;" – "&amp;INDEX(MATCHER!$I$5:$I$504,T441))&amp;IF(AF441="",""," | "&amp;HOUR(INDEX(MATCHER!$C$5:$C$504,AF441))&amp;":"&amp;IF(MINUTE(INDEX(MATCHER!$C$5:$C$504,AF441))&lt;10,"0","")&amp;MINUTE(INDEX(MATCHER!$C$5:$C$504,AF441))&amp;" "&amp;INDEX(MATCHER!$H$5:$H$504,AF441)&amp;" – "&amp;INDEX(MATCHER!$I$5:$I$504,AF441))</f>
        <v/>
      </c>
      <c r="G441" s="45" t="str">
        <f>MID(IF(R441="","",IF(OR(INDEX(MATCHER!$J$5:$J$504,R441)=""),""," / "&amp;INDEX(MATCHER!$J$5:$J$504,R441)))&amp;IF(S441="","",IF(OR(INDEX(MATCHER!$J$5:$J$504,S441)="",INDEX(MATCHER!$J$5:$J$504,S441)=IFERROR(INDEX(MATCHER!$J$5:$J$504,R441),"")),""," / "&amp;INDEX(MATCHER!$J$5:$J$504,S441)))&amp;IF(T441="","",IF(OR(INDEX(MATCHER!$J$5:$J$504,T441)="",INDEX(MATCHER!$J$5:$J$504,T441)=IFERROR(INDEX(MATCHER!$J$5:$J$504,R441),""),INDEX(MATCHER!$J$5:$J$504,T441)=IFERROR(INDEX(MATCHER!$J$5:$J$504,S441),"")),""," / "&amp;INDEX(MATCHER!$J$5:$J$504,T441)))&amp;IF(AF441="","",IF(OR(INDEX(MATCHER!$J$5:$J$504,AF441)="",INDEX(MATCHER!$J$5:$J$504,AF441)=IFERROR(INDEX(MATCHER!$J$5:$J$504,R441),""),INDEX(MATCHER!$J$5:$J$504,AF441)=IFERROR(INDEX(MATCHER!$J$5:$J$504,S441),""),INDEX(MATCHER!$J$5:$J$504,AF441)=IFERROR(INDEX(MATCHER!$J$5:$J$504,T441),"")),""," / "&amp;INDEX(MATCHER!$J$5:$J$504,AF441))),4,1000)</f>
        <v/>
      </c>
      <c r="H441" s="45" t="str">
        <f>MID(IF(COUNTIFS(MATCHER!$B$5:$B$504,A441,MATCHER!$D$5:$D$504,C441,MATCHER!$J$5:$J$504,REGLER!$I$6,MATCHER!$K$5:$K$504,"Ja")+COUNTIFS(MATCHER!$B$5:$B$504,A441,MATCHER!$D$5:$D$504,C441,MATCHER!$J$5:$J$504,REGLER!$I$6&amp;" 2",MATCHER!$K$5:$K$504,"Ja")&gt;0,", "&amp;REGLER!$I$6,"")&amp;IF(COUNTIFS(MATCHER!$B$5:$B$504,A441,MATCHER!$D$5:$D$504,C441,MATCHER!$J$5:$J$504,REGLER!$I$7,MATCHER!$K$5:$K$504,"Ja")+COUNTIFS(MATCHER!$B$5:$B$504,A441,MATCHER!$D$5:$D$504,C441,MATCHER!$J$5:$J$504,REGLER!$I$7&amp;" 2",MATCHER!$K$5:$K$504,"Ja")&gt;0,", "&amp;REGLER!$I$7,"")&amp;IF(COUNTIFS(MATCHER!$B$5:$B$504,A441,MATCHER!$D$5:$D$504,C441,MATCHER!$J$5:$J$504,REGLER!$I$8,MATCHER!$K$5:$K$504,"Ja")+COUNTIFS(MATCHER!$B$5:$B$504,A441,MATCHER!$D$5:$D$504,C441,MATCHER!$J$5:$J$504,REGLER!$I$8&amp;" 2",MATCHER!$K$5:$K$504,"Ja")&gt;0,", "&amp;REGLER!$I$8,"")&amp;IF(COUNTIFS(MATCHER!$B$5:$B$504,A441,MATCHER!$D$5:$D$504,C441,MATCHER!$J$5:$J$504,REGLER!$I$9,MATCHER!$K$5:$K$504,"Ja")+COUNTIFS(MATCHER!$B$5:$B$504,A441,MATCHER!$D$5:$D$504,C441,MATCHER!$J$5:$J$504,REGLER!$I$9&amp;" 2",MATCHER!$K$5:$K$504,"Ja")&gt;0,", "&amp;REGLER!$I$9,"")&amp;IF(COUNTIFS(MATCHER!$B$5:$B$504,A441,MATCHER!$D$5:$D$504,C441,MATCHER!$J$5:$J$504,REGLER!$I$10,MATCHER!$K$5:$K$504,"Ja")+COUNTIFS(MATCHER!$B$5:$B$504,A441,MATCHER!$D$5:$D$504,C441,MATCHER!$J$5:$J$504,REGLER!$I$10&amp;" 2",MATCHER!$K$5:$K$504,"Ja")&gt;0,", "&amp;REGLER!$I$10,"")&amp;IF(COUNTIFS(MATCHER!$B$5:$B$504,A441,MATCHER!$D$5:$D$504,C441,MATCHER!$J$5:$J$504,REGLER!$I$11,MATCHER!$K$5:$K$504,"Ja")+COUNTIFS(MATCHER!$B$5:$B$504,A441,MATCHER!$D$5:$D$504,C441,MATCHER!$J$5:$J$504,REGLER!$I$11&amp;" 2",MATCHER!$K$5:$K$504,"Ja")&gt;0,", "&amp;REGLER!$I$11,"")&amp;IF(COUNTIFS(MATCHER!$B$5:$B$504,A441,MATCHER!$D$5:$D$504,C441,MATCHER!$J$5:$J$504,REGLER!$I$12,MATCHER!$K$5:$K$504,"Ja")+COUNTIFS(MATCHER!$B$5:$B$504,A441,MATCHER!$D$5:$D$504,C441,MATCHER!$J$5:$J$504,REGLER!$I$12&amp;" 2",MATCHER!$K$5:$K$504,"Ja")&gt;0,", "&amp;REGLER!$I$12,"")&amp;IF(COUNTIFS(MATCHER!$B$5:$B$504,A441,MATCHER!$D$5:$D$504,C441,MATCHER!$J$5:$J$504,REGLER!$I$13,MATCHER!$K$5:$K$504,"Ja")+COUNTIFS(MATCHER!$B$5:$B$504,A441,MATCHER!$D$5:$D$504,C441,MATCHER!$J$5:$J$504,REGLER!$I$13&amp;" 2",MATCHER!$K$5:$K$504,"Ja")&gt;0,", "&amp;REGLER!$I$13,"")&amp;IF(COUNTIFS(MATCHER!$B$5:$B$504,A441,MATCHER!$D$5:$D$504,C441,MATCHER!$J$5:$J$504,REGLER!$I$14,MATCHER!$K$5:$K$504,"Ja")+COUNTIFS(MATCHER!$B$5:$B$504,A441,MATCHER!$D$5:$D$504,C441,MATCHER!$J$5:$J$504,REGLER!$I$14&amp;" 2",MATCHER!$K$5:$K$504,"Ja")&gt;0,", "&amp;REGLER!$I$14,"")&amp;IF(COUNTIFS(MATCHER!$B$5:$B$504,A441,MATCHER!$D$5:$D$504,C441,MATCHER!$J$5:$J$504,REGLER!$I$15,MATCHER!$K$5:$K$504,"Ja")+COUNTIFS(MATCHER!$B$5:$B$504,A441,MATCHER!$D$5:$D$504,C441,MATCHER!$J$5:$J$504,REGLER!$I$15&amp;" 2",MATCHER!$K$5:$K$504,"Ja")&gt;0,", "&amp;REGLER!$I$15,"")&amp;IF(COUNTIFS(MATCHER!$B$5:$B$504,A441,MATCHER!$D$5:$D$504,C441,MATCHER!$J$5:$J$504,REGLER!$I$16,MATCHER!$K$5:$K$504,"Ja")+COUNTIFS(MATCHER!$B$5:$B$504,A441,MATCHER!$D$5:$D$504,C441,MATCHER!$J$5:$J$504,REGLER!$I$16&amp;" 2",MATCHER!$K$5:$K$504,"Ja")&gt;0,", "&amp;REGLER!$I$16,"")&amp;IF(COUNTIFS(MATCHER!$B$5:$B$504,A441,MATCHER!$D$5:$D$504,C441,MATCHER!$J$5:$J$504,REGLER!$I$17,MATCHER!$K$5:$K$504,"Ja")+COUNTIFS(MATCHER!$B$5:$B$504,A441,MATCHER!$D$5:$D$504,C441,MATCHER!$J$5:$J$504,REGLER!$I$17&amp;" 2",MATCHER!$K$5:$K$504,"Ja")&gt;0,", "&amp;REGLER!$I$17,"")&amp;IF(COUNTIFS(MATCHER!$B$5:$B$504,A441,MATCHER!$D$5:$D$504,C441,MATCHER!$J$5:$J$504,REGLER!$I$18,MATCHER!$K$5:$K$504,"Ja")+COUNTIFS(MATCHER!$B$5:$B$504,A441,MATCHER!$D$5:$D$504,C441,MATCHER!$J$5:$J$504,REGLER!$I$18&amp;" 2",MATCHER!$K$5:$K$504,"Ja")&gt;0,", "&amp;REGLER!$I$18,"")&amp;IF(COUNTIFS(MATCHER!$B$5:$B$504,A441,MATCHER!$D$5:$D$504,C441,MATCHER!$J$5:$J$504,REGLER!$I$19,MATCHER!$K$5:$K$504,"Ja")+COUNTIFS(MATCHER!$B$5:$B$504,A441,MATCHER!$D$5:$D$504,C441,MATCHER!$J$5:$J$504,REGLER!$I$19&amp;" 2",MATCHER!$K$5:$K$504,"Ja")&gt;0,", "&amp;REGLER!$I$19,"")&amp;IF(COUNTIFS(MATCHER!$B$5:$B$504,A441,MATCHER!$D$5:$D$504,C441,MATCHER!$J$5:$J$504,REGLER!$I$20,MATCHER!$K$5:$K$504,"Ja")+COUNTIFS(MATCHER!$B$5:$B$504,A441,MATCHER!$D$5:$D$504,C441,MATCHER!$J$5:$J$504,REGLER!$I$20&amp;" 2",MATCHER!$K$5:$K$504,"Ja")&gt;0,", "&amp;REGLER!$I$20,"")&amp;IF(COUNTIFS(MATCHER!$B$5:$B$504,A441,MATCHER!$D$5:$D$504,C441,MATCHER!$J$5:$J$504,REGLER!$I$21,MATCHER!$K$5:$K$504,"Ja")+COUNTIFS(MATCHER!$B$5:$B$504,A441,MATCHER!$D$5:$D$504,C441,MATCHER!$J$5:$J$504,REGLER!$I$21&amp;" 2",MATCHER!$K$5:$K$504,"Ja")&gt;0,", "&amp;REGLER!$I$21,"")&amp;IF(COUNTIFS(MATCHER!$B$5:$B$504,A441,MATCHER!$D$5:$D$504,C441,MATCHER!$J$5:$J$504,REGLER!$I$22,MATCHER!$K$5:$K$504,"Ja")+COUNTIFS(MATCHER!$B$5:$B$504,A441,MATCHER!$D$5:$D$504,C441,MATCHER!$J$5:$J$504,REGLER!$I$22&amp;" 2",MATCHER!$K$5:$K$504,"Ja")&gt;0,", "&amp;REGLER!$I$22,"")&amp;IF(COUNTIFS(MATCHER!$B$5:$B$504,A441,MATCHER!$D$5:$D$504,C441,MATCHER!$J$5:$J$504,REGLER!$I$23,MATCHER!$K$5:$K$504,"Ja")+COUNTIFS(MATCHER!$B$5:$B$504,A441,MATCHER!$D$5:$D$504,C441,MATCHER!$J$5:$J$504,REGLER!$I$23&amp;" 2",MATCHER!$K$5:$K$504,"Ja")&gt;0,", "&amp;REGLER!$I$23,"")&amp;IF(COUNTIFS(MATCHER!$B$5:$B$504,A441,MATCHER!$D$5:$D$504,C441,MATCHER!$J$5:$J$504,REGLER!$I$24,MATCHER!$K$5:$K$504,"Ja")+COUNTIFS(MATCHER!$B$5:$B$504,A441,MATCHER!$D$5:$D$504,C441,MATCHER!$J$5:$J$504,REGLER!$I$24&amp;" 2",MATCHER!$K$5:$K$504,"Ja")&gt;0,", "&amp;REGLER!$I$24,"")&amp;IF(COUNTIFS(MATCHER!$B$5:$B$504,A441,MATCHER!$D$5:$D$504,C441,MATCHER!$J$5:$J$504,REGLER!$I$25,MATCHER!$K$5:$K$504,"Ja")+COUNTIFS(MATCHER!$B$5:$B$504,A441,MATCHER!$D$5:$D$504,C441,MATCHER!$J$5:$J$504,REGLER!$I$25&amp;" 2",MATCHER!$K$5:$K$504,"Ja")&gt;0,", "&amp;REGLER!$I$25,"")&amp;IF(COUNTIFS(MATCHER!$B$5:$B$504,A441,MATCHER!$D$5:$D$504,C441,MATCHER!$J$5:$J$504,REGLER!$I$26,MATCHER!$K$5:$K$504,"Ja")+COUNTIFS(MATCHER!$B$5:$B$504,A441,MATCHER!$D$5:$D$504,C441,MATCHER!$J$5:$J$504,REGLER!$I$26&amp;" 2",MATCHER!$K$5:$K$504,"Ja")&gt;0,", "&amp;REGLER!$I$26,""),3,1000)</f>
        <v>F13</v>
      </c>
      <c r="I441" s="46" t="s">
        <v>90</v>
      </c>
      <c r="J441" s="47" t="s">
        <v>135</v>
      </c>
      <c r="K441" s="48" t="s">
        <v>88</v>
      </c>
      <c r="L441" s="49" t="s">
        <v>858</v>
      </c>
      <c r="M441" s="50">
        <f>IF(O441&lt;&gt;O440,MAX(1,MIN(AA441,ROUNDUP(SUMPRODUCT(($O$5:$O$546=O441)*($I$5:$I$546="Ja")*($E$5:$E$546-$D$5:$D$546))*24/REGLER!$B$8,0))),"")</f>
        <v>1</v>
      </c>
      <c r="N441" s="50" t="str">
        <f t="shared" si="88"/>
        <v>Kontrollera lag</v>
      </c>
      <c r="O441" s="15" t="s">
        <v>156</v>
      </c>
      <c r="P441" s="16">
        <v>0.33333333333333298</v>
      </c>
      <c r="Q441" s="16">
        <v>0.60416666666666696</v>
      </c>
      <c r="R441" s="15" t="str">
        <f>IFERROR(MATCH(1,INDEX((MATCHER!$B$5:$B$504=A441)*(MATCHER!$D$5:$D$504=C441)*(MATCHER!$K$5:$K$504="Ja")*(MATCHER!$C$5:$C$504&lt;E441)*(MATCHER!$M$5:$M$504&gt;D441),0),0),"")</f>
        <v/>
      </c>
      <c r="S441" s="15" t="str">
        <f>IF(R441="","",IFERROR(MATCH(1,INDEX((MATCHER!$B$5:$B$504=A441)*(MATCHER!$D$5:$D$504=C441)*(MATCHER!$K$5:$K$504="Ja")*(MATCHER!$C$5:$C$504&lt;E441)*(MATCHER!$M$5:$M$504&gt;D441)*(ROW(MATCHER!$A$5:$A$504)-ROW(MATCHER!$A$5)+1&gt;R441),0),0),""))</f>
        <v/>
      </c>
      <c r="T441" s="15" t="str">
        <f>IF(S441="","",IFERROR(MATCH(1,INDEX((MATCHER!$B$5:$B$504=A441)*(MATCHER!$D$5:$D$504=C441)*(MATCHER!$K$5:$K$504="Ja")*(MATCHER!$C$5:$C$504&lt;E441)*(MATCHER!$M$5:$M$504&gt;D441)*(ROW(MATCHER!$A$5:$A$504)-ROW(MATCHER!$A$5)+1&gt;S441),0),0),""))</f>
        <v/>
      </c>
      <c r="U441" s="15">
        <f t="shared" si="89"/>
        <v>1</v>
      </c>
      <c r="V441" s="15">
        <f>IF(OR(I441&lt;&gt;"Ja",J441=""),"",COUNTIFS($O$5:O441,O441,$U$5:U441,1))</f>
        <v>1</v>
      </c>
      <c r="W441" s="15" t="str">
        <f t="shared" si="90"/>
        <v>2027-02-20 | Tallbackaskolan|1</v>
      </c>
      <c r="X441" s="16">
        <f t="shared" si="91"/>
        <v>0.35416666666666702</v>
      </c>
      <c r="Y441" s="15">
        <f>IF(OR(I441&lt;&gt;"Ja",J441=""),0,IF(COUNTIFS($O$5:O441,O441,$I$5:I441,"Ja",$J$5:J441,"&lt;&gt;")=1,1,0))</f>
        <v>1</v>
      </c>
      <c r="Z441" s="15">
        <f>IF(OR(I441&lt;&gt;"Ja",J441=""),0,IF(COUNTIFS(O441:$O$546,O441,I441:$I$546,"Ja",J441:$J$546,"&lt;&gt;")=1,1,0))</f>
        <v>0</v>
      </c>
      <c r="AA441" s="15">
        <f>IF(COUNTIFS(MATCHER!$B$5:$B$504,A441,MATCHER!$D$5:$D$504,C441,MATCHER!$J$5:$J$504,REGLER!$I$6,MATCHER!$K$5:$K$504,"Ja")+COUNTIFS(MATCHER!$B$5:$B$504,A441,MATCHER!$D$5:$D$504,C441,MATCHER!$J$5:$J$504,REGLER!$I$6&amp;" 2",MATCHER!$K$5:$K$504,"Ja")&gt;0,1,0)+IF(COUNTIFS(MATCHER!$B$5:$B$504,A441,MATCHER!$D$5:$D$504,C441,MATCHER!$J$5:$J$504,REGLER!$I$7,MATCHER!$K$5:$K$504,"Ja")+COUNTIFS(MATCHER!$B$5:$B$504,A441,MATCHER!$D$5:$D$504,C441,MATCHER!$J$5:$J$504,REGLER!$I$7&amp;" 2",MATCHER!$K$5:$K$504,"Ja")&gt;0,1,0)+IF(COUNTIFS(MATCHER!$B$5:$B$504,A441,MATCHER!$D$5:$D$504,C441,MATCHER!$J$5:$J$504,REGLER!$I$8,MATCHER!$K$5:$K$504,"Ja")+COUNTIFS(MATCHER!$B$5:$B$504,A441,MATCHER!$D$5:$D$504,C441,MATCHER!$J$5:$J$504,REGLER!$I$8&amp;" 2",MATCHER!$K$5:$K$504,"Ja")&gt;0,1,0)+IF(COUNTIFS(MATCHER!$B$5:$B$504,A441,MATCHER!$D$5:$D$504,C441,MATCHER!$J$5:$J$504,REGLER!$I$9,MATCHER!$K$5:$K$504,"Ja")+COUNTIFS(MATCHER!$B$5:$B$504,A441,MATCHER!$D$5:$D$504,C441,MATCHER!$J$5:$J$504,REGLER!$I$9&amp;" 2",MATCHER!$K$5:$K$504,"Ja")&gt;0,1,0)+IF(COUNTIFS(MATCHER!$B$5:$B$504,A441,MATCHER!$D$5:$D$504,C441,MATCHER!$J$5:$J$504,REGLER!$I$10,MATCHER!$K$5:$K$504,"Ja")+COUNTIFS(MATCHER!$B$5:$B$504,A441,MATCHER!$D$5:$D$504,C441,MATCHER!$J$5:$J$504,REGLER!$I$10&amp;" 2",MATCHER!$K$5:$K$504,"Ja")&gt;0,1,0)+IF(COUNTIFS(MATCHER!$B$5:$B$504,A441,MATCHER!$D$5:$D$504,C441,MATCHER!$J$5:$J$504,REGLER!$I$11,MATCHER!$K$5:$K$504,"Ja")+COUNTIFS(MATCHER!$B$5:$B$504,A441,MATCHER!$D$5:$D$504,C441,MATCHER!$J$5:$J$504,REGLER!$I$11&amp;" 2",MATCHER!$K$5:$K$504,"Ja")&gt;0,1,0)+IF(COUNTIFS(MATCHER!$B$5:$B$504,A441,MATCHER!$D$5:$D$504,C441,MATCHER!$J$5:$J$504,REGLER!$I$12,MATCHER!$K$5:$K$504,"Ja")+COUNTIFS(MATCHER!$B$5:$B$504,A441,MATCHER!$D$5:$D$504,C441,MATCHER!$J$5:$J$504,REGLER!$I$12&amp;" 2",MATCHER!$K$5:$K$504,"Ja")&gt;0,1,0)+IF(COUNTIFS(MATCHER!$B$5:$B$504,A441,MATCHER!$D$5:$D$504,C441,MATCHER!$J$5:$J$504,REGLER!$I$13,MATCHER!$K$5:$K$504,"Ja")+COUNTIFS(MATCHER!$B$5:$B$504,A441,MATCHER!$D$5:$D$504,C441,MATCHER!$J$5:$J$504,REGLER!$I$13&amp;" 2",MATCHER!$K$5:$K$504,"Ja")&gt;0,1,0)+IF(COUNTIFS(MATCHER!$B$5:$B$504,A441,MATCHER!$D$5:$D$504,C441,MATCHER!$J$5:$J$504,REGLER!$I$14,MATCHER!$K$5:$K$504,"Ja")+COUNTIFS(MATCHER!$B$5:$B$504,A441,MATCHER!$D$5:$D$504,C441,MATCHER!$J$5:$J$504,REGLER!$I$14&amp;" 2",MATCHER!$K$5:$K$504,"Ja")&gt;0,1,0)+IF(COUNTIFS(MATCHER!$B$5:$B$504,A441,MATCHER!$D$5:$D$504,C441,MATCHER!$J$5:$J$504,REGLER!$I$15,MATCHER!$K$5:$K$504,"Ja")+COUNTIFS(MATCHER!$B$5:$B$504,A441,MATCHER!$D$5:$D$504,C441,MATCHER!$J$5:$J$504,REGLER!$I$15&amp;" 2",MATCHER!$K$5:$K$504,"Ja")&gt;0,1,0)+IF(COUNTIFS(MATCHER!$B$5:$B$504,A441,MATCHER!$D$5:$D$504,C441,MATCHER!$J$5:$J$504,REGLER!$I$16,MATCHER!$K$5:$K$504,"Ja")+COUNTIFS(MATCHER!$B$5:$B$504,A441,MATCHER!$D$5:$D$504,C441,MATCHER!$J$5:$J$504,REGLER!$I$16&amp;" 2",MATCHER!$K$5:$K$504,"Ja")&gt;0,1,0)+IF(COUNTIFS(MATCHER!$B$5:$B$504,A441,MATCHER!$D$5:$D$504,C441,MATCHER!$J$5:$J$504,REGLER!$I$17,MATCHER!$K$5:$K$504,"Ja")+COUNTIFS(MATCHER!$B$5:$B$504,A441,MATCHER!$D$5:$D$504,C441,MATCHER!$J$5:$J$504,REGLER!$I$17&amp;" 2",MATCHER!$K$5:$K$504,"Ja")&gt;0,1,0)+IF(COUNTIFS(MATCHER!$B$5:$B$504,A441,MATCHER!$D$5:$D$504,C441,MATCHER!$J$5:$J$504,REGLER!$I$18,MATCHER!$K$5:$K$504,"Ja")+COUNTIFS(MATCHER!$B$5:$B$504,A441,MATCHER!$D$5:$D$504,C441,MATCHER!$J$5:$J$504,REGLER!$I$18&amp;" 2",MATCHER!$K$5:$K$504,"Ja")&gt;0,1,0)+IF(COUNTIFS(MATCHER!$B$5:$B$504,A441,MATCHER!$D$5:$D$504,C441,MATCHER!$J$5:$J$504,REGLER!$I$19,MATCHER!$K$5:$K$504,"Ja")+COUNTIFS(MATCHER!$B$5:$B$504,A441,MATCHER!$D$5:$D$504,C441,MATCHER!$J$5:$J$504,REGLER!$I$19&amp;" 2",MATCHER!$K$5:$K$504,"Ja")&gt;0,1,0)+IF(COUNTIFS(MATCHER!$B$5:$B$504,A441,MATCHER!$D$5:$D$504,C441,MATCHER!$J$5:$J$504,REGLER!$I$20,MATCHER!$K$5:$K$504,"Ja")+COUNTIFS(MATCHER!$B$5:$B$504,A441,MATCHER!$D$5:$D$504,C441,MATCHER!$J$5:$J$504,REGLER!$I$20&amp;" 2",MATCHER!$K$5:$K$504,"Ja")&gt;0,1,0)+IF(COUNTIFS(MATCHER!$B$5:$B$504,A441,MATCHER!$D$5:$D$504,C441,MATCHER!$J$5:$J$504,REGLER!$I$21,MATCHER!$K$5:$K$504,"Ja")+COUNTIFS(MATCHER!$B$5:$B$504,A441,MATCHER!$D$5:$D$504,C441,MATCHER!$J$5:$J$504,REGLER!$I$21&amp;" 2",MATCHER!$K$5:$K$504,"Ja")&gt;0,1,0)+IF(COUNTIFS(MATCHER!$B$5:$B$504,A441,MATCHER!$D$5:$D$504,C441,MATCHER!$J$5:$J$504,REGLER!$I$22,MATCHER!$K$5:$K$504,"Ja")+COUNTIFS(MATCHER!$B$5:$B$504,A441,MATCHER!$D$5:$D$504,C441,MATCHER!$J$5:$J$504,REGLER!$I$22&amp;" 2",MATCHER!$K$5:$K$504,"Ja")&gt;0,1,0)+IF(COUNTIFS(MATCHER!$B$5:$B$504,A441,MATCHER!$D$5:$D$504,C441,MATCHER!$J$5:$J$504,REGLER!$I$23,MATCHER!$K$5:$K$504,"Ja")+COUNTIFS(MATCHER!$B$5:$B$504,A441,MATCHER!$D$5:$D$504,C441,MATCHER!$J$5:$J$504,REGLER!$I$23&amp;" 2",MATCHER!$K$5:$K$504,"Ja")&gt;0,1,0)+IF(COUNTIFS(MATCHER!$B$5:$B$504,A441,MATCHER!$D$5:$D$504,C441,MATCHER!$J$5:$J$504,REGLER!$I$24,MATCHER!$K$5:$K$504,"Ja")+COUNTIFS(MATCHER!$B$5:$B$504,A441,MATCHER!$D$5:$D$504,C441,MATCHER!$J$5:$J$504,REGLER!$I$24&amp;" 2",MATCHER!$K$5:$K$504,"Ja")&gt;0,1,0)+IF(COUNTIFS(MATCHER!$B$5:$B$504,A441,MATCHER!$D$5:$D$504,C441,MATCHER!$J$5:$J$504,REGLER!$I$25,MATCHER!$K$5:$K$504,"Ja")+COUNTIFS(MATCHER!$B$5:$B$504,A441,MATCHER!$D$5:$D$504,C441,MATCHER!$J$5:$J$504,REGLER!$I$25&amp;" 2",MATCHER!$K$5:$K$504,"Ja")&gt;0,1,0)+IF(COUNTIFS(MATCHER!$B$5:$B$504,A441,MATCHER!$D$5:$D$504,C441,MATCHER!$J$5:$J$504,REGLER!$I$26,MATCHER!$K$5:$K$504,"Ja")+COUNTIFS(MATCHER!$B$5:$B$504,A441,MATCHER!$D$5:$D$504,C441,MATCHER!$J$5:$J$504,REGLER!$I$26&amp;" 2",MATCHER!$K$5:$K$504,"Ja")&gt;0,1,0)</f>
        <v>1</v>
      </c>
      <c r="AB441" s="15">
        <f>IF(U441&lt;&gt;1,"",COUNTIF($U$5:U441,1))</f>
        <v>72</v>
      </c>
      <c r="AC441" s="15" t="str">
        <f t="shared" si="92"/>
        <v>2027-02-20 | Tallbackaskolan|1</v>
      </c>
      <c r="AD441" s="15" t="str">
        <f t="shared" si="93"/>
        <v>Vanligt café</v>
      </c>
      <c r="AE441" s="15">
        <f t="shared" si="94"/>
        <v>0.50000000000001688</v>
      </c>
      <c r="AF441" t="str">
        <f>IF(T441="","",IFERROR(MATCH(1,INDEX((MATCHER!$B$5:$B$504=A441)*(MATCHER!$D$5:$D$504=C441)*(MATCHER!$K$5:$K$504="Ja")*(MATCHER!$C$5:$C$504&lt;E441)*(MATCHER!$M$5:$M$504&gt;D441)*(ROW(MATCHER!$A$5:$A$504)-ROW(MATCHER!$A$5)+1&gt;T441),0),0),""))</f>
        <v/>
      </c>
    </row>
    <row r="442" spans="1:32" ht="26">
      <c r="A442" s="42">
        <v>46438</v>
      </c>
      <c r="B442" s="43" t="s">
        <v>85</v>
      </c>
      <c r="C442" s="43" t="s">
        <v>110</v>
      </c>
      <c r="D442" s="44">
        <v>0.35416666666666702</v>
      </c>
      <c r="E442" s="44">
        <v>0.375</v>
      </c>
      <c r="F442" s="45" t="str">
        <f>IF(R442="","",HOUR(INDEX(MATCHER!$C$5:$C$504,R442))&amp;":"&amp;IF(MINUTE(INDEX(MATCHER!$C$5:$C$504,R442))&lt;10,"0","")&amp;MINUTE(INDEX(MATCHER!$C$5:$C$504,R442))&amp;" "&amp;INDEX(MATCHER!$H$5:$H$504,R442)&amp;" – "&amp;INDEX(MATCHER!$I$5:$I$504,R442))&amp;IF(S442="",""," | "&amp;HOUR(INDEX(MATCHER!$C$5:$C$504,S442))&amp;":"&amp;IF(MINUTE(INDEX(MATCHER!$C$5:$C$504,S442))&lt;10,"0","")&amp;MINUTE(INDEX(MATCHER!$C$5:$C$504,S442))&amp;" "&amp;INDEX(MATCHER!$H$5:$H$504,S442)&amp;" – "&amp;INDEX(MATCHER!$I$5:$I$504,S442))&amp;IF(T442="",""," | "&amp;HOUR(INDEX(MATCHER!$C$5:$C$504,T442))&amp;":"&amp;IF(MINUTE(INDEX(MATCHER!$C$5:$C$504,T442))&lt;10,"0","")&amp;MINUTE(INDEX(MATCHER!$C$5:$C$504,T442))&amp;" "&amp;INDEX(MATCHER!$H$5:$H$504,T442)&amp;" – "&amp;INDEX(MATCHER!$I$5:$I$504,T442))&amp;IF(AF442="",""," | "&amp;HOUR(INDEX(MATCHER!$C$5:$C$504,AF442))&amp;":"&amp;IF(MINUTE(INDEX(MATCHER!$C$5:$C$504,AF442))&lt;10,"0","")&amp;MINUTE(INDEX(MATCHER!$C$5:$C$504,AF442))&amp;" "&amp;INDEX(MATCHER!$H$5:$H$504,AF442)&amp;" – "&amp;INDEX(MATCHER!$I$5:$I$504,AF442))</f>
        <v/>
      </c>
      <c r="G442" s="45" t="str">
        <f>MID(IF(R442="","",IF(OR(INDEX(MATCHER!$J$5:$J$504,R442)=""),""," / "&amp;INDEX(MATCHER!$J$5:$J$504,R442)))&amp;IF(S442="","",IF(OR(INDEX(MATCHER!$J$5:$J$504,S442)="",INDEX(MATCHER!$J$5:$J$504,S442)=IFERROR(INDEX(MATCHER!$J$5:$J$504,R442),"")),""," / "&amp;INDEX(MATCHER!$J$5:$J$504,S442)))&amp;IF(T442="","",IF(OR(INDEX(MATCHER!$J$5:$J$504,T442)="",INDEX(MATCHER!$J$5:$J$504,T442)=IFERROR(INDEX(MATCHER!$J$5:$J$504,R442),""),INDEX(MATCHER!$J$5:$J$504,T442)=IFERROR(INDEX(MATCHER!$J$5:$J$504,S442),"")),""," / "&amp;INDEX(MATCHER!$J$5:$J$504,T442)))&amp;IF(AF442="","",IF(OR(INDEX(MATCHER!$J$5:$J$504,AF442)="",INDEX(MATCHER!$J$5:$J$504,AF442)=IFERROR(INDEX(MATCHER!$J$5:$J$504,R442),""),INDEX(MATCHER!$J$5:$J$504,AF442)=IFERROR(INDEX(MATCHER!$J$5:$J$504,S442),""),INDEX(MATCHER!$J$5:$J$504,AF442)=IFERROR(INDEX(MATCHER!$J$5:$J$504,T442),"")),""," / "&amp;INDEX(MATCHER!$J$5:$J$504,AF442))),4,1000)</f>
        <v/>
      </c>
      <c r="H442" s="45" t="str">
        <f t="shared" ref="H442:H453" si="97">H441</f>
        <v>F13</v>
      </c>
      <c r="I442" s="46" t="s">
        <v>90</v>
      </c>
      <c r="J442" s="47" t="s">
        <v>150</v>
      </c>
      <c r="K442" s="48"/>
      <c r="L442" s="49" t="s">
        <v>858</v>
      </c>
      <c r="M442" s="50" t="str">
        <f>IF(O442&lt;&gt;O441,MAX(1,MIN(AA442,ROUNDUP(SUMPRODUCT(($O$5:$O$546=O442)*($I$5:$I$546="Ja")*($E$5:$E$546-$D$5:$D$546))*24/REGLER!$B$8,0))),"")</f>
        <v/>
      </c>
      <c r="N442" s="50" t="str">
        <f t="shared" si="88"/>
        <v>Kontrollera lag</v>
      </c>
      <c r="O442" s="15" t="s">
        <v>156</v>
      </c>
      <c r="P442" s="16">
        <v>0.33333333333333298</v>
      </c>
      <c r="Q442" s="16">
        <v>0.60416666666666696</v>
      </c>
      <c r="R442" s="15" t="str">
        <f>IFERROR(MATCH(1,INDEX((MATCHER!$B$5:$B$504=A442)*(MATCHER!$D$5:$D$504=C442)*(MATCHER!$K$5:$K$504="Ja")*(MATCHER!$C$5:$C$504&lt;E442)*(MATCHER!$M$5:$M$504&gt;D442),0),0),"")</f>
        <v/>
      </c>
      <c r="S442" s="15" t="str">
        <f>IF(R442="","",IFERROR(MATCH(1,INDEX((MATCHER!$B$5:$B$504=A442)*(MATCHER!$D$5:$D$504=C442)*(MATCHER!$K$5:$K$504="Ja")*(MATCHER!$C$5:$C$504&lt;E442)*(MATCHER!$M$5:$M$504&gt;D442)*(ROW(MATCHER!$A$5:$A$504)-ROW(MATCHER!$A$5)+1&gt;R442),0),0),""))</f>
        <v/>
      </c>
      <c r="T442" s="15" t="str">
        <f>IF(S442="","",IFERROR(MATCH(1,INDEX((MATCHER!$B$5:$B$504=A442)*(MATCHER!$D$5:$D$504=C442)*(MATCHER!$K$5:$K$504="Ja")*(MATCHER!$C$5:$C$504&lt;E442)*(MATCHER!$M$5:$M$504&gt;D442)*(ROW(MATCHER!$A$5:$A$504)-ROW(MATCHER!$A$5)+1&gt;S442),0),0),""))</f>
        <v/>
      </c>
      <c r="U442" s="15">
        <f t="shared" si="89"/>
        <v>1</v>
      </c>
      <c r="V442" s="15">
        <f>IF(OR(I442&lt;&gt;"Ja",J442=""),"",COUNTIFS($O$5:O442,O442,$U$5:U442,1))</f>
        <v>2</v>
      </c>
      <c r="W442" s="15" t="str">
        <f t="shared" si="90"/>
        <v>2027-02-20 | Tallbackaskolan|2</v>
      </c>
      <c r="X442" s="16">
        <f t="shared" si="91"/>
        <v>0.375</v>
      </c>
      <c r="Y442" s="15">
        <f>IF(OR(I442&lt;&gt;"Ja",J442=""),0,IF(COUNTIFS($O$5:O442,O442,$I$5:I442,"Ja",$J$5:J442,"&lt;&gt;")=1,1,0))</f>
        <v>0</v>
      </c>
      <c r="Z442" s="15">
        <f>IF(OR(I442&lt;&gt;"Ja",J442=""),0,IF(COUNTIFS(O442:$O$546,O442,I442:$I$546,"Ja",J442:$J$546,"&lt;&gt;")=1,1,0))</f>
        <v>0</v>
      </c>
      <c r="AA442" s="15">
        <f t="shared" ref="AA442:AA453" si="98">AA441</f>
        <v>1</v>
      </c>
      <c r="AB442" s="15">
        <f>IF(U442&lt;&gt;1,"",COUNTIF($U$5:U442,1))</f>
        <v>73</v>
      </c>
      <c r="AC442" s="15" t="str">
        <f t="shared" si="92"/>
        <v>2027-02-20 | Tallbackaskolan|2</v>
      </c>
      <c r="AD442" s="15" t="str">
        <f t="shared" si="93"/>
        <v>Vanligt café</v>
      </c>
      <c r="AE442" s="15">
        <f t="shared" si="94"/>
        <v>0.49999999999999156</v>
      </c>
      <c r="AF442" t="str">
        <f>IF(T442="","",IFERROR(MATCH(1,INDEX((MATCHER!$B$5:$B$504=A442)*(MATCHER!$D$5:$D$504=C442)*(MATCHER!$K$5:$K$504="Ja")*(MATCHER!$C$5:$C$504&lt;E442)*(MATCHER!$M$5:$M$504&gt;D442)*(ROW(MATCHER!$A$5:$A$504)-ROW(MATCHER!$A$5)+1&gt;T442),0),0),""))</f>
        <v/>
      </c>
    </row>
    <row r="443" spans="1:32" ht="26">
      <c r="A443" s="42">
        <v>46438</v>
      </c>
      <c r="B443" s="43" t="s">
        <v>85</v>
      </c>
      <c r="C443" s="43" t="s">
        <v>110</v>
      </c>
      <c r="D443" s="44">
        <v>0.375</v>
      </c>
      <c r="E443" s="44">
        <v>0.39583333333333298</v>
      </c>
      <c r="F443" s="45" t="str">
        <f>IF(R443="","",HOUR(INDEX(MATCHER!$C$5:$C$504,R443))&amp;":"&amp;IF(MINUTE(INDEX(MATCHER!$C$5:$C$504,R443))&lt;10,"0","")&amp;MINUTE(INDEX(MATCHER!$C$5:$C$504,R443))&amp;" "&amp;INDEX(MATCHER!$H$5:$H$504,R443)&amp;" – "&amp;INDEX(MATCHER!$I$5:$I$504,R443))&amp;IF(S443="",""," | "&amp;HOUR(INDEX(MATCHER!$C$5:$C$504,S443))&amp;":"&amp;IF(MINUTE(INDEX(MATCHER!$C$5:$C$504,S443))&lt;10,"0","")&amp;MINUTE(INDEX(MATCHER!$C$5:$C$504,S443))&amp;" "&amp;INDEX(MATCHER!$H$5:$H$504,S443)&amp;" – "&amp;INDEX(MATCHER!$I$5:$I$504,S443))&amp;IF(T443="",""," | "&amp;HOUR(INDEX(MATCHER!$C$5:$C$504,T443))&amp;":"&amp;IF(MINUTE(INDEX(MATCHER!$C$5:$C$504,T443))&lt;10,"0","")&amp;MINUTE(INDEX(MATCHER!$C$5:$C$504,T443))&amp;" "&amp;INDEX(MATCHER!$H$5:$H$504,T443)&amp;" – "&amp;INDEX(MATCHER!$I$5:$I$504,T443))&amp;IF(AF443="",""," | "&amp;HOUR(INDEX(MATCHER!$C$5:$C$504,AF443))&amp;":"&amp;IF(MINUTE(INDEX(MATCHER!$C$5:$C$504,AF443))&lt;10,"0","")&amp;MINUTE(INDEX(MATCHER!$C$5:$C$504,AF443))&amp;" "&amp;INDEX(MATCHER!$H$5:$H$504,AF443)&amp;" – "&amp;INDEX(MATCHER!$I$5:$I$504,AF443))</f>
        <v>9:00 HF Öst – HF Öst 2</v>
      </c>
      <c r="G443" s="45" t="str">
        <f>MID(IF(R443="","",IF(OR(INDEX(MATCHER!$J$5:$J$504,R443)=""),""," / "&amp;INDEX(MATCHER!$J$5:$J$504,R443)))&amp;IF(S443="","",IF(OR(INDEX(MATCHER!$J$5:$J$504,S443)="",INDEX(MATCHER!$J$5:$J$504,S443)=IFERROR(INDEX(MATCHER!$J$5:$J$504,R443),"")),""," / "&amp;INDEX(MATCHER!$J$5:$J$504,S443)))&amp;IF(T443="","",IF(OR(INDEX(MATCHER!$J$5:$J$504,T443)="",INDEX(MATCHER!$J$5:$J$504,T443)=IFERROR(INDEX(MATCHER!$J$5:$J$504,R443),""),INDEX(MATCHER!$J$5:$J$504,T443)=IFERROR(INDEX(MATCHER!$J$5:$J$504,S443),"")),""," / "&amp;INDEX(MATCHER!$J$5:$J$504,T443)))&amp;IF(AF443="","",IF(OR(INDEX(MATCHER!$J$5:$J$504,AF443)="",INDEX(MATCHER!$J$5:$J$504,AF443)=IFERROR(INDEX(MATCHER!$J$5:$J$504,R443),""),INDEX(MATCHER!$J$5:$J$504,AF443)=IFERROR(INDEX(MATCHER!$J$5:$J$504,S443),""),INDEX(MATCHER!$J$5:$J$504,AF443)=IFERROR(INDEX(MATCHER!$J$5:$J$504,T443),"")),""," / "&amp;INDEX(MATCHER!$J$5:$J$504,AF443))),4,1000)</f>
        <v/>
      </c>
      <c r="H443" s="45" t="str">
        <f t="shared" si="97"/>
        <v>F13</v>
      </c>
      <c r="I443" s="46" t="s">
        <v>90</v>
      </c>
      <c r="J443" s="47" t="s">
        <v>111</v>
      </c>
      <c r="K443" s="48"/>
      <c r="L443" s="157" t="s">
        <v>858</v>
      </c>
      <c r="M443" s="50" t="str">
        <f>IF(O443&lt;&gt;O442,MAX(1,MIN(AA443,ROUNDUP(SUMPRODUCT(($O$5:$O$546=O443)*($I$5:$I$546="Ja")*($E$5:$E$546-$D$5:$D$546))*24/REGLER!$B$8,0))),"")</f>
        <v/>
      </c>
      <c r="N443" s="50" t="str">
        <f t="shared" si="88"/>
        <v>Kontrollera lag</v>
      </c>
      <c r="O443" s="15" t="s">
        <v>156</v>
      </c>
      <c r="P443" s="16">
        <v>0.33333333333333298</v>
      </c>
      <c r="Q443" s="16">
        <v>0.60416666666666696</v>
      </c>
      <c r="R443" s="15">
        <f>IFERROR(MATCH(1,INDEX((MATCHER!$B$5:$B$504=A443)*(MATCHER!$D$5:$D$504=C443)*(MATCHER!$K$5:$K$504="Ja")*(MATCHER!$C$5:$C$504&lt;E443)*(MATCHER!$M$5:$M$504&gt;D443),0),0),"")</f>
        <v>164</v>
      </c>
      <c r="S443" s="15" t="str">
        <f>IF(R443="","",IFERROR(MATCH(1,INDEX((MATCHER!$B$5:$B$504=A443)*(MATCHER!$D$5:$D$504=C443)*(MATCHER!$K$5:$K$504="Ja")*(MATCHER!$C$5:$C$504&lt;E443)*(MATCHER!$M$5:$M$504&gt;D443)*(ROW(MATCHER!$A$5:$A$504)-ROW(MATCHER!$A$5)+1&gt;R443),0),0),""))</f>
        <v/>
      </c>
      <c r="T443" s="15" t="str">
        <f>IF(S443="","",IFERROR(MATCH(1,INDEX((MATCHER!$B$5:$B$504=A443)*(MATCHER!$D$5:$D$504=C443)*(MATCHER!$K$5:$K$504="Ja")*(MATCHER!$C$5:$C$504&lt;E443)*(MATCHER!$M$5:$M$504&gt;D443)*(ROW(MATCHER!$A$5:$A$504)-ROW(MATCHER!$A$5)+1&gt;S443),0),0),""))</f>
        <v/>
      </c>
      <c r="U443" s="15">
        <f t="shared" si="89"/>
        <v>1</v>
      </c>
      <c r="V443" s="15">
        <f>IF(OR(I443&lt;&gt;"Ja",J443=""),"",COUNTIFS($O$5:O443,O443,$U$5:U443,1))</f>
        <v>3</v>
      </c>
      <c r="W443" s="15" t="str">
        <f t="shared" si="90"/>
        <v>2027-02-20 | Tallbackaskolan|3</v>
      </c>
      <c r="X443" s="16">
        <f t="shared" si="91"/>
        <v>0.39583333333333298</v>
      </c>
      <c r="Y443" s="15">
        <f>IF(OR(I443&lt;&gt;"Ja",J443=""),0,IF(COUNTIFS($O$5:O443,O443,$I$5:I443,"Ja",$J$5:J443,"&lt;&gt;")=1,1,0))</f>
        <v>0</v>
      </c>
      <c r="Z443" s="15">
        <f>IF(OR(I443&lt;&gt;"Ja",J443=""),0,IF(COUNTIFS(O443:$O$546,O443,I443:$I$546,"Ja",J443:$J$546,"&lt;&gt;")=1,1,0))</f>
        <v>0</v>
      </c>
      <c r="AA443" s="15">
        <f t="shared" si="98"/>
        <v>1</v>
      </c>
      <c r="AB443" s="15">
        <f>IF(U443&lt;&gt;1,"",COUNTIF($U$5:U443,1))</f>
        <v>74</v>
      </c>
      <c r="AC443" s="15" t="str">
        <f t="shared" si="92"/>
        <v>2027-02-20 | Tallbackaskolan|3</v>
      </c>
      <c r="AD443" s="15" t="str">
        <f t="shared" si="93"/>
        <v>Vanligt café</v>
      </c>
      <c r="AE443" s="15">
        <f t="shared" si="94"/>
        <v>0.49999999999999156</v>
      </c>
      <c r="AF443" t="str">
        <f>IF(T443="","",IFERROR(MATCH(1,INDEX((MATCHER!$B$5:$B$504=A443)*(MATCHER!$D$5:$D$504=C443)*(MATCHER!$K$5:$K$504="Ja")*(MATCHER!$C$5:$C$504&lt;E443)*(MATCHER!$M$5:$M$504&gt;D443)*(ROW(MATCHER!$A$5:$A$504)-ROW(MATCHER!$A$5)+1&gt;T443),0),0),""))</f>
        <v/>
      </c>
    </row>
    <row r="444" spans="1:32" ht="26">
      <c r="A444" s="42">
        <v>46438</v>
      </c>
      <c r="B444" s="43" t="s">
        <v>85</v>
      </c>
      <c r="C444" s="43" t="s">
        <v>110</v>
      </c>
      <c r="D444" s="44">
        <v>0.39583333333333298</v>
      </c>
      <c r="E444" s="44">
        <v>0.41666666666666702</v>
      </c>
      <c r="F444" s="45" t="str">
        <f>IF(R444="","",HOUR(INDEX(MATCHER!$C$5:$C$504,R444))&amp;":"&amp;IF(MINUTE(INDEX(MATCHER!$C$5:$C$504,R444))&lt;10,"0","")&amp;MINUTE(INDEX(MATCHER!$C$5:$C$504,R444))&amp;" "&amp;INDEX(MATCHER!$H$5:$H$504,R444)&amp;" – "&amp;INDEX(MATCHER!$I$5:$I$504,R444))&amp;IF(S444="",""," | "&amp;HOUR(INDEX(MATCHER!$C$5:$C$504,S444))&amp;":"&amp;IF(MINUTE(INDEX(MATCHER!$C$5:$C$504,S444))&lt;10,"0","")&amp;MINUTE(INDEX(MATCHER!$C$5:$C$504,S444))&amp;" "&amp;INDEX(MATCHER!$H$5:$H$504,S444)&amp;" – "&amp;INDEX(MATCHER!$I$5:$I$504,S444))&amp;IF(T444="",""," | "&amp;HOUR(INDEX(MATCHER!$C$5:$C$504,T444))&amp;":"&amp;IF(MINUTE(INDEX(MATCHER!$C$5:$C$504,T444))&lt;10,"0","")&amp;MINUTE(INDEX(MATCHER!$C$5:$C$504,T444))&amp;" "&amp;INDEX(MATCHER!$H$5:$H$504,T444)&amp;" – "&amp;INDEX(MATCHER!$I$5:$I$504,T444))&amp;IF(AF444="",""," | "&amp;HOUR(INDEX(MATCHER!$C$5:$C$504,AF444))&amp;":"&amp;IF(MINUTE(INDEX(MATCHER!$C$5:$C$504,AF444))&lt;10,"0","")&amp;MINUTE(INDEX(MATCHER!$C$5:$C$504,AF444))&amp;" "&amp;INDEX(MATCHER!$H$5:$H$504,AF444)&amp;" – "&amp;INDEX(MATCHER!$I$5:$I$504,AF444))</f>
        <v>9:00 HF Öst – HF Öst 2</v>
      </c>
      <c r="G444" s="45" t="str">
        <f>MID(IF(R444="","",IF(OR(INDEX(MATCHER!$J$5:$J$504,R444)=""),""," / "&amp;INDEX(MATCHER!$J$5:$J$504,R444)))&amp;IF(S444="","",IF(OR(INDEX(MATCHER!$J$5:$J$504,S444)="",INDEX(MATCHER!$J$5:$J$504,S444)=IFERROR(INDEX(MATCHER!$J$5:$J$504,R444),"")),""," / "&amp;INDEX(MATCHER!$J$5:$J$504,S444)))&amp;IF(T444="","",IF(OR(INDEX(MATCHER!$J$5:$J$504,T444)="",INDEX(MATCHER!$J$5:$J$504,T444)=IFERROR(INDEX(MATCHER!$J$5:$J$504,R444),""),INDEX(MATCHER!$J$5:$J$504,T444)=IFERROR(INDEX(MATCHER!$J$5:$J$504,S444),"")),""," / "&amp;INDEX(MATCHER!$J$5:$J$504,T444)))&amp;IF(AF444="","",IF(OR(INDEX(MATCHER!$J$5:$J$504,AF444)="",INDEX(MATCHER!$J$5:$J$504,AF444)=IFERROR(INDEX(MATCHER!$J$5:$J$504,R444),""),INDEX(MATCHER!$J$5:$J$504,AF444)=IFERROR(INDEX(MATCHER!$J$5:$J$504,S444),""),INDEX(MATCHER!$J$5:$J$504,AF444)=IFERROR(INDEX(MATCHER!$J$5:$J$504,T444),"")),""," / "&amp;INDEX(MATCHER!$J$5:$J$504,AF444))),4,1000)</f>
        <v/>
      </c>
      <c r="H444" s="45" t="str">
        <f t="shared" si="97"/>
        <v>F13</v>
      </c>
      <c r="I444" s="46" t="s">
        <v>90</v>
      </c>
      <c r="J444" s="47" t="s">
        <v>135</v>
      </c>
      <c r="K444" s="48"/>
      <c r="L444" s="49" t="s">
        <v>858</v>
      </c>
      <c r="M444" s="50" t="str">
        <f>IF(O444&lt;&gt;O443,MAX(1,MIN(AA444,ROUNDUP(SUMPRODUCT(($O$5:$O$546=O444)*($I$5:$I$546="Ja")*($E$5:$E$546-$D$5:$D$546))*24/REGLER!$B$8,0))),"")</f>
        <v/>
      </c>
      <c r="N444" s="50" t="str">
        <f t="shared" si="88"/>
        <v>Kontrollera lag</v>
      </c>
      <c r="O444" s="15" t="s">
        <v>156</v>
      </c>
      <c r="P444" s="16">
        <v>0.33333333333333298</v>
      </c>
      <c r="Q444" s="16">
        <v>0.60416666666666696</v>
      </c>
      <c r="R444" s="15">
        <f>IFERROR(MATCH(1,INDEX((MATCHER!$B$5:$B$504=A444)*(MATCHER!$D$5:$D$504=C444)*(MATCHER!$K$5:$K$504="Ja")*(MATCHER!$C$5:$C$504&lt;E444)*(MATCHER!$M$5:$M$504&gt;D444),0),0),"")</f>
        <v>164</v>
      </c>
      <c r="S444" s="15" t="str">
        <f>IF(R444="","",IFERROR(MATCH(1,INDEX((MATCHER!$B$5:$B$504=A444)*(MATCHER!$D$5:$D$504=C444)*(MATCHER!$K$5:$K$504="Ja")*(MATCHER!$C$5:$C$504&lt;E444)*(MATCHER!$M$5:$M$504&gt;D444)*(ROW(MATCHER!$A$5:$A$504)-ROW(MATCHER!$A$5)+1&gt;R444),0),0),""))</f>
        <v/>
      </c>
      <c r="T444" s="15" t="str">
        <f>IF(S444="","",IFERROR(MATCH(1,INDEX((MATCHER!$B$5:$B$504=A444)*(MATCHER!$D$5:$D$504=C444)*(MATCHER!$K$5:$K$504="Ja")*(MATCHER!$C$5:$C$504&lt;E444)*(MATCHER!$M$5:$M$504&gt;D444)*(ROW(MATCHER!$A$5:$A$504)-ROW(MATCHER!$A$5)+1&gt;S444),0),0),""))</f>
        <v/>
      </c>
      <c r="U444" s="15">
        <f t="shared" si="89"/>
        <v>1</v>
      </c>
      <c r="V444" s="15">
        <f>IF(OR(I444&lt;&gt;"Ja",J444=""),"",COUNTIFS($O$5:O444,O444,$U$5:U444,1))</f>
        <v>4</v>
      </c>
      <c r="W444" s="15" t="str">
        <f t="shared" si="90"/>
        <v>2027-02-20 | Tallbackaskolan|4</v>
      </c>
      <c r="X444" s="16">
        <f t="shared" si="91"/>
        <v>0.41666666666666702</v>
      </c>
      <c r="Y444" s="15">
        <f>IF(OR(I444&lt;&gt;"Ja",J444=""),0,IF(COUNTIFS($O$5:O444,O444,$I$5:I444,"Ja",$J$5:J444,"&lt;&gt;")=1,1,0))</f>
        <v>0</v>
      </c>
      <c r="Z444" s="15">
        <f>IF(OR(I444&lt;&gt;"Ja",J444=""),0,IF(COUNTIFS(O444:$O$546,O444,I444:$I$546,"Ja",J444:$J$546,"&lt;&gt;")=1,1,0))</f>
        <v>0</v>
      </c>
      <c r="AA444" s="15">
        <f t="shared" si="98"/>
        <v>1</v>
      </c>
      <c r="AB444" s="15">
        <f>IF(U444&lt;&gt;1,"",COUNTIF($U$5:U444,1))</f>
        <v>75</v>
      </c>
      <c r="AC444" s="15" t="str">
        <f t="shared" si="92"/>
        <v>2027-02-20 | Tallbackaskolan|4</v>
      </c>
      <c r="AD444" s="15" t="str">
        <f t="shared" si="93"/>
        <v>Vanligt café</v>
      </c>
      <c r="AE444" s="15">
        <f t="shared" si="94"/>
        <v>0.50000000000001688</v>
      </c>
      <c r="AF444" t="str">
        <f>IF(T444="","",IFERROR(MATCH(1,INDEX((MATCHER!$B$5:$B$504=A444)*(MATCHER!$D$5:$D$504=C444)*(MATCHER!$K$5:$K$504="Ja")*(MATCHER!$C$5:$C$504&lt;E444)*(MATCHER!$M$5:$M$504&gt;D444)*(ROW(MATCHER!$A$5:$A$504)-ROW(MATCHER!$A$5)+1&gt;T444),0),0),""))</f>
        <v/>
      </c>
    </row>
    <row r="445" spans="1:32" ht="26">
      <c r="A445" s="42">
        <v>46438</v>
      </c>
      <c r="B445" s="43" t="s">
        <v>85</v>
      </c>
      <c r="C445" s="43" t="s">
        <v>110</v>
      </c>
      <c r="D445" s="44">
        <v>0.41666666666666702</v>
      </c>
      <c r="E445" s="44">
        <v>0.4375</v>
      </c>
      <c r="F445" s="45" t="str">
        <f>IF(R445="","",HOUR(INDEX(MATCHER!$C$5:$C$504,R445))&amp;":"&amp;IF(MINUTE(INDEX(MATCHER!$C$5:$C$504,R445))&lt;10,"0","")&amp;MINUTE(INDEX(MATCHER!$C$5:$C$504,R445))&amp;" "&amp;INDEX(MATCHER!$H$5:$H$504,R445)&amp;" – "&amp;INDEX(MATCHER!$I$5:$I$504,R445))&amp;IF(S445="",""," | "&amp;HOUR(INDEX(MATCHER!$C$5:$C$504,S445))&amp;":"&amp;IF(MINUTE(INDEX(MATCHER!$C$5:$C$504,S445))&lt;10,"0","")&amp;MINUTE(INDEX(MATCHER!$C$5:$C$504,S445))&amp;" "&amp;INDEX(MATCHER!$H$5:$H$504,S445)&amp;" – "&amp;INDEX(MATCHER!$I$5:$I$504,S445))&amp;IF(T445="",""," | "&amp;HOUR(INDEX(MATCHER!$C$5:$C$504,T445))&amp;":"&amp;IF(MINUTE(INDEX(MATCHER!$C$5:$C$504,T445))&lt;10,"0","")&amp;MINUTE(INDEX(MATCHER!$C$5:$C$504,T445))&amp;" "&amp;INDEX(MATCHER!$H$5:$H$504,T445)&amp;" – "&amp;INDEX(MATCHER!$I$5:$I$504,T445))&amp;IF(AF445="",""," | "&amp;HOUR(INDEX(MATCHER!$C$5:$C$504,AF445))&amp;":"&amp;IF(MINUTE(INDEX(MATCHER!$C$5:$C$504,AF445))&lt;10,"0","")&amp;MINUTE(INDEX(MATCHER!$C$5:$C$504,AF445))&amp;" "&amp;INDEX(MATCHER!$H$5:$H$504,AF445)&amp;" – "&amp;INDEX(MATCHER!$I$5:$I$504,AF445))</f>
        <v>9:00 HF Öst – HF Öst 2</v>
      </c>
      <c r="G445" s="45" t="str">
        <f>MID(IF(R445="","",IF(OR(INDEX(MATCHER!$J$5:$J$504,R445)=""),""," / "&amp;INDEX(MATCHER!$J$5:$J$504,R445)))&amp;IF(S445="","",IF(OR(INDEX(MATCHER!$J$5:$J$504,S445)="",INDEX(MATCHER!$J$5:$J$504,S445)=IFERROR(INDEX(MATCHER!$J$5:$J$504,R445),"")),""," / "&amp;INDEX(MATCHER!$J$5:$J$504,S445)))&amp;IF(T445="","",IF(OR(INDEX(MATCHER!$J$5:$J$504,T445)="",INDEX(MATCHER!$J$5:$J$504,T445)=IFERROR(INDEX(MATCHER!$J$5:$J$504,R445),""),INDEX(MATCHER!$J$5:$J$504,T445)=IFERROR(INDEX(MATCHER!$J$5:$J$504,S445),"")),""," / "&amp;INDEX(MATCHER!$J$5:$J$504,T445)))&amp;IF(AF445="","",IF(OR(INDEX(MATCHER!$J$5:$J$504,AF445)="",INDEX(MATCHER!$J$5:$J$504,AF445)=IFERROR(INDEX(MATCHER!$J$5:$J$504,R445),""),INDEX(MATCHER!$J$5:$J$504,AF445)=IFERROR(INDEX(MATCHER!$J$5:$J$504,S445),""),INDEX(MATCHER!$J$5:$J$504,AF445)=IFERROR(INDEX(MATCHER!$J$5:$J$504,T445),"")),""," / "&amp;INDEX(MATCHER!$J$5:$J$504,AF445))),4,1000)</f>
        <v/>
      </c>
      <c r="H445" s="45" t="str">
        <f t="shared" si="97"/>
        <v>F13</v>
      </c>
      <c r="I445" s="46" t="s">
        <v>90</v>
      </c>
      <c r="J445" s="47" t="s">
        <v>150</v>
      </c>
      <c r="K445" s="48"/>
      <c r="L445" s="49" t="s">
        <v>858</v>
      </c>
      <c r="M445" s="50" t="str">
        <f>IF(O445&lt;&gt;O444,MAX(1,MIN(AA445,ROUNDUP(SUMPRODUCT(($O$5:$O$546=O445)*($I$5:$I$546="Ja")*($E$5:$E$546-$D$5:$D$546))*24/REGLER!$B$8,0))),"")</f>
        <v/>
      </c>
      <c r="N445" s="50" t="str">
        <f t="shared" si="88"/>
        <v>Kontrollera lag</v>
      </c>
      <c r="O445" s="15" t="s">
        <v>156</v>
      </c>
      <c r="P445" s="16">
        <v>0.33333333333333298</v>
      </c>
      <c r="Q445" s="16">
        <v>0.60416666666666696</v>
      </c>
      <c r="R445" s="15">
        <f>IFERROR(MATCH(1,INDEX((MATCHER!$B$5:$B$504=A445)*(MATCHER!$D$5:$D$504=C445)*(MATCHER!$K$5:$K$504="Ja")*(MATCHER!$C$5:$C$504&lt;E445)*(MATCHER!$M$5:$M$504&gt;D445),0),0),"")</f>
        <v>164</v>
      </c>
      <c r="S445" s="15" t="str">
        <f>IF(R445="","",IFERROR(MATCH(1,INDEX((MATCHER!$B$5:$B$504=A445)*(MATCHER!$D$5:$D$504=C445)*(MATCHER!$K$5:$K$504="Ja")*(MATCHER!$C$5:$C$504&lt;E445)*(MATCHER!$M$5:$M$504&gt;D445)*(ROW(MATCHER!$A$5:$A$504)-ROW(MATCHER!$A$5)+1&gt;R445),0),0),""))</f>
        <v/>
      </c>
      <c r="T445" s="15" t="str">
        <f>IF(S445="","",IFERROR(MATCH(1,INDEX((MATCHER!$B$5:$B$504=A445)*(MATCHER!$D$5:$D$504=C445)*(MATCHER!$K$5:$K$504="Ja")*(MATCHER!$C$5:$C$504&lt;E445)*(MATCHER!$M$5:$M$504&gt;D445)*(ROW(MATCHER!$A$5:$A$504)-ROW(MATCHER!$A$5)+1&gt;S445),0),0),""))</f>
        <v/>
      </c>
      <c r="U445" s="15">
        <f t="shared" si="89"/>
        <v>1</v>
      </c>
      <c r="V445" s="15">
        <f>IF(OR(I445&lt;&gt;"Ja",J445=""),"",COUNTIFS($O$5:O445,O445,$U$5:U445,1))</f>
        <v>5</v>
      </c>
      <c r="W445" s="15" t="str">
        <f t="shared" si="90"/>
        <v>2027-02-20 | Tallbackaskolan|5</v>
      </c>
      <c r="X445" s="16">
        <f t="shared" si="91"/>
        <v>0.4375</v>
      </c>
      <c r="Y445" s="15">
        <f>IF(OR(I445&lt;&gt;"Ja",J445=""),0,IF(COUNTIFS($O$5:O445,O445,$I$5:I445,"Ja",$J$5:J445,"&lt;&gt;")=1,1,0))</f>
        <v>0</v>
      </c>
      <c r="Z445" s="15">
        <f>IF(OR(I445&lt;&gt;"Ja",J445=""),0,IF(COUNTIFS(O445:$O$546,O445,I445:$I$546,"Ja",J445:$J$546,"&lt;&gt;")=1,1,0))</f>
        <v>0</v>
      </c>
      <c r="AA445" s="15">
        <f t="shared" si="98"/>
        <v>1</v>
      </c>
      <c r="AB445" s="15">
        <f>IF(U445&lt;&gt;1,"",COUNTIF($U$5:U445,1))</f>
        <v>76</v>
      </c>
      <c r="AC445" s="15" t="str">
        <f t="shared" si="92"/>
        <v>2027-02-20 | Tallbackaskolan|5</v>
      </c>
      <c r="AD445" s="15" t="str">
        <f t="shared" si="93"/>
        <v>Vanligt café</v>
      </c>
      <c r="AE445" s="15">
        <f t="shared" si="94"/>
        <v>0.49999999999999156</v>
      </c>
      <c r="AF445" t="str">
        <f>IF(T445="","",IFERROR(MATCH(1,INDEX((MATCHER!$B$5:$B$504=A445)*(MATCHER!$D$5:$D$504=C445)*(MATCHER!$K$5:$K$504="Ja")*(MATCHER!$C$5:$C$504&lt;E445)*(MATCHER!$M$5:$M$504&gt;D445)*(ROW(MATCHER!$A$5:$A$504)-ROW(MATCHER!$A$5)+1&gt;T445),0),0),""))</f>
        <v/>
      </c>
    </row>
    <row r="446" spans="1:32" ht="26">
      <c r="A446" s="42">
        <v>46438</v>
      </c>
      <c r="B446" s="43" t="s">
        <v>85</v>
      </c>
      <c r="C446" s="43" t="s">
        <v>110</v>
      </c>
      <c r="D446" s="44">
        <v>0.4375</v>
      </c>
      <c r="E446" s="44">
        <v>0.45833333333333298</v>
      </c>
      <c r="F446" s="45" t="str">
        <f>IF(R446="","",HOUR(INDEX(MATCHER!$C$5:$C$504,R446))&amp;":"&amp;IF(MINUTE(INDEX(MATCHER!$C$5:$C$504,R446))&lt;10,"0","")&amp;MINUTE(INDEX(MATCHER!$C$5:$C$504,R446))&amp;" "&amp;INDEX(MATCHER!$H$5:$H$504,R446)&amp;" – "&amp;INDEX(MATCHER!$I$5:$I$504,R446))&amp;IF(S446="",""," | "&amp;HOUR(INDEX(MATCHER!$C$5:$C$504,S446))&amp;":"&amp;IF(MINUTE(INDEX(MATCHER!$C$5:$C$504,S446))&lt;10,"0","")&amp;MINUTE(INDEX(MATCHER!$C$5:$C$504,S446))&amp;" "&amp;INDEX(MATCHER!$H$5:$H$504,S446)&amp;" – "&amp;INDEX(MATCHER!$I$5:$I$504,S446))&amp;IF(T446="",""," | "&amp;HOUR(INDEX(MATCHER!$C$5:$C$504,T446))&amp;":"&amp;IF(MINUTE(INDEX(MATCHER!$C$5:$C$504,T446))&lt;10,"0","")&amp;MINUTE(INDEX(MATCHER!$C$5:$C$504,T446))&amp;" "&amp;INDEX(MATCHER!$H$5:$H$504,T446)&amp;" – "&amp;INDEX(MATCHER!$I$5:$I$504,T446))&amp;IF(AF446="",""," | "&amp;HOUR(INDEX(MATCHER!$C$5:$C$504,AF446))&amp;":"&amp;IF(MINUTE(INDEX(MATCHER!$C$5:$C$504,AF446))&lt;10,"0","")&amp;MINUTE(INDEX(MATCHER!$C$5:$C$504,AF446))&amp;" "&amp;INDEX(MATCHER!$H$5:$H$504,AF446)&amp;" – "&amp;INDEX(MATCHER!$I$5:$I$504,AF446))</f>
        <v>9:00 HF Öst – HF Öst 2</v>
      </c>
      <c r="G446" s="45" t="str">
        <f>MID(IF(R446="","",IF(OR(INDEX(MATCHER!$J$5:$J$504,R446)=""),""," / "&amp;INDEX(MATCHER!$J$5:$J$504,R446)))&amp;IF(S446="","",IF(OR(INDEX(MATCHER!$J$5:$J$504,S446)="",INDEX(MATCHER!$J$5:$J$504,S446)=IFERROR(INDEX(MATCHER!$J$5:$J$504,R446),"")),""," / "&amp;INDEX(MATCHER!$J$5:$J$504,S446)))&amp;IF(T446="","",IF(OR(INDEX(MATCHER!$J$5:$J$504,T446)="",INDEX(MATCHER!$J$5:$J$504,T446)=IFERROR(INDEX(MATCHER!$J$5:$J$504,R446),""),INDEX(MATCHER!$J$5:$J$504,T446)=IFERROR(INDEX(MATCHER!$J$5:$J$504,S446),"")),""," / "&amp;INDEX(MATCHER!$J$5:$J$504,T446)))&amp;IF(AF446="","",IF(OR(INDEX(MATCHER!$J$5:$J$504,AF446)="",INDEX(MATCHER!$J$5:$J$504,AF446)=IFERROR(INDEX(MATCHER!$J$5:$J$504,R446),""),INDEX(MATCHER!$J$5:$J$504,AF446)=IFERROR(INDEX(MATCHER!$J$5:$J$504,S446),""),INDEX(MATCHER!$J$5:$J$504,AF446)=IFERROR(INDEX(MATCHER!$J$5:$J$504,T446),"")),""," / "&amp;INDEX(MATCHER!$J$5:$J$504,AF446))),4,1000)</f>
        <v/>
      </c>
      <c r="H446" s="45" t="str">
        <f t="shared" si="97"/>
        <v>F13</v>
      </c>
      <c r="I446" s="46" t="s">
        <v>90</v>
      </c>
      <c r="J446" s="47" t="s">
        <v>111</v>
      </c>
      <c r="K446" s="48"/>
      <c r="L446" s="157" t="s">
        <v>858</v>
      </c>
      <c r="M446" s="50" t="str">
        <f>IF(O446&lt;&gt;O445,MAX(1,MIN(AA446,ROUNDUP(SUMPRODUCT(($O$5:$O$546=O446)*($I$5:$I$546="Ja")*($E$5:$E$546-$D$5:$D$546))*24/REGLER!$B$8,0))),"")</f>
        <v/>
      </c>
      <c r="N446" s="50" t="str">
        <f t="shared" si="88"/>
        <v>Kontrollera lag</v>
      </c>
      <c r="O446" s="15" t="s">
        <v>156</v>
      </c>
      <c r="P446" s="16">
        <v>0.33333333333333298</v>
      </c>
      <c r="Q446" s="16">
        <v>0.60416666666666696</v>
      </c>
      <c r="R446" s="15">
        <f>IFERROR(MATCH(1,INDEX((MATCHER!$B$5:$B$504=A446)*(MATCHER!$D$5:$D$504=C446)*(MATCHER!$K$5:$K$504="Ja")*(MATCHER!$C$5:$C$504&lt;E446)*(MATCHER!$M$5:$M$504&gt;D446),0),0),"")</f>
        <v>164</v>
      </c>
      <c r="S446" s="15" t="str">
        <f>IF(R446="","",IFERROR(MATCH(1,INDEX((MATCHER!$B$5:$B$504=A446)*(MATCHER!$D$5:$D$504=C446)*(MATCHER!$K$5:$K$504="Ja")*(MATCHER!$C$5:$C$504&lt;E446)*(MATCHER!$M$5:$M$504&gt;D446)*(ROW(MATCHER!$A$5:$A$504)-ROW(MATCHER!$A$5)+1&gt;R446),0),0),""))</f>
        <v/>
      </c>
      <c r="T446" s="15" t="str">
        <f>IF(S446="","",IFERROR(MATCH(1,INDEX((MATCHER!$B$5:$B$504=A446)*(MATCHER!$D$5:$D$504=C446)*(MATCHER!$K$5:$K$504="Ja")*(MATCHER!$C$5:$C$504&lt;E446)*(MATCHER!$M$5:$M$504&gt;D446)*(ROW(MATCHER!$A$5:$A$504)-ROW(MATCHER!$A$5)+1&gt;S446),0),0),""))</f>
        <v/>
      </c>
      <c r="U446" s="15">
        <f t="shared" si="89"/>
        <v>1</v>
      </c>
      <c r="V446" s="15">
        <f>IF(OR(I446&lt;&gt;"Ja",J446=""),"",COUNTIFS($O$5:O446,O446,$U$5:U446,1))</f>
        <v>6</v>
      </c>
      <c r="W446" s="15" t="str">
        <f t="shared" si="90"/>
        <v>2027-02-20 | Tallbackaskolan|6</v>
      </c>
      <c r="X446" s="16">
        <f t="shared" si="91"/>
        <v>0.45833333333333298</v>
      </c>
      <c r="Y446" s="15">
        <f>IF(OR(I446&lt;&gt;"Ja",J446=""),0,IF(COUNTIFS($O$5:O446,O446,$I$5:I446,"Ja",$J$5:J446,"&lt;&gt;")=1,1,0))</f>
        <v>0</v>
      </c>
      <c r="Z446" s="15">
        <f>IF(OR(I446&lt;&gt;"Ja",J446=""),0,IF(COUNTIFS(O446:$O$546,O446,I446:$I$546,"Ja",J446:$J$546,"&lt;&gt;")=1,1,0))</f>
        <v>0</v>
      </c>
      <c r="AA446" s="15">
        <f t="shared" si="98"/>
        <v>1</v>
      </c>
      <c r="AB446" s="15">
        <f>IF(U446&lt;&gt;1,"",COUNTIF($U$5:U446,1))</f>
        <v>77</v>
      </c>
      <c r="AC446" s="15" t="str">
        <f t="shared" si="92"/>
        <v>2027-02-20 | Tallbackaskolan|6</v>
      </c>
      <c r="AD446" s="15" t="str">
        <f t="shared" si="93"/>
        <v>Vanligt café</v>
      </c>
      <c r="AE446" s="15">
        <f t="shared" si="94"/>
        <v>0.49999999999999156</v>
      </c>
      <c r="AF446" t="str">
        <f>IF(T446="","",IFERROR(MATCH(1,INDEX((MATCHER!$B$5:$B$504=A446)*(MATCHER!$D$5:$D$504=C446)*(MATCHER!$K$5:$K$504="Ja")*(MATCHER!$C$5:$C$504&lt;E446)*(MATCHER!$M$5:$M$504&gt;D446)*(ROW(MATCHER!$A$5:$A$504)-ROW(MATCHER!$A$5)+1&gt;T446),0),0),""))</f>
        <v/>
      </c>
    </row>
    <row r="447" spans="1:32" ht="26">
      <c r="A447" s="42">
        <v>46438</v>
      </c>
      <c r="B447" s="43" t="s">
        <v>85</v>
      </c>
      <c r="C447" s="43" t="s">
        <v>110</v>
      </c>
      <c r="D447" s="44">
        <v>0.45833333333333298</v>
      </c>
      <c r="E447" s="44">
        <v>0.47916666666666702</v>
      </c>
      <c r="F447" s="45" t="str">
        <f>IF(R447="","",HOUR(INDEX(MATCHER!$C$5:$C$504,R447))&amp;":"&amp;IF(MINUTE(INDEX(MATCHER!$C$5:$C$504,R447))&lt;10,"0","")&amp;MINUTE(INDEX(MATCHER!$C$5:$C$504,R447))&amp;" "&amp;INDEX(MATCHER!$H$5:$H$504,R447)&amp;" – "&amp;INDEX(MATCHER!$I$5:$I$504,R447))&amp;IF(S447="",""," | "&amp;HOUR(INDEX(MATCHER!$C$5:$C$504,S447))&amp;":"&amp;IF(MINUTE(INDEX(MATCHER!$C$5:$C$504,S447))&lt;10,"0","")&amp;MINUTE(INDEX(MATCHER!$C$5:$C$504,S447))&amp;" "&amp;INDEX(MATCHER!$H$5:$H$504,S447)&amp;" – "&amp;INDEX(MATCHER!$I$5:$I$504,S447))&amp;IF(T447="",""," | "&amp;HOUR(INDEX(MATCHER!$C$5:$C$504,T447))&amp;":"&amp;IF(MINUTE(INDEX(MATCHER!$C$5:$C$504,T447))&lt;10,"0","")&amp;MINUTE(INDEX(MATCHER!$C$5:$C$504,T447))&amp;" "&amp;INDEX(MATCHER!$H$5:$H$504,T447)&amp;" – "&amp;INDEX(MATCHER!$I$5:$I$504,T447))&amp;IF(AF447="",""," | "&amp;HOUR(INDEX(MATCHER!$C$5:$C$504,AF447))&amp;":"&amp;IF(MINUTE(INDEX(MATCHER!$C$5:$C$504,AF447))&lt;10,"0","")&amp;MINUTE(INDEX(MATCHER!$C$5:$C$504,AF447))&amp;" "&amp;INDEX(MATCHER!$H$5:$H$504,AF447)&amp;" – "&amp;INDEX(MATCHER!$I$5:$I$504,AF447))</f>
        <v>9:00 HF Öst – HF Öst 2</v>
      </c>
      <c r="G447" s="45" t="str">
        <f>MID(IF(R447="","",IF(OR(INDEX(MATCHER!$J$5:$J$504,R447)=""),""," / "&amp;INDEX(MATCHER!$J$5:$J$504,R447)))&amp;IF(S447="","",IF(OR(INDEX(MATCHER!$J$5:$J$504,S447)="",INDEX(MATCHER!$J$5:$J$504,S447)=IFERROR(INDEX(MATCHER!$J$5:$J$504,R447),"")),""," / "&amp;INDEX(MATCHER!$J$5:$J$504,S447)))&amp;IF(T447="","",IF(OR(INDEX(MATCHER!$J$5:$J$504,T447)="",INDEX(MATCHER!$J$5:$J$504,T447)=IFERROR(INDEX(MATCHER!$J$5:$J$504,R447),""),INDEX(MATCHER!$J$5:$J$504,T447)=IFERROR(INDEX(MATCHER!$J$5:$J$504,S447),"")),""," / "&amp;INDEX(MATCHER!$J$5:$J$504,T447)))&amp;IF(AF447="","",IF(OR(INDEX(MATCHER!$J$5:$J$504,AF447)="",INDEX(MATCHER!$J$5:$J$504,AF447)=IFERROR(INDEX(MATCHER!$J$5:$J$504,R447),""),INDEX(MATCHER!$J$5:$J$504,AF447)=IFERROR(INDEX(MATCHER!$J$5:$J$504,S447),""),INDEX(MATCHER!$J$5:$J$504,AF447)=IFERROR(INDEX(MATCHER!$J$5:$J$504,T447),"")),""," / "&amp;INDEX(MATCHER!$J$5:$J$504,AF447))),4,1000)</f>
        <v/>
      </c>
      <c r="H447" s="45" t="str">
        <f t="shared" si="97"/>
        <v>F13</v>
      </c>
      <c r="I447" s="46" t="s">
        <v>90</v>
      </c>
      <c r="J447" s="47" t="s">
        <v>135</v>
      </c>
      <c r="K447" s="48"/>
      <c r="L447" s="49" t="s">
        <v>858</v>
      </c>
      <c r="M447" s="50" t="str">
        <f>IF(O447&lt;&gt;O446,MAX(1,MIN(AA447,ROUNDUP(SUMPRODUCT(($O$5:$O$546=O447)*($I$5:$I$546="Ja")*($E$5:$E$546-$D$5:$D$546))*24/REGLER!$B$8,0))),"")</f>
        <v/>
      </c>
      <c r="N447" s="50" t="str">
        <f t="shared" si="88"/>
        <v>Kontrollera lag</v>
      </c>
      <c r="O447" s="15" t="s">
        <v>156</v>
      </c>
      <c r="P447" s="16">
        <v>0.33333333333333298</v>
      </c>
      <c r="Q447" s="16">
        <v>0.60416666666666696</v>
      </c>
      <c r="R447" s="15">
        <f>IFERROR(MATCH(1,INDEX((MATCHER!$B$5:$B$504=A447)*(MATCHER!$D$5:$D$504=C447)*(MATCHER!$K$5:$K$504="Ja")*(MATCHER!$C$5:$C$504&lt;E447)*(MATCHER!$M$5:$M$504&gt;D447),0),0),"")</f>
        <v>164</v>
      </c>
      <c r="S447" s="15" t="str">
        <f>IF(R447="","",IFERROR(MATCH(1,INDEX((MATCHER!$B$5:$B$504=A447)*(MATCHER!$D$5:$D$504=C447)*(MATCHER!$K$5:$K$504="Ja")*(MATCHER!$C$5:$C$504&lt;E447)*(MATCHER!$M$5:$M$504&gt;D447)*(ROW(MATCHER!$A$5:$A$504)-ROW(MATCHER!$A$5)+1&gt;R447),0),0),""))</f>
        <v/>
      </c>
      <c r="T447" s="15" t="str">
        <f>IF(S447="","",IFERROR(MATCH(1,INDEX((MATCHER!$B$5:$B$504=A447)*(MATCHER!$D$5:$D$504=C447)*(MATCHER!$K$5:$K$504="Ja")*(MATCHER!$C$5:$C$504&lt;E447)*(MATCHER!$M$5:$M$504&gt;D447)*(ROW(MATCHER!$A$5:$A$504)-ROW(MATCHER!$A$5)+1&gt;S447),0),0),""))</f>
        <v/>
      </c>
      <c r="U447" s="15">
        <f t="shared" si="89"/>
        <v>1</v>
      </c>
      <c r="V447" s="15">
        <f>IF(OR(I447&lt;&gt;"Ja",J447=""),"",COUNTIFS($O$5:O447,O447,$U$5:U447,1))</f>
        <v>7</v>
      </c>
      <c r="W447" s="15" t="str">
        <f t="shared" si="90"/>
        <v>2027-02-20 | Tallbackaskolan|7</v>
      </c>
      <c r="X447" s="16">
        <f t="shared" si="91"/>
        <v>0.47916666666666702</v>
      </c>
      <c r="Y447" s="15">
        <f>IF(OR(I447&lt;&gt;"Ja",J447=""),0,IF(COUNTIFS($O$5:O447,O447,$I$5:I447,"Ja",$J$5:J447,"&lt;&gt;")=1,1,0))</f>
        <v>0</v>
      </c>
      <c r="Z447" s="15">
        <f>IF(OR(I447&lt;&gt;"Ja",J447=""),0,IF(COUNTIFS(O447:$O$546,O447,I447:$I$546,"Ja",J447:$J$546,"&lt;&gt;")=1,1,0))</f>
        <v>0</v>
      </c>
      <c r="AA447" s="15">
        <f t="shared" si="98"/>
        <v>1</v>
      </c>
      <c r="AB447" s="15">
        <f>IF(U447&lt;&gt;1,"",COUNTIF($U$5:U447,1))</f>
        <v>78</v>
      </c>
      <c r="AC447" s="15" t="str">
        <f t="shared" si="92"/>
        <v>2027-02-20 | Tallbackaskolan|7</v>
      </c>
      <c r="AD447" s="15" t="str">
        <f t="shared" si="93"/>
        <v>Vanligt café</v>
      </c>
      <c r="AE447" s="15">
        <f t="shared" si="94"/>
        <v>0.50000000000001688</v>
      </c>
      <c r="AF447" t="str">
        <f>IF(T447="","",IFERROR(MATCH(1,INDEX((MATCHER!$B$5:$B$504=A447)*(MATCHER!$D$5:$D$504=C447)*(MATCHER!$K$5:$K$504="Ja")*(MATCHER!$C$5:$C$504&lt;E447)*(MATCHER!$M$5:$M$504&gt;D447)*(ROW(MATCHER!$A$5:$A$504)-ROW(MATCHER!$A$5)+1&gt;T447),0),0),""))</f>
        <v/>
      </c>
    </row>
    <row r="448" spans="1:32" ht="26">
      <c r="A448" s="42">
        <v>46438</v>
      </c>
      <c r="B448" s="43" t="s">
        <v>85</v>
      </c>
      <c r="C448" s="43" t="s">
        <v>110</v>
      </c>
      <c r="D448" s="44">
        <v>0.47916666666666702</v>
      </c>
      <c r="E448" s="44">
        <v>0.5</v>
      </c>
      <c r="F448" s="45" t="str">
        <f>IF(R448="","",HOUR(INDEX(MATCHER!$C$5:$C$504,R448))&amp;":"&amp;IF(MINUTE(INDEX(MATCHER!$C$5:$C$504,R448))&lt;10,"0","")&amp;MINUTE(INDEX(MATCHER!$C$5:$C$504,R448))&amp;" "&amp;INDEX(MATCHER!$H$5:$H$504,R448)&amp;" – "&amp;INDEX(MATCHER!$I$5:$I$504,R448))&amp;IF(S448="",""," | "&amp;HOUR(INDEX(MATCHER!$C$5:$C$504,S448))&amp;":"&amp;IF(MINUTE(INDEX(MATCHER!$C$5:$C$504,S448))&lt;10,"0","")&amp;MINUTE(INDEX(MATCHER!$C$5:$C$504,S448))&amp;" "&amp;INDEX(MATCHER!$H$5:$H$504,S448)&amp;" – "&amp;INDEX(MATCHER!$I$5:$I$504,S448))&amp;IF(T448="",""," | "&amp;HOUR(INDEX(MATCHER!$C$5:$C$504,T448))&amp;":"&amp;IF(MINUTE(INDEX(MATCHER!$C$5:$C$504,T448))&lt;10,"0","")&amp;MINUTE(INDEX(MATCHER!$C$5:$C$504,T448))&amp;" "&amp;INDEX(MATCHER!$H$5:$H$504,T448)&amp;" – "&amp;INDEX(MATCHER!$I$5:$I$504,T448))&amp;IF(AF448="",""," | "&amp;HOUR(INDEX(MATCHER!$C$5:$C$504,AF448))&amp;":"&amp;IF(MINUTE(INDEX(MATCHER!$C$5:$C$504,AF448))&lt;10,"0","")&amp;MINUTE(INDEX(MATCHER!$C$5:$C$504,AF448))&amp;" "&amp;INDEX(MATCHER!$H$5:$H$504,AF448)&amp;" – "&amp;INDEX(MATCHER!$I$5:$I$504,AF448))</f>
        <v>9:00 HF Öst – HF Öst 2</v>
      </c>
      <c r="G448" s="45" t="str">
        <f>MID(IF(R448="","",IF(OR(INDEX(MATCHER!$J$5:$J$504,R448)=""),""," / "&amp;INDEX(MATCHER!$J$5:$J$504,R448)))&amp;IF(S448="","",IF(OR(INDEX(MATCHER!$J$5:$J$504,S448)="",INDEX(MATCHER!$J$5:$J$504,S448)=IFERROR(INDEX(MATCHER!$J$5:$J$504,R448),"")),""," / "&amp;INDEX(MATCHER!$J$5:$J$504,S448)))&amp;IF(T448="","",IF(OR(INDEX(MATCHER!$J$5:$J$504,T448)="",INDEX(MATCHER!$J$5:$J$504,T448)=IFERROR(INDEX(MATCHER!$J$5:$J$504,R448),""),INDEX(MATCHER!$J$5:$J$504,T448)=IFERROR(INDEX(MATCHER!$J$5:$J$504,S448),"")),""," / "&amp;INDEX(MATCHER!$J$5:$J$504,T448)))&amp;IF(AF448="","",IF(OR(INDEX(MATCHER!$J$5:$J$504,AF448)="",INDEX(MATCHER!$J$5:$J$504,AF448)=IFERROR(INDEX(MATCHER!$J$5:$J$504,R448),""),INDEX(MATCHER!$J$5:$J$504,AF448)=IFERROR(INDEX(MATCHER!$J$5:$J$504,S448),""),INDEX(MATCHER!$J$5:$J$504,AF448)=IFERROR(INDEX(MATCHER!$J$5:$J$504,T448),"")),""," / "&amp;INDEX(MATCHER!$J$5:$J$504,AF448))),4,1000)</f>
        <v/>
      </c>
      <c r="H448" s="45" t="str">
        <f t="shared" si="97"/>
        <v>F13</v>
      </c>
      <c r="I448" s="46" t="s">
        <v>90</v>
      </c>
      <c r="J448" s="47" t="s">
        <v>150</v>
      </c>
      <c r="K448" s="48"/>
      <c r="L448" s="49" t="s">
        <v>858</v>
      </c>
      <c r="M448" s="50" t="str">
        <f>IF(O448&lt;&gt;O447,MAX(1,MIN(AA448,ROUNDUP(SUMPRODUCT(($O$5:$O$546=O448)*($I$5:$I$546="Ja")*($E$5:$E$546-$D$5:$D$546))*24/REGLER!$B$8,0))),"")</f>
        <v/>
      </c>
      <c r="N448" s="50" t="str">
        <f t="shared" si="88"/>
        <v>Kontrollera lag</v>
      </c>
      <c r="O448" s="15" t="s">
        <v>156</v>
      </c>
      <c r="P448" s="16">
        <v>0.33333333333333298</v>
      </c>
      <c r="Q448" s="16">
        <v>0.60416666666666696</v>
      </c>
      <c r="R448" s="15">
        <f>IFERROR(MATCH(1,INDEX((MATCHER!$B$5:$B$504=A448)*(MATCHER!$D$5:$D$504=C448)*(MATCHER!$K$5:$K$504="Ja")*(MATCHER!$C$5:$C$504&lt;E448)*(MATCHER!$M$5:$M$504&gt;D448),0),0),"")</f>
        <v>164</v>
      </c>
      <c r="S448" s="15" t="str">
        <f>IF(R448="","",IFERROR(MATCH(1,INDEX((MATCHER!$B$5:$B$504=A448)*(MATCHER!$D$5:$D$504=C448)*(MATCHER!$K$5:$K$504="Ja")*(MATCHER!$C$5:$C$504&lt;E448)*(MATCHER!$M$5:$M$504&gt;D448)*(ROW(MATCHER!$A$5:$A$504)-ROW(MATCHER!$A$5)+1&gt;R448),0),0),""))</f>
        <v/>
      </c>
      <c r="T448" s="15" t="str">
        <f>IF(S448="","",IFERROR(MATCH(1,INDEX((MATCHER!$B$5:$B$504=A448)*(MATCHER!$D$5:$D$504=C448)*(MATCHER!$K$5:$K$504="Ja")*(MATCHER!$C$5:$C$504&lt;E448)*(MATCHER!$M$5:$M$504&gt;D448)*(ROW(MATCHER!$A$5:$A$504)-ROW(MATCHER!$A$5)+1&gt;S448),0),0),""))</f>
        <v/>
      </c>
      <c r="U448" s="15">
        <f t="shared" si="89"/>
        <v>1</v>
      </c>
      <c r="V448" s="15">
        <f>IF(OR(I448&lt;&gt;"Ja",J448=""),"",COUNTIFS($O$5:O448,O448,$U$5:U448,1))</f>
        <v>8</v>
      </c>
      <c r="W448" s="15" t="str">
        <f t="shared" si="90"/>
        <v>2027-02-20 | Tallbackaskolan|8</v>
      </c>
      <c r="X448" s="16">
        <f t="shared" si="91"/>
        <v>0.5</v>
      </c>
      <c r="Y448" s="15">
        <f>IF(OR(I448&lt;&gt;"Ja",J448=""),0,IF(COUNTIFS($O$5:O448,O448,$I$5:I448,"Ja",$J$5:J448,"&lt;&gt;")=1,1,0))</f>
        <v>0</v>
      </c>
      <c r="Z448" s="15">
        <f>IF(OR(I448&lt;&gt;"Ja",J448=""),0,IF(COUNTIFS(O448:$O$546,O448,I448:$I$546,"Ja",J448:$J$546,"&lt;&gt;")=1,1,0))</f>
        <v>0</v>
      </c>
      <c r="AA448" s="15">
        <f t="shared" si="98"/>
        <v>1</v>
      </c>
      <c r="AB448" s="15">
        <f>IF(U448&lt;&gt;1,"",COUNTIF($U$5:U448,1))</f>
        <v>79</v>
      </c>
      <c r="AC448" s="15" t="str">
        <f t="shared" si="92"/>
        <v>2027-02-20 | Tallbackaskolan|8</v>
      </c>
      <c r="AD448" s="15" t="str">
        <f t="shared" si="93"/>
        <v>Vanligt café</v>
      </c>
      <c r="AE448" s="15">
        <f t="shared" si="94"/>
        <v>0.49999999999999156</v>
      </c>
      <c r="AF448" t="str">
        <f>IF(T448="","",IFERROR(MATCH(1,INDEX((MATCHER!$B$5:$B$504=A448)*(MATCHER!$D$5:$D$504=C448)*(MATCHER!$K$5:$K$504="Ja")*(MATCHER!$C$5:$C$504&lt;E448)*(MATCHER!$M$5:$M$504&gt;D448)*(ROW(MATCHER!$A$5:$A$504)-ROW(MATCHER!$A$5)+1&gt;T448),0),0),""))</f>
        <v/>
      </c>
    </row>
    <row r="449" spans="1:32" ht="26">
      <c r="A449" s="42">
        <v>46438</v>
      </c>
      <c r="B449" s="43" t="s">
        <v>85</v>
      </c>
      <c r="C449" s="43" t="s">
        <v>110</v>
      </c>
      <c r="D449" s="44">
        <v>0.5</v>
      </c>
      <c r="E449" s="44">
        <v>0.52083333333333304</v>
      </c>
      <c r="F449" s="45" t="str">
        <f>IF(R449="","",HOUR(INDEX(MATCHER!$C$5:$C$504,R449))&amp;":"&amp;IF(MINUTE(INDEX(MATCHER!$C$5:$C$504,R449))&lt;10,"0","")&amp;MINUTE(INDEX(MATCHER!$C$5:$C$504,R449))&amp;" "&amp;INDEX(MATCHER!$H$5:$H$504,R449)&amp;" – "&amp;INDEX(MATCHER!$I$5:$I$504,R449))&amp;IF(S449="",""," | "&amp;HOUR(INDEX(MATCHER!$C$5:$C$504,S449))&amp;":"&amp;IF(MINUTE(INDEX(MATCHER!$C$5:$C$504,S449))&lt;10,"0","")&amp;MINUTE(INDEX(MATCHER!$C$5:$C$504,S449))&amp;" "&amp;INDEX(MATCHER!$H$5:$H$504,S449)&amp;" – "&amp;INDEX(MATCHER!$I$5:$I$504,S449))&amp;IF(T449="",""," | "&amp;HOUR(INDEX(MATCHER!$C$5:$C$504,T449))&amp;":"&amp;IF(MINUTE(INDEX(MATCHER!$C$5:$C$504,T449))&lt;10,"0","")&amp;MINUTE(INDEX(MATCHER!$C$5:$C$504,T449))&amp;" "&amp;INDEX(MATCHER!$H$5:$H$504,T449)&amp;" – "&amp;INDEX(MATCHER!$I$5:$I$504,T449))&amp;IF(AF449="",""," | "&amp;HOUR(INDEX(MATCHER!$C$5:$C$504,AF449))&amp;":"&amp;IF(MINUTE(INDEX(MATCHER!$C$5:$C$504,AF449))&lt;10,"0","")&amp;MINUTE(INDEX(MATCHER!$C$5:$C$504,AF449))&amp;" "&amp;INDEX(MATCHER!$H$5:$H$504,AF449)&amp;" – "&amp;INDEX(MATCHER!$I$5:$I$504,AF449))</f>
        <v/>
      </c>
      <c r="G449" s="45" t="str">
        <f>MID(IF(R449="","",IF(OR(INDEX(MATCHER!$J$5:$J$504,R449)=""),""," / "&amp;INDEX(MATCHER!$J$5:$J$504,R449)))&amp;IF(S449="","",IF(OR(INDEX(MATCHER!$J$5:$J$504,S449)="",INDEX(MATCHER!$J$5:$J$504,S449)=IFERROR(INDEX(MATCHER!$J$5:$J$504,R449),"")),""," / "&amp;INDEX(MATCHER!$J$5:$J$504,S449)))&amp;IF(T449="","",IF(OR(INDEX(MATCHER!$J$5:$J$504,T449)="",INDEX(MATCHER!$J$5:$J$504,T449)=IFERROR(INDEX(MATCHER!$J$5:$J$504,R449),""),INDEX(MATCHER!$J$5:$J$504,T449)=IFERROR(INDEX(MATCHER!$J$5:$J$504,S449),"")),""," / "&amp;INDEX(MATCHER!$J$5:$J$504,T449)))&amp;IF(AF449="","",IF(OR(INDEX(MATCHER!$J$5:$J$504,AF449)="",INDEX(MATCHER!$J$5:$J$504,AF449)=IFERROR(INDEX(MATCHER!$J$5:$J$504,R449),""),INDEX(MATCHER!$J$5:$J$504,AF449)=IFERROR(INDEX(MATCHER!$J$5:$J$504,S449),""),INDEX(MATCHER!$J$5:$J$504,AF449)=IFERROR(INDEX(MATCHER!$J$5:$J$504,T449),"")),""," / "&amp;INDEX(MATCHER!$J$5:$J$504,AF449))),4,1000)</f>
        <v/>
      </c>
      <c r="H449" s="45" t="str">
        <f t="shared" si="97"/>
        <v>F13</v>
      </c>
      <c r="I449" s="46" t="s">
        <v>90</v>
      </c>
      <c r="J449" s="47" t="s">
        <v>111</v>
      </c>
      <c r="K449" s="48"/>
      <c r="L449" s="157" t="s">
        <v>858</v>
      </c>
      <c r="M449" s="50" t="str">
        <f>IF(O449&lt;&gt;O448,MAX(1,MIN(AA449,ROUNDUP(SUMPRODUCT(($O$5:$O$546=O449)*($I$5:$I$546="Ja")*($E$5:$E$546-$D$5:$D$546))*24/REGLER!$B$8,0))),"")</f>
        <v/>
      </c>
      <c r="N449" s="50" t="str">
        <f t="shared" si="88"/>
        <v>Kontrollera lag</v>
      </c>
      <c r="O449" s="15" t="s">
        <v>156</v>
      </c>
      <c r="P449" s="16">
        <v>0.33333333333333298</v>
      </c>
      <c r="Q449" s="16">
        <v>0.60416666666666696</v>
      </c>
      <c r="R449" s="15" t="str">
        <f>IFERROR(MATCH(1,INDEX((MATCHER!$B$5:$B$504=A449)*(MATCHER!$D$5:$D$504=C449)*(MATCHER!$K$5:$K$504="Ja")*(MATCHER!$C$5:$C$504&lt;E449)*(MATCHER!$M$5:$M$504&gt;D449),0),0),"")</f>
        <v/>
      </c>
      <c r="S449" s="15" t="str">
        <f>IF(R449="","",IFERROR(MATCH(1,INDEX((MATCHER!$B$5:$B$504=A449)*(MATCHER!$D$5:$D$504=C449)*(MATCHER!$K$5:$K$504="Ja")*(MATCHER!$C$5:$C$504&lt;E449)*(MATCHER!$M$5:$M$504&gt;D449)*(ROW(MATCHER!$A$5:$A$504)-ROW(MATCHER!$A$5)+1&gt;R449),0),0),""))</f>
        <v/>
      </c>
      <c r="T449" s="15" t="str">
        <f>IF(S449="","",IFERROR(MATCH(1,INDEX((MATCHER!$B$5:$B$504=A449)*(MATCHER!$D$5:$D$504=C449)*(MATCHER!$K$5:$K$504="Ja")*(MATCHER!$C$5:$C$504&lt;E449)*(MATCHER!$M$5:$M$504&gt;D449)*(ROW(MATCHER!$A$5:$A$504)-ROW(MATCHER!$A$5)+1&gt;S449),0),0),""))</f>
        <v/>
      </c>
      <c r="U449" s="15">
        <f t="shared" si="89"/>
        <v>1</v>
      </c>
      <c r="V449" s="15">
        <f>IF(OR(I449&lt;&gt;"Ja",J449=""),"",COUNTIFS($O$5:O449,O449,$U$5:U449,1))</f>
        <v>9</v>
      </c>
      <c r="W449" s="15" t="str">
        <f t="shared" si="90"/>
        <v>2027-02-20 | Tallbackaskolan|9</v>
      </c>
      <c r="X449" s="16">
        <f t="shared" si="91"/>
        <v>0.52083333333333304</v>
      </c>
      <c r="Y449" s="15">
        <f>IF(OR(I449&lt;&gt;"Ja",J449=""),0,IF(COUNTIFS($O$5:O449,O449,$I$5:I449,"Ja",$J$5:J449,"&lt;&gt;")=1,1,0))</f>
        <v>0</v>
      </c>
      <c r="Z449" s="15">
        <f>IF(OR(I449&lt;&gt;"Ja",J449=""),0,IF(COUNTIFS(O449:$O$546,O449,I449:$I$546,"Ja",J449:$J$546,"&lt;&gt;")=1,1,0))</f>
        <v>0</v>
      </c>
      <c r="AA449" s="15">
        <f t="shared" si="98"/>
        <v>1</v>
      </c>
      <c r="AB449" s="15">
        <f>IF(U449&lt;&gt;1,"",COUNTIF($U$5:U449,1))</f>
        <v>80</v>
      </c>
      <c r="AC449" s="15" t="str">
        <f t="shared" si="92"/>
        <v>2027-02-20 | Tallbackaskolan|9</v>
      </c>
      <c r="AD449" s="15" t="str">
        <f t="shared" si="93"/>
        <v>Vanligt café</v>
      </c>
      <c r="AE449" s="15">
        <f t="shared" si="94"/>
        <v>0.49999999999999289</v>
      </c>
      <c r="AF449" t="str">
        <f>IF(T449="","",IFERROR(MATCH(1,INDEX((MATCHER!$B$5:$B$504=A449)*(MATCHER!$D$5:$D$504=C449)*(MATCHER!$K$5:$K$504="Ja")*(MATCHER!$C$5:$C$504&lt;E449)*(MATCHER!$M$5:$M$504&gt;D449)*(ROW(MATCHER!$A$5:$A$504)-ROW(MATCHER!$A$5)+1&gt;T449),0),0),""))</f>
        <v/>
      </c>
    </row>
    <row r="450" spans="1:32" ht="26">
      <c r="A450" s="42">
        <v>46438</v>
      </c>
      <c r="B450" s="43" t="s">
        <v>85</v>
      </c>
      <c r="C450" s="43" t="s">
        <v>110</v>
      </c>
      <c r="D450" s="44">
        <v>0.52083333333333304</v>
      </c>
      <c r="E450" s="44">
        <v>0.54166666666666696</v>
      </c>
      <c r="F450" s="45" t="str">
        <f>IF(R450="","",HOUR(INDEX(MATCHER!$C$5:$C$504,R450))&amp;":"&amp;IF(MINUTE(INDEX(MATCHER!$C$5:$C$504,R450))&lt;10,"0","")&amp;MINUTE(INDEX(MATCHER!$C$5:$C$504,R450))&amp;" "&amp;INDEX(MATCHER!$H$5:$H$504,R450)&amp;" – "&amp;INDEX(MATCHER!$I$5:$I$504,R450))&amp;IF(S450="",""," | "&amp;HOUR(INDEX(MATCHER!$C$5:$C$504,S450))&amp;":"&amp;IF(MINUTE(INDEX(MATCHER!$C$5:$C$504,S450))&lt;10,"0","")&amp;MINUTE(INDEX(MATCHER!$C$5:$C$504,S450))&amp;" "&amp;INDEX(MATCHER!$H$5:$H$504,S450)&amp;" – "&amp;INDEX(MATCHER!$I$5:$I$504,S450))&amp;IF(T450="",""," | "&amp;HOUR(INDEX(MATCHER!$C$5:$C$504,T450))&amp;":"&amp;IF(MINUTE(INDEX(MATCHER!$C$5:$C$504,T450))&lt;10,"0","")&amp;MINUTE(INDEX(MATCHER!$C$5:$C$504,T450))&amp;" "&amp;INDEX(MATCHER!$H$5:$H$504,T450)&amp;" – "&amp;INDEX(MATCHER!$I$5:$I$504,T450))&amp;IF(AF450="",""," | "&amp;HOUR(INDEX(MATCHER!$C$5:$C$504,AF450))&amp;":"&amp;IF(MINUTE(INDEX(MATCHER!$C$5:$C$504,AF450))&lt;10,"0","")&amp;MINUTE(INDEX(MATCHER!$C$5:$C$504,AF450))&amp;" "&amp;INDEX(MATCHER!$H$5:$H$504,AF450)&amp;" – "&amp;INDEX(MATCHER!$I$5:$I$504,AF450))</f>
        <v/>
      </c>
      <c r="G450" s="45" t="str">
        <f>MID(IF(R450="","",IF(OR(INDEX(MATCHER!$J$5:$J$504,R450)=""),""," / "&amp;INDEX(MATCHER!$J$5:$J$504,R450)))&amp;IF(S450="","",IF(OR(INDEX(MATCHER!$J$5:$J$504,S450)="",INDEX(MATCHER!$J$5:$J$504,S450)=IFERROR(INDEX(MATCHER!$J$5:$J$504,R450),"")),""," / "&amp;INDEX(MATCHER!$J$5:$J$504,S450)))&amp;IF(T450="","",IF(OR(INDEX(MATCHER!$J$5:$J$504,T450)="",INDEX(MATCHER!$J$5:$J$504,T450)=IFERROR(INDEX(MATCHER!$J$5:$J$504,R450),""),INDEX(MATCHER!$J$5:$J$504,T450)=IFERROR(INDEX(MATCHER!$J$5:$J$504,S450),"")),""," / "&amp;INDEX(MATCHER!$J$5:$J$504,T450)))&amp;IF(AF450="","",IF(OR(INDEX(MATCHER!$J$5:$J$504,AF450)="",INDEX(MATCHER!$J$5:$J$504,AF450)=IFERROR(INDEX(MATCHER!$J$5:$J$504,R450),""),INDEX(MATCHER!$J$5:$J$504,AF450)=IFERROR(INDEX(MATCHER!$J$5:$J$504,S450),""),INDEX(MATCHER!$J$5:$J$504,AF450)=IFERROR(INDEX(MATCHER!$J$5:$J$504,T450),"")),""," / "&amp;INDEX(MATCHER!$J$5:$J$504,AF450))),4,1000)</f>
        <v/>
      </c>
      <c r="H450" s="45" t="str">
        <f t="shared" si="97"/>
        <v>F13</v>
      </c>
      <c r="I450" s="46" t="s">
        <v>90</v>
      </c>
      <c r="J450" s="47" t="s">
        <v>97</v>
      </c>
      <c r="K450" s="48"/>
      <c r="L450" s="49"/>
      <c r="M450" s="50" t="str">
        <f>IF(O450&lt;&gt;O449,MAX(1,MIN(AA450,ROUNDUP(SUMPRODUCT(($O$5:$O$546=O450)*($I$5:$I$546="Ja")*($E$5:$E$546-$D$5:$D$546))*24/REGLER!$B$8,0))),"")</f>
        <v/>
      </c>
      <c r="N450" s="50" t="str">
        <f t="shared" si="88"/>
        <v>Klar</v>
      </c>
      <c r="O450" s="15" t="s">
        <v>156</v>
      </c>
      <c r="P450" s="16">
        <v>0.33333333333333298</v>
      </c>
      <c r="Q450" s="16">
        <v>0.60416666666666696</v>
      </c>
      <c r="R450" s="15" t="str">
        <f>IFERROR(MATCH(1,INDEX((MATCHER!$B$5:$B$504=A450)*(MATCHER!$D$5:$D$504=C450)*(MATCHER!$K$5:$K$504="Ja")*(MATCHER!$C$5:$C$504&lt;E450)*(MATCHER!$M$5:$M$504&gt;D450),0),0),"")</f>
        <v/>
      </c>
      <c r="S450" s="15" t="str">
        <f>IF(R450="","",IFERROR(MATCH(1,INDEX((MATCHER!$B$5:$B$504=A450)*(MATCHER!$D$5:$D$504=C450)*(MATCHER!$K$5:$K$504="Ja")*(MATCHER!$C$5:$C$504&lt;E450)*(MATCHER!$M$5:$M$504&gt;D450)*(ROW(MATCHER!$A$5:$A$504)-ROW(MATCHER!$A$5)+1&gt;R450),0),0),""))</f>
        <v/>
      </c>
      <c r="T450" s="15" t="str">
        <f>IF(S450="","",IFERROR(MATCH(1,INDEX((MATCHER!$B$5:$B$504=A450)*(MATCHER!$D$5:$D$504=C450)*(MATCHER!$K$5:$K$504="Ja")*(MATCHER!$C$5:$C$504&lt;E450)*(MATCHER!$M$5:$M$504&gt;D450)*(ROW(MATCHER!$A$5:$A$504)-ROW(MATCHER!$A$5)+1&gt;S450),0),0),""))</f>
        <v/>
      </c>
      <c r="U450" s="15">
        <f t="shared" si="89"/>
        <v>1</v>
      </c>
      <c r="V450" s="15">
        <f>IF(OR(I450&lt;&gt;"Ja",J450=""),"",COUNTIFS($O$5:O450,O450,$U$5:U450,1))</f>
        <v>10</v>
      </c>
      <c r="W450" s="15" t="str">
        <f t="shared" si="90"/>
        <v>2027-02-20 | Tallbackaskolan|10</v>
      </c>
      <c r="X450" s="16" t="str">
        <f t="shared" si="91"/>
        <v/>
      </c>
      <c r="Y450" s="15">
        <f>IF(OR(I450&lt;&gt;"Ja",J450=""),0,IF(COUNTIFS($O$5:O450,O450,$I$5:I450,"Ja",$J$5:J450,"&lt;&gt;")=1,1,0))</f>
        <v>0</v>
      </c>
      <c r="Z450" s="15">
        <f>IF(OR(I450&lt;&gt;"Ja",J450=""),0,IF(COUNTIFS(O450:$O$546,O450,I450:$I$546,"Ja",J450:$J$546,"&lt;&gt;")=1,1,0))</f>
        <v>0</v>
      </c>
      <c r="AA450" s="15">
        <f t="shared" si="98"/>
        <v>1</v>
      </c>
      <c r="AB450" s="15">
        <f>IF(U450&lt;&gt;1,"",COUNTIF($U$5:U450,1))</f>
        <v>81</v>
      </c>
      <c r="AC450" s="15" t="str">
        <f t="shared" si="92"/>
        <v/>
      </c>
      <c r="AD450" s="15" t="str">
        <f t="shared" si="93"/>
        <v>Vanligt café</v>
      </c>
      <c r="AE450" s="15">
        <f t="shared" si="94"/>
        <v>2.0000000000000142</v>
      </c>
      <c r="AF450" t="str">
        <f>IF(T450="","",IFERROR(MATCH(1,INDEX((MATCHER!$B$5:$B$504=A450)*(MATCHER!$D$5:$D$504=C450)*(MATCHER!$K$5:$K$504="Ja")*(MATCHER!$C$5:$C$504&lt;E450)*(MATCHER!$M$5:$M$504&gt;D450)*(ROW(MATCHER!$A$5:$A$504)-ROW(MATCHER!$A$5)+1&gt;T450),0),0),""))</f>
        <v/>
      </c>
    </row>
    <row r="451" spans="1:32" ht="26">
      <c r="A451" s="42">
        <v>46438</v>
      </c>
      <c r="B451" s="43" t="s">
        <v>85</v>
      </c>
      <c r="C451" s="43" t="s">
        <v>110</v>
      </c>
      <c r="D451" s="44">
        <v>0.54166666666666696</v>
      </c>
      <c r="E451" s="44">
        <v>0.5625</v>
      </c>
      <c r="F451" s="45" t="str">
        <f>IF(R451="","",HOUR(INDEX(MATCHER!$C$5:$C$504,R451))&amp;":"&amp;IF(MINUTE(INDEX(MATCHER!$C$5:$C$504,R451))&lt;10,"0","")&amp;MINUTE(INDEX(MATCHER!$C$5:$C$504,R451))&amp;" "&amp;INDEX(MATCHER!$H$5:$H$504,R451)&amp;" – "&amp;INDEX(MATCHER!$I$5:$I$504,R451))&amp;IF(S451="",""," | "&amp;HOUR(INDEX(MATCHER!$C$5:$C$504,S451))&amp;":"&amp;IF(MINUTE(INDEX(MATCHER!$C$5:$C$504,S451))&lt;10,"0","")&amp;MINUTE(INDEX(MATCHER!$C$5:$C$504,S451))&amp;" "&amp;INDEX(MATCHER!$H$5:$H$504,S451)&amp;" – "&amp;INDEX(MATCHER!$I$5:$I$504,S451))&amp;IF(T451="",""," | "&amp;HOUR(INDEX(MATCHER!$C$5:$C$504,T451))&amp;":"&amp;IF(MINUTE(INDEX(MATCHER!$C$5:$C$504,T451))&lt;10,"0","")&amp;MINUTE(INDEX(MATCHER!$C$5:$C$504,T451))&amp;" "&amp;INDEX(MATCHER!$H$5:$H$504,T451)&amp;" – "&amp;INDEX(MATCHER!$I$5:$I$504,T451))&amp;IF(AF451="",""," | "&amp;HOUR(INDEX(MATCHER!$C$5:$C$504,AF451))&amp;":"&amp;IF(MINUTE(INDEX(MATCHER!$C$5:$C$504,AF451))&lt;10,"0","")&amp;MINUTE(INDEX(MATCHER!$C$5:$C$504,AF451))&amp;" "&amp;INDEX(MATCHER!$H$5:$H$504,AF451)&amp;" – "&amp;INDEX(MATCHER!$I$5:$I$504,AF451))</f>
        <v>13:15 AIK 2 – HK Cliff Blå</v>
      </c>
      <c r="G451" s="45" t="str">
        <f>MID(IF(R451="","",IF(OR(INDEX(MATCHER!$J$5:$J$504,R451)=""),""," / "&amp;INDEX(MATCHER!$J$5:$J$504,R451)))&amp;IF(S451="","",IF(OR(INDEX(MATCHER!$J$5:$J$504,S451)="",INDEX(MATCHER!$J$5:$J$504,S451)=IFERROR(INDEX(MATCHER!$J$5:$J$504,R451),"")),""," / "&amp;INDEX(MATCHER!$J$5:$J$504,S451)))&amp;IF(T451="","",IF(OR(INDEX(MATCHER!$J$5:$J$504,T451)="",INDEX(MATCHER!$J$5:$J$504,T451)=IFERROR(INDEX(MATCHER!$J$5:$J$504,R451),""),INDEX(MATCHER!$J$5:$J$504,T451)=IFERROR(INDEX(MATCHER!$J$5:$J$504,S451),"")),""," / "&amp;INDEX(MATCHER!$J$5:$J$504,T451)))&amp;IF(AF451="","",IF(OR(INDEX(MATCHER!$J$5:$J$504,AF451)="",INDEX(MATCHER!$J$5:$J$504,AF451)=IFERROR(INDEX(MATCHER!$J$5:$J$504,R451),""),INDEX(MATCHER!$J$5:$J$504,AF451)=IFERROR(INDEX(MATCHER!$J$5:$J$504,S451),""),INDEX(MATCHER!$J$5:$J$504,AF451)=IFERROR(INDEX(MATCHER!$J$5:$J$504,T451),"")),""," / "&amp;INDEX(MATCHER!$J$5:$J$504,AF451))),4,1000)</f>
        <v>F13 2</v>
      </c>
      <c r="H451" s="45" t="str">
        <f t="shared" si="97"/>
        <v>F13</v>
      </c>
      <c r="I451" s="46" t="s">
        <v>90</v>
      </c>
      <c r="J451" s="47" t="s">
        <v>97</v>
      </c>
      <c r="K451" s="48"/>
      <c r="L451" s="49"/>
      <c r="M451" s="50" t="str">
        <f>IF(O451&lt;&gt;O450,MAX(1,MIN(AA451,ROUNDUP(SUMPRODUCT(($O$5:$O$546=O451)*($I$5:$I$546="Ja")*($E$5:$E$546-$D$5:$D$546))*24/REGLER!$B$8,0))),"")</f>
        <v/>
      </c>
      <c r="N451" s="50" t="str">
        <f t="shared" si="88"/>
        <v>Klar</v>
      </c>
      <c r="O451" s="15" t="s">
        <v>156</v>
      </c>
      <c r="P451" s="16">
        <v>0.33333333333333298</v>
      </c>
      <c r="Q451" s="16">
        <v>0.60416666666666696</v>
      </c>
      <c r="R451" s="15">
        <f>IFERROR(MATCH(1,INDEX((MATCHER!$B$5:$B$504=A451)*(MATCHER!$D$5:$D$504=C451)*(MATCHER!$K$5:$K$504="Ja")*(MATCHER!$C$5:$C$504&lt;E451)*(MATCHER!$M$5:$M$504&gt;D451),0),0),"")</f>
        <v>165</v>
      </c>
      <c r="S451" s="15" t="str">
        <f>IF(R451="","",IFERROR(MATCH(1,INDEX((MATCHER!$B$5:$B$504=A451)*(MATCHER!$D$5:$D$504=C451)*(MATCHER!$K$5:$K$504="Ja")*(MATCHER!$C$5:$C$504&lt;E451)*(MATCHER!$M$5:$M$504&gt;D451)*(ROW(MATCHER!$A$5:$A$504)-ROW(MATCHER!$A$5)+1&gt;R451),0),0),""))</f>
        <v/>
      </c>
      <c r="T451" s="15" t="str">
        <f>IF(S451="","",IFERROR(MATCH(1,INDEX((MATCHER!$B$5:$B$504=A451)*(MATCHER!$D$5:$D$504=C451)*(MATCHER!$K$5:$K$504="Ja")*(MATCHER!$C$5:$C$504&lt;E451)*(MATCHER!$M$5:$M$504&gt;D451)*(ROW(MATCHER!$A$5:$A$504)-ROW(MATCHER!$A$5)+1&gt;S451),0),0),""))</f>
        <v/>
      </c>
      <c r="U451" s="15">
        <f t="shared" si="89"/>
        <v>0</v>
      </c>
      <c r="V451" s="15">
        <f>IF(OR(I451&lt;&gt;"Ja",J451=""),"",COUNTIFS($O$5:O451,O451,$U$5:U451,1))</f>
        <v>10</v>
      </c>
      <c r="W451" s="15" t="str">
        <f t="shared" si="90"/>
        <v>2027-02-20 | Tallbackaskolan|10</v>
      </c>
      <c r="X451" s="16" t="str">
        <f t="shared" si="91"/>
        <v/>
      </c>
      <c r="Y451" s="15">
        <f>IF(OR(I451&lt;&gt;"Ja",J451=""),0,IF(COUNTIFS($O$5:O451,O451,$I$5:I451,"Ja",$J$5:J451,"&lt;&gt;")=1,1,0))</f>
        <v>0</v>
      </c>
      <c r="Z451" s="15">
        <f>IF(OR(I451&lt;&gt;"Ja",J451=""),0,IF(COUNTIFS(O451:$O$546,O451,I451:$I$546,"Ja",J451:$J$546,"&lt;&gt;")=1,1,0))</f>
        <v>0</v>
      </c>
      <c r="AA451" s="15">
        <f t="shared" si="98"/>
        <v>1</v>
      </c>
      <c r="AB451" s="15" t="str">
        <f>IF(U451&lt;&gt;1,"",COUNTIF($U$5:U451,1))</f>
        <v/>
      </c>
      <c r="AC451" s="15" t="str">
        <f t="shared" si="92"/>
        <v/>
      </c>
      <c r="AD451" s="15" t="str">
        <f t="shared" si="93"/>
        <v>Vanligt café</v>
      </c>
      <c r="AE451" s="15" t="str">
        <f t="shared" si="94"/>
        <v/>
      </c>
      <c r="AF451" t="str">
        <f>IF(T451="","",IFERROR(MATCH(1,INDEX((MATCHER!$B$5:$B$504=A451)*(MATCHER!$D$5:$D$504=C451)*(MATCHER!$K$5:$K$504="Ja")*(MATCHER!$C$5:$C$504&lt;E451)*(MATCHER!$M$5:$M$504&gt;D451)*(ROW(MATCHER!$A$5:$A$504)-ROW(MATCHER!$A$5)+1&gt;T451),0),0),""))</f>
        <v/>
      </c>
    </row>
    <row r="452" spans="1:32" ht="26">
      <c r="A452" s="42">
        <v>46438</v>
      </c>
      <c r="B452" s="43" t="s">
        <v>85</v>
      </c>
      <c r="C452" s="43" t="s">
        <v>110</v>
      </c>
      <c r="D452" s="44">
        <v>0.5625</v>
      </c>
      <c r="E452" s="44">
        <v>0.58333333333333304</v>
      </c>
      <c r="F452" s="45" t="str">
        <f>IF(R452="","",HOUR(INDEX(MATCHER!$C$5:$C$504,R452))&amp;":"&amp;IF(MINUTE(INDEX(MATCHER!$C$5:$C$504,R452))&lt;10,"0","")&amp;MINUTE(INDEX(MATCHER!$C$5:$C$504,R452))&amp;" "&amp;INDEX(MATCHER!$H$5:$H$504,R452)&amp;" – "&amp;INDEX(MATCHER!$I$5:$I$504,R452))&amp;IF(S452="",""," | "&amp;HOUR(INDEX(MATCHER!$C$5:$C$504,S452))&amp;":"&amp;IF(MINUTE(INDEX(MATCHER!$C$5:$C$504,S452))&lt;10,"0","")&amp;MINUTE(INDEX(MATCHER!$C$5:$C$504,S452))&amp;" "&amp;INDEX(MATCHER!$H$5:$H$504,S452)&amp;" – "&amp;INDEX(MATCHER!$I$5:$I$504,S452))&amp;IF(T452="",""," | "&amp;HOUR(INDEX(MATCHER!$C$5:$C$504,T452))&amp;":"&amp;IF(MINUTE(INDEX(MATCHER!$C$5:$C$504,T452))&lt;10,"0","")&amp;MINUTE(INDEX(MATCHER!$C$5:$C$504,T452))&amp;" "&amp;INDEX(MATCHER!$H$5:$H$504,T452)&amp;" – "&amp;INDEX(MATCHER!$I$5:$I$504,T452))&amp;IF(AF452="",""," | "&amp;HOUR(INDEX(MATCHER!$C$5:$C$504,AF452))&amp;":"&amp;IF(MINUTE(INDEX(MATCHER!$C$5:$C$504,AF452))&lt;10,"0","")&amp;MINUTE(INDEX(MATCHER!$C$5:$C$504,AF452))&amp;" "&amp;INDEX(MATCHER!$H$5:$H$504,AF452)&amp;" – "&amp;INDEX(MATCHER!$I$5:$I$504,AF452))</f>
        <v>13:15 AIK 2 – HK Cliff Blå</v>
      </c>
      <c r="G452" s="45" t="str">
        <f>MID(IF(R452="","",IF(OR(INDEX(MATCHER!$J$5:$J$504,R452)=""),""," / "&amp;INDEX(MATCHER!$J$5:$J$504,R452)))&amp;IF(S452="","",IF(OR(INDEX(MATCHER!$J$5:$J$504,S452)="",INDEX(MATCHER!$J$5:$J$504,S452)=IFERROR(INDEX(MATCHER!$J$5:$J$504,R452),"")),""," / "&amp;INDEX(MATCHER!$J$5:$J$504,S452)))&amp;IF(T452="","",IF(OR(INDEX(MATCHER!$J$5:$J$504,T452)="",INDEX(MATCHER!$J$5:$J$504,T452)=IFERROR(INDEX(MATCHER!$J$5:$J$504,R452),""),INDEX(MATCHER!$J$5:$J$504,T452)=IFERROR(INDEX(MATCHER!$J$5:$J$504,S452),"")),""," / "&amp;INDEX(MATCHER!$J$5:$J$504,T452)))&amp;IF(AF452="","",IF(OR(INDEX(MATCHER!$J$5:$J$504,AF452)="",INDEX(MATCHER!$J$5:$J$504,AF452)=IFERROR(INDEX(MATCHER!$J$5:$J$504,R452),""),INDEX(MATCHER!$J$5:$J$504,AF452)=IFERROR(INDEX(MATCHER!$J$5:$J$504,S452),""),INDEX(MATCHER!$J$5:$J$504,AF452)=IFERROR(INDEX(MATCHER!$J$5:$J$504,T452),"")),""," / "&amp;INDEX(MATCHER!$J$5:$J$504,AF452))),4,1000)</f>
        <v>F13 2</v>
      </c>
      <c r="H452" s="45" t="str">
        <f t="shared" si="97"/>
        <v>F13</v>
      </c>
      <c r="I452" s="46" t="s">
        <v>90</v>
      </c>
      <c r="J452" s="47" t="s">
        <v>97</v>
      </c>
      <c r="K452" s="48"/>
      <c r="L452" s="49"/>
      <c r="M452" s="50" t="str">
        <f>IF(O452&lt;&gt;O451,MAX(1,MIN(AA452,ROUNDUP(SUMPRODUCT(($O$5:$O$546=O452)*($I$5:$I$546="Ja")*($E$5:$E$546-$D$5:$D$546))*24/REGLER!$B$8,0))),"")</f>
        <v/>
      </c>
      <c r="N452" s="50" t="str">
        <f t="shared" si="88"/>
        <v>Klar</v>
      </c>
      <c r="O452" s="15" t="s">
        <v>156</v>
      </c>
      <c r="P452" s="16">
        <v>0.33333333333333298</v>
      </c>
      <c r="Q452" s="16">
        <v>0.60416666666666696</v>
      </c>
      <c r="R452" s="15">
        <f>IFERROR(MATCH(1,INDEX((MATCHER!$B$5:$B$504=A452)*(MATCHER!$D$5:$D$504=C452)*(MATCHER!$K$5:$K$504="Ja")*(MATCHER!$C$5:$C$504&lt;E452)*(MATCHER!$M$5:$M$504&gt;D452),0),0),"")</f>
        <v>165</v>
      </c>
      <c r="S452" s="15" t="str">
        <f>IF(R452="","",IFERROR(MATCH(1,INDEX((MATCHER!$B$5:$B$504=A452)*(MATCHER!$D$5:$D$504=C452)*(MATCHER!$K$5:$K$504="Ja")*(MATCHER!$C$5:$C$504&lt;E452)*(MATCHER!$M$5:$M$504&gt;D452)*(ROW(MATCHER!$A$5:$A$504)-ROW(MATCHER!$A$5)+1&gt;R452),0),0),""))</f>
        <v/>
      </c>
      <c r="T452" s="15" t="str">
        <f>IF(S452="","",IFERROR(MATCH(1,INDEX((MATCHER!$B$5:$B$504=A452)*(MATCHER!$D$5:$D$504=C452)*(MATCHER!$K$5:$K$504="Ja")*(MATCHER!$C$5:$C$504&lt;E452)*(MATCHER!$M$5:$M$504&gt;D452)*(ROW(MATCHER!$A$5:$A$504)-ROW(MATCHER!$A$5)+1&gt;S452),0),0),""))</f>
        <v/>
      </c>
      <c r="U452" s="15">
        <f t="shared" si="89"/>
        <v>0</v>
      </c>
      <c r="V452" s="15">
        <f>IF(OR(I452&lt;&gt;"Ja",J452=""),"",COUNTIFS($O$5:O452,O452,$U$5:U452,1))</f>
        <v>10</v>
      </c>
      <c r="W452" s="15" t="str">
        <f t="shared" si="90"/>
        <v>2027-02-20 | Tallbackaskolan|10</v>
      </c>
      <c r="X452" s="16" t="str">
        <f t="shared" si="91"/>
        <v/>
      </c>
      <c r="Y452" s="15">
        <f>IF(OR(I452&lt;&gt;"Ja",J452=""),0,IF(COUNTIFS($O$5:O452,O452,$I$5:I452,"Ja",$J$5:J452,"&lt;&gt;")=1,1,0))</f>
        <v>0</v>
      </c>
      <c r="Z452" s="15">
        <f>IF(OR(I452&lt;&gt;"Ja",J452=""),0,IF(COUNTIFS(O452:$O$546,O452,I452:$I$546,"Ja",J452:$J$546,"&lt;&gt;")=1,1,0))</f>
        <v>0</v>
      </c>
      <c r="AA452" s="15">
        <f t="shared" si="98"/>
        <v>1</v>
      </c>
      <c r="AB452" s="15" t="str">
        <f>IF(U452&lt;&gt;1,"",COUNTIF($U$5:U452,1))</f>
        <v/>
      </c>
      <c r="AC452" s="15" t="str">
        <f t="shared" si="92"/>
        <v/>
      </c>
      <c r="AD452" s="15" t="str">
        <f t="shared" si="93"/>
        <v>Vanligt café</v>
      </c>
      <c r="AE452" s="15" t="str">
        <f t="shared" si="94"/>
        <v/>
      </c>
      <c r="AF452" t="str">
        <f>IF(T452="","",IFERROR(MATCH(1,INDEX((MATCHER!$B$5:$B$504=A452)*(MATCHER!$D$5:$D$504=C452)*(MATCHER!$K$5:$K$504="Ja")*(MATCHER!$C$5:$C$504&lt;E452)*(MATCHER!$M$5:$M$504&gt;D452)*(ROW(MATCHER!$A$5:$A$504)-ROW(MATCHER!$A$5)+1&gt;T452),0),0),""))</f>
        <v/>
      </c>
    </row>
    <row r="453" spans="1:32" ht="26.5" thickBot="1">
      <c r="A453" s="52">
        <v>46438</v>
      </c>
      <c r="B453" s="53" t="s">
        <v>85</v>
      </c>
      <c r="C453" s="53" t="s">
        <v>110</v>
      </c>
      <c r="D453" s="54">
        <v>0.58333333333333304</v>
      </c>
      <c r="E453" s="54">
        <v>0.60416666666666696</v>
      </c>
      <c r="F453" s="55" t="str">
        <f>IF(R453="","",HOUR(INDEX(MATCHER!$C$5:$C$504,R453))&amp;":"&amp;IF(MINUTE(INDEX(MATCHER!$C$5:$C$504,R453))&lt;10,"0","")&amp;MINUTE(INDEX(MATCHER!$C$5:$C$504,R453))&amp;" "&amp;INDEX(MATCHER!$H$5:$H$504,R453)&amp;" – "&amp;INDEX(MATCHER!$I$5:$I$504,R453))&amp;IF(S453="",""," | "&amp;HOUR(INDEX(MATCHER!$C$5:$C$504,S453))&amp;":"&amp;IF(MINUTE(INDEX(MATCHER!$C$5:$C$504,S453))&lt;10,"0","")&amp;MINUTE(INDEX(MATCHER!$C$5:$C$504,S453))&amp;" "&amp;INDEX(MATCHER!$H$5:$H$504,S453)&amp;" – "&amp;INDEX(MATCHER!$I$5:$I$504,S453))&amp;IF(T453="",""," | "&amp;HOUR(INDEX(MATCHER!$C$5:$C$504,T453))&amp;":"&amp;IF(MINUTE(INDEX(MATCHER!$C$5:$C$504,T453))&lt;10,"0","")&amp;MINUTE(INDEX(MATCHER!$C$5:$C$504,T453))&amp;" "&amp;INDEX(MATCHER!$H$5:$H$504,T453)&amp;" – "&amp;INDEX(MATCHER!$I$5:$I$504,T453))&amp;IF(AF453="",""," | "&amp;HOUR(INDEX(MATCHER!$C$5:$C$504,AF453))&amp;":"&amp;IF(MINUTE(INDEX(MATCHER!$C$5:$C$504,AF453))&lt;10,"0","")&amp;MINUTE(INDEX(MATCHER!$C$5:$C$504,AF453))&amp;" "&amp;INDEX(MATCHER!$H$5:$H$504,AF453)&amp;" – "&amp;INDEX(MATCHER!$I$5:$I$504,AF453))</f>
        <v/>
      </c>
      <c r="G453" s="55" t="str">
        <f>MID(IF(R453="","",IF(OR(INDEX(MATCHER!$J$5:$J$504,R453)=""),""," / "&amp;INDEX(MATCHER!$J$5:$J$504,R453)))&amp;IF(S453="","",IF(OR(INDEX(MATCHER!$J$5:$J$504,S453)="",INDEX(MATCHER!$J$5:$J$504,S453)=IFERROR(INDEX(MATCHER!$J$5:$J$504,R453),"")),""," / "&amp;INDEX(MATCHER!$J$5:$J$504,S453)))&amp;IF(T453="","",IF(OR(INDEX(MATCHER!$J$5:$J$504,T453)="",INDEX(MATCHER!$J$5:$J$504,T453)=IFERROR(INDEX(MATCHER!$J$5:$J$504,R453),""),INDEX(MATCHER!$J$5:$J$504,T453)=IFERROR(INDEX(MATCHER!$J$5:$J$504,S453),"")),""," / "&amp;INDEX(MATCHER!$J$5:$J$504,T453)))&amp;IF(AF453="","",IF(OR(INDEX(MATCHER!$J$5:$J$504,AF453)="",INDEX(MATCHER!$J$5:$J$504,AF453)=IFERROR(INDEX(MATCHER!$J$5:$J$504,R453),""),INDEX(MATCHER!$J$5:$J$504,AF453)=IFERROR(INDEX(MATCHER!$J$5:$J$504,S453),""),INDEX(MATCHER!$J$5:$J$504,AF453)=IFERROR(INDEX(MATCHER!$J$5:$J$504,T453),"")),""," / "&amp;INDEX(MATCHER!$J$5:$J$504,AF453))),4,1000)</f>
        <v/>
      </c>
      <c r="H453" s="55" t="str">
        <f t="shared" si="97"/>
        <v>F13</v>
      </c>
      <c r="I453" s="56" t="s">
        <v>90</v>
      </c>
      <c r="J453" s="57" t="s">
        <v>97</v>
      </c>
      <c r="K453" s="58"/>
      <c r="L453" s="59"/>
      <c r="M453" s="60" t="str">
        <f>IF(O453&lt;&gt;O452,MAX(1,MIN(AA453,ROUNDUP(SUMPRODUCT(($O$5:$O$546=O453)*($I$5:$I$546="Ja")*($E$5:$E$546-$D$5:$D$546))*24/REGLER!$B$8,0))),"")</f>
        <v/>
      </c>
      <c r="N453" s="60" t="str">
        <f t="shared" ref="N453:N516" si="99">IF(I453="Nej",IF(J453="","Ej öppet","Ta bort lag"),IF(J453="","Ej tilldelad",IF(ISNUMBER(SEARCH(", "&amp;J453&amp;", ",", "&amp;H453&amp;", ")),"Klar","Kontrollera lag")))</f>
        <v>Klar</v>
      </c>
      <c r="O453" s="15" t="s">
        <v>156</v>
      </c>
      <c r="P453" s="16">
        <v>0.33333333333333298</v>
      </c>
      <c r="Q453" s="16">
        <v>0.60416666666666696</v>
      </c>
      <c r="R453" s="15" t="str">
        <f>IFERROR(MATCH(1,INDEX((MATCHER!$B$5:$B$504=A453)*(MATCHER!$D$5:$D$504=C453)*(MATCHER!$K$5:$K$504="Ja")*(MATCHER!$C$5:$C$504&lt;E453)*(MATCHER!$M$5:$M$504&gt;D453),0),0),"")</f>
        <v/>
      </c>
      <c r="S453" s="15" t="str">
        <f>IF(R453="","",IFERROR(MATCH(1,INDEX((MATCHER!$B$5:$B$504=A453)*(MATCHER!$D$5:$D$504=C453)*(MATCHER!$K$5:$K$504="Ja")*(MATCHER!$C$5:$C$504&lt;E453)*(MATCHER!$M$5:$M$504&gt;D453)*(ROW(MATCHER!$A$5:$A$504)-ROW(MATCHER!$A$5)+1&gt;R453),0),0),""))</f>
        <v/>
      </c>
      <c r="T453" s="15" t="str">
        <f>IF(S453="","",IFERROR(MATCH(1,INDEX((MATCHER!$B$5:$B$504=A453)*(MATCHER!$D$5:$D$504=C453)*(MATCHER!$K$5:$K$504="Ja")*(MATCHER!$C$5:$C$504&lt;E453)*(MATCHER!$M$5:$M$504&gt;D453)*(ROW(MATCHER!$A$5:$A$504)-ROW(MATCHER!$A$5)+1&gt;S453),0),0),""))</f>
        <v/>
      </c>
      <c r="U453" s="15">
        <f t="shared" ref="U453:U516" si="100">IF(OR(I453&lt;&gt;"Ja",J453=""),"",IF(OR(O453&lt;&gt;O452,I452&lt;&gt;"Ja",J453&lt;&gt;J452,D453&lt;&gt;E452),1,0))</f>
        <v>0</v>
      </c>
      <c r="V453" s="15">
        <f>IF(OR(I453&lt;&gt;"Ja",J453=""),"",COUNTIFS($O$5:O453,O453,$U$5:U453,1))</f>
        <v>10</v>
      </c>
      <c r="W453" s="15" t="str">
        <f t="shared" ref="W453:W516" si="101">IF(V453="","",O453&amp;"|"&amp;V453)</f>
        <v>2027-02-20 | Tallbackaskolan|10</v>
      </c>
      <c r="X453" s="16">
        <f t="shared" ref="X453:X516" si="102">IF(OR(I453&lt;&gt;"Ja",J453=""),"",IF(OR(O453&lt;&gt;O454,I454&lt;&gt;"Ja",J453&lt;&gt;J454,E453&lt;&gt;D454),E453,""))</f>
        <v>0.60416666666666696</v>
      </c>
      <c r="Y453" s="15">
        <f>IF(OR(I453&lt;&gt;"Ja",J453=""),0,IF(COUNTIFS($O$5:O453,O453,$I$5:I453,"Ja",$J$5:J453,"&lt;&gt;")=1,1,0))</f>
        <v>0</v>
      </c>
      <c r="Z453" s="15">
        <f>IF(OR(I453&lt;&gt;"Ja",J453=""),0,IF(COUNTIFS(O453:$O$546,O453,I453:$I$546,"Ja",J453:$J$546,"&lt;&gt;")=1,1,0))</f>
        <v>1</v>
      </c>
      <c r="AA453" s="15">
        <f t="shared" si="98"/>
        <v>1</v>
      </c>
      <c r="AB453" s="15" t="str">
        <f>IF(U453&lt;&gt;1,"",COUNTIF($U$5:U453,1))</f>
        <v/>
      </c>
      <c r="AC453" s="15" t="str">
        <f t="shared" ref="AC453:AC516" si="103">IF(X453="","",W453)</f>
        <v>2027-02-20 | Tallbackaskolan|10</v>
      </c>
      <c r="AD453" s="15" t="str">
        <f t="shared" ref="AD453:AD516" si="104">IF(O453="","",INDEX($K$5:$K$546,MATCH(O453,$O$5:$O$546,0)))</f>
        <v>Vanligt café</v>
      </c>
      <c r="AE453" s="15" t="str">
        <f t="shared" ref="AE453:AE516" si="105">IF(U453&lt;&gt;1,"",(SUMIF($W$5:$W$546,W453,$X$5:$X$546)-D453)*24)</f>
        <v/>
      </c>
      <c r="AF453" t="str">
        <f>IF(T453="","",IFERROR(MATCH(1,INDEX((MATCHER!$B$5:$B$504=A453)*(MATCHER!$D$5:$D$504=C453)*(MATCHER!$K$5:$K$504="Ja")*(MATCHER!$C$5:$C$504&lt;E453)*(MATCHER!$M$5:$M$504&gt;D453)*(ROW(MATCHER!$A$5:$A$504)-ROW(MATCHER!$A$5)+1&gt;T453),0),0),""))</f>
        <v/>
      </c>
    </row>
    <row r="454" spans="1:32" ht="13">
      <c r="A454" s="42">
        <v>46445</v>
      </c>
      <c r="B454" s="43" t="s">
        <v>85</v>
      </c>
      <c r="C454" s="43" t="s">
        <v>94</v>
      </c>
      <c r="D454" s="44">
        <v>0.52083333333333304</v>
      </c>
      <c r="E454" s="44">
        <v>0.54166666666666696</v>
      </c>
      <c r="F454" s="45" t="str">
        <f>IF(R454="","",HOUR(INDEX(MATCHER!$C$5:$C$504,R454))&amp;":"&amp;IF(MINUTE(INDEX(MATCHER!$C$5:$C$504,R454))&lt;10,"0","")&amp;MINUTE(INDEX(MATCHER!$C$5:$C$504,R454))&amp;" "&amp;INDEX(MATCHER!$H$5:$H$504,R454)&amp;" – "&amp;INDEX(MATCHER!$I$5:$I$504,R454))&amp;IF(S454="",""," | "&amp;HOUR(INDEX(MATCHER!$C$5:$C$504,S454))&amp;":"&amp;IF(MINUTE(INDEX(MATCHER!$C$5:$C$504,S454))&lt;10,"0","")&amp;MINUTE(INDEX(MATCHER!$C$5:$C$504,S454))&amp;" "&amp;INDEX(MATCHER!$H$5:$H$504,S454)&amp;" – "&amp;INDEX(MATCHER!$I$5:$I$504,S454))&amp;IF(T454="",""," | "&amp;HOUR(INDEX(MATCHER!$C$5:$C$504,T454))&amp;":"&amp;IF(MINUTE(INDEX(MATCHER!$C$5:$C$504,T454))&lt;10,"0","")&amp;MINUTE(INDEX(MATCHER!$C$5:$C$504,T454))&amp;" "&amp;INDEX(MATCHER!$H$5:$H$504,T454)&amp;" – "&amp;INDEX(MATCHER!$I$5:$I$504,T454))&amp;IF(AF454="",""," | "&amp;HOUR(INDEX(MATCHER!$C$5:$C$504,AF454))&amp;":"&amp;IF(MINUTE(INDEX(MATCHER!$C$5:$C$504,AF454))&lt;10,"0","")&amp;MINUTE(INDEX(MATCHER!$C$5:$C$504,AF454))&amp;" "&amp;INDEX(MATCHER!$H$5:$H$504,AF454)&amp;" – "&amp;INDEX(MATCHER!$I$5:$I$504,AF454))</f>
        <v/>
      </c>
      <c r="G454" s="45" t="str">
        <f>MID(IF(R454="","",IF(OR(INDEX(MATCHER!$J$5:$J$504,R454)=""),""," / "&amp;INDEX(MATCHER!$J$5:$J$504,R454)))&amp;IF(S454="","",IF(OR(INDEX(MATCHER!$J$5:$J$504,S454)="",INDEX(MATCHER!$J$5:$J$504,S454)=IFERROR(INDEX(MATCHER!$J$5:$J$504,R454),"")),""," / "&amp;INDEX(MATCHER!$J$5:$J$504,S454)))&amp;IF(T454="","",IF(OR(INDEX(MATCHER!$J$5:$J$504,T454)="",INDEX(MATCHER!$J$5:$J$504,T454)=IFERROR(INDEX(MATCHER!$J$5:$J$504,R454),""),INDEX(MATCHER!$J$5:$J$504,T454)=IFERROR(INDEX(MATCHER!$J$5:$J$504,S454),"")),""," / "&amp;INDEX(MATCHER!$J$5:$J$504,T454)))&amp;IF(AF454="","",IF(OR(INDEX(MATCHER!$J$5:$J$504,AF454)="",INDEX(MATCHER!$J$5:$J$504,AF454)=IFERROR(INDEX(MATCHER!$J$5:$J$504,R454),""),INDEX(MATCHER!$J$5:$J$504,AF454)=IFERROR(INDEX(MATCHER!$J$5:$J$504,S454),""),INDEX(MATCHER!$J$5:$J$504,AF454)=IFERROR(INDEX(MATCHER!$J$5:$J$504,T454),"")),""," / "&amp;INDEX(MATCHER!$J$5:$J$504,AF454))),4,1000)</f>
        <v/>
      </c>
      <c r="H454" s="45" t="str">
        <f>MID(IF(COUNTIFS(MATCHER!$B$5:$B$504,A454,MATCHER!$D$5:$D$504,C454,MATCHER!$J$5:$J$504,REGLER!$I$6,MATCHER!$K$5:$K$504,"Ja")+COUNTIFS(MATCHER!$B$5:$B$504,A454,MATCHER!$D$5:$D$504,C454,MATCHER!$J$5:$J$504,REGLER!$I$6&amp;" 2",MATCHER!$K$5:$K$504,"Ja")&gt;0,", "&amp;REGLER!$I$6,"")&amp;IF(COUNTIFS(MATCHER!$B$5:$B$504,A454,MATCHER!$D$5:$D$504,C454,MATCHER!$J$5:$J$504,REGLER!$I$7,MATCHER!$K$5:$K$504,"Ja")+COUNTIFS(MATCHER!$B$5:$B$504,A454,MATCHER!$D$5:$D$504,C454,MATCHER!$J$5:$J$504,REGLER!$I$7&amp;" 2",MATCHER!$K$5:$K$504,"Ja")&gt;0,", "&amp;REGLER!$I$7,"")&amp;IF(COUNTIFS(MATCHER!$B$5:$B$504,A454,MATCHER!$D$5:$D$504,C454,MATCHER!$J$5:$J$504,REGLER!$I$8,MATCHER!$K$5:$K$504,"Ja")+COUNTIFS(MATCHER!$B$5:$B$504,A454,MATCHER!$D$5:$D$504,C454,MATCHER!$J$5:$J$504,REGLER!$I$8&amp;" 2",MATCHER!$K$5:$K$504,"Ja")&gt;0,", "&amp;REGLER!$I$8,"")&amp;IF(COUNTIFS(MATCHER!$B$5:$B$504,A454,MATCHER!$D$5:$D$504,C454,MATCHER!$J$5:$J$504,REGLER!$I$9,MATCHER!$K$5:$K$504,"Ja")+COUNTIFS(MATCHER!$B$5:$B$504,A454,MATCHER!$D$5:$D$504,C454,MATCHER!$J$5:$J$504,REGLER!$I$9&amp;" 2",MATCHER!$K$5:$K$504,"Ja")&gt;0,", "&amp;REGLER!$I$9,"")&amp;IF(COUNTIFS(MATCHER!$B$5:$B$504,A454,MATCHER!$D$5:$D$504,C454,MATCHER!$J$5:$J$504,REGLER!$I$10,MATCHER!$K$5:$K$504,"Ja")+COUNTIFS(MATCHER!$B$5:$B$504,A454,MATCHER!$D$5:$D$504,C454,MATCHER!$J$5:$J$504,REGLER!$I$10&amp;" 2",MATCHER!$K$5:$K$504,"Ja")&gt;0,", "&amp;REGLER!$I$10,"")&amp;IF(COUNTIFS(MATCHER!$B$5:$B$504,A454,MATCHER!$D$5:$D$504,C454,MATCHER!$J$5:$J$504,REGLER!$I$11,MATCHER!$K$5:$K$504,"Ja")+COUNTIFS(MATCHER!$B$5:$B$504,A454,MATCHER!$D$5:$D$504,C454,MATCHER!$J$5:$J$504,REGLER!$I$11&amp;" 2",MATCHER!$K$5:$K$504,"Ja")&gt;0,", "&amp;REGLER!$I$11,"")&amp;IF(COUNTIFS(MATCHER!$B$5:$B$504,A454,MATCHER!$D$5:$D$504,C454,MATCHER!$J$5:$J$504,REGLER!$I$12,MATCHER!$K$5:$K$504,"Ja")+COUNTIFS(MATCHER!$B$5:$B$504,A454,MATCHER!$D$5:$D$504,C454,MATCHER!$J$5:$J$504,REGLER!$I$12&amp;" 2",MATCHER!$K$5:$K$504,"Ja")&gt;0,", "&amp;REGLER!$I$12,"")&amp;IF(COUNTIFS(MATCHER!$B$5:$B$504,A454,MATCHER!$D$5:$D$504,C454,MATCHER!$J$5:$J$504,REGLER!$I$13,MATCHER!$K$5:$K$504,"Ja")+COUNTIFS(MATCHER!$B$5:$B$504,A454,MATCHER!$D$5:$D$504,C454,MATCHER!$J$5:$J$504,REGLER!$I$13&amp;" 2",MATCHER!$K$5:$K$504,"Ja")&gt;0,", "&amp;REGLER!$I$13,"")&amp;IF(COUNTIFS(MATCHER!$B$5:$B$504,A454,MATCHER!$D$5:$D$504,C454,MATCHER!$J$5:$J$504,REGLER!$I$14,MATCHER!$K$5:$K$504,"Ja")+COUNTIFS(MATCHER!$B$5:$B$504,A454,MATCHER!$D$5:$D$504,C454,MATCHER!$J$5:$J$504,REGLER!$I$14&amp;" 2",MATCHER!$K$5:$K$504,"Ja")&gt;0,", "&amp;REGLER!$I$14,"")&amp;IF(COUNTIFS(MATCHER!$B$5:$B$504,A454,MATCHER!$D$5:$D$504,C454,MATCHER!$J$5:$J$504,REGLER!$I$15,MATCHER!$K$5:$K$504,"Ja")+COUNTIFS(MATCHER!$B$5:$B$504,A454,MATCHER!$D$5:$D$504,C454,MATCHER!$J$5:$J$504,REGLER!$I$15&amp;" 2",MATCHER!$K$5:$K$504,"Ja")&gt;0,", "&amp;REGLER!$I$15,"")&amp;IF(COUNTIFS(MATCHER!$B$5:$B$504,A454,MATCHER!$D$5:$D$504,C454,MATCHER!$J$5:$J$504,REGLER!$I$16,MATCHER!$K$5:$K$504,"Ja")+COUNTIFS(MATCHER!$B$5:$B$504,A454,MATCHER!$D$5:$D$504,C454,MATCHER!$J$5:$J$504,REGLER!$I$16&amp;" 2",MATCHER!$K$5:$K$504,"Ja")&gt;0,", "&amp;REGLER!$I$16,"")&amp;IF(COUNTIFS(MATCHER!$B$5:$B$504,A454,MATCHER!$D$5:$D$504,C454,MATCHER!$J$5:$J$504,REGLER!$I$17,MATCHER!$K$5:$K$504,"Ja")+COUNTIFS(MATCHER!$B$5:$B$504,A454,MATCHER!$D$5:$D$504,C454,MATCHER!$J$5:$J$504,REGLER!$I$17&amp;" 2",MATCHER!$K$5:$K$504,"Ja")&gt;0,", "&amp;REGLER!$I$17,"")&amp;IF(COUNTIFS(MATCHER!$B$5:$B$504,A454,MATCHER!$D$5:$D$504,C454,MATCHER!$J$5:$J$504,REGLER!$I$18,MATCHER!$K$5:$K$504,"Ja")+COUNTIFS(MATCHER!$B$5:$B$504,A454,MATCHER!$D$5:$D$504,C454,MATCHER!$J$5:$J$504,REGLER!$I$18&amp;" 2",MATCHER!$K$5:$K$504,"Ja")&gt;0,", "&amp;REGLER!$I$18,"")&amp;IF(COUNTIFS(MATCHER!$B$5:$B$504,A454,MATCHER!$D$5:$D$504,C454,MATCHER!$J$5:$J$504,REGLER!$I$19,MATCHER!$K$5:$K$504,"Ja")+COUNTIFS(MATCHER!$B$5:$B$504,A454,MATCHER!$D$5:$D$504,C454,MATCHER!$J$5:$J$504,REGLER!$I$19&amp;" 2",MATCHER!$K$5:$K$504,"Ja")&gt;0,", "&amp;REGLER!$I$19,"")&amp;IF(COUNTIFS(MATCHER!$B$5:$B$504,A454,MATCHER!$D$5:$D$504,C454,MATCHER!$J$5:$J$504,REGLER!$I$20,MATCHER!$K$5:$K$504,"Ja")+COUNTIFS(MATCHER!$B$5:$B$504,A454,MATCHER!$D$5:$D$504,C454,MATCHER!$J$5:$J$504,REGLER!$I$20&amp;" 2",MATCHER!$K$5:$K$504,"Ja")&gt;0,", "&amp;REGLER!$I$20,"")&amp;IF(COUNTIFS(MATCHER!$B$5:$B$504,A454,MATCHER!$D$5:$D$504,C454,MATCHER!$J$5:$J$504,REGLER!$I$21,MATCHER!$K$5:$K$504,"Ja")+COUNTIFS(MATCHER!$B$5:$B$504,A454,MATCHER!$D$5:$D$504,C454,MATCHER!$J$5:$J$504,REGLER!$I$21&amp;" 2",MATCHER!$K$5:$K$504,"Ja")&gt;0,", "&amp;REGLER!$I$21,"")&amp;IF(COUNTIFS(MATCHER!$B$5:$B$504,A454,MATCHER!$D$5:$D$504,C454,MATCHER!$J$5:$J$504,REGLER!$I$22,MATCHER!$K$5:$K$504,"Ja")+COUNTIFS(MATCHER!$B$5:$B$504,A454,MATCHER!$D$5:$D$504,C454,MATCHER!$J$5:$J$504,REGLER!$I$22&amp;" 2",MATCHER!$K$5:$K$504,"Ja")&gt;0,", "&amp;REGLER!$I$22,"")&amp;IF(COUNTIFS(MATCHER!$B$5:$B$504,A454,MATCHER!$D$5:$D$504,C454,MATCHER!$J$5:$J$504,REGLER!$I$23,MATCHER!$K$5:$K$504,"Ja")+COUNTIFS(MATCHER!$B$5:$B$504,A454,MATCHER!$D$5:$D$504,C454,MATCHER!$J$5:$J$504,REGLER!$I$23&amp;" 2",MATCHER!$K$5:$K$504,"Ja")&gt;0,", "&amp;REGLER!$I$23,"")&amp;IF(COUNTIFS(MATCHER!$B$5:$B$504,A454,MATCHER!$D$5:$D$504,C454,MATCHER!$J$5:$J$504,REGLER!$I$24,MATCHER!$K$5:$K$504,"Ja")+COUNTIFS(MATCHER!$B$5:$B$504,A454,MATCHER!$D$5:$D$504,C454,MATCHER!$J$5:$J$504,REGLER!$I$24&amp;" 2",MATCHER!$K$5:$K$504,"Ja")&gt;0,", "&amp;REGLER!$I$24,"")&amp;IF(COUNTIFS(MATCHER!$B$5:$B$504,A454,MATCHER!$D$5:$D$504,C454,MATCHER!$J$5:$J$504,REGLER!$I$25,MATCHER!$K$5:$K$504,"Ja")+COUNTIFS(MATCHER!$B$5:$B$504,A454,MATCHER!$D$5:$D$504,C454,MATCHER!$J$5:$J$504,REGLER!$I$25&amp;" 2",MATCHER!$K$5:$K$504,"Ja")&gt;0,", "&amp;REGLER!$I$25,"")&amp;IF(COUNTIFS(MATCHER!$B$5:$B$504,A454,MATCHER!$D$5:$D$504,C454,MATCHER!$J$5:$J$504,REGLER!$I$26,MATCHER!$K$5:$K$504,"Ja")+COUNTIFS(MATCHER!$B$5:$B$504,A454,MATCHER!$D$5:$D$504,C454,MATCHER!$J$5:$J$504,REGLER!$I$26&amp;" 2",MATCHER!$K$5:$K$504,"Ja")&gt;0,", "&amp;REGLER!$I$26,""),3,1000)</f>
        <v>Herr</v>
      </c>
      <c r="I454" s="46" t="s">
        <v>87</v>
      </c>
      <c r="J454" s="47"/>
      <c r="K454" s="48" t="s">
        <v>98</v>
      </c>
      <c r="L454" s="45"/>
      <c r="M454" s="50">
        <f>IF(O454&lt;&gt;O453,MAX(1,MIN(AA454,ROUNDUP(SUMPRODUCT(($O$5:$O$546=O454)*($I$5:$I$546="Ja")*($E$5:$E$546-$D$5:$D$546))*24/REGLER!$B$8,0))),"")</f>
        <v>1</v>
      </c>
      <c r="N454" s="50" t="str">
        <f t="shared" si="99"/>
        <v>Ej öppet</v>
      </c>
      <c r="O454" s="15" t="s">
        <v>157</v>
      </c>
      <c r="P454" s="16">
        <v>0.52083333333333304</v>
      </c>
      <c r="Q454" s="16">
        <v>0.625</v>
      </c>
      <c r="R454" s="15" t="str">
        <f>IFERROR(MATCH(1,INDEX((MATCHER!$B$5:$B$504=A454)*(MATCHER!$D$5:$D$504=C454)*(MATCHER!$K$5:$K$504="Ja")*(MATCHER!$C$5:$C$504&lt;E454)*(MATCHER!$M$5:$M$504&gt;D454),0),0),"")</f>
        <v/>
      </c>
      <c r="S454" s="15" t="str">
        <f>IF(R454="","",IFERROR(MATCH(1,INDEX((MATCHER!$B$5:$B$504=A454)*(MATCHER!$D$5:$D$504=C454)*(MATCHER!$K$5:$K$504="Ja")*(MATCHER!$C$5:$C$504&lt;E454)*(MATCHER!$M$5:$M$504&gt;D454)*(ROW(MATCHER!$A$5:$A$504)-ROW(MATCHER!$A$5)+1&gt;R454),0),0),""))</f>
        <v/>
      </c>
      <c r="T454" s="15" t="str">
        <f>IF(S454="","",IFERROR(MATCH(1,INDEX((MATCHER!$B$5:$B$504=A454)*(MATCHER!$D$5:$D$504=C454)*(MATCHER!$K$5:$K$504="Ja")*(MATCHER!$C$5:$C$504&lt;E454)*(MATCHER!$M$5:$M$504&gt;D454)*(ROW(MATCHER!$A$5:$A$504)-ROW(MATCHER!$A$5)+1&gt;S454),0),0),""))</f>
        <v/>
      </c>
      <c r="U454" s="15" t="str">
        <f t="shared" si="100"/>
        <v/>
      </c>
      <c r="V454" s="15" t="str">
        <f>IF(OR(I454&lt;&gt;"Ja",J454=""),"",COUNTIFS($O$5:O454,O454,$U$5:U454,1))</f>
        <v/>
      </c>
      <c r="W454" s="15" t="str">
        <f t="shared" si="101"/>
        <v/>
      </c>
      <c r="X454" s="16" t="str">
        <f t="shared" si="102"/>
        <v/>
      </c>
      <c r="Y454" s="15">
        <f>IF(OR(I454&lt;&gt;"Ja",J454=""),0,IF(COUNTIFS($O$5:O454,O454,$I$5:I454,"Ja",$J$5:J454,"&lt;&gt;")=1,1,0))</f>
        <v>0</v>
      </c>
      <c r="Z454" s="15">
        <f>IF(OR(I454&lt;&gt;"Ja",J454=""),0,IF(COUNTIFS(O454:$O$546,O454,I454:$I$546,"Ja",J454:$J$546,"&lt;&gt;")=1,1,0))</f>
        <v>0</v>
      </c>
      <c r="AA454" s="15">
        <f>IF(COUNTIFS(MATCHER!$B$5:$B$504,A454,MATCHER!$D$5:$D$504,C454,MATCHER!$J$5:$J$504,REGLER!$I$6,MATCHER!$K$5:$K$504,"Ja")+COUNTIFS(MATCHER!$B$5:$B$504,A454,MATCHER!$D$5:$D$504,C454,MATCHER!$J$5:$J$504,REGLER!$I$6&amp;" 2",MATCHER!$K$5:$K$504,"Ja")&gt;0,1,0)+IF(COUNTIFS(MATCHER!$B$5:$B$504,A454,MATCHER!$D$5:$D$504,C454,MATCHER!$J$5:$J$504,REGLER!$I$7,MATCHER!$K$5:$K$504,"Ja")+COUNTIFS(MATCHER!$B$5:$B$504,A454,MATCHER!$D$5:$D$504,C454,MATCHER!$J$5:$J$504,REGLER!$I$7&amp;" 2",MATCHER!$K$5:$K$504,"Ja")&gt;0,1,0)+IF(COUNTIFS(MATCHER!$B$5:$B$504,A454,MATCHER!$D$5:$D$504,C454,MATCHER!$J$5:$J$504,REGLER!$I$8,MATCHER!$K$5:$K$504,"Ja")+COUNTIFS(MATCHER!$B$5:$B$504,A454,MATCHER!$D$5:$D$504,C454,MATCHER!$J$5:$J$504,REGLER!$I$8&amp;" 2",MATCHER!$K$5:$K$504,"Ja")&gt;0,1,0)+IF(COUNTIFS(MATCHER!$B$5:$B$504,A454,MATCHER!$D$5:$D$504,C454,MATCHER!$J$5:$J$504,REGLER!$I$9,MATCHER!$K$5:$K$504,"Ja")+COUNTIFS(MATCHER!$B$5:$B$504,A454,MATCHER!$D$5:$D$504,C454,MATCHER!$J$5:$J$504,REGLER!$I$9&amp;" 2",MATCHER!$K$5:$K$504,"Ja")&gt;0,1,0)+IF(COUNTIFS(MATCHER!$B$5:$B$504,A454,MATCHER!$D$5:$D$504,C454,MATCHER!$J$5:$J$504,REGLER!$I$10,MATCHER!$K$5:$K$504,"Ja")+COUNTIFS(MATCHER!$B$5:$B$504,A454,MATCHER!$D$5:$D$504,C454,MATCHER!$J$5:$J$504,REGLER!$I$10&amp;" 2",MATCHER!$K$5:$K$504,"Ja")&gt;0,1,0)+IF(COUNTIFS(MATCHER!$B$5:$B$504,A454,MATCHER!$D$5:$D$504,C454,MATCHER!$J$5:$J$504,REGLER!$I$11,MATCHER!$K$5:$K$504,"Ja")+COUNTIFS(MATCHER!$B$5:$B$504,A454,MATCHER!$D$5:$D$504,C454,MATCHER!$J$5:$J$504,REGLER!$I$11&amp;" 2",MATCHER!$K$5:$K$504,"Ja")&gt;0,1,0)+IF(COUNTIFS(MATCHER!$B$5:$B$504,A454,MATCHER!$D$5:$D$504,C454,MATCHER!$J$5:$J$504,REGLER!$I$12,MATCHER!$K$5:$K$504,"Ja")+COUNTIFS(MATCHER!$B$5:$B$504,A454,MATCHER!$D$5:$D$504,C454,MATCHER!$J$5:$J$504,REGLER!$I$12&amp;" 2",MATCHER!$K$5:$K$504,"Ja")&gt;0,1,0)+IF(COUNTIFS(MATCHER!$B$5:$B$504,A454,MATCHER!$D$5:$D$504,C454,MATCHER!$J$5:$J$504,REGLER!$I$13,MATCHER!$K$5:$K$504,"Ja")+COUNTIFS(MATCHER!$B$5:$B$504,A454,MATCHER!$D$5:$D$504,C454,MATCHER!$J$5:$J$504,REGLER!$I$13&amp;" 2",MATCHER!$K$5:$K$504,"Ja")&gt;0,1,0)+IF(COUNTIFS(MATCHER!$B$5:$B$504,A454,MATCHER!$D$5:$D$504,C454,MATCHER!$J$5:$J$504,REGLER!$I$14,MATCHER!$K$5:$K$504,"Ja")+COUNTIFS(MATCHER!$B$5:$B$504,A454,MATCHER!$D$5:$D$504,C454,MATCHER!$J$5:$J$504,REGLER!$I$14&amp;" 2",MATCHER!$K$5:$K$504,"Ja")&gt;0,1,0)+IF(COUNTIFS(MATCHER!$B$5:$B$504,A454,MATCHER!$D$5:$D$504,C454,MATCHER!$J$5:$J$504,REGLER!$I$15,MATCHER!$K$5:$K$504,"Ja")+COUNTIFS(MATCHER!$B$5:$B$504,A454,MATCHER!$D$5:$D$504,C454,MATCHER!$J$5:$J$504,REGLER!$I$15&amp;" 2",MATCHER!$K$5:$K$504,"Ja")&gt;0,1,0)+IF(COUNTIFS(MATCHER!$B$5:$B$504,A454,MATCHER!$D$5:$D$504,C454,MATCHER!$J$5:$J$504,REGLER!$I$16,MATCHER!$K$5:$K$504,"Ja")+COUNTIFS(MATCHER!$B$5:$B$504,A454,MATCHER!$D$5:$D$504,C454,MATCHER!$J$5:$J$504,REGLER!$I$16&amp;" 2",MATCHER!$K$5:$K$504,"Ja")&gt;0,1,0)+IF(COUNTIFS(MATCHER!$B$5:$B$504,A454,MATCHER!$D$5:$D$504,C454,MATCHER!$J$5:$J$504,REGLER!$I$17,MATCHER!$K$5:$K$504,"Ja")+COUNTIFS(MATCHER!$B$5:$B$504,A454,MATCHER!$D$5:$D$504,C454,MATCHER!$J$5:$J$504,REGLER!$I$17&amp;" 2",MATCHER!$K$5:$K$504,"Ja")&gt;0,1,0)+IF(COUNTIFS(MATCHER!$B$5:$B$504,A454,MATCHER!$D$5:$D$504,C454,MATCHER!$J$5:$J$504,REGLER!$I$18,MATCHER!$K$5:$K$504,"Ja")+COUNTIFS(MATCHER!$B$5:$B$504,A454,MATCHER!$D$5:$D$504,C454,MATCHER!$J$5:$J$504,REGLER!$I$18&amp;" 2",MATCHER!$K$5:$K$504,"Ja")&gt;0,1,0)+IF(COUNTIFS(MATCHER!$B$5:$B$504,A454,MATCHER!$D$5:$D$504,C454,MATCHER!$J$5:$J$504,REGLER!$I$19,MATCHER!$K$5:$K$504,"Ja")+COUNTIFS(MATCHER!$B$5:$B$504,A454,MATCHER!$D$5:$D$504,C454,MATCHER!$J$5:$J$504,REGLER!$I$19&amp;" 2",MATCHER!$K$5:$K$504,"Ja")&gt;0,1,0)+IF(COUNTIFS(MATCHER!$B$5:$B$504,A454,MATCHER!$D$5:$D$504,C454,MATCHER!$J$5:$J$504,REGLER!$I$20,MATCHER!$K$5:$K$504,"Ja")+COUNTIFS(MATCHER!$B$5:$B$504,A454,MATCHER!$D$5:$D$504,C454,MATCHER!$J$5:$J$504,REGLER!$I$20&amp;" 2",MATCHER!$K$5:$K$504,"Ja")&gt;0,1,0)+IF(COUNTIFS(MATCHER!$B$5:$B$504,A454,MATCHER!$D$5:$D$504,C454,MATCHER!$J$5:$J$504,REGLER!$I$21,MATCHER!$K$5:$K$504,"Ja")+COUNTIFS(MATCHER!$B$5:$B$504,A454,MATCHER!$D$5:$D$504,C454,MATCHER!$J$5:$J$504,REGLER!$I$21&amp;" 2",MATCHER!$K$5:$K$504,"Ja")&gt;0,1,0)+IF(COUNTIFS(MATCHER!$B$5:$B$504,A454,MATCHER!$D$5:$D$504,C454,MATCHER!$J$5:$J$504,REGLER!$I$22,MATCHER!$K$5:$K$504,"Ja")+COUNTIFS(MATCHER!$B$5:$B$504,A454,MATCHER!$D$5:$D$504,C454,MATCHER!$J$5:$J$504,REGLER!$I$22&amp;" 2",MATCHER!$K$5:$K$504,"Ja")&gt;0,1,0)+IF(COUNTIFS(MATCHER!$B$5:$B$504,A454,MATCHER!$D$5:$D$504,C454,MATCHER!$J$5:$J$504,REGLER!$I$23,MATCHER!$K$5:$K$504,"Ja")+COUNTIFS(MATCHER!$B$5:$B$504,A454,MATCHER!$D$5:$D$504,C454,MATCHER!$J$5:$J$504,REGLER!$I$23&amp;" 2",MATCHER!$K$5:$K$504,"Ja")&gt;0,1,0)+IF(COUNTIFS(MATCHER!$B$5:$B$504,A454,MATCHER!$D$5:$D$504,C454,MATCHER!$J$5:$J$504,REGLER!$I$24,MATCHER!$K$5:$K$504,"Ja")+COUNTIFS(MATCHER!$B$5:$B$504,A454,MATCHER!$D$5:$D$504,C454,MATCHER!$J$5:$J$504,REGLER!$I$24&amp;" 2",MATCHER!$K$5:$K$504,"Ja")&gt;0,1,0)+IF(COUNTIFS(MATCHER!$B$5:$B$504,A454,MATCHER!$D$5:$D$504,C454,MATCHER!$J$5:$J$504,REGLER!$I$25,MATCHER!$K$5:$K$504,"Ja")+COUNTIFS(MATCHER!$B$5:$B$504,A454,MATCHER!$D$5:$D$504,C454,MATCHER!$J$5:$J$504,REGLER!$I$25&amp;" 2",MATCHER!$K$5:$K$504,"Ja")&gt;0,1,0)+IF(COUNTIFS(MATCHER!$B$5:$B$504,A454,MATCHER!$D$5:$D$504,C454,MATCHER!$J$5:$J$504,REGLER!$I$26,MATCHER!$K$5:$K$504,"Ja")+COUNTIFS(MATCHER!$B$5:$B$504,A454,MATCHER!$D$5:$D$504,C454,MATCHER!$J$5:$J$504,REGLER!$I$26&amp;" 2",MATCHER!$K$5:$K$504,"Ja")&gt;0,1,0)</f>
        <v>1</v>
      </c>
      <c r="AB454" s="15" t="str">
        <f>IF(U454&lt;&gt;1,"",COUNTIF($U$5:U454,1))</f>
        <v/>
      </c>
      <c r="AC454" s="15" t="str">
        <f t="shared" si="103"/>
        <v/>
      </c>
      <c r="AD454" s="15" t="str">
        <f t="shared" si="104"/>
        <v>Minicafé</v>
      </c>
      <c r="AE454" s="15" t="str">
        <f t="shared" si="105"/>
        <v/>
      </c>
      <c r="AF454" t="str">
        <f>IF(T454="","",IFERROR(MATCH(1,INDEX((MATCHER!$B$5:$B$504=A454)*(MATCHER!$D$5:$D$504=C454)*(MATCHER!$K$5:$K$504="Ja")*(MATCHER!$C$5:$C$504&lt;E454)*(MATCHER!$M$5:$M$504&gt;D454)*(ROW(MATCHER!$A$5:$A$504)-ROW(MATCHER!$A$5)+1&gt;T454),0),0),""))</f>
        <v/>
      </c>
    </row>
    <row r="455" spans="1:32" ht="13">
      <c r="A455" s="42">
        <v>46445</v>
      </c>
      <c r="B455" s="43" t="s">
        <v>85</v>
      </c>
      <c r="C455" s="43" t="s">
        <v>94</v>
      </c>
      <c r="D455" s="44">
        <v>0.54166666666666696</v>
      </c>
      <c r="E455" s="44">
        <v>0.5625</v>
      </c>
      <c r="F455" s="45" t="str">
        <f>IF(R455="","",HOUR(INDEX(MATCHER!$C$5:$C$504,R455))&amp;":"&amp;IF(MINUTE(INDEX(MATCHER!$C$5:$C$504,R455))&lt;10,"0","")&amp;MINUTE(INDEX(MATCHER!$C$5:$C$504,R455))&amp;" "&amp;INDEX(MATCHER!$H$5:$H$504,R455)&amp;" – "&amp;INDEX(MATCHER!$I$5:$I$504,R455))&amp;IF(S455="",""," | "&amp;HOUR(INDEX(MATCHER!$C$5:$C$504,S455))&amp;":"&amp;IF(MINUTE(INDEX(MATCHER!$C$5:$C$504,S455))&lt;10,"0","")&amp;MINUTE(INDEX(MATCHER!$C$5:$C$504,S455))&amp;" "&amp;INDEX(MATCHER!$H$5:$H$504,S455)&amp;" – "&amp;INDEX(MATCHER!$I$5:$I$504,S455))&amp;IF(T455="",""," | "&amp;HOUR(INDEX(MATCHER!$C$5:$C$504,T455))&amp;":"&amp;IF(MINUTE(INDEX(MATCHER!$C$5:$C$504,T455))&lt;10,"0","")&amp;MINUTE(INDEX(MATCHER!$C$5:$C$504,T455))&amp;" "&amp;INDEX(MATCHER!$H$5:$H$504,T455)&amp;" – "&amp;INDEX(MATCHER!$I$5:$I$504,T455))&amp;IF(AF455="",""," | "&amp;HOUR(INDEX(MATCHER!$C$5:$C$504,AF455))&amp;":"&amp;IF(MINUTE(INDEX(MATCHER!$C$5:$C$504,AF455))&lt;10,"0","")&amp;MINUTE(INDEX(MATCHER!$C$5:$C$504,AF455))&amp;" "&amp;INDEX(MATCHER!$H$5:$H$504,AF455)&amp;" – "&amp;INDEX(MATCHER!$I$5:$I$504,AF455))</f>
        <v/>
      </c>
      <c r="G455" s="45" t="str">
        <f>MID(IF(R455="","",IF(OR(INDEX(MATCHER!$J$5:$J$504,R455)=""),""," / "&amp;INDEX(MATCHER!$J$5:$J$504,R455)))&amp;IF(S455="","",IF(OR(INDEX(MATCHER!$J$5:$J$504,S455)="",INDEX(MATCHER!$J$5:$J$504,S455)=IFERROR(INDEX(MATCHER!$J$5:$J$504,R455),"")),""," / "&amp;INDEX(MATCHER!$J$5:$J$504,S455)))&amp;IF(T455="","",IF(OR(INDEX(MATCHER!$J$5:$J$504,T455)="",INDEX(MATCHER!$J$5:$J$504,T455)=IFERROR(INDEX(MATCHER!$J$5:$J$504,R455),""),INDEX(MATCHER!$J$5:$J$504,T455)=IFERROR(INDEX(MATCHER!$J$5:$J$504,S455),"")),""," / "&amp;INDEX(MATCHER!$J$5:$J$504,T455)))&amp;IF(AF455="","",IF(OR(INDEX(MATCHER!$J$5:$J$504,AF455)="",INDEX(MATCHER!$J$5:$J$504,AF455)=IFERROR(INDEX(MATCHER!$J$5:$J$504,R455),""),INDEX(MATCHER!$J$5:$J$504,AF455)=IFERROR(INDEX(MATCHER!$J$5:$J$504,S455),""),INDEX(MATCHER!$J$5:$J$504,AF455)=IFERROR(INDEX(MATCHER!$J$5:$J$504,T455),"")),""," / "&amp;INDEX(MATCHER!$J$5:$J$504,AF455))),4,1000)</f>
        <v/>
      </c>
      <c r="H455" s="45" t="str">
        <f>H454</f>
        <v>Herr</v>
      </c>
      <c r="I455" s="46" t="s">
        <v>87</v>
      </c>
      <c r="J455" s="47"/>
      <c r="K455" s="48"/>
      <c r="L455" s="45"/>
      <c r="M455" s="50" t="str">
        <f>IF(O455&lt;&gt;O454,MAX(1,MIN(AA455,ROUNDUP(SUMPRODUCT(($O$5:$O$546=O455)*($I$5:$I$546="Ja")*($E$5:$E$546-$D$5:$D$546))*24/REGLER!$B$8,0))),"")</f>
        <v/>
      </c>
      <c r="N455" s="50" t="str">
        <f t="shared" si="99"/>
        <v>Ej öppet</v>
      </c>
      <c r="O455" s="15" t="s">
        <v>157</v>
      </c>
      <c r="P455" s="16">
        <v>0.52083333333333304</v>
      </c>
      <c r="Q455" s="16">
        <v>0.625</v>
      </c>
      <c r="R455" s="15" t="str">
        <f>IFERROR(MATCH(1,INDEX((MATCHER!$B$5:$B$504=A455)*(MATCHER!$D$5:$D$504=C455)*(MATCHER!$K$5:$K$504="Ja")*(MATCHER!$C$5:$C$504&lt;E455)*(MATCHER!$M$5:$M$504&gt;D455),0),0),"")</f>
        <v/>
      </c>
      <c r="S455" s="15" t="str">
        <f>IF(R455="","",IFERROR(MATCH(1,INDEX((MATCHER!$B$5:$B$504=A455)*(MATCHER!$D$5:$D$504=C455)*(MATCHER!$K$5:$K$504="Ja")*(MATCHER!$C$5:$C$504&lt;E455)*(MATCHER!$M$5:$M$504&gt;D455)*(ROW(MATCHER!$A$5:$A$504)-ROW(MATCHER!$A$5)+1&gt;R455),0),0),""))</f>
        <v/>
      </c>
      <c r="T455" s="15" t="str">
        <f>IF(S455="","",IFERROR(MATCH(1,INDEX((MATCHER!$B$5:$B$504=A455)*(MATCHER!$D$5:$D$504=C455)*(MATCHER!$K$5:$K$504="Ja")*(MATCHER!$C$5:$C$504&lt;E455)*(MATCHER!$M$5:$M$504&gt;D455)*(ROW(MATCHER!$A$5:$A$504)-ROW(MATCHER!$A$5)+1&gt;S455),0),0),""))</f>
        <v/>
      </c>
      <c r="U455" s="15" t="str">
        <f t="shared" si="100"/>
        <v/>
      </c>
      <c r="V455" s="15" t="str">
        <f>IF(OR(I455&lt;&gt;"Ja",J455=""),"",COUNTIFS($O$5:O455,O455,$U$5:U455,1))</f>
        <v/>
      </c>
      <c r="W455" s="15" t="str">
        <f t="shared" si="101"/>
        <v/>
      </c>
      <c r="X455" s="16" t="str">
        <f t="shared" si="102"/>
        <v/>
      </c>
      <c r="Y455" s="15">
        <f>IF(OR(I455&lt;&gt;"Ja",J455=""),0,IF(COUNTIFS($O$5:O455,O455,$I$5:I455,"Ja",$J$5:J455,"&lt;&gt;")=1,1,0))</f>
        <v>0</v>
      </c>
      <c r="Z455" s="15">
        <f>IF(OR(I455&lt;&gt;"Ja",J455=""),0,IF(COUNTIFS(O455:$O$546,O455,I455:$I$546,"Ja",J455:$J$546,"&lt;&gt;")=1,1,0))</f>
        <v>0</v>
      </c>
      <c r="AA455" s="15">
        <f>AA454</f>
        <v>1</v>
      </c>
      <c r="AB455" s="15" t="str">
        <f>IF(U455&lt;&gt;1,"",COUNTIF($U$5:U455,1))</f>
        <v/>
      </c>
      <c r="AC455" s="15" t="str">
        <f t="shared" si="103"/>
        <v/>
      </c>
      <c r="AD455" s="15" t="str">
        <f t="shared" si="104"/>
        <v>Minicafé</v>
      </c>
      <c r="AE455" s="15" t="str">
        <f t="shared" si="105"/>
        <v/>
      </c>
      <c r="AF455" t="str">
        <f>IF(T455="","",IFERROR(MATCH(1,INDEX((MATCHER!$B$5:$B$504=A455)*(MATCHER!$D$5:$D$504=C455)*(MATCHER!$K$5:$K$504="Ja")*(MATCHER!$C$5:$C$504&lt;E455)*(MATCHER!$M$5:$M$504&gt;D455)*(ROW(MATCHER!$A$5:$A$504)-ROW(MATCHER!$A$5)+1&gt;T455),0),0),""))</f>
        <v/>
      </c>
    </row>
    <row r="456" spans="1:32" ht="13">
      <c r="A456" s="42">
        <v>46445</v>
      </c>
      <c r="B456" s="43" t="s">
        <v>85</v>
      </c>
      <c r="C456" s="43" t="s">
        <v>94</v>
      </c>
      <c r="D456" s="44">
        <v>0.5625</v>
      </c>
      <c r="E456" s="44">
        <v>0.58333333333333304</v>
      </c>
      <c r="F456" s="45" t="str">
        <f>IF(R456="","",HOUR(INDEX(MATCHER!$C$5:$C$504,R456))&amp;":"&amp;IF(MINUTE(INDEX(MATCHER!$C$5:$C$504,R456))&lt;10,"0","")&amp;MINUTE(INDEX(MATCHER!$C$5:$C$504,R456))&amp;" "&amp;INDEX(MATCHER!$H$5:$H$504,R456)&amp;" – "&amp;INDEX(MATCHER!$I$5:$I$504,R456))&amp;IF(S456="",""," | "&amp;HOUR(INDEX(MATCHER!$C$5:$C$504,S456))&amp;":"&amp;IF(MINUTE(INDEX(MATCHER!$C$5:$C$504,S456))&lt;10,"0","")&amp;MINUTE(INDEX(MATCHER!$C$5:$C$504,S456))&amp;" "&amp;INDEX(MATCHER!$H$5:$H$504,S456)&amp;" – "&amp;INDEX(MATCHER!$I$5:$I$504,S456))&amp;IF(T456="",""," | "&amp;HOUR(INDEX(MATCHER!$C$5:$C$504,T456))&amp;":"&amp;IF(MINUTE(INDEX(MATCHER!$C$5:$C$504,T456))&lt;10,"0","")&amp;MINUTE(INDEX(MATCHER!$C$5:$C$504,T456))&amp;" "&amp;INDEX(MATCHER!$H$5:$H$504,T456)&amp;" – "&amp;INDEX(MATCHER!$I$5:$I$504,T456))&amp;IF(AF456="",""," | "&amp;HOUR(INDEX(MATCHER!$C$5:$C$504,AF456))&amp;":"&amp;IF(MINUTE(INDEX(MATCHER!$C$5:$C$504,AF456))&lt;10,"0","")&amp;MINUTE(INDEX(MATCHER!$C$5:$C$504,AF456))&amp;" "&amp;INDEX(MATCHER!$H$5:$H$504,AF456)&amp;" – "&amp;INDEX(MATCHER!$I$5:$I$504,AF456))</f>
        <v>13:30 AIK – HF SIF</v>
      </c>
      <c r="G456" s="45" t="str">
        <f>MID(IF(R456="","",IF(OR(INDEX(MATCHER!$J$5:$J$504,R456)=""),""," / "&amp;INDEX(MATCHER!$J$5:$J$504,R456)))&amp;IF(S456="","",IF(OR(INDEX(MATCHER!$J$5:$J$504,S456)="",INDEX(MATCHER!$J$5:$J$504,S456)=IFERROR(INDEX(MATCHER!$J$5:$J$504,R456),"")),""," / "&amp;INDEX(MATCHER!$J$5:$J$504,S456)))&amp;IF(T456="","",IF(OR(INDEX(MATCHER!$J$5:$J$504,T456)="",INDEX(MATCHER!$J$5:$J$504,T456)=IFERROR(INDEX(MATCHER!$J$5:$J$504,R456),""),INDEX(MATCHER!$J$5:$J$504,T456)=IFERROR(INDEX(MATCHER!$J$5:$J$504,S456),"")),""," / "&amp;INDEX(MATCHER!$J$5:$J$504,T456)))&amp;IF(AF456="","",IF(OR(INDEX(MATCHER!$J$5:$J$504,AF456)="",INDEX(MATCHER!$J$5:$J$504,AF456)=IFERROR(INDEX(MATCHER!$J$5:$J$504,R456),""),INDEX(MATCHER!$J$5:$J$504,AF456)=IFERROR(INDEX(MATCHER!$J$5:$J$504,S456),""),INDEX(MATCHER!$J$5:$J$504,AF456)=IFERROR(INDEX(MATCHER!$J$5:$J$504,T456),"")),""," / "&amp;INDEX(MATCHER!$J$5:$J$504,AF456))),4,1000)</f>
        <v>Herr</v>
      </c>
      <c r="H456" s="45" t="str">
        <f>H455</f>
        <v>Herr</v>
      </c>
      <c r="I456" s="46" t="s">
        <v>87</v>
      </c>
      <c r="J456" s="47"/>
      <c r="K456" s="48"/>
      <c r="L456" s="45"/>
      <c r="M456" s="50" t="str">
        <f>IF(O456&lt;&gt;O455,MAX(1,MIN(AA456,ROUNDUP(SUMPRODUCT(($O$5:$O$546=O456)*($I$5:$I$546="Ja")*($E$5:$E$546-$D$5:$D$546))*24/REGLER!$B$8,0))),"")</f>
        <v/>
      </c>
      <c r="N456" s="50" t="str">
        <f t="shared" si="99"/>
        <v>Ej öppet</v>
      </c>
      <c r="O456" s="15" t="s">
        <v>157</v>
      </c>
      <c r="P456" s="16">
        <v>0.52083333333333304</v>
      </c>
      <c r="Q456" s="16">
        <v>0.625</v>
      </c>
      <c r="R456" s="15">
        <f>IFERROR(MATCH(1,INDEX((MATCHER!$B$5:$B$504=A456)*(MATCHER!$D$5:$D$504=C456)*(MATCHER!$K$5:$K$504="Ja")*(MATCHER!$C$5:$C$504&lt;E456)*(MATCHER!$M$5:$M$504&gt;D456),0),0),"")</f>
        <v>166</v>
      </c>
      <c r="S456" s="15" t="str">
        <f>IF(R456="","",IFERROR(MATCH(1,INDEX((MATCHER!$B$5:$B$504=A456)*(MATCHER!$D$5:$D$504=C456)*(MATCHER!$K$5:$K$504="Ja")*(MATCHER!$C$5:$C$504&lt;E456)*(MATCHER!$M$5:$M$504&gt;D456)*(ROW(MATCHER!$A$5:$A$504)-ROW(MATCHER!$A$5)+1&gt;R456),0),0),""))</f>
        <v/>
      </c>
      <c r="T456" s="15" t="str">
        <f>IF(S456="","",IFERROR(MATCH(1,INDEX((MATCHER!$B$5:$B$504=A456)*(MATCHER!$D$5:$D$504=C456)*(MATCHER!$K$5:$K$504="Ja")*(MATCHER!$C$5:$C$504&lt;E456)*(MATCHER!$M$5:$M$504&gt;D456)*(ROW(MATCHER!$A$5:$A$504)-ROW(MATCHER!$A$5)+1&gt;S456),0),0),""))</f>
        <v/>
      </c>
      <c r="U456" s="15" t="str">
        <f t="shared" si="100"/>
        <v/>
      </c>
      <c r="V456" s="15" t="str">
        <f>IF(OR(I456&lt;&gt;"Ja",J456=""),"",COUNTIFS($O$5:O456,O456,$U$5:U456,1))</f>
        <v/>
      </c>
      <c r="W456" s="15" t="str">
        <f t="shared" si="101"/>
        <v/>
      </c>
      <c r="X456" s="16" t="str">
        <f t="shared" si="102"/>
        <v/>
      </c>
      <c r="Y456" s="15">
        <f>IF(OR(I456&lt;&gt;"Ja",J456=""),0,IF(COUNTIFS($O$5:O456,O456,$I$5:I456,"Ja",$J$5:J456,"&lt;&gt;")=1,1,0))</f>
        <v>0</v>
      </c>
      <c r="Z456" s="15">
        <f>IF(OR(I456&lt;&gt;"Ja",J456=""),0,IF(COUNTIFS(O456:$O$546,O456,I456:$I$546,"Ja",J456:$J$546,"&lt;&gt;")=1,1,0))</f>
        <v>0</v>
      </c>
      <c r="AA456" s="15">
        <f>AA455</f>
        <v>1</v>
      </c>
      <c r="AB456" s="15" t="str">
        <f>IF(U456&lt;&gt;1,"",COUNTIF($U$5:U456,1))</f>
        <v/>
      </c>
      <c r="AC456" s="15" t="str">
        <f t="shared" si="103"/>
        <v/>
      </c>
      <c r="AD456" s="15" t="str">
        <f t="shared" si="104"/>
        <v>Minicafé</v>
      </c>
      <c r="AE456" s="15" t="str">
        <f t="shared" si="105"/>
        <v/>
      </c>
      <c r="AF456" t="str">
        <f>IF(T456="","",IFERROR(MATCH(1,INDEX((MATCHER!$B$5:$B$504=A456)*(MATCHER!$D$5:$D$504=C456)*(MATCHER!$K$5:$K$504="Ja")*(MATCHER!$C$5:$C$504&lt;E456)*(MATCHER!$M$5:$M$504&gt;D456)*(ROW(MATCHER!$A$5:$A$504)-ROW(MATCHER!$A$5)+1&gt;T456),0),0),""))</f>
        <v/>
      </c>
    </row>
    <row r="457" spans="1:32" ht="13">
      <c r="A457" s="42">
        <v>46445</v>
      </c>
      <c r="B457" s="43" t="s">
        <v>85</v>
      </c>
      <c r="C457" s="43" t="s">
        <v>94</v>
      </c>
      <c r="D457" s="44">
        <v>0.58333333333333304</v>
      </c>
      <c r="E457" s="44">
        <v>0.60416666666666696</v>
      </c>
      <c r="F457" s="45" t="str">
        <f>IF(R457="","",HOUR(INDEX(MATCHER!$C$5:$C$504,R457))&amp;":"&amp;IF(MINUTE(INDEX(MATCHER!$C$5:$C$504,R457))&lt;10,"0","")&amp;MINUTE(INDEX(MATCHER!$C$5:$C$504,R457))&amp;" "&amp;INDEX(MATCHER!$H$5:$H$504,R457)&amp;" – "&amp;INDEX(MATCHER!$I$5:$I$504,R457))&amp;IF(S457="",""," | "&amp;HOUR(INDEX(MATCHER!$C$5:$C$504,S457))&amp;":"&amp;IF(MINUTE(INDEX(MATCHER!$C$5:$C$504,S457))&lt;10,"0","")&amp;MINUTE(INDEX(MATCHER!$C$5:$C$504,S457))&amp;" "&amp;INDEX(MATCHER!$H$5:$H$504,S457)&amp;" – "&amp;INDEX(MATCHER!$I$5:$I$504,S457))&amp;IF(T457="",""," | "&amp;HOUR(INDEX(MATCHER!$C$5:$C$504,T457))&amp;":"&amp;IF(MINUTE(INDEX(MATCHER!$C$5:$C$504,T457))&lt;10,"0","")&amp;MINUTE(INDEX(MATCHER!$C$5:$C$504,T457))&amp;" "&amp;INDEX(MATCHER!$H$5:$H$504,T457)&amp;" – "&amp;INDEX(MATCHER!$I$5:$I$504,T457))&amp;IF(AF457="",""," | "&amp;HOUR(INDEX(MATCHER!$C$5:$C$504,AF457))&amp;":"&amp;IF(MINUTE(INDEX(MATCHER!$C$5:$C$504,AF457))&lt;10,"0","")&amp;MINUTE(INDEX(MATCHER!$C$5:$C$504,AF457))&amp;" "&amp;INDEX(MATCHER!$H$5:$H$504,AF457)&amp;" – "&amp;INDEX(MATCHER!$I$5:$I$504,AF457))</f>
        <v>13:30 AIK – HF SIF</v>
      </c>
      <c r="G457" s="45" t="str">
        <f>MID(IF(R457="","",IF(OR(INDEX(MATCHER!$J$5:$J$504,R457)=""),""," / "&amp;INDEX(MATCHER!$J$5:$J$504,R457)))&amp;IF(S457="","",IF(OR(INDEX(MATCHER!$J$5:$J$504,S457)="",INDEX(MATCHER!$J$5:$J$504,S457)=IFERROR(INDEX(MATCHER!$J$5:$J$504,R457),"")),""," / "&amp;INDEX(MATCHER!$J$5:$J$504,S457)))&amp;IF(T457="","",IF(OR(INDEX(MATCHER!$J$5:$J$504,T457)="",INDEX(MATCHER!$J$5:$J$504,T457)=IFERROR(INDEX(MATCHER!$J$5:$J$504,R457),""),INDEX(MATCHER!$J$5:$J$504,T457)=IFERROR(INDEX(MATCHER!$J$5:$J$504,S457),"")),""," / "&amp;INDEX(MATCHER!$J$5:$J$504,T457)))&amp;IF(AF457="","",IF(OR(INDEX(MATCHER!$J$5:$J$504,AF457)="",INDEX(MATCHER!$J$5:$J$504,AF457)=IFERROR(INDEX(MATCHER!$J$5:$J$504,R457),""),INDEX(MATCHER!$J$5:$J$504,AF457)=IFERROR(INDEX(MATCHER!$J$5:$J$504,S457),""),INDEX(MATCHER!$J$5:$J$504,AF457)=IFERROR(INDEX(MATCHER!$J$5:$J$504,T457),"")),""," / "&amp;INDEX(MATCHER!$J$5:$J$504,AF457))),4,1000)</f>
        <v>Herr</v>
      </c>
      <c r="H457" s="45" t="str">
        <f>H456</f>
        <v>Herr</v>
      </c>
      <c r="I457" s="46" t="s">
        <v>87</v>
      </c>
      <c r="J457" s="47"/>
      <c r="K457" s="48"/>
      <c r="L457" s="45"/>
      <c r="M457" s="50" t="str">
        <f>IF(O457&lt;&gt;O456,MAX(1,MIN(AA457,ROUNDUP(SUMPRODUCT(($O$5:$O$546=O457)*($I$5:$I$546="Ja")*($E$5:$E$546-$D$5:$D$546))*24/REGLER!$B$8,0))),"")</f>
        <v/>
      </c>
      <c r="N457" s="50" t="str">
        <f t="shared" si="99"/>
        <v>Ej öppet</v>
      </c>
      <c r="O457" s="15" t="s">
        <v>157</v>
      </c>
      <c r="P457" s="16">
        <v>0.52083333333333304</v>
      </c>
      <c r="Q457" s="16">
        <v>0.625</v>
      </c>
      <c r="R457" s="15">
        <f>IFERROR(MATCH(1,INDEX((MATCHER!$B$5:$B$504=A457)*(MATCHER!$D$5:$D$504=C457)*(MATCHER!$K$5:$K$504="Ja")*(MATCHER!$C$5:$C$504&lt;E457)*(MATCHER!$M$5:$M$504&gt;D457),0),0),"")</f>
        <v>166</v>
      </c>
      <c r="S457" s="15" t="str">
        <f>IF(R457="","",IFERROR(MATCH(1,INDEX((MATCHER!$B$5:$B$504=A457)*(MATCHER!$D$5:$D$504=C457)*(MATCHER!$K$5:$K$504="Ja")*(MATCHER!$C$5:$C$504&lt;E457)*(MATCHER!$M$5:$M$504&gt;D457)*(ROW(MATCHER!$A$5:$A$504)-ROW(MATCHER!$A$5)+1&gt;R457),0),0),""))</f>
        <v/>
      </c>
      <c r="T457" s="15" t="str">
        <f>IF(S457="","",IFERROR(MATCH(1,INDEX((MATCHER!$B$5:$B$504=A457)*(MATCHER!$D$5:$D$504=C457)*(MATCHER!$K$5:$K$504="Ja")*(MATCHER!$C$5:$C$504&lt;E457)*(MATCHER!$M$5:$M$504&gt;D457)*(ROW(MATCHER!$A$5:$A$504)-ROW(MATCHER!$A$5)+1&gt;S457),0),0),""))</f>
        <v/>
      </c>
      <c r="U457" s="15" t="str">
        <f t="shared" si="100"/>
        <v/>
      </c>
      <c r="V457" s="15" t="str">
        <f>IF(OR(I457&lt;&gt;"Ja",J457=""),"",COUNTIFS($O$5:O457,O457,$U$5:U457,1))</f>
        <v/>
      </c>
      <c r="W457" s="15" t="str">
        <f t="shared" si="101"/>
        <v/>
      </c>
      <c r="X457" s="16" t="str">
        <f t="shared" si="102"/>
        <v/>
      </c>
      <c r="Y457" s="15">
        <f>IF(OR(I457&lt;&gt;"Ja",J457=""),0,IF(COUNTIFS($O$5:O457,O457,$I$5:I457,"Ja",$J$5:J457,"&lt;&gt;")=1,1,0))</f>
        <v>0</v>
      </c>
      <c r="Z457" s="15">
        <f>IF(OR(I457&lt;&gt;"Ja",J457=""),0,IF(COUNTIFS(O457:$O$546,O457,I457:$I$546,"Ja",J457:$J$546,"&lt;&gt;")=1,1,0))</f>
        <v>0</v>
      </c>
      <c r="AA457" s="15">
        <f>AA456</f>
        <v>1</v>
      </c>
      <c r="AB457" s="15" t="str">
        <f>IF(U457&lt;&gt;1,"",COUNTIF($U$5:U457,1))</f>
        <v/>
      </c>
      <c r="AC457" s="15" t="str">
        <f t="shared" si="103"/>
        <v/>
      </c>
      <c r="AD457" s="15" t="str">
        <f t="shared" si="104"/>
        <v>Minicafé</v>
      </c>
      <c r="AE457" s="15" t="str">
        <f t="shared" si="105"/>
        <v/>
      </c>
      <c r="AF457" t="str">
        <f>IF(T457="","",IFERROR(MATCH(1,INDEX((MATCHER!$B$5:$B$504=A457)*(MATCHER!$D$5:$D$504=C457)*(MATCHER!$K$5:$K$504="Ja")*(MATCHER!$C$5:$C$504&lt;E457)*(MATCHER!$M$5:$M$504&gt;D457)*(ROW(MATCHER!$A$5:$A$504)-ROW(MATCHER!$A$5)+1&gt;T457),0),0),""))</f>
        <v/>
      </c>
    </row>
    <row r="458" spans="1:32" ht="13.5" thickBot="1">
      <c r="A458" s="52">
        <v>46445</v>
      </c>
      <c r="B458" s="53" t="s">
        <v>85</v>
      </c>
      <c r="C458" s="53" t="s">
        <v>94</v>
      </c>
      <c r="D458" s="54">
        <v>0.60416666666666696</v>
      </c>
      <c r="E458" s="54">
        <v>0.625</v>
      </c>
      <c r="F458" s="55" t="str">
        <f>IF(R458="","",HOUR(INDEX(MATCHER!$C$5:$C$504,R458))&amp;":"&amp;IF(MINUTE(INDEX(MATCHER!$C$5:$C$504,R458))&lt;10,"0","")&amp;MINUTE(INDEX(MATCHER!$C$5:$C$504,R458))&amp;" "&amp;INDEX(MATCHER!$H$5:$H$504,R458)&amp;" – "&amp;INDEX(MATCHER!$I$5:$I$504,R458))&amp;IF(S458="",""," | "&amp;HOUR(INDEX(MATCHER!$C$5:$C$504,S458))&amp;":"&amp;IF(MINUTE(INDEX(MATCHER!$C$5:$C$504,S458))&lt;10,"0","")&amp;MINUTE(INDEX(MATCHER!$C$5:$C$504,S458))&amp;" "&amp;INDEX(MATCHER!$H$5:$H$504,S458)&amp;" – "&amp;INDEX(MATCHER!$I$5:$I$504,S458))&amp;IF(T458="",""," | "&amp;HOUR(INDEX(MATCHER!$C$5:$C$504,T458))&amp;":"&amp;IF(MINUTE(INDEX(MATCHER!$C$5:$C$504,T458))&lt;10,"0","")&amp;MINUTE(INDEX(MATCHER!$C$5:$C$504,T458))&amp;" "&amp;INDEX(MATCHER!$H$5:$H$504,T458)&amp;" – "&amp;INDEX(MATCHER!$I$5:$I$504,T458))&amp;IF(AF458="",""," | "&amp;HOUR(INDEX(MATCHER!$C$5:$C$504,AF458))&amp;":"&amp;IF(MINUTE(INDEX(MATCHER!$C$5:$C$504,AF458))&lt;10,"0","")&amp;MINUTE(INDEX(MATCHER!$C$5:$C$504,AF458))&amp;" "&amp;INDEX(MATCHER!$H$5:$H$504,AF458)&amp;" – "&amp;INDEX(MATCHER!$I$5:$I$504,AF458))</f>
        <v>13:30 AIK – HF SIF</v>
      </c>
      <c r="G458" s="55" t="str">
        <f>MID(IF(R458="","",IF(OR(INDEX(MATCHER!$J$5:$J$504,R458)=""),""," / "&amp;INDEX(MATCHER!$J$5:$J$504,R458)))&amp;IF(S458="","",IF(OR(INDEX(MATCHER!$J$5:$J$504,S458)="",INDEX(MATCHER!$J$5:$J$504,S458)=IFERROR(INDEX(MATCHER!$J$5:$J$504,R458),"")),""," / "&amp;INDEX(MATCHER!$J$5:$J$504,S458)))&amp;IF(T458="","",IF(OR(INDEX(MATCHER!$J$5:$J$504,T458)="",INDEX(MATCHER!$J$5:$J$504,T458)=IFERROR(INDEX(MATCHER!$J$5:$J$504,R458),""),INDEX(MATCHER!$J$5:$J$504,T458)=IFERROR(INDEX(MATCHER!$J$5:$J$504,S458),"")),""," / "&amp;INDEX(MATCHER!$J$5:$J$504,T458)))&amp;IF(AF458="","",IF(OR(INDEX(MATCHER!$J$5:$J$504,AF458)="",INDEX(MATCHER!$J$5:$J$504,AF458)=IFERROR(INDEX(MATCHER!$J$5:$J$504,R458),""),INDEX(MATCHER!$J$5:$J$504,AF458)=IFERROR(INDEX(MATCHER!$J$5:$J$504,S458),""),INDEX(MATCHER!$J$5:$J$504,AF458)=IFERROR(INDEX(MATCHER!$J$5:$J$504,T458),"")),""," / "&amp;INDEX(MATCHER!$J$5:$J$504,AF458))),4,1000)</f>
        <v>Herr</v>
      </c>
      <c r="H458" s="55" t="str">
        <f>H457</f>
        <v>Herr</v>
      </c>
      <c r="I458" s="56" t="s">
        <v>87</v>
      </c>
      <c r="J458" s="57"/>
      <c r="K458" s="58"/>
      <c r="L458" s="55"/>
      <c r="M458" s="60" t="str">
        <f>IF(O458&lt;&gt;O457,MAX(1,MIN(AA458,ROUNDUP(SUMPRODUCT(($O$5:$O$546=O458)*($I$5:$I$546="Ja")*($E$5:$E$546-$D$5:$D$546))*24/REGLER!$B$8,0))),"")</f>
        <v/>
      </c>
      <c r="N458" s="60" t="str">
        <f t="shared" si="99"/>
        <v>Ej öppet</v>
      </c>
      <c r="O458" s="15" t="s">
        <v>157</v>
      </c>
      <c r="P458" s="16">
        <v>0.52083333333333304</v>
      </c>
      <c r="Q458" s="16">
        <v>0.625</v>
      </c>
      <c r="R458" s="15">
        <f>IFERROR(MATCH(1,INDEX((MATCHER!$B$5:$B$504=A458)*(MATCHER!$D$5:$D$504=C458)*(MATCHER!$K$5:$K$504="Ja")*(MATCHER!$C$5:$C$504&lt;E458)*(MATCHER!$M$5:$M$504&gt;D458),0),0),"")</f>
        <v>166</v>
      </c>
      <c r="S458" s="15" t="str">
        <f>IF(R458="","",IFERROR(MATCH(1,INDEX((MATCHER!$B$5:$B$504=A458)*(MATCHER!$D$5:$D$504=C458)*(MATCHER!$K$5:$K$504="Ja")*(MATCHER!$C$5:$C$504&lt;E458)*(MATCHER!$M$5:$M$504&gt;D458)*(ROW(MATCHER!$A$5:$A$504)-ROW(MATCHER!$A$5)+1&gt;R458),0),0),""))</f>
        <v/>
      </c>
      <c r="T458" s="15" t="str">
        <f>IF(S458="","",IFERROR(MATCH(1,INDEX((MATCHER!$B$5:$B$504=A458)*(MATCHER!$D$5:$D$504=C458)*(MATCHER!$K$5:$K$504="Ja")*(MATCHER!$C$5:$C$504&lt;E458)*(MATCHER!$M$5:$M$504&gt;D458)*(ROW(MATCHER!$A$5:$A$504)-ROW(MATCHER!$A$5)+1&gt;S458),0),0),""))</f>
        <v/>
      </c>
      <c r="U458" s="15" t="str">
        <f t="shared" si="100"/>
        <v/>
      </c>
      <c r="V458" s="15" t="str">
        <f>IF(OR(I458&lt;&gt;"Ja",J458=""),"",COUNTIFS($O$5:O458,O458,$U$5:U458,1))</f>
        <v/>
      </c>
      <c r="W458" s="15" t="str">
        <f t="shared" si="101"/>
        <v/>
      </c>
      <c r="X458" s="16" t="str">
        <f t="shared" si="102"/>
        <v/>
      </c>
      <c r="Y458" s="15">
        <f>IF(OR(I458&lt;&gt;"Ja",J458=""),0,IF(COUNTIFS($O$5:O458,O458,$I$5:I458,"Ja",$J$5:J458,"&lt;&gt;")=1,1,0))</f>
        <v>0</v>
      </c>
      <c r="Z458" s="15">
        <f>IF(OR(I458&lt;&gt;"Ja",J458=""),0,IF(COUNTIFS(O458:$O$546,O458,I458:$I$546,"Ja",J458:$J$546,"&lt;&gt;")=1,1,0))</f>
        <v>0</v>
      </c>
      <c r="AA458" s="15">
        <f>AA457</f>
        <v>1</v>
      </c>
      <c r="AB458" s="15" t="str">
        <f>IF(U458&lt;&gt;1,"",COUNTIF($U$5:U458,1))</f>
        <v/>
      </c>
      <c r="AC458" s="15" t="str">
        <f t="shared" si="103"/>
        <v/>
      </c>
      <c r="AD458" s="15" t="str">
        <f t="shared" si="104"/>
        <v>Minicafé</v>
      </c>
      <c r="AE458" s="15" t="str">
        <f t="shared" si="105"/>
        <v/>
      </c>
      <c r="AF458" t="str">
        <f>IF(T458="","",IFERROR(MATCH(1,INDEX((MATCHER!$B$5:$B$504=A458)*(MATCHER!$D$5:$D$504=C458)*(MATCHER!$K$5:$K$504="Ja")*(MATCHER!$C$5:$C$504&lt;E458)*(MATCHER!$M$5:$M$504&gt;D458)*(ROW(MATCHER!$A$5:$A$504)-ROW(MATCHER!$A$5)+1&gt;T458),0),0),""))</f>
        <v/>
      </c>
    </row>
    <row r="459" spans="1:32" ht="26">
      <c r="A459" s="42">
        <v>46455</v>
      </c>
      <c r="B459" s="43" t="s">
        <v>104</v>
      </c>
      <c r="C459" s="43" t="s">
        <v>110</v>
      </c>
      <c r="D459" s="44">
        <v>0.83333333333333304</v>
      </c>
      <c r="E459" s="44">
        <v>0.85416666666666696</v>
      </c>
      <c r="F459" s="45" t="str">
        <f>IF(R459="","",HOUR(INDEX(MATCHER!$C$5:$C$504,R459))&amp;":"&amp;IF(MINUTE(INDEX(MATCHER!$C$5:$C$504,R459))&lt;10,"0","")&amp;MINUTE(INDEX(MATCHER!$C$5:$C$504,R459))&amp;" "&amp;INDEX(MATCHER!$H$5:$H$504,R459)&amp;" – "&amp;INDEX(MATCHER!$I$5:$I$504,R459))&amp;IF(S459="",""," | "&amp;HOUR(INDEX(MATCHER!$C$5:$C$504,S459))&amp;":"&amp;IF(MINUTE(INDEX(MATCHER!$C$5:$C$504,S459))&lt;10,"0","")&amp;MINUTE(INDEX(MATCHER!$C$5:$C$504,S459))&amp;" "&amp;INDEX(MATCHER!$H$5:$H$504,S459)&amp;" – "&amp;INDEX(MATCHER!$I$5:$I$504,S459))&amp;IF(T459="",""," | "&amp;HOUR(INDEX(MATCHER!$C$5:$C$504,T459))&amp;":"&amp;IF(MINUTE(INDEX(MATCHER!$C$5:$C$504,T459))&lt;10,"0","")&amp;MINUTE(INDEX(MATCHER!$C$5:$C$504,T459))&amp;" "&amp;INDEX(MATCHER!$H$5:$H$504,T459)&amp;" – "&amp;INDEX(MATCHER!$I$5:$I$504,T459))&amp;IF(AF459="",""," | "&amp;HOUR(INDEX(MATCHER!$C$5:$C$504,AF459))&amp;":"&amp;IF(MINUTE(INDEX(MATCHER!$C$5:$C$504,AF459))&lt;10,"0","")&amp;MINUTE(INDEX(MATCHER!$C$5:$C$504,AF459))&amp;" "&amp;INDEX(MATCHER!$H$5:$H$504,AF459)&amp;" – "&amp;INDEX(MATCHER!$I$5:$I$504,AF459))</f>
        <v/>
      </c>
      <c r="G459" s="45" t="str">
        <f>MID(IF(R459="","",IF(OR(INDEX(MATCHER!$J$5:$J$504,R459)=""),""," / "&amp;INDEX(MATCHER!$J$5:$J$504,R459)))&amp;IF(S459="","",IF(OR(INDEX(MATCHER!$J$5:$J$504,S459)="",INDEX(MATCHER!$J$5:$J$504,S459)=IFERROR(INDEX(MATCHER!$J$5:$J$504,R459),"")),""," / "&amp;INDEX(MATCHER!$J$5:$J$504,S459)))&amp;IF(T459="","",IF(OR(INDEX(MATCHER!$J$5:$J$504,T459)="",INDEX(MATCHER!$J$5:$J$504,T459)=IFERROR(INDEX(MATCHER!$J$5:$J$504,R459),""),INDEX(MATCHER!$J$5:$J$504,T459)=IFERROR(INDEX(MATCHER!$J$5:$J$504,S459),"")),""," / "&amp;INDEX(MATCHER!$J$5:$J$504,T459)))&amp;IF(AF459="","",IF(OR(INDEX(MATCHER!$J$5:$J$504,AF459)="",INDEX(MATCHER!$J$5:$J$504,AF459)=IFERROR(INDEX(MATCHER!$J$5:$J$504,R459),""),INDEX(MATCHER!$J$5:$J$504,AF459)=IFERROR(INDEX(MATCHER!$J$5:$J$504,S459),""),INDEX(MATCHER!$J$5:$J$504,AF459)=IFERROR(INDEX(MATCHER!$J$5:$J$504,T459),"")),""," / "&amp;INDEX(MATCHER!$J$5:$J$504,AF459))),4,1000)</f>
        <v/>
      </c>
      <c r="H459" s="45" t="str">
        <f>MID(IF(COUNTIFS(MATCHER!$B$5:$B$504,A459,MATCHER!$D$5:$D$504,C459,MATCHER!$J$5:$J$504,REGLER!$I$6,MATCHER!$K$5:$K$504,"Ja")+COUNTIFS(MATCHER!$B$5:$B$504,A459,MATCHER!$D$5:$D$504,C459,MATCHER!$J$5:$J$504,REGLER!$I$6&amp;" 2",MATCHER!$K$5:$K$504,"Ja")&gt;0,", "&amp;REGLER!$I$6,"")&amp;IF(COUNTIFS(MATCHER!$B$5:$B$504,A459,MATCHER!$D$5:$D$504,C459,MATCHER!$J$5:$J$504,REGLER!$I$7,MATCHER!$K$5:$K$504,"Ja")+COUNTIFS(MATCHER!$B$5:$B$504,A459,MATCHER!$D$5:$D$504,C459,MATCHER!$J$5:$J$504,REGLER!$I$7&amp;" 2",MATCHER!$K$5:$K$504,"Ja")&gt;0,", "&amp;REGLER!$I$7,"")&amp;IF(COUNTIFS(MATCHER!$B$5:$B$504,A459,MATCHER!$D$5:$D$504,C459,MATCHER!$J$5:$J$504,REGLER!$I$8,MATCHER!$K$5:$K$504,"Ja")+COUNTIFS(MATCHER!$B$5:$B$504,A459,MATCHER!$D$5:$D$504,C459,MATCHER!$J$5:$J$504,REGLER!$I$8&amp;" 2",MATCHER!$K$5:$K$504,"Ja")&gt;0,", "&amp;REGLER!$I$8,"")&amp;IF(COUNTIFS(MATCHER!$B$5:$B$504,A459,MATCHER!$D$5:$D$504,C459,MATCHER!$J$5:$J$504,REGLER!$I$9,MATCHER!$K$5:$K$504,"Ja")+COUNTIFS(MATCHER!$B$5:$B$504,A459,MATCHER!$D$5:$D$504,C459,MATCHER!$J$5:$J$504,REGLER!$I$9&amp;" 2",MATCHER!$K$5:$K$504,"Ja")&gt;0,", "&amp;REGLER!$I$9,"")&amp;IF(COUNTIFS(MATCHER!$B$5:$B$504,A459,MATCHER!$D$5:$D$504,C459,MATCHER!$J$5:$J$504,REGLER!$I$10,MATCHER!$K$5:$K$504,"Ja")+COUNTIFS(MATCHER!$B$5:$B$504,A459,MATCHER!$D$5:$D$504,C459,MATCHER!$J$5:$J$504,REGLER!$I$10&amp;" 2",MATCHER!$K$5:$K$504,"Ja")&gt;0,", "&amp;REGLER!$I$10,"")&amp;IF(COUNTIFS(MATCHER!$B$5:$B$504,A459,MATCHER!$D$5:$D$504,C459,MATCHER!$J$5:$J$504,REGLER!$I$11,MATCHER!$K$5:$K$504,"Ja")+COUNTIFS(MATCHER!$B$5:$B$504,A459,MATCHER!$D$5:$D$504,C459,MATCHER!$J$5:$J$504,REGLER!$I$11&amp;" 2",MATCHER!$K$5:$K$504,"Ja")&gt;0,", "&amp;REGLER!$I$11,"")&amp;IF(COUNTIFS(MATCHER!$B$5:$B$504,A459,MATCHER!$D$5:$D$504,C459,MATCHER!$J$5:$J$504,REGLER!$I$12,MATCHER!$K$5:$K$504,"Ja")+COUNTIFS(MATCHER!$B$5:$B$504,A459,MATCHER!$D$5:$D$504,C459,MATCHER!$J$5:$J$504,REGLER!$I$12&amp;" 2",MATCHER!$K$5:$K$504,"Ja")&gt;0,", "&amp;REGLER!$I$12,"")&amp;IF(COUNTIFS(MATCHER!$B$5:$B$504,A459,MATCHER!$D$5:$D$504,C459,MATCHER!$J$5:$J$504,REGLER!$I$13,MATCHER!$K$5:$K$504,"Ja")+COUNTIFS(MATCHER!$B$5:$B$504,A459,MATCHER!$D$5:$D$504,C459,MATCHER!$J$5:$J$504,REGLER!$I$13&amp;" 2",MATCHER!$K$5:$K$504,"Ja")&gt;0,", "&amp;REGLER!$I$13,"")&amp;IF(COUNTIFS(MATCHER!$B$5:$B$504,A459,MATCHER!$D$5:$D$504,C459,MATCHER!$J$5:$J$504,REGLER!$I$14,MATCHER!$K$5:$K$504,"Ja")+COUNTIFS(MATCHER!$B$5:$B$504,A459,MATCHER!$D$5:$D$504,C459,MATCHER!$J$5:$J$504,REGLER!$I$14&amp;" 2",MATCHER!$K$5:$K$504,"Ja")&gt;0,", "&amp;REGLER!$I$14,"")&amp;IF(COUNTIFS(MATCHER!$B$5:$B$504,A459,MATCHER!$D$5:$D$504,C459,MATCHER!$J$5:$J$504,REGLER!$I$15,MATCHER!$K$5:$K$504,"Ja")+COUNTIFS(MATCHER!$B$5:$B$504,A459,MATCHER!$D$5:$D$504,C459,MATCHER!$J$5:$J$504,REGLER!$I$15&amp;" 2",MATCHER!$K$5:$K$504,"Ja")&gt;0,", "&amp;REGLER!$I$15,"")&amp;IF(COUNTIFS(MATCHER!$B$5:$B$504,A459,MATCHER!$D$5:$D$504,C459,MATCHER!$J$5:$J$504,REGLER!$I$16,MATCHER!$K$5:$K$504,"Ja")+COUNTIFS(MATCHER!$B$5:$B$504,A459,MATCHER!$D$5:$D$504,C459,MATCHER!$J$5:$J$504,REGLER!$I$16&amp;" 2",MATCHER!$K$5:$K$504,"Ja")&gt;0,", "&amp;REGLER!$I$16,"")&amp;IF(COUNTIFS(MATCHER!$B$5:$B$504,A459,MATCHER!$D$5:$D$504,C459,MATCHER!$J$5:$J$504,REGLER!$I$17,MATCHER!$K$5:$K$504,"Ja")+COUNTIFS(MATCHER!$B$5:$B$504,A459,MATCHER!$D$5:$D$504,C459,MATCHER!$J$5:$J$504,REGLER!$I$17&amp;" 2",MATCHER!$K$5:$K$504,"Ja")&gt;0,", "&amp;REGLER!$I$17,"")&amp;IF(COUNTIFS(MATCHER!$B$5:$B$504,A459,MATCHER!$D$5:$D$504,C459,MATCHER!$J$5:$J$504,REGLER!$I$18,MATCHER!$K$5:$K$504,"Ja")+COUNTIFS(MATCHER!$B$5:$B$504,A459,MATCHER!$D$5:$D$504,C459,MATCHER!$J$5:$J$504,REGLER!$I$18&amp;" 2",MATCHER!$K$5:$K$504,"Ja")&gt;0,", "&amp;REGLER!$I$18,"")&amp;IF(COUNTIFS(MATCHER!$B$5:$B$504,A459,MATCHER!$D$5:$D$504,C459,MATCHER!$J$5:$J$504,REGLER!$I$19,MATCHER!$K$5:$K$504,"Ja")+COUNTIFS(MATCHER!$B$5:$B$504,A459,MATCHER!$D$5:$D$504,C459,MATCHER!$J$5:$J$504,REGLER!$I$19&amp;" 2",MATCHER!$K$5:$K$504,"Ja")&gt;0,", "&amp;REGLER!$I$19,"")&amp;IF(COUNTIFS(MATCHER!$B$5:$B$504,A459,MATCHER!$D$5:$D$504,C459,MATCHER!$J$5:$J$504,REGLER!$I$20,MATCHER!$K$5:$K$504,"Ja")+COUNTIFS(MATCHER!$B$5:$B$504,A459,MATCHER!$D$5:$D$504,C459,MATCHER!$J$5:$J$504,REGLER!$I$20&amp;" 2",MATCHER!$K$5:$K$504,"Ja")&gt;0,", "&amp;REGLER!$I$20,"")&amp;IF(COUNTIFS(MATCHER!$B$5:$B$504,A459,MATCHER!$D$5:$D$504,C459,MATCHER!$J$5:$J$504,REGLER!$I$21,MATCHER!$K$5:$K$504,"Ja")+COUNTIFS(MATCHER!$B$5:$B$504,A459,MATCHER!$D$5:$D$504,C459,MATCHER!$J$5:$J$504,REGLER!$I$21&amp;" 2",MATCHER!$K$5:$K$504,"Ja")&gt;0,", "&amp;REGLER!$I$21,"")&amp;IF(COUNTIFS(MATCHER!$B$5:$B$504,A459,MATCHER!$D$5:$D$504,C459,MATCHER!$J$5:$J$504,REGLER!$I$22,MATCHER!$K$5:$K$504,"Ja")+COUNTIFS(MATCHER!$B$5:$B$504,A459,MATCHER!$D$5:$D$504,C459,MATCHER!$J$5:$J$504,REGLER!$I$22&amp;" 2",MATCHER!$K$5:$K$504,"Ja")&gt;0,", "&amp;REGLER!$I$22,"")&amp;IF(COUNTIFS(MATCHER!$B$5:$B$504,A459,MATCHER!$D$5:$D$504,C459,MATCHER!$J$5:$J$504,REGLER!$I$23,MATCHER!$K$5:$K$504,"Ja")+COUNTIFS(MATCHER!$B$5:$B$504,A459,MATCHER!$D$5:$D$504,C459,MATCHER!$J$5:$J$504,REGLER!$I$23&amp;" 2",MATCHER!$K$5:$K$504,"Ja")&gt;0,", "&amp;REGLER!$I$23,"")&amp;IF(COUNTIFS(MATCHER!$B$5:$B$504,A459,MATCHER!$D$5:$D$504,C459,MATCHER!$J$5:$J$504,REGLER!$I$24,MATCHER!$K$5:$K$504,"Ja")+COUNTIFS(MATCHER!$B$5:$B$504,A459,MATCHER!$D$5:$D$504,C459,MATCHER!$J$5:$J$504,REGLER!$I$24&amp;" 2",MATCHER!$K$5:$K$504,"Ja")&gt;0,", "&amp;REGLER!$I$24,"")&amp;IF(COUNTIFS(MATCHER!$B$5:$B$504,A459,MATCHER!$D$5:$D$504,C459,MATCHER!$J$5:$J$504,REGLER!$I$25,MATCHER!$K$5:$K$504,"Ja")+COUNTIFS(MATCHER!$B$5:$B$504,A459,MATCHER!$D$5:$D$504,C459,MATCHER!$J$5:$J$504,REGLER!$I$25&amp;" 2",MATCHER!$K$5:$K$504,"Ja")&gt;0,", "&amp;REGLER!$I$25,"")&amp;IF(COUNTIFS(MATCHER!$B$5:$B$504,A459,MATCHER!$D$5:$D$504,C459,MATCHER!$J$5:$J$504,REGLER!$I$26,MATCHER!$K$5:$K$504,"Ja")+COUNTIFS(MATCHER!$B$5:$B$504,A459,MATCHER!$D$5:$D$504,C459,MATCHER!$J$5:$J$504,REGLER!$I$26&amp;" 2",MATCHER!$K$5:$K$504,"Ja")&gt;0,", "&amp;REGLER!$I$26,""),3,1000)</f>
        <v>Dam</v>
      </c>
      <c r="I459" s="46" t="s">
        <v>87</v>
      </c>
      <c r="J459" s="47"/>
      <c r="K459" s="48" t="s">
        <v>98</v>
      </c>
      <c r="L459" s="45"/>
      <c r="M459" s="50">
        <f>IF(O459&lt;&gt;O458,MAX(1,MIN(AA459,ROUNDUP(SUMPRODUCT(($O$5:$O$546=O459)*($I$5:$I$546="Ja")*($E$5:$E$546-$D$5:$D$546))*24/REGLER!$B$8,0))),"")</f>
        <v>1</v>
      </c>
      <c r="N459" s="50" t="str">
        <f t="shared" si="99"/>
        <v>Ej öppet</v>
      </c>
      <c r="O459" s="15" t="s">
        <v>158</v>
      </c>
      <c r="P459" s="16">
        <v>0.83333333333333304</v>
      </c>
      <c r="Q459" s="16">
        <v>0.9375</v>
      </c>
      <c r="R459" s="15" t="str">
        <f>IFERROR(MATCH(1,INDEX((MATCHER!$B$5:$B$504=A459)*(MATCHER!$D$5:$D$504=C459)*(MATCHER!$K$5:$K$504="Ja")*(MATCHER!$C$5:$C$504&lt;E459)*(MATCHER!$M$5:$M$504&gt;D459),0),0),"")</f>
        <v/>
      </c>
      <c r="S459" s="15" t="str">
        <f>IF(R459="","",IFERROR(MATCH(1,INDEX((MATCHER!$B$5:$B$504=A459)*(MATCHER!$D$5:$D$504=C459)*(MATCHER!$K$5:$K$504="Ja")*(MATCHER!$C$5:$C$504&lt;E459)*(MATCHER!$M$5:$M$504&gt;D459)*(ROW(MATCHER!$A$5:$A$504)-ROW(MATCHER!$A$5)+1&gt;R459),0),0),""))</f>
        <v/>
      </c>
      <c r="T459" s="15" t="str">
        <f>IF(S459="","",IFERROR(MATCH(1,INDEX((MATCHER!$B$5:$B$504=A459)*(MATCHER!$D$5:$D$504=C459)*(MATCHER!$K$5:$K$504="Ja")*(MATCHER!$C$5:$C$504&lt;E459)*(MATCHER!$M$5:$M$504&gt;D459)*(ROW(MATCHER!$A$5:$A$504)-ROW(MATCHER!$A$5)+1&gt;S459),0),0),""))</f>
        <v/>
      </c>
      <c r="U459" s="15" t="str">
        <f t="shared" si="100"/>
        <v/>
      </c>
      <c r="V459" s="15" t="str">
        <f>IF(OR(I459&lt;&gt;"Ja",J459=""),"",COUNTIFS($O$5:O459,O459,$U$5:U459,1))</f>
        <v/>
      </c>
      <c r="W459" s="15" t="str">
        <f t="shared" si="101"/>
        <v/>
      </c>
      <c r="X459" s="16" t="str">
        <f t="shared" si="102"/>
        <v/>
      </c>
      <c r="Y459" s="15">
        <f>IF(OR(I459&lt;&gt;"Ja",J459=""),0,IF(COUNTIFS($O$5:O459,O459,$I$5:I459,"Ja",$J$5:J459,"&lt;&gt;")=1,1,0))</f>
        <v>0</v>
      </c>
      <c r="Z459" s="15">
        <f>IF(OR(I459&lt;&gt;"Ja",J459=""),0,IF(COUNTIFS(O459:$O$546,O459,I459:$I$546,"Ja",J459:$J$546,"&lt;&gt;")=1,1,0))</f>
        <v>0</v>
      </c>
      <c r="AA459" s="15">
        <f>IF(COUNTIFS(MATCHER!$B$5:$B$504,A459,MATCHER!$D$5:$D$504,C459,MATCHER!$J$5:$J$504,REGLER!$I$6,MATCHER!$K$5:$K$504,"Ja")+COUNTIFS(MATCHER!$B$5:$B$504,A459,MATCHER!$D$5:$D$504,C459,MATCHER!$J$5:$J$504,REGLER!$I$6&amp;" 2",MATCHER!$K$5:$K$504,"Ja")&gt;0,1,0)+IF(COUNTIFS(MATCHER!$B$5:$B$504,A459,MATCHER!$D$5:$D$504,C459,MATCHER!$J$5:$J$504,REGLER!$I$7,MATCHER!$K$5:$K$504,"Ja")+COUNTIFS(MATCHER!$B$5:$B$504,A459,MATCHER!$D$5:$D$504,C459,MATCHER!$J$5:$J$504,REGLER!$I$7&amp;" 2",MATCHER!$K$5:$K$504,"Ja")&gt;0,1,0)+IF(COUNTIFS(MATCHER!$B$5:$B$504,A459,MATCHER!$D$5:$D$504,C459,MATCHER!$J$5:$J$504,REGLER!$I$8,MATCHER!$K$5:$K$504,"Ja")+COUNTIFS(MATCHER!$B$5:$B$504,A459,MATCHER!$D$5:$D$504,C459,MATCHER!$J$5:$J$504,REGLER!$I$8&amp;" 2",MATCHER!$K$5:$K$504,"Ja")&gt;0,1,0)+IF(COUNTIFS(MATCHER!$B$5:$B$504,A459,MATCHER!$D$5:$D$504,C459,MATCHER!$J$5:$J$504,REGLER!$I$9,MATCHER!$K$5:$K$504,"Ja")+COUNTIFS(MATCHER!$B$5:$B$504,A459,MATCHER!$D$5:$D$504,C459,MATCHER!$J$5:$J$504,REGLER!$I$9&amp;" 2",MATCHER!$K$5:$K$504,"Ja")&gt;0,1,0)+IF(COUNTIFS(MATCHER!$B$5:$B$504,A459,MATCHER!$D$5:$D$504,C459,MATCHER!$J$5:$J$504,REGLER!$I$10,MATCHER!$K$5:$K$504,"Ja")+COUNTIFS(MATCHER!$B$5:$B$504,A459,MATCHER!$D$5:$D$504,C459,MATCHER!$J$5:$J$504,REGLER!$I$10&amp;" 2",MATCHER!$K$5:$K$504,"Ja")&gt;0,1,0)+IF(COUNTIFS(MATCHER!$B$5:$B$504,A459,MATCHER!$D$5:$D$504,C459,MATCHER!$J$5:$J$504,REGLER!$I$11,MATCHER!$K$5:$K$504,"Ja")+COUNTIFS(MATCHER!$B$5:$B$504,A459,MATCHER!$D$5:$D$504,C459,MATCHER!$J$5:$J$504,REGLER!$I$11&amp;" 2",MATCHER!$K$5:$K$504,"Ja")&gt;0,1,0)+IF(COUNTIFS(MATCHER!$B$5:$B$504,A459,MATCHER!$D$5:$D$504,C459,MATCHER!$J$5:$J$504,REGLER!$I$12,MATCHER!$K$5:$K$504,"Ja")+COUNTIFS(MATCHER!$B$5:$B$504,A459,MATCHER!$D$5:$D$504,C459,MATCHER!$J$5:$J$504,REGLER!$I$12&amp;" 2",MATCHER!$K$5:$K$504,"Ja")&gt;0,1,0)+IF(COUNTIFS(MATCHER!$B$5:$B$504,A459,MATCHER!$D$5:$D$504,C459,MATCHER!$J$5:$J$504,REGLER!$I$13,MATCHER!$K$5:$K$504,"Ja")+COUNTIFS(MATCHER!$B$5:$B$504,A459,MATCHER!$D$5:$D$504,C459,MATCHER!$J$5:$J$504,REGLER!$I$13&amp;" 2",MATCHER!$K$5:$K$504,"Ja")&gt;0,1,0)+IF(COUNTIFS(MATCHER!$B$5:$B$504,A459,MATCHER!$D$5:$D$504,C459,MATCHER!$J$5:$J$504,REGLER!$I$14,MATCHER!$K$5:$K$504,"Ja")+COUNTIFS(MATCHER!$B$5:$B$504,A459,MATCHER!$D$5:$D$504,C459,MATCHER!$J$5:$J$504,REGLER!$I$14&amp;" 2",MATCHER!$K$5:$K$504,"Ja")&gt;0,1,0)+IF(COUNTIFS(MATCHER!$B$5:$B$504,A459,MATCHER!$D$5:$D$504,C459,MATCHER!$J$5:$J$504,REGLER!$I$15,MATCHER!$K$5:$K$504,"Ja")+COUNTIFS(MATCHER!$B$5:$B$504,A459,MATCHER!$D$5:$D$504,C459,MATCHER!$J$5:$J$504,REGLER!$I$15&amp;" 2",MATCHER!$K$5:$K$504,"Ja")&gt;0,1,0)+IF(COUNTIFS(MATCHER!$B$5:$B$504,A459,MATCHER!$D$5:$D$504,C459,MATCHER!$J$5:$J$504,REGLER!$I$16,MATCHER!$K$5:$K$504,"Ja")+COUNTIFS(MATCHER!$B$5:$B$504,A459,MATCHER!$D$5:$D$504,C459,MATCHER!$J$5:$J$504,REGLER!$I$16&amp;" 2",MATCHER!$K$5:$K$504,"Ja")&gt;0,1,0)+IF(COUNTIFS(MATCHER!$B$5:$B$504,A459,MATCHER!$D$5:$D$504,C459,MATCHER!$J$5:$J$504,REGLER!$I$17,MATCHER!$K$5:$K$504,"Ja")+COUNTIFS(MATCHER!$B$5:$B$504,A459,MATCHER!$D$5:$D$504,C459,MATCHER!$J$5:$J$504,REGLER!$I$17&amp;" 2",MATCHER!$K$5:$K$504,"Ja")&gt;0,1,0)+IF(COUNTIFS(MATCHER!$B$5:$B$504,A459,MATCHER!$D$5:$D$504,C459,MATCHER!$J$5:$J$504,REGLER!$I$18,MATCHER!$K$5:$K$504,"Ja")+COUNTIFS(MATCHER!$B$5:$B$504,A459,MATCHER!$D$5:$D$504,C459,MATCHER!$J$5:$J$504,REGLER!$I$18&amp;" 2",MATCHER!$K$5:$K$504,"Ja")&gt;0,1,0)+IF(COUNTIFS(MATCHER!$B$5:$B$504,A459,MATCHER!$D$5:$D$504,C459,MATCHER!$J$5:$J$504,REGLER!$I$19,MATCHER!$K$5:$K$504,"Ja")+COUNTIFS(MATCHER!$B$5:$B$504,A459,MATCHER!$D$5:$D$504,C459,MATCHER!$J$5:$J$504,REGLER!$I$19&amp;" 2",MATCHER!$K$5:$K$504,"Ja")&gt;0,1,0)+IF(COUNTIFS(MATCHER!$B$5:$B$504,A459,MATCHER!$D$5:$D$504,C459,MATCHER!$J$5:$J$504,REGLER!$I$20,MATCHER!$K$5:$K$504,"Ja")+COUNTIFS(MATCHER!$B$5:$B$504,A459,MATCHER!$D$5:$D$504,C459,MATCHER!$J$5:$J$504,REGLER!$I$20&amp;" 2",MATCHER!$K$5:$K$504,"Ja")&gt;0,1,0)+IF(COUNTIFS(MATCHER!$B$5:$B$504,A459,MATCHER!$D$5:$D$504,C459,MATCHER!$J$5:$J$504,REGLER!$I$21,MATCHER!$K$5:$K$504,"Ja")+COUNTIFS(MATCHER!$B$5:$B$504,A459,MATCHER!$D$5:$D$504,C459,MATCHER!$J$5:$J$504,REGLER!$I$21&amp;" 2",MATCHER!$K$5:$K$504,"Ja")&gt;0,1,0)+IF(COUNTIFS(MATCHER!$B$5:$B$504,A459,MATCHER!$D$5:$D$504,C459,MATCHER!$J$5:$J$504,REGLER!$I$22,MATCHER!$K$5:$K$504,"Ja")+COUNTIFS(MATCHER!$B$5:$B$504,A459,MATCHER!$D$5:$D$504,C459,MATCHER!$J$5:$J$504,REGLER!$I$22&amp;" 2",MATCHER!$K$5:$K$504,"Ja")&gt;0,1,0)+IF(COUNTIFS(MATCHER!$B$5:$B$504,A459,MATCHER!$D$5:$D$504,C459,MATCHER!$J$5:$J$504,REGLER!$I$23,MATCHER!$K$5:$K$504,"Ja")+COUNTIFS(MATCHER!$B$5:$B$504,A459,MATCHER!$D$5:$D$504,C459,MATCHER!$J$5:$J$504,REGLER!$I$23&amp;" 2",MATCHER!$K$5:$K$504,"Ja")&gt;0,1,0)+IF(COUNTIFS(MATCHER!$B$5:$B$504,A459,MATCHER!$D$5:$D$504,C459,MATCHER!$J$5:$J$504,REGLER!$I$24,MATCHER!$K$5:$K$504,"Ja")+COUNTIFS(MATCHER!$B$5:$B$504,A459,MATCHER!$D$5:$D$504,C459,MATCHER!$J$5:$J$504,REGLER!$I$24&amp;" 2",MATCHER!$K$5:$K$504,"Ja")&gt;0,1,0)+IF(COUNTIFS(MATCHER!$B$5:$B$504,A459,MATCHER!$D$5:$D$504,C459,MATCHER!$J$5:$J$504,REGLER!$I$25,MATCHER!$K$5:$K$504,"Ja")+COUNTIFS(MATCHER!$B$5:$B$504,A459,MATCHER!$D$5:$D$504,C459,MATCHER!$J$5:$J$504,REGLER!$I$25&amp;" 2",MATCHER!$K$5:$K$504,"Ja")&gt;0,1,0)+IF(COUNTIFS(MATCHER!$B$5:$B$504,A459,MATCHER!$D$5:$D$504,C459,MATCHER!$J$5:$J$504,REGLER!$I$26,MATCHER!$K$5:$K$504,"Ja")+COUNTIFS(MATCHER!$B$5:$B$504,A459,MATCHER!$D$5:$D$504,C459,MATCHER!$J$5:$J$504,REGLER!$I$26&amp;" 2",MATCHER!$K$5:$K$504,"Ja")&gt;0,1,0)</f>
        <v>1</v>
      </c>
      <c r="AB459" s="15" t="str">
        <f>IF(U459&lt;&gt;1,"",COUNTIF($U$5:U459,1))</f>
        <v/>
      </c>
      <c r="AC459" s="15" t="str">
        <f t="shared" si="103"/>
        <v/>
      </c>
      <c r="AD459" s="15" t="str">
        <f t="shared" si="104"/>
        <v>Minicafé</v>
      </c>
      <c r="AE459" s="15" t="str">
        <f t="shared" si="105"/>
        <v/>
      </c>
      <c r="AF459" t="str">
        <f>IF(T459="","",IFERROR(MATCH(1,INDEX((MATCHER!$B$5:$B$504=A459)*(MATCHER!$D$5:$D$504=C459)*(MATCHER!$K$5:$K$504="Ja")*(MATCHER!$C$5:$C$504&lt;E459)*(MATCHER!$M$5:$M$504&gt;D459)*(ROW(MATCHER!$A$5:$A$504)-ROW(MATCHER!$A$5)+1&gt;T459),0),0),""))</f>
        <v/>
      </c>
    </row>
    <row r="460" spans="1:32" ht="26">
      <c r="A460" s="42">
        <v>46455</v>
      </c>
      <c r="B460" s="43" t="s">
        <v>104</v>
      </c>
      <c r="C460" s="43" t="s">
        <v>110</v>
      </c>
      <c r="D460" s="44">
        <v>0.85416666666666696</v>
      </c>
      <c r="E460" s="44">
        <v>0.875</v>
      </c>
      <c r="F460" s="45" t="str">
        <f>IF(R460="","",HOUR(INDEX(MATCHER!$C$5:$C$504,R460))&amp;":"&amp;IF(MINUTE(INDEX(MATCHER!$C$5:$C$504,R460))&lt;10,"0","")&amp;MINUTE(INDEX(MATCHER!$C$5:$C$504,R460))&amp;" "&amp;INDEX(MATCHER!$H$5:$H$504,R460)&amp;" – "&amp;INDEX(MATCHER!$I$5:$I$504,R460))&amp;IF(S460="",""," | "&amp;HOUR(INDEX(MATCHER!$C$5:$C$504,S460))&amp;":"&amp;IF(MINUTE(INDEX(MATCHER!$C$5:$C$504,S460))&lt;10,"0","")&amp;MINUTE(INDEX(MATCHER!$C$5:$C$504,S460))&amp;" "&amp;INDEX(MATCHER!$H$5:$H$504,S460)&amp;" – "&amp;INDEX(MATCHER!$I$5:$I$504,S460))&amp;IF(T460="",""," | "&amp;HOUR(INDEX(MATCHER!$C$5:$C$504,T460))&amp;":"&amp;IF(MINUTE(INDEX(MATCHER!$C$5:$C$504,T460))&lt;10,"0","")&amp;MINUTE(INDEX(MATCHER!$C$5:$C$504,T460))&amp;" "&amp;INDEX(MATCHER!$H$5:$H$504,T460)&amp;" – "&amp;INDEX(MATCHER!$I$5:$I$504,T460))&amp;IF(AF460="",""," | "&amp;HOUR(INDEX(MATCHER!$C$5:$C$504,AF460))&amp;":"&amp;IF(MINUTE(INDEX(MATCHER!$C$5:$C$504,AF460))&lt;10,"0","")&amp;MINUTE(INDEX(MATCHER!$C$5:$C$504,AF460))&amp;" "&amp;INDEX(MATCHER!$H$5:$H$504,AF460)&amp;" – "&amp;INDEX(MATCHER!$I$5:$I$504,AF460))</f>
        <v/>
      </c>
      <c r="G460" s="45" t="str">
        <f>MID(IF(R460="","",IF(OR(INDEX(MATCHER!$J$5:$J$504,R460)=""),""," / "&amp;INDEX(MATCHER!$J$5:$J$504,R460)))&amp;IF(S460="","",IF(OR(INDEX(MATCHER!$J$5:$J$504,S460)="",INDEX(MATCHER!$J$5:$J$504,S460)=IFERROR(INDEX(MATCHER!$J$5:$J$504,R460),"")),""," / "&amp;INDEX(MATCHER!$J$5:$J$504,S460)))&amp;IF(T460="","",IF(OR(INDEX(MATCHER!$J$5:$J$504,T460)="",INDEX(MATCHER!$J$5:$J$504,T460)=IFERROR(INDEX(MATCHER!$J$5:$J$504,R460),""),INDEX(MATCHER!$J$5:$J$504,T460)=IFERROR(INDEX(MATCHER!$J$5:$J$504,S460),"")),""," / "&amp;INDEX(MATCHER!$J$5:$J$504,T460)))&amp;IF(AF460="","",IF(OR(INDEX(MATCHER!$J$5:$J$504,AF460)="",INDEX(MATCHER!$J$5:$J$504,AF460)=IFERROR(INDEX(MATCHER!$J$5:$J$504,R460),""),INDEX(MATCHER!$J$5:$J$504,AF460)=IFERROR(INDEX(MATCHER!$J$5:$J$504,S460),""),INDEX(MATCHER!$J$5:$J$504,AF460)=IFERROR(INDEX(MATCHER!$J$5:$J$504,T460),"")),""," / "&amp;INDEX(MATCHER!$J$5:$J$504,AF460))),4,1000)</f>
        <v/>
      </c>
      <c r="H460" s="45" t="str">
        <f>H459</f>
        <v>Dam</v>
      </c>
      <c r="I460" s="46" t="s">
        <v>87</v>
      </c>
      <c r="J460" s="47"/>
      <c r="K460" s="48"/>
      <c r="L460" s="45"/>
      <c r="M460" s="50" t="str">
        <f>IF(O460&lt;&gt;O459,MAX(1,MIN(AA460,ROUNDUP(SUMPRODUCT(($O$5:$O$546=O460)*($I$5:$I$546="Ja")*($E$5:$E$546-$D$5:$D$546))*24/REGLER!$B$8,0))),"")</f>
        <v/>
      </c>
      <c r="N460" s="50" t="str">
        <f t="shared" si="99"/>
        <v>Ej öppet</v>
      </c>
      <c r="O460" s="15" t="s">
        <v>158</v>
      </c>
      <c r="P460" s="16">
        <v>0.83333333333333304</v>
      </c>
      <c r="Q460" s="16">
        <v>0.9375</v>
      </c>
      <c r="R460" s="15" t="str">
        <f>IFERROR(MATCH(1,INDEX((MATCHER!$B$5:$B$504=A460)*(MATCHER!$D$5:$D$504=C460)*(MATCHER!$K$5:$K$504="Ja")*(MATCHER!$C$5:$C$504&lt;E460)*(MATCHER!$M$5:$M$504&gt;D460),0),0),"")</f>
        <v/>
      </c>
      <c r="S460" s="15" t="str">
        <f>IF(R460="","",IFERROR(MATCH(1,INDEX((MATCHER!$B$5:$B$504=A460)*(MATCHER!$D$5:$D$504=C460)*(MATCHER!$K$5:$K$504="Ja")*(MATCHER!$C$5:$C$504&lt;E460)*(MATCHER!$M$5:$M$504&gt;D460)*(ROW(MATCHER!$A$5:$A$504)-ROW(MATCHER!$A$5)+1&gt;R460),0),0),""))</f>
        <v/>
      </c>
      <c r="T460" s="15" t="str">
        <f>IF(S460="","",IFERROR(MATCH(1,INDEX((MATCHER!$B$5:$B$504=A460)*(MATCHER!$D$5:$D$504=C460)*(MATCHER!$K$5:$K$504="Ja")*(MATCHER!$C$5:$C$504&lt;E460)*(MATCHER!$M$5:$M$504&gt;D460)*(ROW(MATCHER!$A$5:$A$504)-ROW(MATCHER!$A$5)+1&gt;S460),0),0),""))</f>
        <v/>
      </c>
      <c r="U460" s="15" t="str">
        <f t="shared" si="100"/>
        <v/>
      </c>
      <c r="V460" s="15" t="str">
        <f>IF(OR(I460&lt;&gt;"Ja",J460=""),"",COUNTIFS($O$5:O460,O460,$U$5:U460,1))</f>
        <v/>
      </c>
      <c r="W460" s="15" t="str">
        <f t="shared" si="101"/>
        <v/>
      </c>
      <c r="X460" s="16" t="str">
        <f t="shared" si="102"/>
        <v/>
      </c>
      <c r="Y460" s="15">
        <f>IF(OR(I460&lt;&gt;"Ja",J460=""),0,IF(COUNTIFS($O$5:O460,O460,$I$5:I460,"Ja",$J$5:J460,"&lt;&gt;")=1,1,0))</f>
        <v>0</v>
      </c>
      <c r="Z460" s="15">
        <f>IF(OR(I460&lt;&gt;"Ja",J460=""),0,IF(COUNTIFS(O460:$O$546,O460,I460:$I$546,"Ja",J460:$J$546,"&lt;&gt;")=1,1,0))</f>
        <v>0</v>
      </c>
      <c r="AA460" s="15">
        <f>AA459</f>
        <v>1</v>
      </c>
      <c r="AB460" s="15" t="str">
        <f>IF(U460&lt;&gt;1,"",COUNTIF($U$5:U460,1))</f>
        <v/>
      </c>
      <c r="AC460" s="15" t="str">
        <f t="shared" si="103"/>
        <v/>
      </c>
      <c r="AD460" s="15" t="str">
        <f t="shared" si="104"/>
        <v>Minicafé</v>
      </c>
      <c r="AE460" s="15" t="str">
        <f t="shared" si="105"/>
        <v/>
      </c>
      <c r="AF460" t="str">
        <f>IF(T460="","",IFERROR(MATCH(1,INDEX((MATCHER!$B$5:$B$504=A460)*(MATCHER!$D$5:$D$504=C460)*(MATCHER!$K$5:$K$504="Ja")*(MATCHER!$C$5:$C$504&lt;E460)*(MATCHER!$M$5:$M$504&gt;D460)*(ROW(MATCHER!$A$5:$A$504)-ROW(MATCHER!$A$5)+1&gt;T460),0),0),""))</f>
        <v/>
      </c>
    </row>
    <row r="461" spans="1:32" ht="26">
      <c r="A461" s="42">
        <v>46455</v>
      </c>
      <c r="B461" s="43" t="s">
        <v>104</v>
      </c>
      <c r="C461" s="43" t="s">
        <v>110</v>
      </c>
      <c r="D461" s="44">
        <v>0.875</v>
      </c>
      <c r="E461" s="44">
        <v>0.89583333333333304</v>
      </c>
      <c r="F461" s="45" t="str">
        <f>IF(R461="","",HOUR(INDEX(MATCHER!$C$5:$C$504,R461))&amp;":"&amp;IF(MINUTE(INDEX(MATCHER!$C$5:$C$504,R461))&lt;10,"0","")&amp;MINUTE(INDEX(MATCHER!$C$5:$C$504,R461))&amp;" "&amp;INDEX(MATCHER!$H$5:$H$504,R461)&amp;" – "&amp;INDEX(MATCHER!$I$5:$I$504,R461))&amp;IF(S461="",""," | "&amp;HOUR(INDEX(MATCHER!$C$5:$C$504,S461))&amp;":"&amp;IF(MINUTE(INDEX(MATCHER!$C$5:$C$504,S461))&lt;10,"0","")&amp;MINUTE(INDEX(MATCHER!$C$5:$C$504,S461))&amp;" "&amp;INDEX(MATCHER!$H$5:$H$504,S461)&amp;" – "&amp;INDEX(MATCHER!$I$5:$I$504,S461))&amp;IF(T461="",""," | "&amp;HOUR(INDEX(MATCHER!$C$5:$C$504,T461))&amp;":"&amp;IF(MINUTE(INDEX(MATCHER!$C$5:$C$504,T461))&lt;10,"0","")&amp;MINUTE(INDEX(MATCHER!$C$5:$C$504,T461))&amp;" "&amp;INDEX(MATCHER!$H$5:$H$504,T461)&amp;" – "&amp;INDEX(MATCHER!$I$5:$I$504,T461))&amp;IF(AF461="",""," | "&amp;HOUR(INDEX(MATCHER!$C$5:$C$504,AF461))&amp;":"&amp;IF(MINUTE(INDEX(MATCHER!$C$5:$C$504,AF461))&lt;10,"0","")&amp;MINUTE(INDEX(MATCHER!$C$5:$C$504,AF461))&amp;" "&amp;INDEX(MATCHER!$H$5:$H$504,AF461)&amp;" – "&amp;INDEX(MATCHER!$I$5:$I$504,AF461))</f>
        <v>21:00 AIK – Sannadals SK</v>
      </c>
      <c r="G461" s="45" t="str">
        <f>MID(IF(R461="","",IF(OR(INDEX(MATCHER!$J$5:$J$504,R461)=""),""," / "&amp;INDEX(MATCHER!$J$5:$J$504,R461)))&amp;IF(S461="","",IF(OR(INDEX(MATCHER!$J$5:$J$504,S461)="",INDEX(MATCHER!$J$5:$J$504,S461)=IFERROR(INDEX(MATCHER!$J$5:$J$504,R461),"")),""," / "&amp;INDEX(MATCHER!$J$5:$J$504,S461)))&amp;IF(T461="","",IF(OR(INDEX(MATCHER!$J$5:$J$504,T461)="",INDEX(MATCHER!$J$5:$J$504,T461)=IFERROR(INDEX(MATCHER!$J$5:$J$504,R461),""),INDEX(MATCHER!$J$5:$J$504,T461)=IFERROR(INDEX(MATCHER!$J$5:$J$504,S461),"")),""," / "&amp;INDEX(MATCHER!$J$5:$J$504,T461)))&amp;IF(AF461="","",IF(OR(INDEX(MATCHER!$J$5:$J$504,AF461)="",INDEX(MATCHER!$J$5:$J$504,AF461)=IFERROR(INDEX(MATCHER!$J$5:$J$504,R461),""),INDEX(MATCHER!$J$5:$J$504,AF461)=IFERROR(INDEX(MATCHER!$J$5:$J$504,S461),""),INDEX(MATCHER!$J$5:$J$504,AF461)=IFERROR(INDEX(MATCHER!$J$5:$J$504,T461),"")),""," / "&amp;INDEX(MATCHER!$J$5:$J$504,AF461))),4,1000)</f>
        <v>Dam</v>
      </c>
      <c r="H461" s="45" t="str">
        <f>H460</f>
        <v>Dam</v>
      </c>
      <c r="I461" s="46" t="s">
        <v>87</v>
      </c>
      <c r="J461" s="47"/>
      <c r="K461" s="48"/>
      <c r="L461" s="45"/>
      <c r="M461" s="50" t="str">
        <f>IF(O461&lt;&gt;O460,MAX(1,MIN(AA461,ROUNDUP(SUMPRODUCT(($O$5:$O$546=O461)*($I$5:$I$546="Ja")*($E$5:$E$546-$D$5:$D$546))*24/REGLER!$B$8,0))),"")</f>
        <v/>
      </c>
      <c r="N461" s="50" t="str">
        <f t="shared" si="99"/>
        <v>Ej öppet</v>
      </c>
      <c r="O461" s="15" t="s">
        <v>158</v>
      </c>
      <c r="P461" s="16">
        <v>0.83333333333333304</v>
      </c>
      <c r="Q461" s="16">
        <v>0.9375</v>
      </c>
      <c r="R461" s="15">
        <f>IFERROR(MATCH(1,INDEX((MATCHER!$B$5:$B$504=A461)*(MATCHER!$D$5:$D$504=C461)*(MATCHER!$K$5:$K$504="Ja")*(MATCHER!$C$5:$C$504&lt;E461)*(MATCHER!$M$5:$M$504&gt;D461),0),0),"")</f>
        <v>169</v>
      </c>
      <c r="S461" s="15" t="str">
        <f>IF(R461="","",IFERROR(MATCH(1,INDEX((MATCHER!$B$5:$B$504=A461)*(MATCHER!$D$5:$D$504=C461)*(MATCHER!$K$5:$K$504="Ja")*(MATCHER!$C$5:$C$504&lt;E461)*(MATCHER!$M$5:$M$504&gt;D461)*(ROW(MATCHER!$A$5:$A$504)-ROW(MATCHER!$A$5)+1&gt;R461),0),0),""))</f>
        <v/>
      </c>
      <c r="T461" s="15" t="str">
        <f>IF(S461="","",IFERROR(MATCH(1,INDEX((MATCHER!$B$5:$B$504=A461)*(MATCHER!$D$5:$D$504=C461)*(MATCHER!$K$5:$K$504="Ja")*(MATCHER!$C$5:$C$504&lt;E461)*(MATCHER!$M$5:$M$504&gt;D461)*(ROW(MATCHER!$A$5:$A$504)-ROW(MATCHER!$A$5)+1&gt;S461),0),0),""))</f>
        <v/>
      </c>
      <c r="U461" s="15" t="str">
        <f t="shared" si="100"/>
        <v/>
      </c>
      <c r="V461" s="15" t="str">
        <f>IF(OR(I461&lt;&gt;"Ja",J461=""),"",COUNTIFS($O$5:O461,O461,$U$5:U461,1))</f>
        <v/>
      </c>
      <c r="W461" s="15" t="str">
        <f t="shared" si="101"/>
        <v/>
      </c>
      <c r="X461" s="16" t="str">
        <f t="shared" si="102"/>
        <v/>
      </c>
      <c r="Y461" s="15">
        <f>IF(OR(I461&lt;&gt;"Ja",J461=""),0,IF(COUNTIFS($O$5:O461,O461,$I$5:I461,"Ja",$J$5:J461,"&lt;&gt;")=1,1,0))</f>
        <v>0</v>
      </c>
      <c r="Z461" s="15">
        <f>IF(OR(I461&lt;&gt;"Ja",J461=""),0,IF(COUNTIFS(O461:$O$546,O461,I461:$I$546,"Ja",J461:$J$546,"&lt;&gt;")=1,1,0))</f>
        <v>0</v>
      </c>
      <c r="AA461" s="15">
        <f>AA460</f>
        <v>1</v>
      </c>
      <c r="AB461" s="15" t="str">
        <f>IF(U461&lt;&gt;1,"",COUNTIF($U$5:U461,1))</f>
        <v/>
      </c>
      <c r="AC461" s="15" t="str">
        <f t="shared" si="103"/>
        <v/>
      </c>
      <c r="AD461" s="15" t="str">
        <f t="shared" si="104"/>
        <v>Minicafé</v>
      </c>
      <c r="AE461" s="15" t="str">
        <f t="shared" si="105"/>
        <v/>
      </c>
      <c r="AF461" t="str">
        <f>IF(T461="","",IFERROR(MATCH(1,INDEX((MATCHER!$B$5:$B$504=A461)*(MATCHER!$D$5:$D$504=C461)*(MATCHER!$K$5:$K$504="Ja")*(MATCHER!$C$5:$C$504&lt;E461)*(MATCHER!$M$5:$M$504&gt;D461)*(ROW(MATCHER!$A$5:$A$504)-ROW(MATCHER!$A$5)+1&gt;T461),0),0),""))</f>
        <v/>
      </c>
    </row>
    <row r="462" spans="1:32" ht="26">
      <c r="A462" s="42">
        <v>46455</v>
      </c>
      <c r="B462" s="43" t="s">
        <v>104</v>
      </c>
      <c r="C462" s="43" t="s">
        <v>110</v>
      </c>
      <c r="D462" s="44">
        <v>0.89583333333333304</v>
      </c>
      <c r="E462" s="44">
        <v>0.91666666666666696</v>
      </c>
      <c r="F462" s="45" t="str">
        <f>IF(R462="","",HOUR(INDEX(MATCHER!$C$5:$C$504,R462))&amp;":"&amp;IF(MINUTE(INDEX(MATCHER!$C$5:$C$504,R462))&lt;10,"0","")&amp;MINUTE(INDEX(MATCHER!$C$5:$C$504,R462))&amp;" "&amp;INDEX(MATCHER!$H$5:$H$504,R462)&amp;" – "&amp;INDEX(MATCHER!$I$5:$I$504,R462))&amp;IF(S462="",""," | "&amp;HOUR(INDEX(MATCHER!$C$5:$C$504,S462))&amp;":"&amp;IF(MINUTE(INDEX(MATCHER!$C$5:$C$504,S462))&lt;10,"0","")&amp;MINUTE(INDEX(MATCHER!$C$5:$C$504,S462))&amp;" "&amp;INDEX(MATCHER!$H$5:$H$504,S462)&amp;" – "&amp;INDEX(MATCHER!$I$5:$I$504,S462))&amp;IF(T462="",""," | "&amp;HOUR(INDEX(MATCHER!$C$5:$C$504,T462))&amp;":"&amp;IF(MINUTE(INDEX(MATCHER!$C$5:$C$504,T462))&lt;10,"0","")&amp;MINUTE(INDEX(MATCHER!$C$5:$C$504,T462))&amp;" "&amp;INDEX(MATCHER!$H$5:$H$504,T462)&amp;" – "&amp;INDEX(MATCHER!$I$5:$I$504,T462))&amp;IF(AF462="",""," | "&amp;HOUR(INDEX(MATCHER!$C$5:$C$504,AF462))&amp;":"&amp;IF(MINUTE(INDEX(MATCHER!$C$5:$C$504,AF462))&lt;10,"0","")&amp;MINUTE(INDEX(MATCHER!$C$5:$C$504,AF462))&amp;" "&amp;INDEX(MATCHER!$H$5:$H$504,AF462)&amp;" – "&amp;INDEX(MATCHER!$I$5:$I$504,AF462))</f>
        <v>21:00 AIK – Sannadals SK</v>
      </c>
      <c r="G462" s="45" t="str">
        <f>MID(IF(R462="","",IF(OR(INDEX(MATCHER!$J$5:$J$504,R462)=""),""," / "&amp;INDEX(MATCHER!$J$5:$J$504,R462)))&amp;IF(S462="","",IF(OR(INDEX(MATCHER!$J$5:$J$504,S462)="",INDEX(MATCHER!$J$5:$J$504,S462)=IFERROR(INDEX(MATCHER!$J$5:$J$504,R462),"")),""," / "&amp;INDEX(MATCHER!$J$5:$J$504,S462)))&amp;IF(T462="","",IF(OR(INDEX(MATCHER!$J$5:$J$504,T462)="",INDEX(MATCHER!$J$5:$J$504,T462)=IFERROR(INDEX(MATCHER!$J$5:$J$504,R462),""),INDEX(MATCHER!$J$5:$J$504,T462)=IFERROR(INDEX(MATCHER!$J$5:$J$504,S462),"")),""," / "&amp;INDEX(MATCHER!$J$5:$J$504,T462)))&amp;IF(AF462="","",IF(OR(INDEX(MATCHER!$J$5:$J$504,AF462)="",INDEX(MATCHER!$J$5:$J$504,AF462)=IFERROR(INDEX(MATCHER!$J$5:$J$504,R462),""),INDEX(MATCHER!$J$5:$J$504,AF462)=IFERROR(INDEX(MATCHER!$J$5:$J$504,S462),""),INDEX(MATCHER!$J$5:$J$504,AF462)=IFERROR(INDEX(MATCHER!$J$5:$J$504,T462),"")),""," / "&amp;INDEX(MATCHER!$J$5:$J$504,AF462))),4,1000)</f>
        <v>Dam</v>
      </c>
      <c r="H462" s="45" t="str">
        <f>H461</f>
        <v>Dam</v>
      </c>
      <c r="I462" s="46" t="s">
        <v>87</v>
      </c>
      <c r="J462" s="47"/>
      <c r="K462" s="48"/>
      <c r="L462" s="45"/>
      <c r="M462" s="50" t="str">
        <f>IF(O462&lt;&gt;O461,MAX(1,MIN(AA462,ROUNDUP(SUMPRODUCT(($O$5:$O$546=O462)*($I$5:$I$546="Ja")*($E$5:$E$546-$D$5:$D$546))*24/REGLER!$B$8,0))),"")</f>
        <v/>
      </c>
      <c r="N462" s="50" t="str">
        <f t="shared" si="99"/>
        <v>Ej öppet</v>
      </c>
      <c r="O462" s="15" t="s">
        <v>158</v>
      </c>
      <c r="P462" s="16">
        <v>0.83333333333333304</v>
      </c>
      <c r="Q462" s="16">
        <v>0.9375</v>
      </c>
      <c r="R462" s="15">
        <f>IFERROR(MATCH(1,INDEX((MATCHER!$B$5:$B$504=A462)*(MATCHER!$D$5:$D$504=C462)*(MATCHER!$K$5:$K$504="Ja")*(MATCHER!$C$5:$C$504&lt;E462)*(MATCHER!$M$5:$M$504&gt;D462),0),0),"")</f>
        <v>169</v>
      </c>
      <c r="S462" s="15" t="str">
        <f>IF(R462="","",IFERROR(MATCH(1,INDEX((MATCHER!$B$5:$B$504=A462)*(MATCHER!$D$5:$D$504=C462)*(MATCHER!$K$5:$K$504="Ja")*(MATCHER!$C$5:$C$504&lt;E462)*(MATCHER!$M$5:$M$504&gt;D462)*(ROW(MATCHER!$A$5:$A$504)-ROW(MATCHER!$A$5)+1&gt;R462),0),0),""))</f>
        <v/>
      </c>
      <c r="T462" s="15" t="str">
        <f>IF(S462="","",IFERROR(MATCH(1,INDEX((MATCHER!$B$5:$B$504=A462)*(MATCHER!$D$5:$D$504=C462)*(MATCHER!$K$5:$K$504="Ja")*(MATCHER!$C$5:$C$504&lt;E462)*(MATCHER!$M$5:$M$504&gt;D462)*(ROW(MATCHER!$A$5:$A$504)-ROW(MATCHER!$A$5)+1&gt;S462),0),0),""))</f>
        <v/>
      </c>
      <c r="U462" s="15" t="str">
        <f t="shared" si="100"/>
        <v/>
      </c>
      <c r="V462" s="15" t="str">
        <f>IF(OR(I462&lt;&gt;"Ja",J462=""),"",COUNTIFS($O$5:O462,O462,$U$5:U462,1))</f>
        <v/>
      </c>
      <c r="W462" s="15" t="str">
        <f t="shared" si="101"/>
        <v/>
      </c>
      <c r="X462" s="16" t="str">
        <f t="shared" si="102"/>
        <v/>
      </c>
      <c r="Y462" s="15">
        <f>IF(OR(I462&lt;&gt;"Ja",J462=""),0,IF(COUNTIFS($O$5:O462,O462,$I$5:I462,"Ja",$J$5:J462,"&lt;&gt;")=1,1,0))</f>
        <v>0</v>
      </c>
      <c r="Z462" s="15">
        <f>IF(OR(I462&lt;&gt;"Ja",J462=""),0,IF(COUNTIFS(O462:$O$546,O462,I462:$I$546,"Ja",J462:$J$546,"&lt;&gt;")=1,1,0))</f>
        <v>0</v>
      </c>
      <c r="AA462" s="15">
        <f>AA461</f>
        <v>1</v>
      </c>
      <c r="AB462" s="15" t="str">
        <f>IF(U462&lt;&gt;1,"",COUNTIF($U$5:U462,1))</f>
        <v/>
      </c>
      <c r="AC462" s="15" t="str">
        <f t="shared" si="103"/>
        <v/>
      </c>
      <c r="AD462" s="15" t="str">
        <f t="shared" si="104"/>
        <v>Minicafé</v>
      </c>
      <c r="AE462" s="15" t="str">
        <f t="shared" si="105"/>
        <v/>
      </c>
      <c r="AF462" t="str">
        <f>IF(T462="","",IFERROR(MATCH(1,INDEX((MATCHER!$B$5:$B$504=A462)*(MATCHER!$D$5:$D$504=C462)*(MATCHER!$K$5:$K$504="Ja")*(MATCHER!$C$5:$C$504&lt;E462)*(MATCHER!$M$5:$M$504&gt;D462)*(ROW(MATCHER!$A$5:$A$504)-ROW(MATCHER!$A$5)+1&gt;T462),0),0),""))</f>
        <v/>
      </c>
    </row>
    <row r="463" spans="1:32" ht="26.5" thickBot="1">
      <c r="A463" s="52">
        <v>46455</v>
      </c>
      <c r="B463" s="53" t="s">
        <v>104</v>
      </c>
      <c r="C463" s="53" t="s">
        <v>110</v>
      </c>
      <c r="D463" s="54">
        <v>0.91666666666666696</v>
      </c>
      <c r="E463" s="54">
        <v>0.9375</v>
      </c>
      <c r="F463" s="55" t="str">
        <f>IF(R463="","",HOUR(INDEX(MATCHER!$C$5:$C$504,R463))&amp;":"&amp;IF(MINUTE(INDEX(MATCHER!$C$5:$C$504,R463))&lt;10,"0","")&amp;MINUTE(INDEX(MATCHER!$C$5:$C$504,R463))&amp;" "&amp;INDEX(MATCHER!$H$5:$H$504,R463)&amp;" – "&amp;INDEX(MATCHER!$I$5:$I$504,R463))&amp;IF(S463="",""," | "&amp;HOUR(INDEX(MATCHER!$C$5:$C$504,S463))&amp;":"&amp;IF(MINUTE(INDEX(MATCHER!$C$5:$C$504,S463))&lt;10,"0","")&amp;MINUTE(INDEX(MATCHER!$C$5:$C$504,S463))&amp;" "&amp;INDEX(MATCHER!$H$5:$H$504,S463)&amp;" – "&amp;INDEX(MATCHER!$I$5:$I$504,S463))&amp;IF(T463="",""," | "&amp;HOUR(INDEX(MATCHER!$C$5:$C$504,T463))&amp;":"&amp;IF(MINUTE(INDEX(MATCHER!$C$5:$C$504,T463))&lt;10,"0","")&amp;MINUTE(INDEX(MATCHER!$C$5:$C$504,T463))&amp;" "&amp;INDEX(MATCHER!$H$5:$H$504,T463)&amp;" – "&amp;INDEX(MATCHER!$I$5:$I$504,T463))&amp;IF(AF463="",""," | "&amp;HOUR(INDEX(MATCHER!$C$5:$C$504,AF463))&amp;":"&amp;IF(MINUTE(INDEX(MATCHER!$C$5:$C$504,AF463))&lt;10,"0","")&amp;MINUTE(INDEX(MATCHER!$C$5:$C$504,AF463))&amp;" "&amp;INDEX(MATCHER!$H$5:$H$504,AF463)&amp;" – "&amp;INDEX(MATCHER!$I$5:$I$504,AF463))</f>
        <v>21:00 AIK – Sannadals SK</v>
      </c>
      <c r="G463" s="55" t="str">
        <f>MID(IF(R463="","",IF(OR(INDEX(MATCHER!$J$5:$J$504,R463)=""),""," / "&amp;INDEX(MATCHER!$J$5:$J$504,R463)))&amp;IF(S463="","",IF(OR(INDEX(MATCHER!$J$5:$J$504,S463)="",INDEX(MATCHER!$J$5:$J$504,S463)=IFERROR(INDEX(MATCHER!$J$5:$J$504,R463),"")),""," / "&amp;INDEX(MATCHER!$J$5:$J$504,S463)))&amp;IF(T463="","",IF(OR(INDEX(MATCHER!$J$5:$J$504,T463)="",INDEX(MATCHER!$J$5:$J$504,T463)=IFERROR(INDEX(MATCHER!$J$5:$J$504,R463),""),INDEX(MATCHER!$J$5:$J$504,T463)=IFERROR(INDEX(MATCHER!$J$5:$J$504,S463),"")),""," / "&amp;INDEX(MATCHER!$J$5:$J$504,T463)))&amp;IF(AF463="","",IF(OR(INDEX(MATCHER!$J$5:$J$504,AF463)="",INDEX(MATCHER!$J$5:$J$504,AF463)=IFERROR(INDEX(MATCHER!$J$5:$J$504,R463),""),INDEX(MATCHER!$J$5:$J$504,AF463)=IFERROR(INDEX(MATCHER!$J$5:$J$504,S463),""),INDEX(MATCHER!$J$5:$J$504,AF463)=IFERROR(INDEX(MATCHER!$J$5:$J$504,T463),"")),""," / "&amp;INDEX(MATCHER!$J$5:$J$504,AF463))),4,1000)</f>
        <v>Dam</v>
      </c>
      <c r="H463" s="55" t="str">
        <f>H462</f>
        <v>Dam</v>
      </c>
      <c r="I463" s="56" t="s">
        <v>87</v>
      </c>
      <c r="J463" s="57"/>
      <c r="K463" s="58"/>
      <c r="L463" s="55"/>
      <c r="M463" s="60" t="str">
        <f>IF(O463&lt;&gt;O462,MAX(1,MIN(AA463,ROUNDUP(SUMPRODUCT(($O$5:$O$546=O463)*($I$5:$I$546="Ja")*($E$5:$E$546-$D$5:$D$546))*24/REGLER!$B$8,0))),"")</f>
        <v/>
      </c>
      <c r="N463" s="60" t="str">
        <f t="shared" si="99"/>
        <v>Ej öppet</v>
      </c>
      <c r="O463" s="15" t="s">
        <v>158</v>
      </c>
      <c r="P463" s="16">
        <v>0.83333333333333304</v>
      </c>
      <c r="Q463" s="16">
        <v>0.9375</v>
      </c>
      <c r="R463" s="15">
        <f>IFERROR(MATCH(1,INDEX((MATCHER!$B$5:$B$504=A463)*(MATCHER!$D$5:$D$504=C463)*(MATCHER!$K$5:$K$504="Ja")*(MATCHER!$C$5:$C$504&lt;E463)*(MATCHER!$M$5:$M$504&gt;D463),0),0),"")</f>
        <v>169</v>
      </c>
      <c r="S463" s="15" t="str">
        <f>IF(R463="","",IFERROR(MATCH(1,INDEX((MATCHER!$B$5:$B$504=A463)*(MATCHER!$D$5:$D$504=C463)*(MATCHER!$K$5:$K$504="Ja")*(MATCHER!$C$5:$C$504&lt;E463)*(MATCHER!$M$5:$M$504&gt;D463)*(ROW(MATCHER!$A$5:$A$504)-ROW(MATCHER!$A$5)+1&gt;R463),0),0),""))</f>
        <v/>
      </c>
      <c r="T463" s="15" t="str">
        <f>IF(S463="","",IFERROR(MATCH(1,INDEX((MATCHER!$B$5:$B$504=A463)*(MATCHER!$D$5:$D$504=C463)*(MATCHER!$K$5:$K$504="Ja")*(MATCHER!$C$5:$C$504&lt;E463)*(MATCHER!$M$5:$M$504&gt;D463)*(ROW(MATCHER!$A$5:$A$504)-ROW(MATCHER!$A$5)+1&gt;S463),0),0),""))</f>
        <v/>
      </c>
      <c r="U463" s="15" t="str">
        <f t="shared" si="100"/>
        <v/>
      </c>
      <c r="V463" s="15" t="str">
        <f>IF(OR(I463&lt;&gt;"Ja",J463=""),"",COUNTIFS($O$5:O463,O463,$U$5:U463,1))</f>
        <v/>
      </c>
      <c r="W463" s="15" t="str">
        <f t="shared" si="101"/>
        <v/>
      </c>
      <c r="X463" s="16" t="str">
        <f t="shared" si="102"/>
        <v/>
      </c>
      <c r="Y463" s="15">
        <f>IF(OR(I463&lt;&gt;"Ja",J463=""),0,IF(COUNTIFS($O$5:O463,O463,$I$5:I463,"Ja",$J$5:J463,"&lt;&gt;")=1,1,0))</f>
        <v>0</v>
      </c>
      <c r="Z463" s="15">
        <f>IF(OR(I463&lt;&gt;"Ja",J463=""),0,IF(COUNTIFS(O463:$O$546,O463,I463:$I$546,"Ja",J463:$J$546,"&lt;&gt;")=1,1,0))</f>
        <v>0</v>
      </c>
      <c r="AA463" s="15">
        <f>AA462</f>
        <v>1</v>
      </c>
      <c r="AB463" s="15" t="str">
        <f>IF(U463&lt;&gt;1,"",COUNTIF($U$5:U463,1))</f>
        <v/>
      </c>
      <c r="AC463" s="15" t="str">
        <f t="shared" si="103"/>
        <v/>
      </c>
      <c r="AD463" s="15" t="str">
        <f t="shared" si="104"/>
        <v>Minicafé</v>
      </c>
      <c r="AE463" s="15" t="str">
        <f t="shared" si="105"/>
        <v/>
      </c>
      <c r="AF463" t="str">
        <f>IF(T463="","",IFERROR(MATCH(1,INDEX((MATCHER!$B$5:$B$504=A463)*(MATCHER!$D$5:$D$504=C463)*(MATCHER!$K$5:$K$504="Ja")*(MATCHER!$C$5:$C$504&lt;E463)*(MATCHER!$M$5:$M$504&gt;D463)*(ROW(MATCHER!$A$5:$A$504)-ROW(MATCHER!$A$5)+1&gt;T463),0),0),""))</f>
        <v/>
      </c>
    </row>
    <row r="464" spans="1:32" ht="13">
      <c r="A464" s="42">
        <v>46459</v>
      </c>
      <c r="B464" s="43" t="s">
        <v>85</v>
      </c>
      <c r="C464" s="43" t="s">
        <v>94</v>
      </c>
      <c r="D464" s="44">
        <v>0.45833333333333298</v>
      </c>
      <c r="E464" s="44">
        <v>0.47916666666666702</v>
      </c>
      <c r="F464" s="45" t="str">
        <f>IF(R464="","",HOUR(INDEX(MATCHER!$C$5:$C$504,R464))&amp;":"&amp;IF(MINUTE(INDEX(MATCHER!$C$5:$C$504,R464))&lt;10,"0","")&amp;MINUTE(INDEX(MATCHER!$C$5:$C$504,R464))&amp;" "&amp;INDEX(MATCHER!$H$5:$H$504,R464)&amp;" – "&amp;INDEX(MATCHER!$I$5:$I$504,R464))&amp;IF(S464="",""," | "&amp;HOUR(INDEX(MATCHER!$C$5:$C$504,S464))&amp;":"&amp;IF(MINUTE(INDEX(MATCHER!$C$5:$C$504,S464))&lt;10,"0","")&amp;MINUTE(INDEX(MATCHER!$C$5:$C$504,S464))&amp;" "&amp;INDEX(MATCHER!$H$5:$H$504,S464)&amp;" – "&amp;INDEX(MATCHER!$I$5:$I$504,S464))&amp;IF(T464="",""," | "&amp;HOUR(INDEX(MATCHER!$C$5:$C$504,T464))&amp;":"&amp;IF(MINUTE(INDEX(MATCHER!$C$5:$C$504,T464))&lt;10,"0","")&amp;MINUTE(INDEX(MATCHER!$C$5:$C$504,T464))&amp;" "&amp;INDEX(MATCHER!$H$5:$H$504,T464)&amp;" – "&amp;INDEX(MATCHER!$I$5:$I$504,T464))&amp;IF(AF464="",""," | "&amp;HOUR(INDEX(MATCHER!$C$5:$C$504,AF464))&amp;":"&amp;IF(MINUTE(INDEX(MATCHER!$C$5:$C$504,AF464))&lt;10,"0","")&amp;MINUTE(INDEX(MATCHER!$C$5:$C$504,AF464))&amp;" "&amp;INDEX(MATCHER!$H$5:$H$504,AF464)&amp;" – "&amp;INDEX(MATCHER!$I$5:$I$504,AF464))</f>
        <v/>
      </c>
      <c r="G464" s="45" t="str">
        <f>MID(IF(R464="","",IF(OR(INDEX(MATCHER!$J$5:$J$504,R464)=""),""," / "&amp;INDEX(MATCHER!$J$5:$J$504,R464)))&amp;IF(S464="","",IF(OR(INDEX(MATCHER!$J$5:$J$504,S464)="",INDEX(MATCHER!$J$5:$J$504,S464)=IFERROR(INDEX(MATCHER!$J$5:$J$504,R464),"")),""," / "&amp;INDEX(MATCHER!$J$5:$J$504,S464)))&amp;IF(T464="","",IF(OR(INDEX(MATCHER!$J$5:$J$504,T464)="",INDEX(MATCHER!$J$5:$J$504,T464)=IFERROR(INDEX(MATCHER!$J$5:$J$504,R464),""),INDEX(MATCHER!$J$5:$J$504,T464)=IFERROR(INDEX(MATCHER!$J$5:$J$504,S464),"")),""," / "&amp;INDEX(MATCHER!$J$5:$J$504,T464)))&amp;IF(AF464="","",IF(OR(INDEX(MATCHER!$J$5:$J$504,AF464)="",INDEX(MATCHER!$J$5:$J$504,AF464)=IFERROR(INDEX(MATCHER!$J$5:$J$504,R464),""),INDEX(MATCHER!$J$5:$J$504,AF464)=IFERROR(INDEX(MATCHER!$J$5:$J$504,S464),""),INDEX(MATCHER!$J$5:$J$504,AF464)=IFERROR(INDEX(MATCHER!$J$5:$J$504,T464),"")),""," / "&amp;INDEX(MATCHER!$J$5:$J$504,AF464))),4,1000)</f>
        <v/>
      </c>
      <c r="H464" s="45" t="str">
        <f>MID(IF(COUNTIFS(MATCHER!$B$5:$B$504,A464,MATCHER!$D$5:$D$504,C464,MATCHER!$J$5:$J$504,REGLER!$I$6,MATCHER!$K$5:$K$504,"Ja")+COUNTIFS(MATCHER!$B$5:$B$504,A464,MATCHER!$D$5:$D$504,C464,MATCHER!$J$5:$J$504,REGLER!$I$6&amp;" 2",MATCHER!$K$5:$K$504,"Ja")&gt;0,", "&amp;REGLER!$I$6,"")&amp;IF(COUNTIFS(MATCHER!$B$5:$B$504,A464,MATCHER!$D$5:$D$504,C464,MATCHER!$J$5:$J$504,REGLER!$I$7,MATCHER!$K$5:$K$504,"Ja")+COUNTIFS(MATCHER!$B$5:$B$504,A464,MATCHER!$D$5:$D$504,C464,MATCHER!$J$5:$J$504,REGLER!$I$7&amp;" 2",MATCHER!$K$5:$K$504,"Ja")&gt;0,", "&amp;REGLER!$I$7,"")&amp;IF(COUNTIFS(MATCHER!$B$5:$B$504,A464,MATCHER!$D$5:$D$504,C464,MATCHER!$J$5:$J$504,REGLER!$I$8,MATCHER!$K$5:$K$504,"Ja")+COUNTIFS(MATCHER!$B$5:$B$504,A464,MATCHER!$D$5:$D$504,C464,MATCHER!$J$5:$J$504,REGLER!$I$8&amp;" 2",MATCHER!$K$5:$K$504,"Ja")&gt;0,", "&amp;REGLER!$I$8,"")&amp;IF(COUNTIFS(MATCHER!$B$5:$B$504,A464,MATCHER!$D$5:$D$504,C464,MATCHER!$J$5:$J$504,REGLER!$I$9,MATCHER!$K$5:$K$504,"Ja")+COUNTIFS(MATCHER!$B$5:$B$504,A464,MATCHER!$D$5:$D$504,C464,MATCHER!$J$5:$J$504,REGLER!$I$9&amp;" 2",MATCHER!$K$5:$K$504,"Ja")&gt;0,", "&amp;REGLER!$I$9,"")&amp;IF(COUNTIFS(MATCHER!$B$5:$B$504,A464,MATCHER!$D$5:$D$504,C464,MATCHER!$J$5:$J$504,REGLER!$I$10,MATCHER!$K$5:$K$504,"Ja")+COUNTIFS(MATCHER!$B$5:$B$504,A464,MATCHER!$D$5:$D$504,C464,MATCHER!$J$5:$J$504,REGLER!$I$10&amp;" 2",MATCHER!$K$5:$K$504,"Ja")&gt;0,", "&amp;REGLER!$I$10,"")&amp;IF(COUNTIFS(MATCHER!$B$5:$B$504,A464,MATCHER!$D$5:$D$504,C464,MATCHER!$J$5:$J$504,REGLER!$I$11,MATCHER!$K$5:$K$504,"Ja")+COUNTIFS(MATCHER!$B$5:$B$504,A464,MATCHER!$D$5:$D$504,C464,MATCHER!$J$5:$J$504,REGLER!$I$11&amp;" 2",MATCHER!$K$5:$K$504,"Ja")&gt;0,", "&amp;REGLER!$I$11,"")&amp;IF(COUNTIFS(MATCHER!$B$5:$B$504,A464,MATCHER!$D$5:$D$504,C464,MATCHER!$J$5:$J$504,REGLER!$I$12,MATCHER!$K$5:$K$504,"Ja")+COUNTIFS(MATCHER!$B$5:$B$504,A464,MATCHER!$D$5:$D$504,C464,MATCHER!$J$5:$J$504,REGLER!$I$12&amp;" 2",MATCHER!$K$5:$K$504,"Ja")&gt;0,", "&amp;REGLER!$I$12,"")&amp;IF(COUNTIFS(MATCHER!$B$5:$B$504,A464,MATCHER!$D$5:$D$504,C464,MATCHER!$J$5:$J$504,REGLER!$I$13,MATCHER!$K$5:$K$504,"Ja")+COUNTIFS(MATCHER!$B$5:$B$504,A464,MATCHER!$D$5:$D$504,C464,MATCHER!$J$5:$J$504,REGLER!$I$13&amp;" 2",MATCHER!$K$5:$K$504,"Ja")&gt;0,", "&amp;REGLER!$I$13,"")&amp;IF(COUNTIFS(MATCHER!$B$5:$B$504,A464,MATCHER!$D$5:$D$504,C464,MATCHER!$J$5:$J$504,REGLER!$I$14,MATCHER!$K$5:$K$504,"Ja")+COUNTIFS(MATCHER!$B$5:$B$504,A464,MATCHER!$D$5:$D$504,C464,MATCHER!$J$5:$J$504,REGLER!$I$14&amp;" 2",MATCHER!$K$5:$K$504,"Ja")&gt;0,", "&amp;REGLER!$I$14,"")&amp;IF(COUNTIFS(MATCHER!$B$5:$B$504,A464,MATCHER!$D$5:$D$504,C464,MATCHER!$J$5:$J$504,REGLER!$I$15,MATCHER!$K$5:$K$504,"Ja")+COUNTIFS(MATCHER!$B$5:$B$504,A464,MATCHER!$D$5:$D$504,C464,MATCHER!$J$5:$J$504,REGLER!$I$15&amp;" 2",MATCHER!$K$5:$K$504,"Ja")&gt;0,", "&amp;REGLER!$I$15,"")&amp;IF(COUNTIFS(MATCHER!$B$5:$B$504,A464,MATCHER!$D$5:$D$504,C464,MATCHER!$J$5:$J$504,REGLER!$I$16,MATCHER!$K$5:$K$504,"Ja")+COUNTIFS(MATCHER!$B$5:$B$504,A464,MATCHER!$D$5:$D$504,C464,MATCHER!$J$5:$J$504,REGLER!$I$16&amp;" 2",MATCHER!$K$5:$K$504,"Ja")&gt;0,", "&amp;REGLER!$I$16,"")&amp;IF(COUNTIFS(MATCHER!$B$5:$B$504,A464,MATCHER!$D$5:$D$504,C464,MATCHER!$J$5:$J$504,REGLER!$I$17,MATCHER!$K$5:$K$504,"Ja")+COUNTIFS(MATCHER!$B$5:$B$504,A464,MATCHER!$D$5:$D$504,C464,MATCHER!$J$5:$J$504,REGLER!$I$17&amp;" 2",MATCHER!$K$5:$K$504,"Ja")&gt;0,", "&amp;REGLER!$I$17,"")&amp;IF(COUNTIFS(MATCHER!$B$5:$B$504,A464,MATCHER!$D$5:$D$504,C464,MATCHER!$J$5:$J$504,REGLER!$I$18,MATCHER!$K$5:$K$504,"Ja")+COUNTIFS(MATCHER!$B$5:$B$504,A464,MATCHER!$D$5:$D$504,C464,MATCHER!$J$5:$J$504,REGLER!$I$18&amp;" 2",MATCHER!$K$5:$K$504,"Ja")&gt;0,", "&amp;REGLER!$I$18,"")&amp;IF(COUNTIFS(MATCHER!$B$5:$B$504,A464,MATCHER!$D$5:$D$504,C464,MATCHER!$J$5:$J$504,REGLER!$I$19,MATCHER!$K$5:$K$504,"Ja")+COUNTIFS(MATCHER!$B$5:$B$504,A464,MATCHER!$D$5:$D$504,C464,MATCHER!$J$5:$J$504,REGLER!$I$19&amp;" 2",MATCHER!$K$5:$K$504,"Ja")&gt;0,", "&amp;REGLER!$I$19,"")&amp;IF(COUNTIFS(MATCHER!$B$5:$B$504,A464,MATCHER!$D$5:$D$504,C464,MATCHER!$J$5:$J$504,REGLER!$I$20,MATCHER!$K$5:$K$504,"Ja")+COUNTIFS(MATCHER!$B$5:$B$504,A464,MATCHER!$D$5:$D$504,C464,MATCHER!$J$5:$J$504,REGLER!$I$20&amp;" 2",MATCHER!$K$5:$K$504,"Ja")&gt;0,", "&amp;REGLER!$I$20,"")&amp;IF(COUNTIFS(MATCHER!$B$5:$B$504,A464,MATCHER!$D$5:$D$504,C464,MATCHER!$J$5:$J$504,REGLER!$I$21,MATCHER!$K$5:$K$504,"Ja")+COUNTIFS(MATCHER!$B$5:$B$504,A464,MATCHER!$D$5:$D$504,C464,MATCHER!$J$5:$J$504,REGLER!$I$21&amp;" 2",MATCHER!$K$5:$K$504,"Ja")&gt;0,", "&amp;REGLER!$I$21,"")&amp;IF(COUNTIFS(MATCHER!$B$5:$B$504,A464,MATCHER!$D$5:$D$504,C464,MATCHER!$J$5:$J$504,REGLER!$I$22,MATCHER!$K$5:$K$504,"Ja")+COUNTIFS(MATCHER!$B$5:$B$504,A464,MATCHER!$D$5:$D$504,C464,MATCHER!$J$5:$J$504,REGLER!$I$22&amp;" 2",MATCHER!$K$5:$K$504,"Ja")&gt;0,", "&amp;REGLER!$I$22,"")&amp;IF(COUNTIFS(MATCHER!$B$5:$B$504,A464,MATCHER!$D$5:$D$504,C464,MATCHER!$J$5:$J$504,REGLER!$I$23,MATCHER!$K$5:$K$504,"Ja")+COUNTIFS(MATCHER!$B$5:$B$504,A464,MATCHER!$D$5:$D$504,C464,MATCHER!$J$5:$J$504,REGLER!$I$23&amp;" 2",MATCHER!$K$5:$K$504,"Ja")&gt;0,", "&amp;REGLER!$I$23,"")&amp;IF(COUNTIFS(MATCHER!$B$5:$B$504,A464,MATCHER!$D$5:$D$504,C464,MATCHER!$J$5:$J$504,REGLER!$I$24,MATCHER!$K$5:$K$504,"Ja")+COUNTIFS(MATCHER!$B$5:$B$504,A464,MATCHER!$D$5:$D$504,C464,MATCHER!$J$5:$J$504,REGLER!$I$24&amp;" 2",MATCHER!$K$5:$K$504,"Ja")&gt;0,", "&amp;REGLER!$I$24,"")&amp;IF(COUNTIFS(MATCHER!$B$5:$B$504,A464,MATCHER!$D$5:$D$504,C464,MATCHER!$J$5:$J$504,REGLER!$I$25,MATCHER!$K$5:$K$504,"Ja")+COUNTIFS(MATCHER!$B$5:$B$504,A464,MATCHER!$D$5:$D$504,C464,MATCHER!$J$5:$J$504,REGLER!$I$25&amp;" 2",MATCHER!$K$5:$K$504,"Ja")&gt;0,", "&amp;REGLER!$I$25,"")&amp;IF(COUNTIFS(MATCHER!$B$5:$B$504,A464,MATCHER!$D$5:$D$504,C464,MATCHER!$J$5:$J$504,REGLER!$I$26,MATCHER!$K$5:$K$504,"Ja")+COUNTIFS(MATCHER!$B$5:$B$504,A464,MATCHER!$D$5:$D$504,C464,MATCHER!$J$5:$J$504,REGLER!$I$26&amp;" 2",MATCHER!$K$5:$K$504,"Ja")&gt;0,", "&amp;REGLER!$I$26,""),3,1000)</f>
        <v>F16</v>
      </c>
      <c r="I464" s="46" t="s">
        <v>90</v>
      </c>
      <c r="J464" s="47" t="s">
        <v>128</v>
      </c>
      <c r="K464" s="48" t="s">
        <v>98</v>
      </c>
      <c r="L464" s="49"/>
      <c r="M464" s="50">
        <f>IF(O464&lt;&gt;O463,MAX(1,MIN(AA464,ROUNDUP(SUMPRODUCT(($O$5:$O$546=O464)*($I$5:$I$546="Ja")*($E$5:$E$546-$D$5:$D$546))*24/REGLER!$B$8,0))),"")</f>
        <v>1</v>
      </c>
      <c r="N464" s="50" t="str">
        <f t="shared" si="99"/>
        <v>Klar</v>
      </c>
      <c r="O464" s="15" t="s">
        <v>159</v>
      </c>
      <c r="P464" s="16">
        <v>0.45833333333333298</v>
      </c>
      <c r="Q464" s="16">
        <v>0.54166666666666696</v>
      </c>
      <c r="R464" s="15" t="str">
        <f>IFERROR(MATCH(1,INDEX((MATCHER!$B$5:$B$504=A464)*(MATCHER!$D$5:$D$504=C464)*(MATCHER!$K$5:$K$504="Ja")*(MATCHER!$C$5:$C$504&lt;E464)*(MATCHER!$M$5:$M$504&gt;D464),0),0),"")</f>
        <v/>
      </c>
      <c r="S464" s="15" t="str">
        <f>IF(R464="","",IFERROR(MATCH(1,INDEX((MATCHER!$B$5:$B$504=A464)*(MATCHER!$D$5:$D$504=C464)*(MATCHER!$K$5:$K$504="Ja")*(MATCHER!$C$5:$C$504&lt;E464)*(MATCHER!$M$5:$M$504&gt;D464)*(ROW(MATCHER!$A$5:$A$504)-ROW(MATCHER!$A$5)+1&gt;R464),0),0),""))</f>
        <v/>
      </c>
      <c r="T464" s="15" t="str">
        <f>IF(S464="","",IFERROR(MATCH(1,INDEX((MATCHER!$B$5:$B$504=A464)*(MATCHER!$D$5:$D$504=C464)*(MATCHER!$K$5:$K$504="Ja")*(MATCHER!$C$5:$C$504&lt;E464)*(MATCHER!$M$5:$M$504&gt;D464)*(ROW(MATCHER!$A$5:$A$504)-ROW(MATCHER!$A$5)+1&gt;S464),0),0),""))</f>
        <v/>
      </c>
      <c r="U464" s="15">
        <f t="shared" si="100"/>
        <v>1</v>
      </c>
      <c r="V464" s="15">
        <f>IF(OR(I464&lt;&gt;"Ja",J464=""),"",COUNTIFS($O$5:O464,O464,$U$5:U464,1))</f>
        <v>1</v>
      </c>
      <c r="W464" s="15" t="str">
        <f t="shared" si="101"/>
        <v>2027-03-13 | Råsta Park|1</v>
      </c>
      <c r="X464" s="16" t="str">
        <f t="shared" si="102"/>
        <v/>
      </c>
      <c r="Y464" s="15">
        <f>IF(OR(I464&lt;&gt;"Ja",J464=""),0,IF(COUNTIFS($O$5:O464,O464,$I$5:I464,"Ja",$J$5:J464,"&lt;&gt;")=1,1,0))</f>
        <v>1</v>
      </c>
      <c r="Z464" s="15">
        <f>IF(OR(I464&lt;&gt;"Ja",J464=""),0,IF(COUNTIFS(O464:$O$546,O464,I464:$I$546,"Ja",J464:$J$546,"&lt;&gt;")=1,1,0))</f>
        <v>0</v>
      </c>
      <c r="AA464" s="15">
        <f>IF(COUNTIFS(MATCHER!$B$5:$B$504,A464,MATCHER!$D$5:$D$504,C464,MATCHER!$J$5:$J$504,REGLER!$I$6,MATCHER!$K$5:$K$504,"Ja")+COUNTIFS(MATCHER!$B$5:$B$504,A464,MATCHER!$D$5:$D$504,C464,MATCHER!$J$5:$J$504,REGLER!$I$6&amp;" 2",MATCHER!$K$5:$K$504,"Ja")&gt;0,1,0)+IF(COUNTIFS(MATCHER!$B$5:$B$504,A464,MATCHER!$D$5:$D$504,C464,MATCHER!$J$5:$J$504,REGLER!$I$7,MATCHER!$K$5:$K$504,"Ja")+COUNTIFS(MATCHER!$B$5:$B$504,A464,MATCHER!$D$5:$D$504,C464,MATCHER!$J$5:$J$504,REGLER!$I$7&amp;" 2",MATCHER!$K$5:$K$504,"Ja")&gt;0,1,0)+IF(COUNTIFS(MATCHER!$B$5:$B$504,A464,MATCHER!$D$5:$D$504,C464,MATCHER!$J$5:$J$504,REGLER!$I$8,MATCHER!$K$5:$K$504,"Ja")+COUNTIFS(MATCHER!$B$5:$B$504,A464,MATCHER!$D$5:$D$504,C464,MATCHER!$J$5:$J$504,REGLER!$I$8&amp;" 2",MATCHER!$K$5:$K$504,"Ja")&gt;0,1,0)+IF(COUNTIFS(MATCHER!$B$5:$B$504,A464,MATCHER!$D$5:$D$504,C464,MATCHER!$J$5:$J$504,REGLER!$I$9,MATCHER!$K$5:$K$504,"Ja")+COUNTIFS(MATCHER!$B$5:$B$504,A464,MATCHER!$D$5:$D$504,C464,MATCHER!$J$5:$J$504,REGLER!$I$9&amp;" 2",MATCHER!$K$5:$K$504,"Ja")&gt;0,1,0)+IF(COUNTIFS(MATCHER!$B$5:$B$504,A464,MATCHER!$D$5:$D$504,C464,MATCHER!$J$5:$J$504,REGLER!$I$10,MATCHER!$K$5:$K$504,"Ja")+COUNTIFS(MATCHER!$B$5:$B$504,A464,MATCHER!$D$5:$D$504,C464,MATCHER!$J$5:$J$504,REGLER!$I$10&amp;" 2",MATCHER!$K$5:$K$504,"Ja")&gt;0,1,0)+IF(COUNTIFS(MATCHER!$B$5:$B$504,A464,MATCHER!$D$5:$D$504,C464,MATCHER!$J$5:$J$504,REGLER!$I$11,MATCHER!$K$5:$K$504,"Ja")+COUNTIFS(MATCHER!$B$5:$B$504,A464,MATCHER!$D$5:$D$504,C464,MATCHER!$J$5:$J$504,REGLER!$I$11&amp;" 2",MATCHER!$K$5:$K$504,"Ja")&gt;0,1,0)+IF(COUNTIFS(MATCHER!$B$5:$B$504,A464,MATCHER!$D$5:$D$504,C464,MATCHER!$J$5:$J$504,REGLER!$I$12,MATCHER!$K$5:$K$504,"Ja")+COUNTIFS(MATCHER!$B$5:$B$504,A464,MATCHER!$D$5:$D$504,C464,MATCHER!$J$5:$J$504,REGLER!$I$12&amp;" 2",MATCHER!$K$5:$K$504,"Ja")&gt;0,1,0)+IF(COUNTIFS(MATCHER!$B$5:$B$504,A464,MATCHER!$D$5:$D$504,C464,MATCHER!$J$5:$J$504,REGLER!$I$13,MATCHER!$K$5:$K$504,"Ja")+COUNTIFS(MATCHER!$B$5:$B$504,A464,MATCHER!$D$5:$D$504,C464,MATCHER!$J$5:$J$504,REGLER!$I$13&amp;" 2",MATCHER!$K$5:$K$504,"Ja")&gt;0,1,0)+IF(COUNTIFS(MATCHER!$B$5:$B$504,A464,MATCHER!$D$5:$D$504,C464,MATCHER!$J$5:$J$504,REGLER!$I$14,MATCHER!$K$5:$K$504,"Ja")+COUNTIFS(MATCHER!$B$5:$B$504,A464,MATCHER!$D$5:$D$504,C464,MATCHER!$J$5:$J$504,REGLER!$I$14&amp;" 2",MATCHER!$K$5:$K$504,"Ja")&gt;0,1,0)+IF(COUNTIFS(MATCHER!$B$5:$B$504,A464,MATCHER!$D$5:$D$504,C464,MATCHER!$J$5:$J$504,REGLER!$I$15,MATCHER!$K$5:$K$504,"Ja")+COUNTIFS(MATCHER!$B$5:$B$504,A464,MATCHER!$D$5:$D$504,C464,MATCHER!$J$5:$J$504,REGLER!$I$15&amp;" 2",MATCHER!$K$5:$K$504,"Ja")&gt;0,1,0)+IF(COUNTIFS(MATCHER!$B$5:$B$504,A464,MATCHER!$D$5:$D$504,C464,MATCHER!$J$5:$J$504,REGLER!$I$16,MATCHER!$K$5:$K$504,"Ja")+COUNTIFS(MATCHER!$B$5:$B$504,A464,MATCHER!$D$5:$D$504,C464,MATCHER!$J$5:$J$504,REGLER!$I$16&amp;" 2",MATCHER!$K$5:$K$504,"Ja")&gt;0,1,0)+IF(COUNTIFS(MATCHER!$B$5:$B$504,A464,MATCHER!$D$5:$D$504,C464,MATCHER!$J$5:$J$504,REGLER!$I$17,MATCHER!$K$5:$K$504,"Ja")+COUNTIFS(MATCHER!$B$5:$B$504,A464,MATCHER!$D$5:$D$504,C464,MATCHER!$J$5:$J$504,REGLER!$I$17&amp;" 2",MATCHER!$K$5:$K$504,"Ja")&gt;0,1,0)+IF(COUNTIFS(MATCHER!$B$5:$B$504,A464,MATCHER!$D$5:$D$504,C464,MATCHER!$J$5:$J$504,REGLER!$I$18,MATCHER!$K$5:$K$504,"Ja")+COUNTIFS(MATCHER!$B$5:$B$504,A464,MATCHER!$D$5:$D$504,C464,MATCHER!$J$5:$J$504,REGLER!$I$18&amp;" 2",MATCHER!$K$5:$K$504,"Ja")&gt;0,1,0)+IF(COUNTIFS(MATCHER!$B$5:$B$504,A464,MATCHER!$D$5:$D$504,C464,MATCHER!$J$5:$J$504,REGLER!$I$19,MATCHER!$K$5:$K$504,"Ja")+COUNTIFS(MATCHER!$B$5:$B$504,A464,MATCHER!$D$5:$D$504,C464,MATCHER!$J$5:$J$504,REGLER!$I$19&amp;" 2",MATCHER!$K$5:$K$504,"Ja")&gt;0,1,0)+IF(COUNTIFS(MATCHER!$B$5:$B$504,A464,MATCHER!$D$5:$D$504,C464,MATCHER!$J$5:$J$504,REGLER!$I$20,MATCHER!$K$5:$K$504,"Ja")+COUNTIFS(MATCHER!$B$5:$B$504,A464,MATCHER!$D$5:$D$504,C464,MATCHER!$J$5:$J$504,REGLER!$I$20&amp;" 2",MATCHER!$K$5:$K$504,"Ja")&gt;0,1,0)+IF(COUNTIFS(MATCHER!$B$5:$B$504,A464,MATCHER!$D$5:$D$504,C464,MATCHER!$J$5:$J$504,REGLER!$I$21,MATCHER!$K$5:$K$504,"Ja")+COUNTIFS(MATCHER!$B$5:$B$504,A464,MATCHER!$D$5:$D$504,C464,MATCHER!$J$5:$J$504,REGLER!$I$21&amp;" 2",MATCHER!$K$5:$K$504,"Ja")&gt;0,1,0)+IF(COUNTIFS(MATCHER!$B$5:$B$504,A464,MATCHER!$D$5:$D$504,C464,MATCHER!$J$5:$J$504,REGLER!$I$22,MATCHER!$K$5:$K$504,"Ja")+COUNTIFS(MATCHER!$B$5:$B$504,A464,MATCHER!$D$5:$D$504,C464,MATCHER!$J$5:$J$504,REGLER!$I$22&amp;" 2",MATCHER!$K$5:$K$504,"Ja")&gt;0,1,0)+IF(COUNTIFS(MATCHER!$B$5:$B$504,A464,MATCHER!$D$5:$D$504,C464,MATCHER!$J$5:$J$504,REGLER!$I$23,MATCHER!$K$5:$K$504,"Ja")+COUNTIFS(MATCHER!$B$5:$B$504,A464,MATCHER!$D$5:$D$504,C464,MATCHER!$J$5:$J$504,REGLER!$I$23&amp;" 2",MATCHER!$K$5:$K$504,"Ja")&gt;0,1,0)+IF(COUNTIFS(MATCHER!$B$5:$B$504,A464,MATCHER!$D$5:$D$504,C464,MATCHER!$J$5:$J$504,REGLER!$I$24,MATCHER!$K$5:$K$504,"Ja")+COUNTIFS(MATCHER!$B$5:$B$504,A464,MATCHER!$D$5:$D$504,C464,MATCHER!$J$5:$J$504,REGLER!$I$24&amp;" 2",MATCHER!$K$5:$K$504,"Ja")&gt;0,1,0)+IF(COUNTIFS(MATCHER!$B$5:$B$504,A464,MATCHER!$D$5:$D$504,C464,MATCHER!$J$5:$J$504,REGLER!$I$25,MATCHER!$K$5:$K$504,"Ja")+COUNTIFS(MATCHER!$B$5:$B$504,A464,MATCHER!$D$5:$D$504,C464,MATCHER!$J$5:$J$504,REGLER!$I$25&amp;" 2",MATCHER!$K$5:$K$504,"Ja")&gt;0,1,0)+IF(COUNTIFS(MATCHER!$B$5:$B$504,A464,MATCHER!$D$5:$D$504,C464,MATCHER!$J$5:$J$504,REGLER!$I$26,MATCHER!$K$5:$K$504,"Ja")+COUNTIFS(MATCHER!$B$5:$B$504,A464,MATCHER!$D$5:$D$504,C464,MATCHER!$J$5:$J$504,REGLER!$I$26&amp;" 2",MATCHER!$K$5:$K$504,"Ja")&gt;0,1,0)</f>
        <v>1</v>
      </c>
      <c r="AB464" s="15">
        <f>IF(U464&lt;&gt;1,"",COUNTIF($U$5:U464,1))</f>
        <v>82</v>
      </c>
      <c r="AC464" s="15" t="str">
        <f t="shared" si="103"/>
        <v/>
      </c>
      <c r="AD464" s="15" t="str">
        <f t="shared" si="104"/>
        <v>Minicafé</v>
      </c>
      <c r="AE464" s="15">
        <f t="shared" si="105"/>
        <v>2.0000000000000155</v>
      </c>
      <c r="AF464" t="str">
        <f>IF(T464="","",IFERROR(MATCH(1,INDEX((MATCHER!$B$5:$B$504=A464)*(MATCHER!$D$5:$D$504=C464)*(MATCHER!$K$5:$K$504="Ja")*(MATCHER!$C$5:$C$504&lt;E464)*(MATCHER!$M$5:$M$504&gt;D464)*(ROW(MATCHER!$A$5:$A$504)-ROW(MATCHER!$A$5)+1&gt;T464),0),0),""))</f>
        <v/>
      </c>
    </row>
    <row r="465" spans="1:32" ht="13">
      <c r="A465" s="42">
        <v>46459</v>
      </c>
      <c r="B465" s="43" t="s">
        <v>85</v>
      </c>
      <c r="C465" s="43" t="s">
        <v>94</v>
      </c>
      <c r="D465" s="44">
        <v>0.47916666666666702</v>
      </c>
      <c r="E465" s="44">
        <v>0.5</v>
      </c>
      <c r="F465" s="45" t="str">
        <f>IF(R465="","",HOUR(INDEX(MATCHER!$C$5:$C$504,R465))&amp;":"&amp;IF(MINUTE(INDEX(MATCHER!$C$5:$C$504,R465))&lt;10,"0","")&amp;MINUTE(INDEX(MATCHER!$C$5:$C$504,R465))&amp;" "&amp;INDEX(MATCHER!$H$5:$H$504,R465)&amp;" – "&amp;INDEX(MATCHER!$I$5:$I$504,R465))&amp;IF(S465="",""," | "&amp;HOUR(INDEX(MATCHER!$C$5:$C$504,S465))&amp;":"&amp;IF(MINUTE(INDEX(MATCHER!$C$5:$C$504,S465))&lt;10,"0","")&amp;MINUTE(INDEX(MATCHER!$C$5:$C$504,S465))&amp;" "&amp;INDEX(MATCHER!$H$5:$H$504,S465)&amp;" – "&amp;INDEX(MATCHER!$I$5:$I$504,S465))&amp;IF(T465="",""," | "&amp;HOUR(INDEX(MATCHER!$C$5:$C$504,T465))&amp;":"&amp;IF(MINUTE(INDEX(MATCHER!$C$5:$C$504,T465))&lt;10,"0","")&amp;MINUTE(INDEX(MATCHER!$C$5:$C$504,T465))&amp;" "&amp;INDEX(MATCHER!$H$5:$H$504,T465)&amp;" – "&amp;INDEX(MATCHER!$I$5:$I$504,T465))&amp;IF(AF465="",""," | "&amp;HOUR(INDEX(MATCHER!$C$5:$C$504,AF465))&amp;":"&amp;IF(MINUTE(INDEX(MATCHER!$C$5:$C$504,AF465))&lt;10,"0","")&amp;MINUTE(INDEX(MATCHER!$C$5:$C$504,AF465))&amp;" "&amp;INDEX(MATCHER!$H$5:$H$504,AF465)&amp;" – "&amp;INDEX(MATCHER!$I$5:$I$504,AF465))</f>
        <v>11:45 AIK 2 – Vallentuna HK</v>
      </c>
      <c r="G465" s="45" t="str">
        <f>MID(IF(R465="","",IF(OR(INDEX(MATCHER!$J$5:$J$504,R465)=""),""," / "&amp;INDEX(MATCHER!$J$5:$J$504,R465)))&amp;IF(S465="","",IF(OR(INDEX(MATCHER!$J$5:$J$504,S465)="",INDEX(MATCHER!$J$5:$J$504,S465)=IFERROR(INDEX(MATCHER!$J$5:$J$504,R465),"")),""," / "&amp;INDEX(MATCHER!$J$5:$J$504,S465)))&amp;IF(T465="","",IF(OR(INDEX(MATCHER!$J$5:$J$504,T465)="",INDEX(MATCHER!$J$5:$J$504,T465)=IFERROR(INDEX(MATCHER!$J$5:$J$504,R465),""),INDEX(MATCHER!$J$5:$J$504,T465)=IFERROR(INDEX(MATCHER!$J$5:$J$504,S465),"")),""," / "&amp;INDEX(MATCHER!$J$5:$J$504,T465)))&amp;IF(AF465="","",IF(OR(INDEX(MATCHER!$J$5:$J$504,AF465)="",INDEX(MATCHER!$J$5:$J$504,AF465)=IFERROR(INDEX(MATCHER!$J$5:$J$504,R465),""),INDEX(MATCHER!$J$5:$J$504,AF465)=IFERROR(INDEX(MATCHER!$J$5:$J$504,S465),""),INDEX(MATCHER!$J$5:$J$504,AF465)=IFERROR(INDEX(MATCHER!$J$5:$J$504,T465),"")),""," / "&amp;INDEX(MATCHER!$J$5:$J$504,AF465))),4,1000)</f>
        <v>F16 2</v>
      </c>
      <c r="H465" s="45" t="str">
        <f>H464</f>
        <v>F16</v>
      </c>
      <c r="I465" s="46" t="s">
        <v>90</v>
      </c>
      <c r="J465" s="47" t="s">
        <v>128</v>
      </c>
      <c r="K465" s="48"/>
      <c r="L465" s="49"/>
      <c r="M465" s="50" t="str">
        <f>IF(O465&lt;&gt;O464,MAX(1,MIN(AA465,ROUNDUP(SUMPRODUCT(($O$5:$O$546=O465)*($I$5:$I$546="Ja")*($E$5:$E$546-$D$5:$D$546))*24/REGLER!$B$8,0))),"")</f>
        <v/>
      </c>
      <c r="N465" s="50" t="str">
        <f t="shared" si="99"/>
        <v>Klar</v>
      </c>
      <c r="O465" s="15" t="s">
        <v>159</v>
      </c>
      <c r="P465" s="16">
        <v>0.45833333333333298</v>
      </c>
      <c r="Q465" s="16">
        <v>0.54166666666666696</v>
      </c>
      <c r="R465" s="15">
        <f>IFERROR(MATCH(1,INDEX((MATCHER!$B$5:$B$504=A465)*(MATCHER!$D$5:$D$504=C465)*(MATCHER!$K$5:$K$504="Ja")*(MATCHER!$C$5:$C$504&lt;E465)*(MATCHER!$M$5:$M$504&gt;D465),0),0),"")</f>
        <v>170</v>
      </c>
      <c r="S465" s="15" t="str">
        <f>IF(R465="","",IFERROR(MATCH(1,INDEX((MATCHER!$B$5:$B$504=A465)*(MATCHER!$D$5:$D$504=C465)*(MATCHER!$K$5:$K$504="Ja")*(MATCHER!$C$5:$C$504&lt;E465)*(MATCHER!$M$5:$M$504&gt;D465)*(ROW(MATCHER!$A$5:$A$504)-ROW(MATCHER!$A$5)+1&gt;R465),0),0),""))</f>
        <v/>
      </c>
      <c r="T465" s="15" t="str">
        <f>IF(S465="","",IFERROR(MATCH(1,INDEX((MATCHER!$B$5:$B$504=A465)*(MATCHER!$D$5:$D$504=C465)*(MATCHER!$K$5:$K$504="Ja")*(MATCHER!$C$5:$C$504&lt;E465)*(MATCHER!$M$5:$M$504&gt;D465)*(ROW(MATCHER!$A$5:$A$504)-ROW(MATCHER!$A$5)+1&gt;S465),0),0),""))</f>
        <v/>
      </c>
      <c r="U465" s="15">
        <f t="shared" si="100"/>
        <v>0</v>
      </c>
      <c r="V465" s="15">
        <f>IF(OR(I465&lt;&gt;"Ja",J465=""),"",COUNTIFS($O$5:O465,O465,$U$5:U465,1))</f>
        <v>1</v>
      </c>
      <c r="W465" s="15" t="str">
        <f t="shared" si="101"/>
        <v>2027-03-13 | Råsta Park|1</v>
      </c>
      <c r="X465" s="16" t="str">
        <f t="shared" si="102"/>
        <v/>
      </c>
      <c r="Y465" s="15">
        <f>IF(OR(I465&lt;&gt;"Ja",J465=""),0,IF(COUNTIFS($O$5:O465,O465,$I$5:I465,"Ja",$J$5:J465,"&lt;&gt;")=1,1,0))</f>
        <v>0</v>
      </c>
      <c r="Z465" s="15">
        <f>IF(OR(I465&lt;&gt;"Ja",J465=""),0,IF(COUNTIFS(O465:$O$546,O465,I465:$I$546,"Ja",J465:$J$546,"&lt;&gt;")=1,1,0))</f>
        <v>0</v>
      </c>
      <c r="AA465" s="15">
        <f>AA464</f>
        <v>1</v>
      </c>
      <c r="AB465" s="15" t="str">
        <f>IF(U465&lt;&gt;1,"",COUNTIF($U$5:U465,1))</f>
        <v/>
      </c>
      <c r="AC465" s="15" t="str">
        <f t="shared" si="103"/>
        <v/>
      </c>
      <c r="AD465" s="15" t="str">
        <f t="shared" si="104"/>
        <v>Minicafé</v>
      </c>
      <c r="AE465" s="15" t="str">
        <f t="shared" si="105"/>
        <v/>
      </c>
      <c r="AF465" t="str">
        <f>IF(T465="","",IFERROR(MATCH(1,INDEX((MATCHER!$B$5:$B$504=A465)*(MATCHER!$D$5:$D$504=C465)*(MATCHER!$K$5:$K$504="Ja")*(MATCHER!$C$5:$C$504&lt;E465)*(MATCHER!$M$5:$M$504&gt;D465)*(ROW(MATCHER!$A$5:$A$504)-ROW(MATCHER!$A$5)+1&gt;T465),0),0),""))</f>
        <v/>
      </c>
    </row>
    <row r="466" spans="1:32" ht="13">
      <c r="A466" s="42">
        <v>46459</v>
      </c>
      <c r="B466" s="43" t="s">
        <v>85</v>
      </c>
      <c r="C466" s="43" t="s">
        <v>94</v>
      </c>
      <c r="D466" s="44">
        <v>0.5</v>
      </c>
      <c r="E466" s="44">
        <v>0.52083333333333304</v>
      </c>
      <c r="F466" s="45" t="str">
        <f>IF(R466="","",HOUR(INDEX(MATCHER!$C$5:$C$504,R466))&amp;":"&amp;IF(MINUTE(INDEX(MATCHER!$C$5:$C$504,R466))&lt;10,"0","")&amp;MINUTE(INDEX(MATCHER!$C$5:$C$504,R466))&amp;" "&amp;INDEX(MATCHER!$H$5:$H$504,R466)&amp;" – "&amp;INDEX(MATCHER!$I$5:$I$504,R466))&amp;IF(S466="",""," | "&amp;HOUR(INDEX(MATCHER!$C$5:$C$504,S466))&amp;":"&amp;IF(MINUTE(INDEX(MATCHER!$C$5:$C$504,S466))&lt;10,"0","")&amp;MINUTE(INDEX(MATCHER!$C$5:$C$504,S466))&amp;" "&amp;INDEX(MATCHER!$H$5:$H$504,S466)&amp;" – "&amp;INDEX(MATCHER!$I$5:$I$504,S466))&amp;IF(T466="",""," | "&amp;HOUR(INDEX(MATCHER!$C$5:$C$504,T466))&amp;":"&amp;IF(MINUTE(INDEX(MATCHER!$C$5:$C$504,T466))&lt;10,"0","")&amp;MINUTE(INDEX(MATCHER!$C$5:$C$504,T466))&amp;" "&amp;INDEX(MATCHER!$H$5:$H$504,T466)&amp;" – "&amp;INDEX(MATCHER!$I$5:$I$504,T466))&amp;IF(AF466="",""," | "&amp;HOUR(INDEX(MATCHER!$C$5:$C$504,AF466))&amp;":"&amp;IF(MINUTE(INDEX(MATCHER!$C$5:$C$504,AF466))&lt;10,"0","")&amp;MINUTE(INDEX(MATCHER!$C$5:$C$504,AF466))&amp;" "&amp;INDEX(MATCHER!$H$5:$H$504,AF466)&amp;" – "&amp;INDEX(MATCHER!$I$5:$I$504,AF466))</f>
        <v>11:45 AIK 2 – Vallentuna HK</v>
      </c>
      <c r="G466" s="45" t="str">
        <f>MID(IF(R466="","",IF(OR(INDEX(MATCHER!$J$5:$J$504,R466)=""),""," / "&amp;INDEX(MATCHER!$J$5:$J$504,R466)))&amp;IF(S466="","",IF(OR(INDEX(MATCHER!$J$5:$J$504,S466)="",INDEX(MATCHER!$J$5:$J$504,S466)=IFERROR(INDEX(MATCHER!$J$5:$J$504,R466),"")),""," / "&amp;INDEX(MATCHER!$J$5:$J$504,S466)))&amp;IF(T466="","",IF(OR(INDEX(MATCHER!$J$5:$J$504,T466)="",INDEX(MATCHER!$J$5:$J$504,T466)=IFERROR(INDEX(MATCHER!$J$5:$J$504,R466),""),INDEX(MATCHER!$J$5:$J$504,T466)=IFERROR(INDEX(MATCHER!$J$5:$J$504,S466),"")),""," / "&amp;INDEX(MATCHER!$J$5:$J$504,T466)))&amp;IF(AF466="","",IF(OR(INDEX(MATCHER!$J$5:$J$504,AF466)="",INDEX(MATCHER!$J$5:$J$504,AF466)=IFERROR(INDEX(MATCHER!$J$5:$J$504,R466),""),INDEX(MATCHER!$J$5:$J$504,AF466)=IFERROR(INDEX(MATCHER!$J$5:$J$504,S466),""),INDEX(MATCHER!$J$5:$J$504,AF466)=IFERROR(INDEX(MATCHER!$J$5:$J$504,T466),"")),""," / "&amp;INDEX(MATCHER!$J$5:$J$504,AF466))),4,1000)</f>
        <v>F16 2</v>
      </c>
      <c r="H466" s="45" t="str">
        <f>H465</f>
        <v>F16</v>
      </c>
      <c r="I466" s="46" t="s">
        <v>90</v>
      </c>
      <c r="J466" s="47" t="s">
        <v>128</v>
      </c>
      <c r="K466" s="48"/>
      <c r="L466" s="49"/>
      <c r="M466" s="50" t="str">
        <f>IF(O466&lt;&gt;O465,MAX(1,MIN(AA466,ROUNDUP(SUMPRODUCT(($O$5:$O$546=O466)*($I$5:$I$546="Ja")*($E$5:$E$546-$D$5:$D$546))*24/REGLER!$B$8,0))),"")</f>
        <v/>
      </c>
      <c r="N466" s="50" t="str">
        <f t="shared" si="99"/>
        <v>Klar</v>
      </c>
      <c r="O466" s="15" t="s">
        <v>159</v>
      </c>
      <c r="P466" s="16">
        <v>0.45833333333333298</v>
      </c>
      <c r="Q466" s="16">
        <v>0.54166666666666696</v>
      </c>
      <c r="R466" s="15">
        <f>IFERROR(MATCH(1,INDEX((MATCHER!$B$5:$B$504=A466)*(MATCHER!$D$5:$D$504=C466)*(MATCHER!$K$5:$K$504="Ja")*(MATCHER!$C$5:$C$504&lt;E466)*(MATCHER!$M$5:$M$504&gt;D466),0),0),"")</f>
        <v>170</v>
      </c>
      <c r="S466" s="15" t="str">
        <f>IF(R466="","",IFERROR(MATCH(1,INDEX((MATCHER!$B$5:$B$504=A466)*(MATCHER!$D$5:$D$504=C466)*(MATCHER!$K$5:$K$504="Ja")*(MATCHER!$C$5:$C$504&lt;E466)*(MATCHER!$M$5:$M$504&gt;D466)*(ROW(MATCHER!$A$5:$A$504)-ROW(MATCHER!$A$5)+1&gt;R466),0),0),""))</f>
        <v/>
      </c>
      <c r="T466" s="15" t="str">
        <f>IF(S466="","",IFERROR(MATCH(1,INDEX((MATCHER!$B$5:$B$504=A466)*(MATCHER!$D$5:$D$504=C466)*(MATCHER!$K$5:$K$504="Ja")*(MATCHER!$C$5:$C$504&lt;E466)*(MATCHER!$M$5:$M$504&gt;D466)*(ROW(MATCHER!$A$5:$A$504)-ROW(MATCHER!$A$5)+1&gt;S466),0),0),""))</f>
        <v/>
      </c>
      <c r="U466" s="15">
        <f t="shared" si="100"/>
        <v>0</v>
      </c>
      <c r="V466" s="15">
        <f>IF(OR(I466&lt;&gt;"Ja",J466=""),"",COUNTIFS($O$5:O466,O466,$U$5:U466,1))</f>
        <v>1</v>
      </c>
      <c r="W466" s="15" t="str">
        <f t="shared" si="101"/>
        <v>2027-03-13 | Råsta Park|1</v>
      </c>
      <c r="X466" s="16" t="str">
        <f t="shared" si="102"/>
        <v/>
      </c>
      <c r="Y466" s="15">
        <f>IF(OR(I466&lt;&gt;"Ja",J466=""),0,IF(COUNTIFS($O$5:O466,O466,$I$5:I466,"Ja",$J$5:J466,"&lt;&gt;")=1,1,0))</f>
        <v>0</v>
      </c>
      <c r="Z466" s="15">
        <f>IF(OR(I466&lt;&gt;"Ja",J466=""),0,IF(COUNTIFS(O466:$O$546,O466,I466:$I$546,"Ja",J466:$J$546,"&lt;&gt;")=1,1,0))</f>
        <v>0</v>
      </c>
      <c r="AA466" s="15">
        <f>AA465</f>
        <v>1</v>
      </c>
      <c r="AB466" s="15" t="str">
        <f>IF(U466&lt;&gt;1,"",COUNTIF($U$5:U466,1))</f>
        <v/>
      </c>
      <c r="AC466" s="15" t="str">
        <f t="shared" si="103"/>
        <v/>
      </c>
      <c r="AD466" s="15" t="str">
        <f t="shared" si="104"/>
        <v>Minicafé</v>
      </c>
      <c r="AE466" s="15" t="str">
        <f t="shared" si="105"/>
        <v/>
      </c>
      <c r="AF466" t="str">
        <f>IF(T466="","",IFERROR(MATCH(1,INDEX((MATCHER!$B$5:$B$504=A466)*(MATCHER!$D$5:$D$504=C466)*(MATCHER!$K$5:$K$504="Ja")*(MATCHER!$C$5:$C$504&lt;E466)*(MATCHER!$M$5:$M$504&gt;D466)*(ROW(MATCHER!$A$5:$A$504)-ROW(MATCHER!$A$5)+1&gt;T466),0),0),""))</f>
        <v/>
      </c>
    </row>
    <row r="467" spans="1:32" ht="13.5" thickBot="1">
      <c r="A467" s="52">
        <v>46459</v>
      </c>
      <c r="B467" s="53" t="s">
        <v>85</v>
      </c>
      <c r="C467" s="53" t="s">
        <v>94</v>
      </c>
      <c r="D467" s="54">
        <v>0.52083333333333304</v>
      </c>
      <c r="E467" s="54">
        <v>0.54166666666666696</v>
      </c>
      <c r="F467" s="55" t="str">
        <f>IF(R467="","",HOUR(INDEX(MATCHER!$C$5:$C$504,R467))&amp;":"&amp;IF(MINUTE(INDEX(MATCHER!$C$5:$C$504,R467))&lt;10,"0","")&amp;MINUTE(INDEX(MATCHER!$C$5:$C$504,R467))&amp;" "&amp;INDEX(MATCHER!$H$5:$H$504,R467)&amp;" – "&amp;INDEX(MATCHER!$I$5:$I$504,R467))&amp;IF(S467="",""," | "&amp;HOUR(INDEX(MATCHER!$C$5:$C$504,S467))&amp;":"&amp;IF(MINUTE(INDEX(MATCHER!$C$5:$C$504,S467))&lt;10,"0","")&amp;MINUTE(INDEX(MATCHER!$C$5:$C$504,S467))&amp;" "&amp;INDEX(MATCHER!$H$5:$H$504,S467)&amp;" – "&amp;INDEX(MATCHER!$I$5:$I$504,S467))&amp;IF(T467="",""," | "&amp;HOUR(INDEX(MATCHER!$C$5:$C$504,T467))&amp;":"&amp;IF(MINUTE(INDEX(MATCHER!$C$5:$C$504,T467))&lt;10,"0","")&amp;MINUTE(INDEX(MATCHER!$C$5:$C$504,T467))&amp;" "&amp;INDEX(MATCHER!$H$5:$H$504,T467)&amp;" – "&amp;INDEX(MATCHER!$I$5:$I$504,T467))&amp;IF(AF467="",""," | "&amp;HOUR(INDEX(MATCHER!$C$5:$C$504,AF467))&amp;":"&amp;IF(MINUTE(INDEX(MATCHER!$C$5:$C$504,AF467))&lt;10,"0","")&amp;MINUTE(INDEX(MATCHER!$C$5:$C$504,AF467))&amp;" "&amp;INDEX(MATCHER!$H$5:$H$504,AF467)&amp;" – "&amp;INDEX(MATCHER!$I$5:$I$504,AF467))</f>
        <v>11:45 AIK 2 – Vallentuna HK</v>
      </c>
      <c r="G467" s="55" t="str">
        <f>MID(IF(R467="","",IF(OR(INDEX(MATCHER!$J$5:$J$504,R467)=""),""," / "&amp;INDEX(MATCHER!$J$5:$J$504,R467)))&amp;IF(S467="","",IF(OR(INDEX(MATCHER!$J$5:$J$504,S467)="",INDEX(MATCHER!$J$5:$J$504,S467)=IFERROR(INDEX(MATCHER!$J$5:$J$504,R467),"")),""," / "&amp;INDEX(MATCHER!$J$5:$J$504,S467)))&amp;IF(T467="","",IF(OR(INDEX(MATCHER!$J$5:$J$504,T467)="",INDEX(MATCHER!$J$5:$J$504,T467)=IFERROR(INDEX(MATCHER!$J$5:$J$504,R467),""),INDEX(MATCHER!$J$5:$J$504,T467)=IFERROR(INDEX(MATCHER!$J$5:$J$504,S467),"")),""," / "&amp;INDEX(MATCHER!$J$5:$J$504,T467)))&amp;IF(AF467="","",IF(OR(INDEX(MATCHER!$J$5:$J$504,AF467)="",INDEX(MATCHER!$J$5:$J$504,AF467)=IFERROR(INDEX(MATCHER!$J$5:$J$504,R467),""),INDEX(MATCHER!$J$5:$J$504,AF467)=IFERROR(INDEX(MATCHER!$J$5:$J$504,S467),""),INDEX(MATCHER!$J$5:$J$504,AF467)=IFERROR(INDEX(MATCHER!$J$5:$J$504,T467),"")),""," / "&amp;INDEX(MATCHER!$J$5:$J$504,AF467))),4,1000)</f>
        <v>F16 2</v>
      </c>
      <c r="H467" s="55" t="str">
        <f>H466</f>
        <v>F16</v>
      </c>
      <c r="I467" s="56" t="s">
        <v>90</v>
      </c>
      <c r="J467" s="57" t="s">
        <v>128</v>
      </c>
      <c r="K467" s="58"/>
      <c r="L467" s="59"/>
      <c r="M467" s="60" t="str">
        <f>IF(O467&lt;&gt;O466,MAX(1,MIN(AA467,ROUNDUP(SUMPRODUCT(($O$5:$O$546=O467)*($I$5:$I$546="Ja")*($E$5:$E$546-$D$5:$D$546))*24/REGLER!$B$8,0))),"")</f>
        <v/>
      </c>
      <c r="N467" s="60" t="str">
        <f t="shared" si="99"/>
        <v>Klar</v>
      </c>
      <c r="O467" s="15" t="s">
        <v>159</v>
      </c>
      <c r="P467" s="16">
        <v>0.45833333333333298</v>
      </c>
      <c r="Q467" s="16">
        <v>0.54166666666666696</v>
      </c>
      <c r="R467" s="15">
        <f>IFERROR(MATCH(1,INDEX((MATCHER!$B$5:$B$504=A467)*(MATCHER!$D$5:$D$504=C467)*(MATCHER!$K$5:$K$504="Ja")*(MATCHER!$C$5:$C$504&lt;E467)*(MATCHER!$M$5:$M$504&gt;D467),0),0),"")</f>
        <v>170</v>
      </c>
      <c r="S467" s="15" t="str">
        <f>IF(R467="","",IFERROR(MATCH(1,INDEX((MATCHER!$B$5:$B$504=A467)*(MATCHER!$D$5:$D$504=C467)*(MATCHER!$K$5:$K$504="Ja")*(MATCHER!$C$5:$C$504&lt;E467)*(MATCHER!$M$5:$M$504&gt;D467)*(ROW(MATCHER!$A$5:$A$504)-ROW(MATCHER!$A$5)+1&gt;R467),0),0),""))</f>
        <v/>
      </c>
      <c r="T467" s="15" t="str">
        <f>IF(S467="","",IFERROR(MATCH(1,INDEX((MATCHER!$B$5:$B$504=A467)*(MATCHER!$D$5:$D$504=C467)*(MATCHER!$K$5:$K$504="Ja")*(MATCHER!$C$5:$C$504&lt;E467)*(MATCHER!$M$5:$M$504&gt;D467)*(ROW(MATCHER!$A$5:$A$504)-ROW(MATCHER!$A$5)+1&gt;S467),0),0),""))</f>
        <v/>
      </c>
      <c r="U467" s="15">
        <f t="shared" si="100"/>
        <v>0</v>
      </c>
      <c r="V467" s="15">
        <f>IF(OR(I467&lt;&gt;"Ja",J467=""),"",COUNTIFS($O$5:O467,O467,$U$5:U467,1))</f>
        <v>1</v>
      </c>
      <c r="W467" s="15" t="str">
        <f t="shared" si="101"/>
        <v>2027-03-13 | Råsta Park|1</v>
      </c>
      <c r="X467" s="16">
        <f t="shared" si="102"/>
        <v>0.54166666666666696</v>
      </c>
      <c r="Y467" s="15">
        <f>IF(OR(I467&lt;&gt;"Ja",J467=""),0,IF(COUNTIFS($O$5:O467,O467,$I$5:I467,"Ja",$J$5:J467,"&lt;&gt;")=1,1,0))</f>
        <v>0</v>
      </c>
      <c r="Z467" s="15">
        <f>IF(OR(I467&lt;&gt;"Ja",J467=""),0,IF(COUNTIFS(O467:$O$546,O467,I467:$I$546,"Ja",J467:$J$546,"&lt;&gt;")=1,1,0))</f>
        <v>1</v>
      </c>
      <c r="AA467" s="15">
        <f>AA466</f>
        <v>1</v>
      </c>
      <c r="AB467" s="15" t="str">
        <f>IF(U467&lt;&gt;1,"",COUNTIF($U$5:U467,1))</f>
        <v/>
      </c>
      <c r="AC467" s="15" t="str">
        <f t="shared" si="103"/>
        <v>2027-03-13 | Råsta Park|1</v>
      </c>
      <c r="AD467" s="15" t="str">
        <f t="shared" si="104"/>
        <v>Minicafé</v>
      </c>
      <c r="AE467" s="15" t="str">
        <f t="shared" si="105"/>
        <v/>
      </c>
      <c r="AF467" t="str">
        <f>IF(T467="","",IFERROR(MATCH(1,INDEX((MATCHER!$B$5:$B$504=A467)*(MATCHER!$D$5:$D$504=C467)*(MATCHER!$K$5:$K$504="Ja")*(MATCHER!$C$5:$C$504&lt;E467)*(MATCHER!$M$5:$M$504&gt;D467)*(ROW(MATCHER!$A$5:$A$504)-ROW(MATCHER!$A$5)+1&gt;T467),0),0),""))</f>
        <v/>
      </c>
    </row>
    <row r="468" spans="1:32" ht="26">
      <c r="A468" s="42">
        <v>46459</v>
      </c>
      <c r="B468" s="43" t="s">
        <v>85</v>
      </c>
      <c r="C468" s="43" t="s">
        <v>110</v>
      </c>
      <c r="D468" s="44">
        <v>0.33333333333333298</v>
      </c>
      <c r="E468" s="44">
        <v>0.35416666666666702</v>
      </c>
      <c r="F468" s="45" t="str">
        <f>IF(R468="","",HOUR(INDEX(MATCHER!$C$5:$C$504,R468))&amp;":"&amp;IF(MINUTE(INDEX(MATCHER!$C$5:$C$504,R468))&lt;10,"0","")&amp;MINUTE(INDEX(MATCHER!$C$5:$C$504,R468))&amp;" "&amp;INDEX(MATCHER!$H$5:$H$504,R468)&amp;" – "&amp;INDEX(MATCHER!$I$5:$I$504,R468))&amp;IF(S468="",""," | "&amp;HOUR(INDEX(MATCHER!$C$5:$C$504,S468))&amp;":"&amp;IF(MINUTE(INDEX(MATCHER!$C$5:$C$504,S468))&lt;10,"0","")&amp;MINUTE(INDEX(MATCHER!$C$5:$C$504,S468))&amp;" "&amp;INDEX(MATCHER!$H$5:$H$504,S468)&amp;" – "&amp;INDEX(MATCHER!$I$5:$I$504,S468))&amp;IF(T468="",""," | "&amp;HOUR(INDEX(MATCHER!$C$5:$C$504,T468))&amp;":"&amp;IF(MINUTE(INDEX(MATCHER!$C$5:$C$504,T468))&lt;10,"0","")&amp;MINUTE(INDEX(MATCHER!$C$5:$C$504,T468))&amp;" "&amp;INDEX(MATCHER!$H$5:$H$504,T468)&amp;" – "&amp;INDEX(MATCHER!$I$5:$I$504,T468))&amp;IF(AF468="",""," | "&amp;HOUR(INDEX(MATCHER!$C$5:$C$504,AF468))&amp;":"&amp;IF(MINUTE(INDEX(MATCHER!$C$5:$C$504,AF468))&lt;10,"0","")&amp;MINUTE(INDEX(MATCHER!$C$5:$C$504,AF468))&amp;" "&amp;INDEX(MATCHER!$H$5:$H$504,AF468)&amp;" – "&amp;INDEX(MATCHER!$I$5:$I$504,AF468))</f>
        <v/>
      </c>
      <c r="G468" s="45" t="str">
        <f>MID(IF(R468="","",IF(OR(INDEX(MATCHER!$J$5:$J$504,R468)=""),""," / "&amp;INDEX(MATCHER!$J$5:$J$504,R468)))&amp;IF(S468="","",IF(OR(INDEX(MATCHER!$J$5:$J$504,S468)="",INDEX(MATCHER!$J$5:$J$504,S468)=IFERROR(INDEX(MATCHER!$J$5:$J$504,R468),"")),""," / "&amp;INDEX(MATCHER!$J$5:$J$504,S468)))&amp;IF(T468="","",IF(OR(INDEX(MATCHER!$J$5:$J$504,T468)="",INDEX(MATCHER!$J$5:$J$504,T468)=IFERROR(INDEX(MATCHER!$J$5:$J$504,R468),""),INDEX(MATCHER!$J$5:$J$504,T468)=IFERROR(INDEX(MATCHER!$J$5:$J$504,S468),"")),""," / "&amp;INDEX(MATCHER!$J$5:$J$504,T468)))&amp;IF(AF468="","",IF(OR(INDEX(MATCHER!$J$5:$J$504,AF468)="",INDEX(MATCHER!$J$5:$J$504,AF468)=IFERROR(INDEX(MATCHER!$J$5:$J$504,R468),""),INDEX(MATCHER!$J$5:$J$504,AF468)=IFERROR(INDEX(MATCHER!$J$5:$J$504,S468),""),INDEX(MATCHER!$J$5:$J$504,AF468)=IFERROR(INDEX(MATCHER!$J$5:$J$504,T468),"")),""," / "&amp;INDEX(MATCHER!$J$5:$J$504,AF468))),4,1000)</f>
        <v/>
      </c>
      <c r="H468" s="45" t="str">
        <f>MID(IF(COUNTIFS(MATCHER!$B$5:$B$504,A468,MATCHER!$D$5:$D$504,C468,MATCHER!$J$5:$J$504,REGLER!$I$6,MATCHER!$K$5:$K$504,"Ja")+COUNTIFS(MATCHER!$B$5:$B$504,A468,MATCHER!$D$5:$D$504,C468,MATCHER!$J$5:$J$504,REGLER!$I$6&amp;" 2",MATCHER!$K$5:$K$504,"Ja")&gt;0,", "&amp;REGLER!$I$6,"")&amp;IF(COUNTIFS(MATCHER!$B$5:$B$504,A468,MATCHER!$D$5:$D$504,C468,MATCHER!$J$5:$J$504,REGLER!$I$7,MATCHER!$K$5:$K$504,"Ja")+COUNTIFS(MATCHER!$B$5:$B$504,A468,MATCHER!$D$5:$D$504,C468,MATCHER!$J$5:$J$504,REGLER!$I$7&amp;" 2",MATCHER!$K$5:$K$504,"Ja")&gt;0,", "&amp;REGLER!$I$7,"")&amp;IF(COUNTIFS(MATCHER!$B$5:$B$504,A468,MATCHER!$D$5:$D$504,C468,MATCHER!$J$5:$J$504,REGLER!$I$8,MATCHER!$K$5:$K$504,"Ja")+COUNTIFS(MATCHER!$B$5:$B$504,A468,MATCHER!$D$5:$D$504,C468,MATCHER!$J$5:$J$504,REGLER!$I$8&amp;" 2",MATCHER!$K$5:$K$504,"Ja")&gt;0,", "&amp;REGLER!$I$8,"")&amp;IF(COUNTIFS(MATCHER!$B$5:$B$504,A468,MATCHER!$D$5:$D$504,C468,MATCHER!$J$5:$J$504,REGLER!$I$9,MATCHER!$K$5:$K$504,"Ja")+COUNTIFS(MATCHER!$B$5:$B$504,A468,MATCHER!$D$5:$D$504,C468,MATCHER!$J$5:$J$504,REGLER!$I$9&amp;" 2",MATCHER!$K$5:$K$504,"Ja")&gt;0,", "&amp;REGLER!$I$9,"")&amp;IF(COUNTIFS(MATCHER!$B$5:$B$504,A468,MATCHER!$D$5:$D$504,C468,MATCHER!$J$5:$J$504,REGLER!$I$10,MATCHER!$K$5:$K$504,"Ja")+COUNTIFS(MATCHER!$B$5:$B$504,A468,MATCHER!$D$5:$D$504,C468,MATCHER!$J$5:$J$504,REGLER!$I$10&amp;" 2",MATCHER!$K$5:$K$504,"Ja")&gt;0,", "&amp;REGLER!$I$10,"")&amp;IF(COUNTIFS(MATCHER!$B$5:$B$504,A468,MATCHER!$D$5:$D$504,C468,MATCHER!$J$5:$J$504,REGLER!$I$11,MATCHER!$K$5:$K$504,"Ja")+COUNTIFS(MATCHER!$B$5:$B$504,A468,MATCHER!$D$5:$D$504,C468,MATCHER!$J$5:$J$504,REGLER!$I$11&amp;" 2",MATCHER!$K$5:$K$504,"Ja")&gt;0,", "&amp;REGLER!$I$11,"")&amp;IF(COUNTIFS(MATCHER!$B$5:$B$504,A468,MATCHER!$D$5:$D$504,C468,MATCHER!$J$5:$J$504,REGLER!$I$12,MATCHER!$K$5:$K$504,"Ja")+COUNTIFS(MATCHER!$B$5:$B$504,A468,MATCHER!$D$5:$D$504,C468,MATCHER!$J$5:$J$504,REGLER!$I$12&amp;" 2",MATCHER!$K$5:$K$504,"Ja")&gt;0,", "&amp;REGLER!$I$12,"")&amp;IF(COUNTIFS(MATCHER!$B$5:$B$504,A468,MATCHER!$D$5:$D$504,C468,MATCHER!$J$5:$J$504,REGLER!$I$13,MATCHER!$K$5:$K$504,"Ja")+COUNTIFS(MATCHER!$B$5:$B$504,A468,MATCHER!$D$5:$D$504,C468,MATCHER!$J$5:$J$504,REGLER!$I$13&amp;" 2",MATCHER!$K$5:$K$504,"Ja")&gt;0,", "&amp;REGLER!$I$13,"")&amp;IF(COUNTIFS(MATCHER!$B$5:$B$504,A468,MATCHER!$D$5:$D$504,C468,MATCHER!$J$5:$J$504,REGLER!$I$14,MATCHER!$K$5:$K$504,"Ja")+COUNTIFS(MATCHER!$B$5:$B$504,A468,MATCHER!$D$5:$D$504,C468,MATCHER!$J$5:$J$504,REGLER!$I$14&amp;" 2",MATCHER!$K$5:$K$504,"Ja")&gt;0,", "&amp;REGLER!$I$14,"")&amp;IF(COUNTIFS(MATCHER!$B$5:$B$504,A468,MATCHER!$D$5:$D$504,C468,MATCHER!$J$5:$J$504,REGLER!$I$15,MATCHER!$K$5:$K$504,"Ja")+COUNTIFS(MATCHER!$B$5:$B$504,A468,MATCHER!$D$5:$D$504,C468,MATCHER!$J$5:$J$504,REGLER!$I$15&amp;" 2",MATCHER!$K$5:$K$504,"Ja")&gt;0,", "&amp;REGLER!$I$15,"")&amp;IF(COUNTIFS(MATCHER!$B$5:$B$504,A468,MATCHER!$D$5:$D$504,C468,MATCHER!$J$5:$J$504,REGLER!$I$16,MATCHER!$K$5:$K$504,"Ja")+COUNTIFS(MATCHER!$B$5:$B$504,A468,MATCHER!$D$5:$D$504,C468,MATCHER!$J$5:$J$504,REGLER!$I$16&amp;" 2",MATCHER!$K$5:$K$504,"Ja")&gt;0,", "&amp;REGLER!$I$16,"")&amp;IF(COUNTIFS(MATCHER!$B$5:$B$504,A468,MATCHER!$D$5:$D$504,C468,MATCHER!$J$5:$J$504,REGLER!$I$17,MATCHER!$K$5:$K$504,"Ja")+COUNTIFS(MATCHER!$B$5:$B$504,A468,MATCHER!$D$5:$D$504,C468,MATCHER!$J$5:$J$504,REGLER!$I$17&amp;" 2",MATCHER!$K$5:$K$504,"Ja")&gt;0,", "&amp;REGLER!$I$17,"")&amp;IF(COUNTIFS(MATCHER!$B$5:$B$504,A468,MATCHER!$D$5:$D$504,C468,MATCHER!$J$5:$J$504,REGLER!$I$18,MATCHER!$K$5:$K$504,"Ja")+COUNTIFS(MATCHER!$B$5:$B$504,A468,MATCHER!$D$5:$D$504,C468,MATCHER!$J$5:$J$504,REGLER!$I$18&amp;" 2",MATCHER!$K$5:$K$504,"Ja")&gt;0,", "&amp;REGLER!$I$18,"")&amp;IF(COUNTIFS(MATCHER!$B$5:$B$504,A468,MATCHER!$D$5:$D$504,C468,MATCHER!$J$5:$J$504,REGLER!$I$19,MATCHER!$K$5:$K$504,"Ja")+COUNTIFS(MATCHER!$B$5:$B$504,A468,MATCHER!$D$5:$D$504,C468,MATCHER!$J$5:$J$504,REGLER!$I$19&amp;" 2",MATCHER!$K$5:$K$504,"Ja")&gt;0,", "&amp;REGLER!$I$19,"")&amp;IF(COUNTIFS(MATCHER!$B$5:$B$504,A468,MATCHER!$D$5:$D$504,C468,MATCHER!$J$5:$J$504,REGLER!$I$20,MATCHER!$K$5:$K$504,"Ja")+COUNTIFS(MATCHER!$B$5:$B$504,A468,MATCHER!$D$5:$D$504,C468,MATCHER!$J$5:$J$504,REGLER!$I$20&amp;" 2",MATCHER!$K$5:$K$504,"Ja")&gt;0,", "&amp;REGLER!$I$20,"")&amp;IF(COUNTIFS(MATCHER!$B$5:$B$504,A468,MATCHER!$D$5:$D$504,C468,MATCHER!$J$5:$J$504,REGLER!$I$21,MATCHER!$K$5:$K$504,"Ja")+COUNTIFS(MATCHER!$B$5:$B$504,A468,MATCHER!$D$5:$D$504,C468,MATCHER!$J$5:$J$504,REGLER!$I$21&amp;" 2",MATCHER!$K$5:$K$504,"Ja")&gt;0,", "&amp;REGLER!$I$21,"")&amp;IF(COUNTIFS(MATCHER!$B$5:$B$504,A468,MATCHER!$D$5:$D$504,C468,MATCHER!$J$5:$J$504,REGLER!$I$22,MATCHER!$K$5:$K$504,"Ja")+COUNTIFS(MATCHER!$B$5:$B$504,A468,MATCHER!$D$5:$D$504,C468,MATCHER!$J$5:$J$504,REGLER!$I$22&amp;" 2",MATCHER!$K$5:$K$504,"Ja")&gt;0,", "&amp;REGLER!$I$22,"")&amp;IF(COUNTIFS(MATCHER!$B$5:$B$504,A468,MATCHER!$D$5:$D$504,C468,MATCHER!$J$5:$J$504,REGLER!$I$23,MATCHER!$K$5:$K$504,"Ja")+COUNTIFS(MATCHER!$B$5:$B$504,A468,MATCHER!$D$5:$D$504,C468,MATCHER!$J$5:$J$504,REGLER!$I$23&amp;" 2",MATCHER!$K$5:$K$504,"Ja")&gt;0,", "&amp;REGLER!$I$23,"")&amp;IF(COUNTIFS(MATCHER!$B$5:$B$504,A468,MATCHER!$D$5:$D$504,C468,MATCHER!$J$5:$J$504,REGLER!$I$24,MATCHER!$K$5:$K$504,"Ja")+COUNTIFS(MATCHER!$B$5:$B$504,A468,MATCHER!$D$5:$D$504,C468,MATCHER!$J$5:$J$504,REGLER!$I$24&amp;" 2",MATCHER!$K$5:$K$504,"Ja")&gt;0,", "&amp;REGLER!$I$24,"")&amp;IF(COUNTIFS(MATCHER!$B$5:$B$504,A468,MATCHER!$D$5:$D$504,C468,MATCHER!$J$5:$J$504,REGLER!$I$25,MATCHER!$K$5:$K$504,"Ja")+COUNTIFS(MATCHER!$B$5:$B$504,A468,MATCHER!$D$5:$D$504,C468,MATCHER!$J$5:$J$504,REGLER!$I$25&amp;" 2",MATCHER!$K$5:$K$504,"Ja")&gt;0,", "&amp;REGLER!$I$25,"")&amp;IF(COUNTIFS(MATCHER!$B$5:$B$504,A468,MATCHER!$D$5:$D$504,C468,MATCHER!$J$5:$J$504,REGLER!$I$26,MATCHER!$K$5:$K$504,"Ja")+COUNTIFS(MATCHER!$B$5:$B$504,A468,MATCHER!$D$5:$D$504,C468,MATCHER!$J$5:$J$504,REGLER!$I$26&amp;" 2",MATCHER!$K$5:$K$504,"Ja")&gt;0,", "&amp;REGLER!$I$26,""),3,1000)</f>
        <v>F11, P12</v>
      </c>
      <c r="I468" s="46" t="s">
        <v>90</v>
      </c>
      <c r="J468" s="47" t="s">
        <v>95</v>
      </c>
      <c r="K468" s="48" t="s">
        <v>88</v>
      </c>
      <c r="L468" s="49"/>
      <c r="M468" s="50">
        <f>IF(O468&lt;&gt;O467,MAX(1,MIN(AA468,ROUNDUP(SUMPRODUCT(($O$5:$O$546=O468)*($I$5:$I$546="Ja")*($E$5:$E$546-$D$5:$D$546))*24/REGLER!$B$8,0))),"")</f>
        <v>2</v>
      </c>
      <c r="N468" s="50" t="str">
        <f t="shared" si="99"/>
        <v>Klar</v>
      </c>
      <c r="O468" s="15" t="s">
        <v>160</v>
      </c>
      <c r="P468" s="16">
        <v>0.33333333333333298</v>
      </c>
      <c r="Q468" s="16">
        <v>0.625</v>
      </c>
      <c r="R468" s="15" t="str">
        <f>IFERROR(MATCH(1,INDEX((MATCHER!$B$5:$B$504=A468)*(MATCHER!$D$5:$D$504=C468)*(MATCHER!$K$5:$K$504="Ja")*(MATCHER!$C$5:$C$504&lt;E468)*(MATCHER!$M$5:$M$504&gt;D468),0),0),"")</f>
        <v/>
      </c>
      <c r="S468" s="15" t="str">
        <f>IF(R468="","",IFERROR(MATCH(1,INDEX((MATCHER!$B$5:$B$504=A468)*(MATCHER!$D$5:$D$504=C468)*(MATCHER!$K$5:$K$504="Ja")*(MATCHER!$C$5:$C$504&lt;E468)*(MATCHER!$M$5:$M$504&gt;D468)*(ROW(MATCHER!$A$5:$A$504)-ROW(MATCHER!$A$5)+1&gt;R468),0),0),""))</f>
        <v/>
      </c>
      <c r="T468" s="15" t="str">
        <f>IF(S468="","",IFERROR(MATCH(1,INDEX((MATCHER!$B$5:$B$504=A468)*(MATCHER!$D$5:$D$504=C468)*(MATCHER!$K$5:$K$504="Ja")*(MATCHER!$C$5:$C$504&lt;E468)*(MATCHER!$M$5:$M$504&gt;D468)*(ROW(MATCHER!$A$5:$A$504)-ROW(MATCHER!$A$5)+1&gt;S468),0),0),""))</f>
        <v/>
      </c>
      <c r="U468" s="15">
        <f t="shared" si="100"/>
        <v>1</v>
      </c>
      <c r="V468" s="15">
        <f>IF(OR(I468&lt;&gt;"Ja",J468=""),"",COUNTIFS($O$5:O468,O468,$U$5:U468,1))</f>
        <v>1</v>
      </c>
      <c r="W468" s="15" t="str">
        <f t="shared" si="101"/>
        <v>2027-03-13 | Tallbackaskolan|1</v>
      </c>
      <c r="X468" s="16" t="str">
        <f t="shared" si="102"/>
        <v/>
      </c>
      <c r="Y468" s="15">
        <f>IF(OR(I468&lt;&gt;"Ja",J468=""),0,IF(COUNTIFS($O$5:O468,O468,$I$5:I468,"Ja",$J$5:J468,"&lt;&gt;")=1,1,0))</f>
        <v>1</v>
      </c>
      <c r="Z468" s="15">
        <f>IF(OR(I468&lt;&gt;"Ja",J468=""),0,IF(COUNTIFS(O468:$O$546,O468,I468:$I$546,"Ja",J468:$J$546,"&lt;&gt;")=1,1,0))</f>
        <v>0</v>
      </c>
      <c r="AA468" s="15">
        <f>IF(COUNTIFS(MATCHER!$B$5:$B$504,A468,MATCHER!$D$5:$D$504,C468,MATCHER!$J$5:$J$504,REGLER!$I$6,MATCHER!$K$5:$K$504,"Ja")+COUNTIFS(MATCHER!$B$5:$B$504,A468,MATCHER!$D$5:$D$504,C468,MATCHER!$J$5:$J$504,REGLER!$I$6&amp;" 2",MATCHER!$K$5:$K$504,"Ja")&gt;0,1,0)+IF(COUNTIFS(MATCHER!$B$5:$B$504,A468,MATCHER!$D$5:$D$504,C468,MATCHER!$J$5:$J$504,REGLER!$I$7,MATCHER!$K$5:$K$504,"Ja")+COUNTIFS(MATCHER!$B$5:$B$504,A468,MATCHER!$D$5:$D$504,C468,MATCHER!$J$5:$J$504,REGLER!$I$7&amp;" 2",MATCHER!$K$5:$K$504,"Ja")&gt;0,1,0)+IF(COUNTIFS(MATCHER!$B$5:$B$504,A468,MATCHER!$D$5:$D$504,C468,MATCHER!$J$5:$J$504,REGLER!$I$8,MATCHER!$K$5:$K$504,"Ja")+COUNTIFS(MATCHER!$B$5:$B$504,A468,MATCHER!$D$5:$D$504,C468,MATCHER!$J$5:$J$504,REGLER!$I$8&amp;" 2",MATCHER!$K$5:$K$504,"Ja")&gt;0,1,0)+IF(COUNTIFS(MATCHER!$B$5:$B$504,A468,MATCHER!$D$5:$D$504,C468,MATCHER!$J$5:$J$504,REGLER!$I$9,MATCHER!$K$5:$K$504,"Ja")+COUNTIFS(MATCHER!$B$5:$B$504,A468,MATCHER!$D$5:$D$504,C468,MATCHER!$J$5:$J$504,REGLER!$I$9&amp;" 2",MATCHER!$K$5:$K$504,"Ja")&gt;0,1,0)+IF(COUNTIFS(MATCHER!$B$5:$B$504,A468,MATCHER!$D$5:$D$504,C468,MATCHER!$J$5:$J$504,REGLER!$I$10,MATCHER!$K$5:$K$504,"Ja")+COUNTIFS(MATCHER!$B$5:$B$504,A468,MATCHER!$D$5:$D$504,C468,MATCHER!$J$5:$J$504,REGLER!$I$10&amp;" 2",MATCHER!$K$5:$K$504,"Ja")&gt;0,1,0)+IF(COUNTIFS(MATCHER!$B$5:$B$504,A468,MATCHER!$D$5:$D$504,C468,MATCHER!$J$5:$J$504,REGLER!$I$11,MATCHER!$K$5:$K$504,"Ja")+COUNTIFS(MATCHER!$B$5:$B$504,A468,MATCHER!$D$5:$D$504,C468,MATCHER!$J$5:$J$504,REGLER!$I$11&amp;" 2",MATCHER!$K$5:$K$504,"Ja")&gt;0,1,0)+IF(COUNTIFS(MATCHER!$B$5:$B$504,A468,MATCHER!$D$5:$D$504,C468,MATCHER!$J$5:$J$504,REGLER!$I$12,MATCHER!$K$5:$K$504,"Ja")+COUNTIFS(MATCHER!$B$5:$B$504,A468,MATCHER!$D$5:$D$504,C468,MATCHER!$J$5:$J$504,REGLER!$I$12&amp;" 2",MATCHER!$K$5:$K$504,"Ja")&gt;0,1,0)+IF(COUNTIFS(MATCHER!$B$5:$B$504,A468,MATCHER!$D$5:$D$504,C468,MATCHER!$J$5:$J$504,REGLER!$I$13,MATCHER!$K$5:$K$504,"Ja")+COUNTIFS(MATCHER!$B$5:$B$504,A468,MATCHER!$D$5:$D$504,C468,MATCHER!$J$5:$J$504,REGLER!$I$13&amp;" 2",MATCHER!$K$5:$K$504,"Ja")&gt;0,1,0)+IF(COUNTIFS(MATCHER!$B$5:$B$504,A468,MATCHER!$D$5:$D$504,C468,MATCHER!$J$5:$J$504,REGLER!$I$14,MATCHER!$K$5:$K$504,"Ja")+COUNTIFS(MATCHER!$B$5:$B$504,A468,MATCHER!$D$5:$D$504,C468,MATCHER!$J$5:$J$504,REGLER!$I$14&amp;" 2",MATCHER!$K$5:$K$504,"Ja")&gt;0,1,0)+IF(COUNTIFS(MATCHER!$B$5:$B$504,A468,MATCHER!$D$5:$D$504,C468,MATCHER!$J$5:$J$504,REGLER!$I$15,MATCHER!$K$5:$K$504,"Ja")+COUNTIFS(MATCHER!$B$5:$B$504,A468,MATCHER!$D$5:$D$504,C468,MATCHER!$J$5:$J$504,REGLER!$I$15&amp;" 2",MATCHER!$K$5:$K$504,"Ja")&gt;0,1,0)+IF(COUNTIFS(MATCHER!$B$5:$B$504,A468,MATCHER!$D$5:$D$504,C468,MATCHER!$J$5:$J$504,REGLER!$I$16,MATCHER!$K$5:$K$504,"Ja")+COUNTIFS(MATCHER!$B$5:$B$504,A468,MATCHER!$D$5:$D$504,C468,MATCHER!$J$5:$J$504,REGLER!$I$16&amp;" 2",MATCHER!$K$5:$K$504,"Ja")&gt;0,1,0)+IF(COUNTIFS(MATCHER!$B$5:$B$504,A468,MATCHER!$D$5:$D$504,C468,MATCHER!$J$5:$J$504,REGLER!$I$17,MATCHER!$K$5:$K$504,"Ja")+COUNTIFS(MATCHER!$B$5:$B$504,A468,MATCHER!$D$5:$D$504,C468,MATCHER!$J$5:$J$504,REGLER!$I$17&amp;" 2",MATCHER!$K$5:$K$504,"Ja")&gt;0,1,0)+IF(COUNTIFS(MATCHER!$B$5:$B$504,A468,MATCHER!$D$5:$D$504,C468,MATCHER!$J$5:$J$504,REGLER!$I$18,MATCHER!$K$5:$K$504,"Ja")+COUNTIFS(MATCHER!$B$5:$B$504,A468,MATCHER!$D$5:$D$504,C468,MATCHER!$J$5:$J$504,REGLER!$I$18&amp;" 2",MATCHER!$K$5:$K$504,"Ja")&gt;0,1,0)+IF(COUNTIFS(MATCHER!$B$5:$B$504,A468,MATCHER!$D$5:$D$504,C468,MATCHER!$J$5:$J$504,REGLER!$I$19,MATCHER!$K$5:$K$504,"Ja")+COUNTIFS(MATCHER!$B$5:$B$504,A468,MATCHER!$D$5:$D$504,C468,MATCHER!$J$5:$J$504,REGLER!$I$19&amp;" 2",MATCHER!$K$5:$K$504,"Ja")&gt;0,1,0)+IF(COUNTIFS(MATCHER!$B$5:$B$504,A468,MATCHER!$D$5:$D$504,C468,MATCHER!$J$5:$J$504,REGLER!$I$20,MATCHER!$K$5:$K$504,"Ja")+COUNTIFS(MATCHER!$B$5:$B$504,A468,MATCHER!$D$5:$D$504,C468,MATCHER!$J$5:$J$504,REGLER!$I$20&amp;" 2",MATCHER!$K$5:$K$504,"Ja")&gt;0,1,0)+IF(COUNTIFS(MATCHER!$B$5:$B$504,A468,MATCHER!$D$5:$D$504,C468,MATCHER!$J$5:$J$504,REGLER!$I$21,MATCHER!$K$5:$K$504,"Ja")+COUNTIFS(MATCHER!$B$5:$B$504,A468,MATCHER!$D$5:$D$504,C468,MATCHER!$J$5:$J$504,REGLER!$I$21&amp;" 2",MATCHER!$K$5:$K$504,"Ja")&gt;0,1,0)+IF(COUNTIFS(MATCHER!$B$5:$B$504,A468,MATCHER!$D$5:$D$504,C468,MATCHER!$J$5:$J$504,REGLER!$I$22,MATCHER!$K$5:$K$504,"Ja")+COUNTIFS(MATCHER!$B$5:$B$504,A468,MATCHER!$D$5:$D$504,C468,MATCHER!$J$5:$J$504,REGLER!$I$22&amp;" 2",MATCHER!$K$5:$K$504,"Ja")&gt;0,1,0)+IF(COUNTIFS(MATCHER!$B$5:$B$504,A468,MATCHER!$D$5:$D$504,C468,MATCHER!$J$5:$J$504,REGLER!$I$23,MATCHER!$K$5:$K$504,"Ja")+COUNTIFS(MATCHER!$B$5:$B$504,A468,MATCHER!$D$5:$D$504,C468,MATCHER!$J$5:$J$504,REGLER!$I$23&amp;" 2",MATCHER!$K$5:$K$504,"Ja")&gt;0,1,0)+IF(COUNTIFS(MATCHER!$B$5:$B$504,A468,MATCHER!$D$5:$D$504,C468,MATCHER!$J$5:$J$504,REGLER!$I$24,MATCHER!$K$5:$K$504,"Ja")+COUNTIFS(MATCHER!$B$5:$B$504,A468,MATCHER!$D$5:$D$504,C468,MATCHER!$J$5:$J$504,REGLER!$I$24&amp;" 2",MATCHER!$K$5:$K$504,"Ja")&gt;0,1,0)+IF(COUNTIFS(MATCHER!$B$5:$B$504,A468,MATCHER!$D$5:$D$504,C468,MATCHER!$J$5:$J$504,REGLER!$I$25,MATCHER!$K$5:$K$504,"Ja")+COUNTIFS(MATCHER!$B$5:$B$504,A468,MATCHER!$D$5:$D$504,C468,MATCHER!$J$5:$J$504,REGLER!$I$25&amp;" 2",MATCHER!$K$5:$K$504,"Ja")&gt;0,1,0)+IF(COUNTIFS(MATCHER!$B$5:$B$504,A468,MATCHER!$D$5:$D$504,C468,MATCHER!$J$5:$J$504,REGLER!$I$26,MATCHER!$K$5:$K$504,"Ja")+COUNTIFS(MATCHER!$B$5:$B$504,A468,MATCHER!$D$5:$D$504,C468,MATCHER!$J$5:$J$504,REGLER!$I$26&amp;" 2",MATCHER!$K$5:$K$504,"Ja")&gt;0,1,0)</f>
        <v>2</v>
      </c>
      <c r="AB468" s="15">
        <f>IF(U468&lt;&gt;1,"",COUNTIF($U$5:U468,1))</f>
        <v>83</v>
      </c>
      <c r="AC468" s="15" t="str">
        <f t="shared" si="103"/>
        <v/>
      </c>
      <c r="AD468" s="15" t="str">
        <f t="shared" si="104"/>
        <v>Vanligt café</v>
      </c>
      <c r="AE468" s="15">
        <f t="shared" si="105"/>
        <v>3.5000000000000169</v>
      </c>
      <c r="AF468" t="str">
        <f>IF(T468="","",IFERROR(MATCH(1,INDEX((MATCHER!$B$5:$B$504=A468)*(MATCHER!$D$5:$D$504=C468)*(MATCHER!$K$5:$K$504="Ja")*(MATCHER!$C$5:$C$504&lt;E468)*(MATCHER!$M$5:$M$504&gt;D468)*(ROW(MATCHER!$A$5:$A$504)-ROW(MATCHER!$A$5)+1&gt;T468),0),0),""))</f>
        <v/>
      </c>
    </row>
    <row r="469" spans="1:32" ht="26">
      <c r="A469" s="42">
        <v>46459</v>
      </c>
      <c r="B469" s="43" t="s">
        <v>85</v>
      </c>
      <c r="C469" s="43" t="s">
        <v>110</v>
      </c>
      <c r="D469" s="44">
        <v>0.35416666666666702</v>
      </c>
      <c r="E469" s="44">
        <v>0.375</v>
      </c>
      <c r="F469" s="45" t="str">
        <f>IF(R469="","",HOUR(INDEX(MATCHER!$C$5:$C$504,R469))&amp;":"&amp;IF(MINUTE(INDEX(MATCHER!$C$5:$C$504,R469))&lt;10,"0","")&amp;MINUTE(INDEX(MATCHER!$C$5:$C$504,R469))&amp;" "&amp;INDEX(MATCHER!$H$5:$H$504,R469)&amp;" – "&amp;INDEX(MATCHER!$I$5:$I$504,R469))&amp;IF(S469="",""," | "&amp;HOUR(INDEX(MATCHER!$C$5:$C$504,S469))&amp;":"&amp;IF(MINUTE(INDEX(MATCHER!$C$5:$C$504,S469))&lt;10,"0","")&amp;MINUTE(INDEX(MATCHER!$C$5:$C$504,S469))&amp;" "&amp;INDEX(MATCHER!$H$5:$H$504,S469)&amp;" – "&amp;INDEX(MATCHER!$I$5:$I$504,S469))&amp;IF(T469="",""," | "&amp;HOUR(INDEX(MATCHER!$C$5:$C$504,T469))&amp;":"&amp;IF(MINUTE(INDEX(MATCHER!$C$5:$C$504,T469))&lt;10,"0","")&amp;MINUTE(INDEX(MATCHER!$C$5:$C$504,T469))&amp;" "&amp;INDEX(MATCHER!$H$5:$H$504,T469)&amp;" – "&amp;INDEX(MATCHER!$I$5:$I$504,T469))&amp;IF(AF469="",""," | "&amp;HOUR(INDEX(MATCHER!$C$5:$C$504,AF469))&amp;":"&amp;IF(MINUTE(INDEX(MATCHER!$C$5:$C$504,AF469))&lt;10,"0","")&amp;MINUTE(INDEX(MATCHER!$C$5:$C$504,AF469))&amp;" "&amp;INDEX(MATCHER!$H$5:$H$504,AF469)&amp;" – "&amp;INDEX(MATCHER!$I$5:$I$504,AF469))</f>
        <v/>
      </c>
      <c r="G469" s="45" t="str">
        <f>MID(IF(R469="","",IF(OR(INDEX(MATCHER!$J$5:$J$504,R469)=""),""," / "&amp;INDEX(MATCHER!$J$5:$J$504,R469)))&amp;IF(S469="","",IF(OR(INDEX(MATCHER!$J$5:$J$504,S469)="",INDEX(MATCHER!$J$5:$J$504,S469)=IFERROR(INDEX(MATCHER!$J$5:$J$504,R469),"")),""," / "&amp;INDEX(MATCHER!$J$5:$J$504,S469)))&amp;IF(T469="","",IF(OR(INDEX(MATCHER!$J$5:$J$504,T469)="",INDEX(MATCHER!$J$5:$J$504,T469)=IFERROR(INDEX(MATCHER!$J$5:$J$504,R469),""),INDEX(MATCHER!$J$5:$J$504,T469)=IFERROR(INDEX(MATCHER!$J$5:$J$504,S469),"")),""," / "&amp;INDEX(MATCHER!$J$5:$J$504,T469)))&amp;IF(AF469="","",IF(OR(INDEX(MATCHER!$J$5:$J$504,AF469)="",INDEX(MATCHER!$J$5:$J$504,AF469)=IFERROR(INDEX(MATCHER!$J$5:$J$504,R469),""),INDEX(MATCHER!$J$5:$J$504,AF469)=IFERROR(INDEX(MATCHER!$J$5:$J$504,S469),""),INDEX(MATCHER!$J$5:$J$504,AF469)=IFERROR(INDEX(MATCHER!$J$5:$J$504,T469),"")),""," / "&amp;INDEX(MATCHER!$J$5:$J$504,AF469))),4,1000)</f>
        <v/>
      </c>
      <c r="H469" s="45" t="str">
        <f t="shared" ref="H469:H481" si="106">H468</f>
        <v>F11, P12</v>
      </c>
      <c r="I469" s="46" t="s">
        <v>90</v>
      </c>
      <c r="J469" s="47" t="s">
        <v>95</v>
      </c>
      <c r="K469" s="48"/>
      <c r="L469" s="49"/>
      <c r="M469" s="50" t="str">
        <f>IF(O469&lt;&gt;O468,MAX(1,MIN(AA469,ROUNDUP(SUMPRODUCT(($O$5:$O$546=O469)*($I$5:$I$546="Ja")*($E$5:$E$546-$D$5:$D$546))*24/REGLER!$B$8,0))),"")</f>
        <v/>
      </c>
      <c r="N469" s="50" t="str">
        <f t="shared" si="99"/>
        <v>Klar</v>
      </c>
      <c r="O469" s="15" t="s">
        <v>160</v>
      </c>
      <c r="P469" s="16">
        <v>0.33333333333333298</v>
      </c>
      <c r="Q469" s="16">
        <v>0.625</v>
      </c>
      <c r="R469" s="15" t="str">
        <f>IFERROR(MATCH(1,INDEX((MATCHER!$B$5:$B$504=A469)*(MATCHER!$D$5:$D$504=C469)*(MATCHER!$K$5:$K$504="Ja")*(MATCHER!$C$5:$C$504&lt;E469)*(MATCHER!$M$5:$M$504&gt;D469),0),0),"")</f>
        <v/>
      </c>
      <c r="S469" s="15" t="str">
        <f>IF(R469="","",IFERROR(MATCH(1,INDEX((MATCHER!$B$5:$B$504=A469)*(MATCHER!$D$5:$D$504=C469)*(MATCHER!$K$5:$K$504="Ja")*(MATCHER!$C$5:$C$504&lt;E469)*(MATCHER!$M$5:$M$504&gt;D469)*(ROW(MATCHER!$A$5:$A$504)-ROW(MATCHER!$A$5)+1&gt;R469),0),0),""))</f>
        <v/>
      </c>
      <c r="T469" s="15" t="str">
        <f>IF(S469="","",IFERROR(MATCH(1,INDEX((MATCHER!$B$5:$B$504=A469)*(MATCHER!$D$5:$D$504=C469)*(MATCHER!$K$5:$K$504="Ja")*(MATCHER!$C$5:$C$504&lt;E469)*(MATCHER!$M$5:$M$504&gt;D469)*(ROW(MATCHER!$A$5:$A$504)-ROW(MATCHER!$A$5)+1&gt;S469),0),0),""))</f>
        <v/>
      </c>
      <c r="U469" s="15">
        <f t="shared" si="100"/>
        <v>0</v>
      </c>
      <c r="V469" s="15">
        <f>IF(OR(I469&lt;&gt;"Ja",J469=""),"",COUNTIFS($O$5:O469,O469,$U$5:U469,1))</f>
        <v>1</v>
      </c>
      <c r="W469" s="15" t="str">
        <f t="shared" si="101"/>
        <v>2027-03-13 | Tallbackaskolan|1</v>
      </c>
      <c r="X469" s="16" t="str">
        <f t="shared" si="102"/>
        <v/>
      </c>
      <c r="Y469" s="15">
        <f>IF(OR(I469&lt;&gt;"Ja",J469=""),0,IF(COUNTIFS($O$5:O469,O469,$I$5:I469,"Ja",$J$5:J469,"&lt;&gt;")=1,1,0))</f>
        <v>0</v>
      </c>
      <c r="Z469" s="15">
        <f>IF(OR(I469&lt;&gt;"Ja",J469=""),0,IF(COUNTIFS(O469:$O$546,O469,I469:$I$546,"Ja",J469:$J$546,"&lt;&gt;")=1,1,0))</f>
        <v>0</v>
      </c>
      <c r="AA469" s="15">
        <f t="shared" ref="AA469:AA481" si="107">AA468</f>
        <v>2</v>
      </c>
      <c r="AB469" s="15" t="str">
        <f>IF(U469&lt;&gt;1,"",COUNTIF($U$5:U469,1))</f>
        <v/>
      </c>
      <c r="AC469" s="15" t="str">
        <f t="shared" si="103"/>
        <v/>
      </c>
      <c r="AD469" s="15" t="str">
        <f t="shared" si="104"/>
        <v>Vanligt café</v>
      </c>
      <c r="AE469" s="15" t="str">
        <f t="shared" si="105"/>
        <v/>
      </c>
      <c r="AF469" t="str">
        <f>IF(T469="","",IFERROR(MATCH(1,INDEX((MATCHER!$B$5:$B$504=A469)*(MATCHER!$D$5:$D$504=C469)*(MATCHER!$K$5:$K$504="Ja")*(MATCHER!$C$5:$C$504&lt;E469)*(MATCHER!$M$5:$M$504&gt;D469)*(ROW(MATCHER!$A$5:$A$504)-ROW(MATCHER!$A$5)+1&gt;T469),0),0),""))</f>
        <v/>
      </c>
    </row>
    <row r="470" spans="1:32" ht="26">
      <c r="A470" s="42">
        <v>46459</v>
      </c>
      <c r="B470" s="43" t="s">
        <v>85</v>
      </c>
      <c r="C470" s="43" t="s">
        <v>110</v>
      </c>
      <c r="D470" s="44">
        <v>0.375</v>
      </c>
      <c r="E470" s="44">
        <v>0.39583333333333298</v>
      </c>
      <c r="F470" s="45" t="str">
        <f>IF(R470="","",HOUR(INDEX(MATCHER!$C$5:$C$504,R470))&amp;":"&amp;IF(MINUTE(INDEX(MATCHER!$C$5:$C$504,R470))&lt;10,"0","")&amp;MINUTE(INDEX(MATCHER!$C$5:$C$504,R470))&amp;" "&amp;INDEX(MATCHER!$H$5:$H$504,R470)&amp;" – "&amp;INDEX(MATCHER!$I$5:$I$504,R470))&amp;IF(S470="",""," | "&amp;HOUR(INDEX(MATCHER!$C$5:$C$504,S470))&amp;":"&amp;IF(MINUTE(INDEX(MATCHER!$C$5:$C$504,S470))&lt;10,"0","")&amp;MINUTE(INDEX(MATCHER!$C$5:$C$504,S470))&amp;" "&amp;INDEX(MATCHER!$H$5:$H$504,S470)&amp;" – "&amp;INDEX(MATCHER!$I$5:$I$504,S470))&amp;IF(T470="",""," | "&amp;HOUR(INDEX(MATCHER!$C$5:$C$504,T470))&amp;":"&amp;IF(MINUTE(INDEX(MATCHER!$C$5:$C$504,T470))&lt;10,"0","")&amp;MINUTE(INDEX(MATCHER!$C$5:$C$504,T470))&amp;" "&amp;INDEX(MATCHER!$H$5:$H$504,T470)&amp;" – "&amp;INDEX(MATCHER!$I$5:$I$504,T470))&amp;IF(AF470="",""," | "&amp;HOUR(INDEX(MATCHER!$C$5:$C$504,AF470))&amp;":"&amp;IF(MINUTE(INDEX(MATCHER!$C$5:$C$504,AF470))&lt;10,"0","")&amp;MINUTE(INDEX(MATCHER!$C$5:$C$504,AF470))&amp;" "&amp;INDEX(MATCHER!$H$5:$H$504,AF470)&amp;" – "&amp;INDEX(MATCHER!$I$5:$I$504,AF470))</f>
        <v>9:00 AIK – Spånga HK 2</v>
      </c>
      <c r="G470" s="45" t="str">
        <f>MID(IF(R470="","",IF(OR(INDEX(MATCHER!$J$5:$J$504,R470)=""),""," / "&amp;INDEX(MATCHER!$J$5:$J$504,R470)))&amp;IF(S470="","",IF(OR(INDEX(MATCHER!$J$5:$J$504,S470)="",INDEX(MATCHER!$J$5:$J$504,S470)=IFERROR(INDEX(MATCHER!$J$5:$J$504,R470),"")),""," / "&amp;INDEX(MATCHER!$J$5:$J$504,S470)))&amp;IF(T470="","",IF(OR(INDEX(MATCHER!$J$5:$J$504,T470)="",INDEX(MATCHER!$J$5:$J$504,T470)=IFERROR(INDEX(MATCHER!$J$5:$J$504,R470),""),INDEX(MATCHER!$J$5:$J$504,T470)=IFERROR(INDEX(MATCHER!$J$5:$J$504,S470),"")),""," / "&amp;INDEX(MATCHER!$J$5:$J$504,T470)))&amp;IF(AF470="","",IF(OR(INDEX(MATCHER!$J$5:$J$504,AF470)="",INDEX(MATCHER!$J$5:$J$504,AF470)=IFERROR(INDEX(MATCHER!$J$5:$J$504,R470),""),INDEX(MATCHER!$J$5:$J$504,AF470)=IFERROR(INDEX(MATCHER!$J$5:$J$504,S470),""),INDEX(MATCHER!$J$5:$J$504,AF470)=IFERROR(INDEX(MATCHER!$J$5:$J$504,T470),"")),""," / "&amp;INDEX(MATCHER!$J$5:$J$504,AF470))),4,1000)</f>
        <v>F11</v>
      </c>
      <c r="H470" s="45" t="str">
        <f t="shared" si="106"/>
        <v>F11, P12</v>
      </c>
      <c r="I470" s="46" t="s">
        <v>90</v>
      </c>
      <c r="J470" s="47" t="s">
        <v>95</v>
      </c>
      <c r="K470" s="48"/>
      <c r="L470" s="49"/>
      <c r="M470" s="50" t="str">
        <f>IF(O470&lt;&gt;O469,MAX(1,MIN(AA470,ROUNDUP(SUMPRODUCT(($O$5:$O$546=O470)*($I$5:$I$546="Ja")*($E$5:$E$546-$D$5:$D$546))*24/REGLER!$B$8,0))),"")</f>
        <v/>
      </c>
      <c r="N470" s="50" t="str">
        <f t="shared" si="99"/>
        <v>Klar</v>
      </c>
      <c r="O470" s="15" t="s">
        <v>160</v>
      </c>
      <c r="P470" s="16">
        <v>0.33333333333333298</v>
      </c>
      <c r="Q470" s="16">
        <v>0.625</v>
      </c>
      <c r="R470" s="15">
        <f>IFERROR(MATCH(1,INDEX((MATCHER!$B$5:$B$504=A470)*(MATCHER!$D$5:$D$504=C470)*(MATCHER!$K$5:$K$504="Ja")*(MATCHER!$C$5:$C$504&lt;E470)*(MATCHER!$M$5:$M$504&gt;D470),0),0),"")</f>
        <v>171</v>
      </c>
      <c r="S470" s="15" t="str">
        <f>IF(R470="","",IFERROR(MATCH(1,INDEX((MATCHER!$B$5:$B$504=A470)*(MATCHER!$D$5:$D$504=C470)*(MATCHER!$K$5:$K$504="Ja")*(MATCHER!$C$5:$C$504&lt;E470)*(MATCHER!$M$5:$M$504&gt;D470)*(ROW(MATCHER!$A$5:$A$504)-ROW(MATCHER!$A$5)+1&gt;R470),0),0),""))</f>
        <v/>
      </c>
      <c r="T470" s="15" t="str">
        <f>IF(S470="","",IFERROR(MATCH(1,INDEX((MATCHER!$B$5:$B$504=A470)*(MATCHER!$D$5:$D$504=C470)*(MATCHER!$K$5:$K$504="Ja")*(MATCHER!$C$5:$C$504&lt;E470)*(MATCHER!$M$5:$M$504&gt;D470)*(ROW(MATCHER!$A$5:$A$504)-ROW(MATCHER!$A$5)+1&gt;S470),0),0),""))</f>
        <v/>
      </c>
      <c r="U470" s="15">
        <f t="shared" si="100"/>
        <v>0</v>
      </c>
      <c r="V470" s="15">
        <f>IF(OR(I470&lt;&gt;"Ja",J470=""),"",COUNTIFS($O$5:O470,O470,$U$5:U470,1))</f>
        <v>1</v>
      </c>
      <c r="W470" s="15" t="str">
        <f t="shared" si="101"/>
        <v>2027-03-13 | Tallbackaskolan|1</v>
      </c>
      <c r="X470" s="16" t="str">
        <f t="shared" si="102"/>
        <v/>
      </c>
      <c r="Y470" s="15">
        <f>IF(OR(I470&lt;&gt;"Ja",J470=""),0,IF(COUNTIFS($O$5:O470,O470,$I$5:I470,"Ja",$J$5:J470,"&lt;&gt;")=1,1,0))</f>
        <v>0</v>
      </c>
      <c r="Z470" s="15">
        <f>IF(OR(I470&lt;&gt;"Ja",J470=""),0,IF(COUNTIFS(O470:$O$546,O470,I470:$I$546,"Ja",J470:$J$546,"&lt;&gt;")=1,1,0))</f>
        <v>0</v>
      </c>
      <c r="AA470" s="15">
        <f t="shared" si="107"/>
        <v>2</v>
      </c>
      <c r="AB470" s="15" t="str">
        <f>IF(U470&lt;&gt;1,"",COUNTIF($U$5:U470,1))</f>
        <v/>
      </c>
      <c r="AC470" s="15" t="str">
        <f t="shared" si="103"/>
        <v/>
      </c>
      <c r="AD470" s="15" t="str">
        <f t="shared" si="104"/>
        <v>Vanligt café</v>
      </c>
      <c r="AE470" s="15" t="str">
        <f t="shared" si="105"/>
        <v/>
      </c>
      <c r="AF470" t="str">
        <f>IF(T470="","",IFERROR(MATCH(1,INDEX((MATCHER!$B$5:$B$504=A470)*(MATCHER!$D$5:$D$504=C470)*(MATCHER!$K$5:$K$504="Ja")*(MATCHER!$C$5:$C$504&lt;E470)*(MATCHER!$M$5:$M$504&gt;D470)*(ROW(MATCHER!$A$5:$A$504)-ROW(MATCHER!$A$5)+1&gt;T470),0),0),""))</f>
        <v/>
      </c>
    </row>
    <row r="471" spans="1:32" ht="26">
      <c r="A471" s="42">
        <v>46459</v>
      </c>
      <c r="B471" s="43" t="s">
        <v>85</v>
      </c>
      <c r="C471" s="43" t="s">
        <v>110</v>
      </c>
      <c r="D471" s="44">
        <v>0.39583333333333298</v>
      </c>
      <c r="E471" s="44">
        <v>0.41666666666666702</v>
      </c>
      <c r="F471" s="45" t="str">
        <f>IF(R471="","",HOUR(INDEX(MATCHER!$C$5:$C$504,R471))&amp;":"&amp;IF(MINUTE(INDEX(MATCHER!$C$5:$C$504,R471))&lt;10,"0","")&amp;MINUTE(INDEX(MATCHER!$C$5:$C$504,R471))&amp;" "&amp;INDEX(MATCHER!$H$5:$H$504,R471)&amp;" – "&amp;INDEX(MATCHER!$I$5:$I$504,R471))&amp;IF(S471="",""," | "&amp;HOUR(INDEX(MATCHER!$C$5:$C$504,S471))&amp;":"&amp;IF(MINUTE(INDEX(MATCHER!$C$5:$C$504,S471))&lt;10,"0","")&amp;MINUTE(INDEX(MATCHER!$C$5:$C$504,S471))&amp;" "&amp;INDEX(MATCHER!$H$5:$H$504,S471)&amp;" – "&amp;INDEX(MATCHER!$I$5:$I$504,S471))&amp;IF(T471="",""," | "&amp;HOUR(INDEX(MATCHER!$C$5:$C$504,T471))&amp;":"&amp;IF(MINUTE(INDEX(MATCHER!$C$5:$C$504,T471))&lt;10,"0","")&amp;MINUTE(INDEX(MATCHER!$C$5:$C$504,T471))&amp;" "&amp;INDEX(MATCHER!$H$5:$H$504,T471)&amp;" – "&amp;INDEX(MATCHER!$I$5:$I$504,T471))&amp;IF(AF471="",""," | "&amp;HOUR(INDEX(MATCHER!$C$5:$C$504,AF471))&amp;":"&amp;IF(MINUTE(INDEX(MATCHER!$C$5:$C$504,AF471))&lt;10,"0","")&amp;MINUTE(INDEX(MATCHER!$C$5:$C$504,AF471))&amp;" "&amp;INDEX(MATCHER!$H$5:$H$504,AF471)&amp;" – "&amp;INDEX(MATCHER!$I$5:$I$504,AF471))</f>
        <v>9:00 AIK – Spånga HK 2</v>
      </c>
      <c r="G471" s="45" t="str">
        <f>MID(IF(R471="","",IF(OR(INDEX(MATCHER!$J$5:$J$504,R471)=""),""," / "&amp;INDEX(MATCHER!$J$5:$J$504,R471)))&amp;IF(S471="","",IF(OR(INDEX(MATCHER!$J$5:$J$504,S471)="",INDEX(MATCHER!$J$5:$J$504,S471)=IFERROR(INDEX(MATCHER!$J$5:$J$504,R471),"")),""," / "&amp;INDEX(MATCHER!$J$5:$J$504,S471)))&amp;IF(T471="","",IF(OR(INDEX(MATCHER!$J$5:$J$504,T471)="",INDEX(MATCHER!$J$5:$J$504,T471)=IFERROR(INDEX(MATCHER!$J$5:$J$504,R471),""),INDEX(MATCHER!$J$5:$J$504,T471)=IFERROR(INDEX(MATCHER!$J$5:$J$504,S471),"")),""," / "&amp;INDEX(MATCHER!$J$5:$J$504,T471)))&amp;IF(AF471="","",IF(OR(INDEX(MATCHER!$J$5:$J$504,AF471)="",INDEX(MATCHER!$J$5:$J$504,AF471)=IFERROR(INDEX(MATCHER!$J$5:$J$504,R471),""),INDEX(MATCHER!$J$5:$J$504,AF471)=IFERROR(INDEX(MATCHER!$J$5:$J$504,S471),""),INDEX(MATCHER!$J$5:$J$504,AF471)=IFERROR(INDEX(MATCHER!$J$5:$J$504,T471),"")),""," / "&amp;INDEX(MATCHER!$J$5:$J$504,AF471))),4,1000)</f>
        <v>F11</v>
      </c>
      <c r="H471" s="45" t="str">
        <f t="shared" si="106"/>
        <v>F11, P12</v>
      </c>
      <c r="I471" s="46" t="s">
        <v>90</v>
      </c>
      <c r="J471" s="47" t="s">
        <v>95</v>
      </c>
      <c r="K471" s="48"/>
      <c r="L471" s="49"/>
      <c r="M471" s="50" t="str">
        <f>IF(O471&lt;&gt;O470,MAX(1,MIN(AA471,ROUNDUP(SUMPRODUCT(($O$5:$O$546=O471)*($I$5:$I$546="Ja")*($E$5:$E$546-$D$5:$D$546))*24/REGLER!$B$8,0))),"")</f>
        <v/>
      </c>
      <c r="N471" s="50" t="str">
        <f t="shared" si="99"/>
        <v>Klar</v>
      </c>
      <c r="O471" s="15" t="s">
        <v>160</v>
      </c>
      <c r="P471" s="16">
        <v>0.33333333333333298</v>
      </c>
      <c r="Q471" s="16">
        <v>0.625</v>
      </c>
      <c r="R471" s="15">
        <f>IFERROR(MATCH(1,INDEX((MATCHER!$B$5:$B$504=A471)*(MATCHER!$D$5:$D$504=C471)*(MATCHER!$K$5:$K$504="Ja")*(MATCHER!$C$5:$C$504&lt;E471)*(MATCHER!$M$5:$M$504&gt;D471),0),0),"")</f>
        <v>171</v>
      </c>
      <c r="S471" s="15" t="str">
        <f>IF(R471="","",IFERROR(MATCH(1,INDEX((MATCHER!$B$5:$B$504=A471)*(MATCHER!$D$5:$D$504=C471)*(MATCHER!$K$5:$K$504="Ja")*(MATCHER!$C$5:$C$504&lt;E471)*(MATCHER!$M$5:$M$504&gt;D471)*(ROW(MATCHER!$A$5:$A$504)-ROW(MATCHER!$A$5)+1&gt;R471),0),0),""))</f>
        <v/>
      </c>
      <c r="T471" s="15" t="str">
        <f>IF(S471="","",IFERROR(MATCH(1,INDEX((MATCHER!$B$5:$B$504=A471)*(MATCHER!$D$5:$D$504=C471)*(MATCHER!$K$5:$K$504="Ja")*(MATCHER!$C$5:$C$504&lt;E471)*(MATCHER!$M$5:$M$504&gt;D471)*(ROW(MATCHER!$A$5:$A$504)-ROW(MATCHER!$A$5)+1&gt;S471),0),0),""))</f>
        <v/>
      </c>
      <c r="U471" s="15">
        <f t="shared" si="100"/>
        <v>0</v>
      </c>
      <c r="V471" s="15">
        <f>IF(OR(I471&lt;&gt;"Ja",J471=""),"",COUNTIFS($O$5:O471,O471,$U$5:U471,1))</f>
        <v>1</v>
      </c>
      <c r="W471" s="15" t="str">
        <f t="shared" si="101"/>
        <v>2027-03-13 | Tallbackaskolan|1</v>
      </c>
      <c r="X471" s="16" t="str">
        <f t="shared" si="102"/>
        <v/>
      </c>
      <c r="Y471" s="15">
        <f>IF(OR(I471&lt;&gt;"Ja",J471=""),0,IF(COUNTIFS($O$5:O471,O471,$I$5:I471,"Ja",$J$5:J471,"&lt;&gt;")=1,1,0))</f>
        <v>0</v>
      </c>
      <c r="Z471" s="15">
        <f>IF(OR(I471&lt;&gt;"Ja",J471=""),0,IF(COUNTIFS(O471:$O$546,O471,I471:$I$546,"Ja",J471:$J$546,"&lt;&gt;")=1,1,0))</f>
        <v>0</v>
      </c>
      <c r="AA471" s="15">
        <f t="shared" si="107"/>
        <v>2</v>
      </c>
      <c r="AB471" s="15" t="str">
        <f>IF(U471&lt;&gt;1,"",COUNTIF($U$5:U471,1))</f>
        <v/>
      </c>
      <c r="AC471" s="15" t="str">
        <f t="shared" si="103"/>
        <v/>
      </c>
      <c r="AD471" s="15" t="str">
        <f t="shared" si="104"/>
        <v>Vanligt café</v>
      </c>
      <c r="AE471" s="15" t="str">
        <f t="shared" si="105"/>
        <v/>
      </c>
      <c r="AF471" t="str">
        <f>IF(T471="","",IFERROR(MATCH(1,INDEX((MATCHER!$B$5:$B$504=A471)*(MATCHER!$D$5:$D$504=C471)*(MATCHER!$K$5:$K$504="Ja")*(MATCHER!$C$5:$C$504&lt;E471)*(MATCHER!$M$5:$M$504&gt;D471)*(ROW(MATCHER!$A$5:$A$504)-ROW(MATCHER!$A$5)+1&gt;T471),0),0),""))</f>
        <v/>
      </c>
    </row>
    <row r="472" spans="1:32" ht="26">
      <c r="A472" s="42">
        <v>46459</v>
      </c>
      <c r="B472" s="43" t="s">
        <v>85</v>
      </c>
      <c r="C472" s="43" t="s">
        <v>110</v>
      </c>
      <c r="D472" s="44">
        <v>0.41666666666666702</v>
      </c>
      <c r="E472" s="44">
        <v>0.4375</v>
      </c>
      <c r="F472" s="45" t="str">
        <f>IF(R472="","",HOUR(INDEX(MATCHER!$C$5:$C$504,R472))&amp;":"&amp;IF(MINUTE(INDEX(MATCHER!$C$5:$C$504,R472))&lt;10,"0","")&amp;MINUTE(INDEX(MATCHER!$C$5:$C$504,R472))&amp;" "&amp;INDEX(MATCHER!$H$5:$H$504,R472)&amp;" – "&amp;INDEX(MATCHER!$I$5:$I$504,R472))&amp;IF(S472="",""," | "&amp;HOUR(INDEX(MATCHER!$C$5:$C$504,S472))&amp;":"&amp;IF(MINUTE(INDEX(MATCHER!$C$5:$C$504,S472))&lt;10,"0","")&amp;MINUTE(INDEX(MATCHER!$C$5:$C$504,S472))&amp;" "&amp;INDEX(MATCHER!$H$5:$H$504,S472)&amp;" – "&amp;INDEX(MATCHER!$I$5:$I$504,S472))&amp;IF(T472="",""," | "&amp;HOUR(INDEX(MATCHER!$C$5:$C$504,T472))&amp;":"&amp;IF(MINUTE(INDEX(MATCHER!$C$5:$C$504,T472))&lt;10,"0","")&amp;MINUTE(INDEX(MATCHER!$C$5:$C$504,T472))&amp;" "&amp;INDEX(MATCHER!$H$5:$H$504,T472)&amp;" – "&amp;INDEX(MATCHER!$I$5:$I$504,T472))&amp;IF(AF472="",""," | "&amp;HOUR(INDEX(MATCHER!$C$5:$C$504,AF472))&amp;":"&amp;IF(MINUTE(INDEX(MATCHER!$C$5:$C$504,AF472))&lt;10,"0","")&amp;MINUTE(INDEX(MATCHER!$C$5:$C$504,AF472))&amp;" "&amp;INDEX(MATCHER!$H$5:$H$504,AF472)&amp;" – "&amp;INDEX(MATCHER!$I$5:$I$504,AF472))</f>
        <v>10:00 AIK – Vallentuna HK</v>
      </c>
      <c r="G472" s="45" t="str">
        <f>MID(IF(R472="","",IF(OR(INDEX(MATCHER!$J$5:$J$504,R472)=""),""," / "&amp;INDEX(MATCHER!$J$5:$J$504,R472)))&amp;IF(S472="","",IF(OR(INDEX(MATCHER!$J$5:$J$504,S472)="",INDEX(MATCHER!$J$5:$J$504,S472)=IFERROR(INDEX(MATCHER!$J$5:$J$504,R472),"")),""," / "&amp;INDEX(MATCHER!$J$5:$J$504,S472)))&amp;IF(T472="","",IF(OR(INDEX(MATCHER!$J$5:$J$504,T472)="",INDEX(MATCHER!$J$5:$J$504,T472)=IFERROR(INDEX(MATCHER!$J$5:$J$504,R472),""),INDEX(MATCHER!$J$5:$J$504,T472)=IFERROR(INDEX(MATCHER!$J$5:$J$504,S472),"")),""," / "&amp;INDEX(MATCHER!$J$5:$J$504,T472)))&amp;IF(AF472="","",IF(OR(INDEX(MATCHER!$J$5:$J$504,AF472)="",INDEX(MATCHER!$J$5:$J$504,AF472)=IFERROR(INDEX(MATCHER!$J$5:$J$504,R472),""),INDEX(MATCHER!$J$5:$J$504,AF472)=IFERROR(INDEX(MATCHER!$J$5:$J$504,S472),""),INDEX(MATCHER!$J$5:$J$504,AF472)=IFERROR(INDEX(MATCHER!$J$5:$J$504,T472),"")),""," / "&amp;INDEX(MATCHER!$J$5:$J$504,AF472))),4,1000)</f>
        <v>P12</v>
      </c>
      <c r="H472" s="45" t="str">
        <f t="shared" si="106"/>
        <v>F11, P12</v>
      </c>
      <c r="I472" s="46" t="s">
        <v>90</v>
      </c>
      <c r="J472" s="47" t="s">
        <v>95</v>
      </c>
      <c r="K472" s="48"/>
      <c r="L472" s="49"/>
      <c r="M472" s="50" t="str">
        <f>IF(O472&lt;&gt;O471,MAX(1,MIN(AA472,ROUNDUP(SUMPRODUCT(($O$5:$O$546=O472)*($I$5:$I$546="Ja")*($E$5:$E$546-$D$5:$D$546))*24/REGLER!$B$8,0))),"")</f>
        <v/>
      </c>
      <c r="N472" s="50" t="str">
        <f t="shared" si="99"/>
        <v>Klar</v>
      </c>
      <c r="O472" s="15" t="s">
        <v>160</v>
      </c>
      <c r="P472" s="16">
        <v>0.33333333333333298</v>
      </c>
      <c r="Q472" s="16">
        <v>0.625</v>
      </c>
      <c r="R472" s="15">
        <f>IFERROR(MATCH(1,INDEX((MATCHER!$B$5:$B$504=A472)*(MATCHER!$D$5:$D$504=C472)*(MATCHER!$K$5:$K$504="Ja")*(MATCHER!$C$5:$C$504&lt;E472)*(MATCHER!$M$5:$M$504&gt;D472),0),0),"")</f>
        <v>172</v>
      </c>
      <c r="S472" s="15" t="str">
        <f>IF(R472="","",IFERROR(MATCH(1,INDEX((MATCHER!$B$5:$B$504=A472)*(MATCHER!$D$5:$D$504=C472)*(MATCHER!$K$5:$K$504="Ja")*(MATCHER!$C$5:$C$504&lt;E472)*(MATCHER!$M$5:$M$504&gt;D472)*(ROW(MATCHER!$A$5:$A$504)-ROW(MATCHER!$A$5)+1&gt;R472),0),0),""))</f>
        <v/>
      </c>
      <c r="T472" s="15" t="str">
        <f>IF(S472="","",IFERROR(MATCH(1,INDEX((MATCHER!$B$5:$B$504=A472)*(MATCHER!$D$5:$D$504=C472)*(MATCHER!$K$5:$K$504="Ja")*(MATCHER!$C$5:$C$504&lt;E472)*(MATCHER!$M$5:$M$504&gt;D472)*(ROW(MATCHER!$A$5:$A$504)-ROW(MATCHER!$A$5)+1&gt;S472),0),0),""))</f>
        <v/>
      </c>
      <c r="U472" s="15">
        <f t="shared" si="100"/>
        <v>0</v>
      </c>
      <c r="V472" s="15">
        <f>IF(OR(I472&lt;&gt;"Ja",J472=""),"",COUNTIFS($O$5:O472,O472,$U$5:U472,1))</f>
        <v>1</v>
      </c>
      <c r="W472" s="15" t="str">
        <f t="shared" si="101"/>
        <v>2027-03-13 | Tallbackaskolan|1</v>
      </c>
      <c r="X472" s="16" t="str">
        <f t="shared" si="102"/>
        <v/>
      </c>
      <c r="Y472" s="15">
        <f>IF(OR(I472&lt;&gt;"Ja",J472=""),0,IF(COUNTIFS($O$5:O472,O472,$I$5:I472,"Ja",$J$5:J472,"&lt;&gt;")=1,1,0))</f>
        <v>0</v>
      </c>
      <c r="Z472" s="15">
        <f>IF(OR(I472&lt;&gt;"Ja",J472=""),0,IF(COUNTIFS(O472:$O$546,O472,I472:$I$546,"Ja",J472:$J$546,"&lt;&gt;")=1,1,0))</f>
        <v>0</v>
      </c>
      <c r="AA472" s="15">
        <f t="shared" si="107"/>
        <v>2</v>
      </c>
      <c r="AB472" s="15" t="str">
        <f>IF(U472&lt;&gt;1,"",COUNTIF($U$5:U472,1))</f>
        <v/>
      </c>
      <c r="AC472" s="15" t="str">
        <f t="shared" si="103"/>
        <v/>
      </c>
      <c r="AD472" s="15" t="str">
        <f t="shared" si="104"/>
        <v>Vanligt café</v>
      </c>
      <c r="AE472" s="15" t="str">
        <f t="shared" si="105"/>
        <v/>
      </c>
      <c r="AF472" t="str">
        <f>IF(T472="","",IFERROR(MATCH(1,INDEX((MATCHER!$B$5:$B$504=A472)*(MATCHER!$D$5:$D$504=C472)*(MATCHER!$K$5:$K$504="Ja")*(MATCHER!$C$5:$C$504&lt;E472)*(MATCHER!$M$5:$M$504&gt;D472)*(ROW(MATCHER!$A$5:$A$504)-ROW(MATCHER!$A$5)+1&gt;T472),0),0),""))</f>
        <v/>
      </c>
    </row>
    <row r="473" spans="1:32" ht="26">
      <c r="A473" s="42">
        <v>46459</v>
      </c>
      <c r="B473" s="43" t="s">
        <v>85</v>
      </c>
      <c r="C473" s="43" t="s">
        <v>110</v>
      </c>
      <c r="D473" s="44">
        <v>0.4375</v>
      </c>
      <c r="E473" s="44">
        <v>0.45833333333333298</v>
      </c>
      <c r="F473" s="45" t="str">
        <f>IF(R473="","",HOUR(INDEX(MATCHER!$C$5:$C$504,R473))&amp;":"&amp;IF(MINUTE(INDEX(MATCHER!$C$5:$C$504,R473))&lt;10,"0","")&amp;MINUTE(INDEX(MATCHER!$C$5:$C$504,R473))&amp;" "&amp;INDEX(MATCHER!$H$5:$H$504,R473)&amp;" – "&amp;INDEX(MATCHER!$I$5:$I$504,R473))&amp;IF(S473="",""," | "&amp;HOUR(INDEX(MATCHER!$C$5:$C$504,S473))&amp;":"&amp;IF(MINUTE(INDEX(MATCHER!$C$5:$C$504,S473))&lt;10,"0","")&amp;MINUTE(INDEX(MATCHER!$C$5:$C$504,S473))&amp;" "&amp;INDEX(MATCHER!$H$5:$H$504,S473)&amp;" – "&amp;INDEX(MATCHER!$I$5:$I$504,S473))&amp;IF(T473="",""," | "&amp;HOUR(INDEX(MATCHER!$C$5:$C$504,T473))&amp;":"&amp;IF(MINUTE(INDEX(MATCHER!$C$5:$C$504,T473))&lt;10,"0","")&amp;MINUTE(INDEX(MATCHER!$C$5:$C$504,T473))&amp;" "&amp;INDEX(MATCHER!$H$5:$H$504,T473)&amp;" – "&amp;INDEX(MATCHER!$I$5:$I$504,T473))&amp;IF(AF473="",""," | "&amp;HOUR(INDEX(MATCHER!$C$5:$C$504,AF473))&amp;":"&amp;IF(MINUTE(INDEX(MATCHER!$C$5:$C$504,AF473))&lt;10,"0","")&amp;MINUTE(INDEX(MATCHER!$C$5:$C$504,AF473))&amp;" "&amp;INDEX(MATCHER!$H$5:$H$504,AF473)&amp;" – "&amp;INDEX(MATCHER!$I$5:$I$504,AF473))</f>
        <v>10:00 AIK – Vallentuna HK</v>
      </c>
      <c r="G473" s="45" t="str">
        <f>MID(IF(R473="","",IF(OR(INDEX(MATCHER!$J$5:$J$504,R473)=""),""," / "&amp;INDEX(MATCHER!$J$5:$J$504,R473)))&amp;IF(S473="","",IF(OR(INDEX(MATCHER!$J$5:$J$504,S473)="",INDEX(MATCHER!$J$5:$J$504,S473)=IFERROR(INDEX(MATCHER!$J$5:$J$504,R473),"")),""," / "&amp;INDEX(MATCHER!$J$5:$J$504,S473)))&amp;IF(T473="","",IF(OR(INDEX(MATCHER!$J$5:$J$504,T473)="",INDEX(MATCHER!$J$5:$J$504,T473)=IFERROR(INDEX(MATCHER!$J$5:$J$504,R473),""),INDEX(MATCHER!$J$5:$J$504,T473)=IFERROR(INDEX(MATCHER!$J$5:$J$504,S473),"")),""," / "&amp;INDEX(MATCHER!$J$5:$J$504,T473)))&amp;IF(AF473="","",IF(OR(INDEX(MATCHER!$J$5:$J$504,AF473)="",INDEX(MATCHER!$J$5:$J$504,AF473)=IFERROR(INDEX(MATCHER!$J$5:$J$504,R473),""),INDEX(MATCHER!$J$5:$J$504,AF473)=IFERROR(INDEX(MATCHER!$J$5:$J$504,S473),""),INDEX(MATCHER!$J$5:$J$504,AF473)=IFERROR(INDEX(MATCHER!$J$5:$J$504,T473),"")),""," / "&amp;INDEX(MATCHER!$J$5:$J$504,AF473))),4,1000)</f>
        <v>P12</v>
      </c>
      <c r="H473" s="45" t="str">
        <f t="shared" si="106"/>
        <v>F11, P12</v>
      </c>
      <c r="I473" s="46" t="s">
        <v>90</v>
      </c>
      <c r="J473" s="47" t="s">
        <v>95</v>
      </c>
      <c r="K473" s="48"/>
      <c r="L473" s="49"/>
      <c r="M473" s="50" t="str">
        <f>IF(O473&lt;&gt;O472,MAX(1,MIN(AA473,ROUNDUP(SUMPRODUCT(($O$5:$O$546=O473)*($I$5:$I$546="Ja")*($E$5:$E$546-$D$5:$D$546))*24/REGLER!$B$8,0))),"")</f>
        <v/>
      </c>
      <c r="N473" s="50" t="str">
        <f t="shared" si="99"/>
        <v>Klar</v>
      </c>
      <c r="O473" s="15" t="s">
        <v>160</v>
      </c>
      <c r="P473" s="16">
        <v>0.33333333333333298</v>
      </c>
      <c r="Q473" s="16">
        <v>0.625</v>
      </c>
      <c r="R473" s="15">
        <f>IFERROR(MATCH(1,INDEX((MATCHER!$B$5:$B$504=A473)*(MATCHER!$D$5:$D$504=C473)*(MATCHER!$K$5:$K$504="Ja")*(MATCHER!$C$5:$C$504&lt;E473)*(MATCHER!$M$5:$M$504&gt;D473),0),0),"")</f>
        <v>172</v>
      </c>
      <c r="S473" s="15" t="str">
        <f>IF(R473="","",IFERROR(MATCH(1,INDEX((MATCHER!$B$5:$B$504=A473)*(MATCHER!$D$5:$D$504=C473)*(MATCHER!$K$5:$K$504="Ja")*(MATCHER!$C$5:$C$504&lt;E473)*(MATCHER!$M$5:$M$504&gt;D473)*(ROW(MATCHER!$A$5:$A$504)-ROW(MATCHER!$A$5)+1&gt;R473),0),0),""))</f>
        <v/>
      </c>
      <c r="T473" s="15" t="str">
        <f>IF(S473="","",IFERROR(MATCH(1,INDEX((MATCHER!$B$5:$B$504=A473)*(MATCHER!$D$5:$D$504=C473)*(MATCHER!$K$5:$K$504="Ja")*(MATCHER!$C$5:$C$504&lt;E473)*(MATCHER!$M$5:$M$504&gt;D473)*(ROW(MATCHER!$A$5:$A$504)-ROW(MATCHER!$A$5)+1&gt;S473),0),0),""))</f>
        <v/>
      </c>
      <c r="U473" s="15">
        <f t="shared" si="100"/>
        <v>0</v>
      </c>
      <c r="V473" s="15">
        <f>IF(OR(I473&lt;&gt;"Ja",J473=""),"",COUNTIFS($O$5:O473,O473,$U$5:U473,1))</f>
        <v>1</v>
      </c>
      <c r="W473" s="15" t="str">
        <f t="shared" si="101"/>
        <v>2027-03-13 | Tallbackaskolan|1</v>
      </c>
      <c r="X473" s="16" t="str">
        <f t="shared" si="102"/>
        <v/>
      </c>
      <c r="Y473" s="15">
        <f>IF(OR(I473&lt;&gt;"Ja",J473=""),0,IF(COUNTIFS($O$5:O473,O473,$I$5:I473,"Ja",$J$5:J473,"&lt;&gt;")=1,1,0))</f>
        <v>0</v>
      </c>
      <c r="Z473" s="15">
        <f>IF(OR(I473&lt;&gt;"Ja",J473=""),0,IF(COUNTIFS(O473:$O$546,O473,I473:$I$546,"Ja",J473:$J$546,"&lt;&gt;")=1,1,0))</f>
        <v>0</v>
      </c>
      <c r="AA473" s="15">
        <f t="shared" si="107"/>
        <v>2</v>
      </c>
      <c r="AB473" s="15" t="str">
        <f>IF(U473&lt;&gt;1,"",COUNTIF($U$5:U473,1))</f>
        <v/>
      </c>
      <c r="AC473" s="15" t="str">
        <f t="shared" si="103"/>
        <v/>
      </c>
      <c r="AD473" s="15" t="str">
        <f t="shared" si="104"/>
        <v>Vanligt café</v>
      </c>
      <c r="AE473" s="15" t="str">
        <f t="shared" si="105"/>
        <v/>
      </c>
      <c r="AF473" t="str">
        <f>IF(T473="","",IFERROR(MATCH(1,INDEX((MATCHER!$B$5:$B$504=A473)*(MATCHER!$D$5:$D$504=C473)*(MATCHER!$K$5:$K$504="Ja")*(MATCHER!$C$5:$C$504&lt;E473)*(MATCHER!$M$5:$M$504&gt;D473)*(ROW(MATCHER!$A$5:$A$504)-ROW(MATCHER!$A$5)+1&gt;T473),0),0),""))</f>
        <v/>
      </c>
    </row>
    <row r="474" spans="1:32" ht="26">
      <c r="A474" s="42">
        <v>46459</v>
      </c>
      <c r="B474" s="43" t="s">
        <v>85</v>
      </c>
      <c r="C474" s="43" t="s">
        <v>110</v>
      </c>
      <c r="D474" s="44">
        <v>0.45833333333333298</v>
      </c>
      <c r="E474" s="44">
        <v>0.47916666666666702</v>
      </c>
      <c r="F474" s="45" t="str">
        <f>IF(R474="","",HOUR(INDEX(MATCHER!$C$5:$C$504,R474))&amp;":"&amp;IF(MINUTE(INDEX(MATCHER!$C$5:$C$504,R474))&lt;10,"0","")&amp;MINUTE(INDEX(MATCHER!$C$5:$C$504,R474))&amp;" "&amp;INDEX(MATCHER!$H$5:$H$504,R474)&amp;" – "&amp;INDEX(MATCHER!$I$5:$I$504,R474))&amp;IF(S474="",""," | "&amp;HOUR(INDEX(MATCHER!$C$5:$C$504,S474))&amp;":"&amp;IF(MINUTE(INDEX(MATCHER!$C$5:$C$504,S474))&lt;10,"0","")&amp;MINUTE(INDEX(MATCHER!$C$5:$C$504,S474))&amp;" "&amp;INDEX(MATCHER!$H$5:$H$504,S474)&amp;" – "&amp;INDEX(MATCHER!$I$5:$I$504,S474))&amp;IF(T474="",""," | "&amp;HOUR(INDEX(MATCHER!$C$5:$C$504,T474))&amp;":"&amp;IF(MINUTE(INDEX(MATCHER!$C$5:$C$504,T474))&lt;10,"0","")&amp;MINUTE(INDEX(MATCHER!$C$5:$C$504,T474))&amp;" "&amp;INDEX(MATCHER!$H$5:$H$504,T474)&amp;" – "&amp;INDEX(MATCHER!$I$5:$I$504,T474))&amp;IF(AF474="",""," | "&amp;HOUR(INDEX(MATCHER!$C$5:$C$504,AF474))&amp;":"&amp;IF(MINUTE(INDEX(MATCHER!$C$5:$C$504,AF474))&lt;10,"0","")&amp;MINUTE(INDEX(MATCHER!$C$5:$C$504,AF474))&amp;" "&amp;INDEX(MATCHER!$H$5:$H$504,AF474)&amp;" – "&amp;INDEX(MATCHER!$I$5:$I$504,AF474))</f>
        <v>11:00 Sannadals SK – Spånga HK 2</v>
      </c>
      <c r="G474" s="45" t="str">
        <f>MID(IF(R474="","",IF(OR(INDEX(MATCHER!$J$5:$J$504,R474)=""),""," / "&amp;INDEX(MATCHER!$J$5:$J$504,R474)))&amp;IF(S474="","",IF(OR(INDEX(MATCHER!$J$5:$J$504,S474)="",INDEX(MATCHER!$J$5:$J$504,S474)=IFERROR(INDEX(MATCHER!$J$5:$J$504,R474),"")),""," / "&amp;INDEX(MATCHER!$J$5:$J$504,S474)))&amp;IF(T474="","",IF(OR(INDEX(MATCHER!$J$5:$J$504,T474)="",INDEX(MATCHER!$J$5:$J$504,T474)=IFERROR(INDEX(MATCHER!$J$5:$J$504,R474),""),INDEX(MATCHER!$J$5:$J$504,T474)=IFERROR(INDEX(MATCHER!$J$5:$J$504,S474),"")),""," / "&amp;INDEX(MATCHER!$J$5:$J$504,T474)))&amp;IF(AF474="","",IF(OR(INDEX(MATCHER!$J$5:$J$504,AF474)="",INDEX(MATCHER!$J$5:$J$504,AF474)=IFERROR(INDEX(MATCHER!$J$5:$J$504,R474),""),INDEX(MATCHER!$J$5:$J$504,AF474)=IFERROR(INDEX(MATCHER!$J$5:$J$504,S474),""),INDEX(MATCHER!$J$5:$J$504,AF474)=IFERROR(INDEX(MATCHER!$J$5:$J$504,T474),"")),""," / "&amp;INDEX(MATCHER!$J$5:$J$504,AF474))),4,1000)</f>
        <v/>
      </c>
      <c r="H474" s="45" t="str">
        <f t="shared" si="106"/>
        <v>F11, P12</v>
      </c>
      <c r="I474" s="46" t="s">
        <v>90</v>
      </c>
      <c r="J474" s="47" t="s">
        <v>95</v>
      </c>
      <c r="K474" s="48"/>
      <c r="L474" s="49"/>
      <c r="M474" s="50" t="str">
        <f>IF(O474&lt;&gt;O473,MAX(1,MIN(AA474,ROUNDUP(SUMPRODUCT(($O$5:$O$546=O474)*($I$5:$I$546="Ja")*($E$5:$E$546-$D$5:$D$546))*24/REGLER!$B$8,0))),"")</f>
        <v/>
      </c>
      <c r="N474" s="50" t="str">
        <f t="shared" si="99"/>
        <v>Klar</v>
      </c>
      <c r="O474" s="15" t="s">
        <v>160</v>
      </c>
      <c r="P474" s="16">
        <v>0.33333333333333298</v>
      </c>
      <c r="Q474" s="16">
        <v>0.625</v>
      </c>
      <c r="R474" s="15">
        <f>IFERROR(MATCH(1,INDEX((MATCHER!$B$5:$B$504=A474)*(MATCHER!$D$5:$D$504=C474)*(MATCHER!$K$5:$K$504="Ja")*(MATCHER!$C$5:$C$504&lt;E474)*(MATCHER!$M$5:$M$504&gt;D474),0),0),"")</f>
        <v>173</v>
      </c>
      <c r="S474" s="15" t="str">
        <f>IF(R474="","",IFERROR(MATCH(1,INDEX((MATCHER!$B$5:$B$504=A474)*(MATCHER!$D$5:$D$504=C474)*(MATCHER!$K$5:$K$504="Ja")*(MATCHER!$C$5:$C$504&lt;E474)*(MATCHER!$M$5:$M$504&gt;D474)*(ROW(MATCHER!$A$5:$A$504)-ROW(MATCHER!$A$5)+1&gt;R474),0),0),""))</f>
        <v/>
      </c>
      <c r="T474" s="15" t="str">
        <f>IF(S474="","",IFERROR(MATCH(1,INDEX((MATCHER!$B$5:$B$504=A474)*(MATCHER!$D$5:$D$504=C474)*(MATCHER!$K$5:$K$504="Ja")*(MATCHER!$C$5:$C$504&lt;E474)*(MATCHER!$M$5:$M$504&gt;D474)*(ROW(MATCHER!$A$5:$A$504)-ROW(MATCHER!$A$5)+1&gt;S474),0),0),""))</f>
        <v/>
      </c>
      <c r="U474" s="15">
        <f t="shared" si="100"/>
        <v>0</v>
      </c>
      <c r="V474" s="15">
        <f>IF(OR(I474&lt;&gt;"Ja",J474=""),"",COUNTIFS($O$5:O474,O474,$U$5:U474,1))</f>
        <v>1</v>
      </c>
      <c r="W474" s="15" t="str">
        <f t="shared" si="101"/>
        <v>2027-03-13 | Tallbackaskolan|1</v>
      </c>
      <c r="X474" s="16">
        <f t="shared" si="102"/>
        <v>0.47916666666666702</v>
      </c>
      <c r="Y474" s="15">
        <f>IF(OR(I474&lt;&gt;"Ja",J474=""),0,IF(COUNTIFS($O$5:O474,O474,$I$5:I474,"Ja",$J$5:J474,"&lt;&gt;")=1,1,0))</f>
        <v>0</v>
      </c>
      <c r="Z474" s="15">
        <f>IF(OR(I474&lt;&gt;"Ja",J474=""),0,IF(COUNTIFS(O474:$O$546,O474,I474:$I$546,"Ja",J474:$J$546,"&lt;&gt;")=1,1,0))</f>
        <v>0</v>
      </c>
      <c r="AA474" s="15">
        <f t="shared" si="107"/>
        <v>2</v>
      </c>
      <c r="AB474" s="15" t="str">
        <f>IF(U474&lt;&gt;1,"",COUNTIF($U$5:U474,1))</f>
        <v/>
      </c>
      <c r="AC474" s="15" t="str">
        <f t="shared" si="103"/>
        <v>2027-03-13 | Tallbackaskolan|1</v>
      </c>
      <c r="AD474" s="15" t="str">
        <f t="shared" si="104"/>
        <v>Vanligt café</v>
      </c>
      <c r="AE474" s="15" t="str">
        <f t="shared" si="105"/>
        <v/>
      </c>
      <c r="AF474" t="str">
        <f>IF(T474="","",IFERROR(MATCH(1,INDEX((MATCHER!$B$5:$B$504=A474)*(MATCHER!$D$5:$D$504=C474)*(MATCHER!$K$5:$K$504="Ja")*(MATCHER!$C$5:$C$504&lt;E474)*(MATCHER!$M$5:$M$504&gt;D474)*(ROW(MATCHER!$A$5:$A$504)-ROW(MATCHER!$A$5)+1&gt;T474),0),0),""))</f>
        <v/>
      </c>
    </row>
    <row r="475" spans="1:32" ht="26">
      <c r="A475" s="42">
        <v>46459</v>
      </c>
      <c r="B475" s="43" t="s">
        <v>85</v>
      </c>
      <c r="C475" s="43" t="s">
        <v>110</v>
      </c>
      <c r="D475" s="44">
        <v>0.47916666666666702</v>
      </c>
      <c r="E475" s="44">
        <v>0.5</v>
      </c>
      <c r="F475" s="45" t="str">
        <f>IF(R475="","",HOUR(INDEX(MATCHER!$C$5:$C$504,R475))&amp;":"&amp;IF(MINUTE(INDEX(MATCHER!$C$5:$C$504,R475))&lt;10,"0","")&amp;MINUTE(INDEX(MATCHER!$C$5:$C$504,R475))&amp;" "&amp;INDEX(MATCHER!$H$5:$H$504,R475)&amp;" – "&amp;INDEX(MATCHER!$I$5:$I$504,R475))&amp;IF(S475="",""," | "&amp;HOUR(INDEX(MATCHER!$C$5:$C$504,S475))&amp;":"&amp;IF(MINUTE(INDEX(MATCHER!$C$5:$C$504,S475))&lt;10,"0","")&amp;MINUTE(INDEX(MATCHER!$C$5:$C$504,S475))&amp;" "&amp;INDEX(MATCHER!$H$5:$H$504,S475)&amp;" – "&amp;INDEX(MATCHER!$I$5:$I$504,S475))&amp;IF(T475="",""," | "&amp;HOUR(INDEX(MATCHER!$C$5:$C$504,T475))&amp;":"&amp;IF(MINUTE(INDEX(MATCHER!$C$5:$C$504,T475))&lt;10,"0","")&amp;MINUTE(INDEX(MATCHER!$C$5:$C$504,T475))&amp;" "&amp;INDEX(MATCHER!$H$5:$H$504,T475)&amp;" – "&amp;INDEX(MATCHER!$I$5:$I$504,T475))&amp;IF(AF475="",""," | "&amp;HOUR(INDEX(MATCHER!$C$5:$C$504,AF475))&amp;":"&amp;IF(MINUTE(INDEX(MATCHER!$C$5:$C$504,AF475))&lt;10,"0","")&amp;MINUTE(INDEX(MATCHER!$C$5:$C$504,AF475))&amp;" "&amp;INDEX(MATCHER!$H$5:$H$504,AF475)&amp;" – "&amp;INDEX(MATCHER!$I$5:$I$504,AF475))</f>
        <v>11:00 Sannadals SK – Spånga HK 2</v>
      </c>
      <c r="G475" s="45" t="str">
        <f>MID(IF(R475="","",IF(OR(INDEX(MATCHER!$J$5:$J$504,R475)=""),""," / "&amp;INDEX(MATCHER!$J$5:$J$504,R475)))&amp;IF(S475="","",IF(OR(INDEX(MATCHER!$J$5:$J$504,S475)="",INDEX(MATCHER!$J$5:$J$504,S475)=IFERROR(INDEX(MATCHER!$J$5:$J$504,R475),"")),""," / "&amp;INDEX(MATCHER!$J$5:$J$504,S475)))&amp;IF(T475="","",IF(OR(INDEX(MATCHER!$J$5:$J$504,T475)="",INDEX(MATCHER!$J$5:$J$504,T475)=IFERROR(INDEX(MATCHER!$J$5:$J$504,R475),""),INDEX(MATCHER!$J$5:$J$504,T475)=IFERROR(INDEX(MATCHER!$J$5:$J$504,S475),"")),""," / "&amp;INDEX(MATCHER!$J$5:$J$504,T475)))&amp;IF(AF475="","",IF(OR(INDEX(MATCHER!$J$5:$J$504,AF475)="",INDEX(MATCHER!$J$5:$J$504,AF475)=IFERROR(INDEX(MATCHER!$J$5:$J$504,R475),""),INDEX(MATCHER!$J$5:$J$504,AF475)=IFERROR(INDEX(MATCHER!$J$5:$J$504,S475),""),INDEX(MATCHER!$J$5:$J$504,AF475)=IFERROR(INDEX(MATCHER!$J$5:$J$504,T475),"")),""," / "&amp;INDEX(MATCHER!$J$5:$J$504,AF475))),4,1000)</f>
        <v/>
      </c>
      <c r="H475" s="45" t="str">
        <f t="shared" si="106"/>
        <v>F11, P12</v>
      </c>
      <c r="I475" s="46" t="s">
        <v>90</v>
      </c>
      <c r="J475" s="47" t="s">
        <v>117</v>
      </c>
      <c r="K475" s="48"/>
      <c r="L475" s="49"/>
      <c r="M475" s="50" t="str">
        <f>IF(O475&lt;&gt;O474,MAX(1,MIN(AA475,ROUNDUP(SUMPRODUCT(($O$5:$O$546=O475)*($I$5:$I$546="Ja")*($E$5:$E$546-$D$5:$D$546))*24/REGLER!$B$8,0))),"")</f>
        <v/>
      </c>
      <c r="N475" s="50" t="str">
        <f t="shared" si="99"/>
        <v>Klar</v>
      </c>
      <c r="O475" s="15" t="s">
        <v>160</v>
      </c>
      <c r="P475" s="16">
        <v>0.33333333333333298</v>
      </c>
      <c r="Q475" s="16">
        <v>0.625</v>
      </c>
      <c r="R475" s="15">
        <f>IFERROR(MATCH(1,INDEX((MATCHER!$B$5:$B$504=A475)*(MATCHER!$D$5:$D$504=C475)*(MATCHER!$K$5:$K$504="Ja")*(MATCHER!$C$5:$C$504&lt;E475)*(MATCHER!$M$5:$M$504&gt;D475),0),0),"")</f>
        <v>173</v>
      </c>
      <c r="S475" s="15" t="str">
        <f>IF(R475="","",IFERROR(MATCH(1,INDEX((MATCHER!$B$5:$B$504=A475)*(MATCHER!$D$5:$D$504=C475)*(MATCHER!$K$5:$K$504="Ja")*(MATCHER!$C$5:$C$504&lt;E475)*(MATCHER!$M$5:$M$504&gt;D475)*(ROW(MATCHER!$A$5:$A$504)-ROW(MATCHER!$A$5)+1&gt;R475),0),0),""))</f>
        <v/>
      </c>
      <c r="T475" s="15" t="str">
        <f>IF(S475="","",IFERROR(MATCH(1,INDEX((MATCHER!$B$5:$B$504=A475)*(MATCHER!$D$5:$D$504=C475)*(MATCHER!$K$5:$K$504="Ja")*(MATCHER!$C$5:$C$504&lt;E475)*(MATCHER!$M$5:$M$504&gt;D475)*(ROW(MATCHER!$A$5:$A$504)-ROW(MATCHER!$A$5)+1&gt;S475),0),0),""))</f>
        <v/>
      </c>
      <c r="U475" s="15">
        <f t="shared" si="100"/>
        <v>1</v>
      </c>
      <c r="V475" s="15">
        <f>IF(OR(I475&lt;&gt;"Ja",J475=""),"",COUNTIFS($O$5:O475,O475,$U$5:U475,1))</f>
        <v>2</v>
      </c>
      <c r="W475" s="15" t="str">
        <f t="shared" si="101"/>
        <v>2027-03-13 | Tallbackaskolan|2</v>
      </c>
      <c r="X475" s="16" t="str">
        <f t="shared" si="102"/>
        <v/>
      </c>
      <c r="Y475" s="15">
        <f>IF(OR(I475&lt;&gt;"Ja",J475=""),0,IF(COUNTIFS($O$5:O475,O475,$I$5:I475,"Ja",$J$5:J475,"&lt;&gt;")=1,1,0))</f>
        <v>0</v>
      </c>
      <c r="Z475" s="15">
        <f>IF(OR(I475&lt;&gt;"Ja",J475=""),0,IF(COUNTIFS(O475:$O$546,O475,I475:$I$546,"Ja",J475:$J$546,"&lt;&gt;")=1,1,0))</f>
        <v>0</v>
      </c>
      <c r="AA475" s="15">
        <f t="shared" si="107"/>
        <v>2</v>
      </c>
      <c r="AB475" s="15">
        <f>IF(U475&lt;&gt;1,"",COUNTIF($U$5:U475,1))</f>
        <v>84</v>
      </c>
      <c r="AC475" s="15" t="str">
        <f t="shared" si="103"/>
        <v/>
      </c>
      <c r="AD475" s="15" t="str">
        <f t="shared" si="104"/>
        <v>Vanligt café</v>
      </c>
      <c r="AE475" s="15">
        <f t="shared" si="105"/>
        <v>3.4999999999999916</v>
      </c>
      <c r="AF475" t="str">
        <f>IF(T475="","",IFERROR(MATCH(1,INDEX((MATCHER!$B$5:$B$504=A475)*(MATCHER!$D$5:$D$504=C475)*(MATCHER!$K$5:$K$504="Ja")*(MATCHER!$C$5:$C$504&lt;E475)*(MATCHER!$M$5:$M$504&gt;D475)*(ROW(MATCHER!$A$5:$A$504)-ROW(MATCHER!$A$5)+1&gt;T475),0),0),""))</f>
        <v/>
      </c>
    </row>
    <row r="476" spans="1:32" ht="26">
      <c r="A476" s="42">
        <v>46459</v>
      </c>
      <c r="B476" s="43" t="s">
        <v>85</v>
      </c>
      <c r="C476" s="43" t="s">
        <v>110</v>
      </c>
      <c r="D476" s="44">
        <v>0.5</v>
      </c>
      <c r="E476" s="44">
        <v>0.52083333333333304</v>
      </c>
      <c r="F476" s="45" t="str">
        <f>IF(R476="","",HOUR(INDEX(MATCHER!$C$5:$C$504,R476))&amp;":"&amp;IF(MINUTE(INDEX(MATCHER!$C$5:$C$504,R476))&lt;10,"0","")&amp;MINUTE(INDEX(MATCHER!$C$5:$C$504,R476))&amp;" "&amp;INDEX(MATCHER!$H$5:$H$504,R476)&amp;" – "&amp;INDEX(MATCHER!$I$5:$I$504,R476))&amp;IF(S476="",""," | "&amp;HOUR(INDEX(MATCHER!$C$5:$C$504,S476))&amp;":"&amp;IF(MINUTE(INDEX(MATCHER!$C$5:$C$504,S476))&lt;10,"0","")&amp;MINUTE(INDEX(MATCHER!$C$5:$C$504,S476))&amp;" "&amp;INDEX(MATCHER!$H$5:$H$504,S476)&amp;" – "&amp;INDEX(MATCHER!$I$5:$I$504,S476))&amp;IF(T476="",""," | "&amp;HOUR(INDEX(MATCHER!$C$5:$C$504,T476))&amp;":"&amp;IF(MINUTE(INDEX(MATCHER!$C$5:$C$504,T476))&lt;10,"0","")&amp;MINUTE(INDEX(MATCHER!$C$5:$C$504,T476))&amp;" "&amp;INDEX(MATCHER!$H$5:$H$504,T476)&amp;" – "&amp;INDEX(MATCHER!$I$5:$I$504,T476))&amp;IF(AF476="",""," | "&amp;HOUR(INDEX(MATCHER!$C$5:$C$504,AF476))&amp;":"&amp;IF(MINUTE(INDEX(MATCHER!$C$5:$C$504,AF476))&lt;10,"0","")&amp;MINUTE(INDEX(MATCHER!$C$5:$C$504,AF476))&amp;" "&amp;INDEX(MATCHER!$H$5:$H$504,AF476)&amp;" – "&amp;INDEX(MATCHER!$I$5:$I$504,AF476))</f>
        <v>12:00 Lidingö SK 2 – Vallentuna HK</v>
      </c>
      <c r="G476" s="45" t="str">
        <f>MID(IF(R476="","",IF(OR(INDEX(MATCHER!$J$5:$J$504,R476)=""),""," / "&amp;INDEX(MATCHER!$J$5:$J$504,R476)))&amp;IF(S476="","",IF(OR(INDEX(MATCHER!$J$5:$J$504,S476)="",INDEX(MATCHER!$J$5:$J$504,S476)=IFERROR(INDEX(MATCHER!$J$5:$J$504,R476),"")),""," / "&amp;INDEX(MATCHER!$J$5:$J$504,S476)))&amp;IF(T476="","",IF(OR(INDEX(MATCHER!$J$5:$J$504,T476)="",INDEX(MATCHER!$J$5:$J$504,T476)=IFERROR(INDEX(MATCHER!$J$5:$J$504,R476),""),INDEX(MATCHER!$J$5:$J$504,T476)=IFERROR(INDEX(MATCHER!$J$5:$J$504,S476),"")),""," / "&amp;INDEX(MATCHER!$J$5:$J$504,T476)))&amp;IF(AF476="","",IF(OR(INDEX(MATCHER!$J$5:$J$504,AF476)="",INDEX(MATCHER!$J$5:$J$504,AF476)=IFERROR(INDEX(MATCHER!$J$5:$J$504,R476),""),INDEX(MATCHER!$J$5:$J$504,AF476)=IFERROR(INDEX(MATCHER!$J$5:$J$504,S476),""),INDEX(MATCHER!$J$5:$J$504,AF476)=IFERROR(INDEX(MATCHER!$J$5:$J$504,T476),"")),""," / "&amp;INDEX(MATCHER!$J$5:$J$504,AF476))),4,1000)</f>
        <v/>
      </c>
      <c r="H476" s="45" t="str">
        <f t="shared" si="106"/>
        <v>F11, P12</v>
      </c>
      <c r="I476" s="46" t="s">
        <v>90</v>
      </c>
      <c r="J476" s="47" t="s">
        <v>117</v>
      </c>
      <c r="K476" s="48"/>
      <c r="L476" s="49"/>
      <c r="M476" s="50" t="str">
        <f>IF(O476&lt;&gt;O475,MAX(1,MIN(AA476,ROUNDUP(SUMPRODUCT(($O$5:$O$546=O476)*($I$5:$I$546="Ja")*($E$5:$E$546-$D$5:$D$546))*24/REGLER!$B$8,0))),"")</f>
        <v/>
      </c>
      <c r="N476" s="50" t="str">
        <f t="shared" si="99"/>
        <v>Klar</v>
      </c>
      <c r="O476" s="15" t="s">
        <v>160</v>
      </c>
      <c r="P476" s="16">
        <v>0.33333333333333298</v>
      </c>
      <c r="Q476" s="16">
        <v>0.625</v>
      </c>
      <c r="R476" s="15">
        <f>IFERROR(MATCH(1,INDEX((MATCHER!$B$5:$B$504=A476)*(MATCHER!$D$5:$D$504=C476)*(MATCHER!$K$5:$K$504="Ja")*(MATCHER!$C$5:$C$504&lt;E476)*(MATCHER!$M$5:$M$504&gt;D476),0),0),"")</f>
        <v>174</v>
      </c>
      <c r="S476" s="15" t="str">
        <f>IF(R476="","",IFERROR(MATCH(1,INDEX((MATCHER!$B$5:$B$504=A476)*(MATCHER!$D$5:$D$504=C476)*(MATCHER!$K$5:$K$504="Ja")*(MATCHER!$C$5:$C$504&lt;E476)*(MATCHER!$M$5:$M$504&gt;D476)*(ROW(MATCHER!$A$5:$A$504)-ROW(MATCHER!$A$5)+1&gt;R476),0),0),""))</f>
        <v/>
      </c>
      <c r="T476" s="15" t="str">
        <f>IF(S476="","",IFERROR(MATCH(1,INDEX((MATCHER!$B$5:$B$504=A476)*(MATCHER!$D$5:$D$504=C476)*(MATCHER!$K$5:$K$504="Ja")*(MATCHER!$C$5:$C$504&lt;E476)*(MATCHER!$M$5:$M$504&gt;D476)*(ROW(MATCHER!$A$5:$A$504)-ROW(MATCHER!$A$5)+1&gt;S476),0),0),""))</f>
        <v/>
      </c>
      <c r="U476" s="15">
        <f t="shared" si="100"/>
        <v>0</v>
      </c>
      <c r="V476" s="15">
        <f>IF(OR(I476&lt;&gt;"Ja",J476=""),"",COUNTIFS($O$5:O476,O476,$U$5:U476,1))</f>
        <v>2</v>
      </c>
      <c r="W476" s="15" t="str">
        <f t="shared" si="101"/>
        <v>2027-03-13 | Tallbackaskolan|2</v>
      </c>
      <c r="X476" s="16" t="str">
        <f t="shared" si="102"/>
        <v/>
      </c>
      <c r="Y476" s="15">
        <f>IF(OR(I476&lt;&gt;"Ja",J476=""),0,IF(COUNTIFS($O$5:O476,O476,$I$5:I476,"Ja",$J$5:J476,"&lt;&gt;")=1,1,0))</f>
        <v>0</v>
      </c>
      <c r="Z476" s="15">
        <f>IF(OR(I476&lt;&gt;"Ja",J476=""),0,IF(COUNTIFS(O476:$O$546,O476,I476:$I$546,"Ja",J476:$J$546,"&lt;&gt;")=1,1,0))</f>
        <v>0</v>
      </c>
      <c r="AA476" s="15">
        <f t="shared" si="107"/>
        <v>2</v>
      </c>
      <c r="AB476" s="15" t="str">
        <f>IF(U476&lt;&gt;1,"",COUNTIF($U$5:U476,1))</f>
        <v/>
      </c>
      <c r="AC476" s="15" t="str">
        <f t="shared" si="103"/>
        <v/>
      </c>
      <c r="AD476" s="15" t="str">
        <f t="shared" si="104"/>
        <v>Vanligt café</v>
      </c>
      <c r="AE476" s="15" t="str">
        <f t="shared" si="105"/>
        <v/>
      </c>
      <c r="AF476" t="str">
        <f>IF(T476="","",IFERROR(MATCH(1,INDEX((MATCHER!$B$5:$B$504=A476)*(MATCHER!$D$5:$D$504=C476)*(MATCHER!$K$5:$K$504="Ja")*(MATCHER!$C$5:$C$504&lt;E476)*(MATCHER!$M$5:$M$504&gt;D476)*(ROW(MATCHER!$A$5:$A$504)-ROW(MATCHER!$A$5)+1&gt;T476),0),0),""))</f>
        <v/>
      </c>
    </row>
    <row r="477" spans="1:32" ht="26">
      <c r="A477" s="42">
        <v>46459</v>
      </c>
      <c r="B477" s="43" t="s">
        <v>85</v>
      </c>
      <c r="C477" s="43" t="s">
        <v>110</v>
      </c>
      <c r="D477" s="44">
        <v>0.52083333333333304</v>
      </c>
      <c r="E477" s="44">
        <v>0.54166666666666696</v>
      </c>
      <c r="F477" s="45" t="str">
        <f>IF(R477="","",HOUR(INDEX(MATCHER!$C$5:$C$504,R477))&amp;":"&amp;IF(MINUTE(INDEX(MATCHER!$C$5:$C$504,R477))&lt;10,"0","")&amp;MINUTE(INDEX(MATCHER!$C$5:$C$504,R477))&amp;" "&amp;INDEX(MATCHER!$H$5:$H$504,R477)&amp;" – "&amp;INDEX(MATCHER!$I$5:$I$504,R477))&amp;IF(S477="",""," | "&amp;HOUR(INDEX(MATCHER!$C$5:$C$504,S477))&amp;":"&amp;IF(MINUTE(INDEX(MATCHER!$C$5:$C$504,S477))&lt;10,"0","")&amp;MINUTE(INDEX(MATCHER!$C$5:$C$504,S477))&amp;" "&amp;INDEX(MATCHER!$H$5:$H$504,S477)&amp;" – "&amp;INDEX(MATCHER!$I$5:$I$504,S477))&amp;IF(T477="",""," | "&amp;HOUR(INDEX(MATCHER!$C$5:$C$504,T477))&amp;":"&amp;IF(MINUTE(INDEX(MATCHER!$C$5:$C$504,T477))&lt;10,"0","")&amp;MINUTE(INDEX(MATCHER!$C$5:$C$504,T477))&amp;" "&amp;INDEX(MATCHER!$H$5:$H$504,T477)&amp;" – "&amp;INDEX(MATCHER!$I$5:$I$504,T477))&amp;IF(AF477="",""," | "&amp;HOUR(INDEX(MATCHER!$C$5:$C$504,AF477))&amp;":"&amp;IF(MINUTE(INDEX(MATCHER!$C$5:$C$504,AF477))&lt;10,"0","")&amp;MINUTE(INDEX(MATCHER!$C$5:$C$504,AF477))&amp;" "&amp;INDEX(MATCHER!$H$5:$H$504,AF477)&amp;" – "&amp;INDEX(MATCHER!$I$5:$I$504,AF477))</f>
        <v>12:00 Lidingö SK 2 – Vallentuna HK</v>
      </c>
      <c r="G477" s="45" t="str">
        <f>MID(IF(R477="","",IF(OR(INDEX(MATCHER!$J$5:$J$504,R477)=""),""," / "&amp;INDEX(MATCHER!$J$5:$J$504,R477)))&amp;IF(S477="","",IF(OR(INDEX(MATCHER!$J$5:$J$504,S477)="",INDEX(MATCHER!$J$5:$J$504,S477)=IFERROR(INDEX(MATCHER!$J$5:$J$504,R477),"")),""," / "&amp;INDEX(MATCHER!$J$5:$J$504,S477)))&amp;IF(T477="","",IF(OR(INDEX(MATCHER!$J$5:$J$504,T477)="",INDEX(MATCHER!$J$5:$J$504,T477)=IFERROR(INDEX(MATCHER!$J$5:$J$504,R477),""),INDEX(MATCHER!$J$5:$J$504,T477)=IFERROR(INDEX(MATCHER!$J$5:$J$504,S477),"")),""," / "&amp;INDEX(MATCHER!$J$5:$J$504,T477)))&amp;IF(AF477="","",IF(OR(INDEX(MATCHER!$J$5:$J$504,AF477)="",INDEX(MATCHER!$J$5:$J$504,AF477)=IFERROR(INDEX(MATCHER!$J$5:$J$504,R477),""),INDEX(MATCHER!$J$5:$J$504,AF477)=IFERROR(INDEX(MATCHER!$J$5:$J$504,S477),""),INDEX(MATCHER!$J$5:$J$504,AF477)=IFERROR(INDEX(MATCHER!$J$5:$J$504,T477),"")),""," / "&amp;INDEX(MATCHER!$J$5:$J$504,AF477))),4,1000)</f>
        <v/>
      </c>
      <c r="H477" s="45" t="str">
        <f t="shared" si="106"/>
        <v>F11, P12</v>
      </c>
      <c r="I477" s="46" t="s">
        <v>90</v>
      </c>
      <c r="J477" s="47" t="s">
        <v>117</v>
      </c>
      <c r="K477" s="48"/>
      <c r="L477" s="49"/>
      <c r="M477" s="50" t="str">
        <f>IF(O477&lt;&gt;O476,MAX(1,MIN(AA477,ROUNDUP(SUMPRODUCT(($O$5:$O$546=O477)*($I$5:$I$546="Ja")*($E$5:$E$546-$D$5:$D$546))*24/REGLER!$B$8,0))),"")</f>
        <v/>
      </c>
      <c r="N477" s="50" t="str">
        <f t="shared" si="99"/>
        <v>Klar</v>
      </c>
      <c r="O477" s="15" t="s">
        <v>160</v>
      </c>
      <c r="P477" s="16">
        <v>0.33333333333333298</v>
      </c>
      <c r="Q477" s="16">
        <v>0.625</v>
      </c>
      <c r="R477" s="15">
        <f>IFERROR(MATCH(1,INDEX((MATCHER!$B$5:$B$504=A477)*(MATCHER!$D$5:$D$504=C477)*(MATCHER!$K$5:$K$504="Ja")*(MATCHER!$C$5:$C$504&lt;E477)*(MATCHER!$M$5:$M$504&gt;D477),0),0),"")</f>
        <v>174</v>
      </c>
      <c r="S477" s="15" t="str">
        <f>IF(R477="","",IFERROR(MATCH(1,INDEX((MATCHER!$B$5:$B$504=A477)*(MATCHER!$D$5:$D$504=C477)*(MATCHER!$K$5:$K$504="Ja")*(MATCHER!$C$5:$C$504&lt;E477)*(MATCHER!$M$5:$M$504&gt;D477)*(ROW(MATCHER!$A$5:$A$504)-ROW(MATCHER!$A$5)+1&gt;R477),0),0),""))</f>
        <v/>
      </c>
      <c r="T477" s="15" t="str">
        <f>IF(S477="","",IFERROR(MATCH(1,INDEX((MATCHER!$B$5:$B$504=A477)*(MATCHER!$D$5:$D$504=C477)*(MATCHER!$K$5:$K$504="Ja")*(MATCHER!$C$5:$C$504&lt;E477)*(MATCHER!$M$5:$M$504&gt;D477)*(ROW(MATCHER!$A$5:$A$504)-ROW(MATCHER!$A$5)+1&gt;S477),0),0),""))</f>
        <v/>
      </c>
      <c r="U477" s="15">
        <f t="shared" si="100"/>
        <v>0</v>
      </c>
      <c r="V477" s="15">
        <f>IF(OR(I477&lt;&gt;"Ja",J477=""),"",COUNTIFS($O$5:O477,O477,$U$5:U477,1))</f>
        <v>2</v>
      </c>
      <c r="W477" s="15" t="str">
        <f t="shared" si="101"/>
        <v>2027-03-13 | Tallbackaskolan|2</v>
      </c>
      <c r="X477" s="16" t="str">
        <f t="shared" si="102"/>
        <v/>
      </c>
      <c r="Y477" s="15">
        <f>IF(OR(I477&lt;&gt;"Ja",J477=""),0,IF(COUNTIFS($O$5:O477,O477,$I$5:I477,"Ja",$J$5:J477,"&lt;&gt;")=1,1,0))</f>
        <v>0</v>
      </c>
      <c r="Z477" s="15">
        <f>IF(OR(I477&lt;&gt;"Ja",J477=""),0,IF(COUNTIFS(O477:$O$546,O477,I477:$I$546,"Ja",J477:$J$546,"&lt;&gt;")=1,1,0))</f>
        <v>0</v>
      </c>
      <c r="AA477" s="15">
        <f t="shared" si="107"/>
        <v>2</v>
      </c>
      <c r="AB477" s="15" t="str">
        <f>IF(U477&lt;&gt;1,"",COUNTIF($U$5:U477,1))</f>
        <v/>
      </c>
      <c r="AC477" s="15" t="str">
        <f t="shared" si="103"/>
        <v/>
      </c>
      <c r="AD477" s="15" t="str">
        <f t="shared" si="104"/>
        <v>Vanligt café</v>
      </c>
      <c r="AE477" s="15" t="str">
        <f t="shared" si="105"/>
        <v/>
      </c>
      <c r="AF477" t="str">
        <f>IF(T477="","",IFERROR(MATCH(1,INDEX((MATCHER!$B$5:$B$504=A477)*(MATCHER!$D$5:$D$504=C477)*(MATCHER!$K$5:$K$504="Ja")*(MATCHER!$C$5:$C$504&lt;E477)*(MATCHER!$M$5:$M$504&gt;D477)*(ROW(MATCHER!$A$5:$A$504)-ROW(MATCHER!$A$5)+1&gt;T477),0),0),""))</f>
        <v/>
      </c>
    </row>
    <row r="478" spans="1:32" ht="26">
      <c r="A478" s="42">
        <v>46459</v>
      </c>
      <c r="B478" s="43" t="s">
        <v>85</v>
      </c>
      <c r="C478" s="43" t="s">
        <v>110</v>
      </c>
      <c r="D478" s="44">
        <v>0.54166666666666696</v>
      </c>
      <c r="E478" s="44">
        <v>0.5625</v>
      </c>
      <c r="F478" s="45" t="str">
        <f>IF(R478="","",HOUR(INDEX(MATCHER!$C$5:$C$504,R478))&amp;":"&amp;IF(MINUTE(INDEX(MATCHER!$C$5:$C$504,R478))&lt;10,"0","")&amp;MINUTE(INDEX(MATCHER!$C$5:$C$504,R478))&amp;" "&amp;INDEX(MATCHER!$H$5:$H$504,R478)&amp;" – "&amp;INDEX(MATCHER!$I$5:$I$504,R478))&amp;IF(S478="",""," | "&amp;HOUR(INDEX(MATCHER!$C$5:$C$504,S478))&amp;":"&amp;IF(MINUTE(INDEX(MATCHER!$C$5:$C$504,S478))&lt;10,"0","")&amp;MINUTE(INDEX(MATCHER!$C$5:$C$504,S478))&amp;" "&amp;INDEX(MATCHER!$H$5:$H$504,S478)&amp;" – "&amp;INDEX(MATCHER!$I$5:$I$504,S478))&amp;IF(T478="",""," | "&amp;HOUR(INDEX(MATCHER!$C$5:$C$504,T478))&amp;":"&amp;IF(MINUTE(INDEX(MATCHER!$C$5:$C$504,T478))&lt;10,"0","")&amp;MINUTE(INDEX(MATCHER!$C$5:$C$504,T478))&amp;" "&amp;INDEX(MATCHER!$H$5:$H$504,T478)&amp;" – "&amp;INDEX(MATCHER!$I$5:$I$504,T478))&amp;IF(AF478="",""," | "&amp;HOUR(INDEX(MATCHER!$C$5:$C$504,AF478))&amp;":"&amp;IF(MINUTE(INDEX(MATCHER!$C$5:$C$504,AF478))&lt;10,"0","")&amp;MINUTE(INDEX(MATCHER!$C$5:$C$504,AF478))&amp;" "&amp;INDEX(MATCHER!$H$5:$H$504,AF478)&amp;" – "&amp;INDEX(MATCHER!$I$5:$I$504,AF478))</f>
        <v>13:00 AIK – Sannadals SK</v>
      </c>
      <c r="G478" s="45" t="str">
        <f>MID(IF(R478="","",IF(OR(INDEX(MATCHER!$J$5:$J$504,R478)=""),""," / "&amp;INDEX(MATCHER!$J$5:$J$504,R478)))&amp;IF(S478="","",IF(OR(INDEX(MATCHER!$J$5:$J$504,S478)="",INDEX(MATCHER!$J$5:$J$504,S478)=IFERROR(INDEX(MATCHER!$J$5:$J$504,R478),"")),""," / "&amp;INDEX(MATCHER!$J$5:$J$504,S478)))&amp;IF(T478="","",IF(OR(INDEX(MATCHER!$J$5:$J$504,T478)="",INDEX(MATCHER!$J$5:$J$504,T478)=IFERROR(INDEX(MATCHER!$J$5:$J$504,R478),""),INDEX(MATCHER!$J$5:$J$504,T478)=IFERROR(INDEX(MATCHER!$J$5:$J$504,S478),"")),""," / "&amp;INDEX(MATCHER!$J$5:$J$504,T478)))&amp;IF(AF478="","",IF(OR(INDEX(MATCHER!$J$5:$J$504,AF478)="",INDEX(MATCHER!$J$5:$J$504,AF478)=IFERROR(INDEX(MATCHER!$J$5:$J$504,R478),""),INDEX(MATCHER!$J$5:$J$504,AF478)=IFERROR(INDEX(MATCHER!$J$5:$J$504,S478),""),INDEX(MATCHER!$J$5:$J$504,AF478)=IFERROR(INDEX(MATCHER!$J$5:$J$504,T478),"")),""," / "&amp;INDEX(MATCHER!$J$5:$J$504,AF478))),4,1000)</f>
        <v>F11</v>
      </c>
      <c r="H478" s="45" t="str">
        <f t="shared" si="106"/>
        <v>F11, P12</v>
      </c>
      <c r="I478" s="46" t="s">
        <v>90</v>
      </c>
      <c r="J478" s="47" t="s">
        <v>117</v>
      </c>
      <c r="K478" s="48"/>
      <c r="L478" s="49"/>
      <c r="M478" s="50" t="str">
        <f>IF(O478&lt;&gt;O477,MAX(1,MIN(AA478,ROUNDUP(SUMPRODUCT(($O$5:$O$546=O478)*($I$5:$I$546="Ja")*($E$5:$E$546-$D$5:$D$546))*24/REGLER!$B$8,0))),"")</f>
        <v/>
      </c>
      <c r="N478" s="50" t="str">
        <f t="shared" si="99"/>
        <v>Klar</v>
      </c>
      <c r="O478" s="15" t="s">
        <v>160</v>
      </c>
      <c r="P478" s="16">
        <v>0.33333333333333298</v>
      </c>
      <c r="Q478" s="16">
        <v>0.625</v>
      </c>
      <c r="R478" s="15">
        <f>IFERROR(MATCH(1,INDEX((MATCHER!$B$5:$B$504=A478)*(MATCHER!$D$5:$D$504=C478)*(MATCHER!$K$5:$K$504="Ja")*(MATCHER!$C$5:$C$504&lt;E478)*(MATCHER!$M$5:$M$504&gt;D478),0),0),"")</f>
        <v>175</v>
      </c>
      <c r="S478" s="15" t="str">
        <f>IF(R478="","",IFERROR(MATCH(1,INDEX((MATCHER!$B$5:$B$504=A478)*(MATCHER!$D$5:$D$504=C478)*(MATCHER!$K$5:$K$504="Ja")*(MATCHER!$C$5:$C$504&lt;E478)*(MATCHER!$M$5:$M$504&gt;D478)*(ROW(MATCHER!$A$5:$A$504)-ROW(MATCHER!$A$5)+1&gt;R478),0),0),""))</f>
        <v/>
      </c>
      <c r="T478" s="15" t="str">
        <f>IF(S478="","",IFERROR(MATCH(1,INDEX((MATCHER!$B$5:$B$504=A478)*(MATCHER!$D$5:$D$504=C478)*(MATCHER!$K$5:$K$504="Ja")*(MATCHER!$C$5:$C$504&lt;E478)*(MATCHER!$M$5:$M$504&gt;D478)*(ROW(MATCHER!$A$5:$A$504)-ROW(MATCHER!$A$5)+1&gt;S478),0),0),""))</f>
        <v/>
      </c>
      <c r="U478" s="15">
        <f t="shared" si="100"/>
        <v>0</v>
      </c>
      <c r="V478" s="15">
        <f>IF(OR(I478&lt;&gt;"Ja",J478=""),"",COUNTIFS($O$5:O478,O478,$U$5:U478,1))</f>
        <v>2</v>
      </c>
      <c r="W478" s="15" t="str">
        <f t="shared" si="101"/>
        <v>2027-03-13 | Tallbackaskolan|2</v>
      </c>
      <c r="X478" s="16" t="str">
        <f t="shared" si="102"/>
        <v/>
      </c>
      <c r="Y478" s="15">
        <f>IF(OR(I478&lt;&gt;"Ja",J478=""),0,IF(COUNTIFS($O$5:O478,O478,$I$5:I478,"Ja",$J$5:J478,"&lt;&gt;")=1,1,0))</f>
        <v>0</v>
      </c>
      <c r="Z478" s="15">
        <f>IF(OR(I478&lt;&gt;"Ja",J478=""),0,IF(COUNTIFS(O478:$O$546,O478,I478:$I$546,"Ja",J478:$J$546,"&lt;&gt;")=1,1,0))</f>
        <v>0</v>
      </c>
      <c r="AA478" s="15">
        <f t="shared" si="107"/>
        <v>2</v>
      </c>
      <c r="AB478" s="15" t="str">
        <f>IF(U478&lt;&gt;1,"",COUNTIF($U$5:U478,1))</f>
        <v/>
      </c>
      <c r="AC478" s="15" t="str">
        <f t="shared" si="103"/>
        <v/>
      </c>
      <c r="AD478" s="15" t="str">
        <f t="shared" si="104"/>
        <v>Vanligt café</v>
      </c>
      <c r="AE478" s="15" t="str">
        <f t="shared" si="105"/>
        <v/>
      </c>
      <c r="AF478" t="str">
        <f>IF(T478="","",IFERROR(MATCH(1,INDEX((MATCHER!$B$5:$B$504=A478)*(MATCHER!$D$5:$D$504=C478)*(MATCHER!$K$5:$K$504="Ja")*(MATCHER!$C$5:$C$504&lt;E478)*(MATCHER!$M$5:$M$504&gt;D478)*(ROW(MATCHER!$A$5:$A$504)-ROW(MATCHER!$A$5)+1&gt;T478),0),0),""))</f>
        <v/>
      </c>
    </row>
    <row r="479" spans="1:32" ht="26">
      <c r="A479" s="42">
        <v>46459</v>
      </c>
      <c r="B479" s="43" t="s">
        <v>85</v>
      </c>
      <c r="C479" s="43" t="s">
        <v>110</v>
      </c>
      <c r="D479" s="44">
        <v>0.5625</v>
      </c>
      <c r="E479" s="44">
        <v>0.58333333333333304</v>
      </c>
      <c r="F479" s="45" t="str">
        <f>IF(R479="","",HOUR(INDEX(MATCHER!$C$5:$C$504,R479))&amp;":"&amp;IF(MINUTE(INDEX(MATCHER!$C$5:$C$504,R479))&lt;10,"0","")&amp;MINUTE(INDEX(MATCHER!$C$5:$C$504,R479))&amp;" "&amp;INDEX(MATCHER!$H$5:$H$504,R479)&amp;" – "&amp;INDEX(MATCHER!$I$5:$I$504,R479))&amp;IF(S479="",""," | "&amp;HOUR(INDEX(MATCHER!$C$5:$C$504,S479))&amp;":"&amp;IF(MINUTE(INDEX(MATCHER!$C$5:$C$504,S479))&lt;10,"0","")&amp;MINUTE(INDEX(MATCHER!$C$5:$C$504,S479))&amp;" "&amp;INDEX(MATCHER!$H$5:$H$504,S479)&amp;" – "&amp;INDEX(MATCHER!$I$5:$I$504,S479))&amp;IF(T479="",""," | "&amp;HOUR(INDEX(MATCHER!$C$5:$C$504,T479))&amp;":"&amp;IF(MINUTE(INDEX(MATCHER!$C$5:$C$504,T479))&lt;10,"0","")&amp;MINUTE(INDEX(MATCHER!$C$5:$C$504,T479))&amp;" "&amp;INDEX(MATCHER!$H$5:$H$504,T479)&amp;" – "&amp;INDEX(MATCHER!$I$5:$I$504,T479))&amp;IF(AF479="",""," | "&amp;HOUR(INDEX(MATCHER!$C$5:$C$504,AF479))&amp;":"&amp;IF(MINUTE(INDEX(MATCHER!$C$5:$C$504,AF479))&lt;10,"0","")&amp;MINUTE(INDEX(MATCHER!$C$5:$C$504,AF479))&amp;" "&amp;INDEX(MATCHER!$H$5:$H$504,AF479)&amp;" – "&amp;INDEX(MATCHER!$I$5:$I$504,AF479))</f>
        <v>13:00 AIK – Sannadals SK</v>
      </c>
      <c r="G479" s="45" t="str">
        <f>MID(IF(R479="","",IF(OR(INDEX(MATCHER!$J$5:$J$504,R479)=""),""," / "&amp;INDEX(MATCHER!$J$5:$J$504,R479)))&amp;IF(S479="","",IF(OR(INDEX(MATCHER!$J$5:$J$504,S479)="",INDEX(MATCHER!$J$5:$J$504,S479)=IFERROR(INDEX(MATCHER!$J$5:$J$504,R479),"")),""," / "&amp;INDEX(MATCHER!$J$5:$J$504,S479)))&amp;IF(T479="","",IF(OR(INDEX(MATCHER!$J$5:$J$504,T479)="",INDEX(MATCHER!$J$5:$J$504,T479)=IFERROR(INDEX(MATCHER!$J$5:$J$504,R479),""),INDEX(MATCHER!$J$5:$J$504,T479)=IFERROR(INDEX(MATCHER!$J$5:$J$504,S479),"")),""," / "&amp;INDEX(MATCHER!$J$5:$J$504,T479)))&amp;IF(AF479="","",IF(OR(INDEX(MATCHER!$J$5:$J$504,AF479)="",INDEX(MATCHER!$J$5:$J$504,AF479)=IFERROR(INDEX(MATCHER!$J$5:$J$504,R479),""),INDEX(MATCHER!$J$5:$J$504,AF479)=IFERROR(INDEX(MATCHER!$J$5:$J$504,S479),""),INDEX(MATCHER!$J$5:$J$504,AF479)=IFERROR(INDEX(MATCHER!$J$5:$J$504,T479),"")),""," / "&amp;INDEX(MATCHER!$J$5:$J$504,AF479))),4,1000)</f>
        <v>F11</v>
      </c>
      <c r="H479" s="45" t="str">
        <f t="shared" si="106"/>
        <v>F11, P12</v>
      </c>
      <c r="I479" s="46" t="s">
        <v>90</v>
      </c>
      <c r="J479" s="47" t="s">
        <v>117</v>
      </c>
      <c r="K479" s="48"/>
      <c r="L479" s="49"/>
      <c r="M479" s="50" t="str">
        <f>IF(O479&lt;&gt;O478,MAX(1,MIN(AA479,ROUNDUP(SUMPRODUCT(($O$5:$O$546=O479)*($I$5:$I$546="Ja")*($E$5:$E$546-$D$5:$D$546))*24/REGLER!$B$8,0))),"")</f>
        <v/>
      </c>
      <c r="N479" s="50" t="str">
        <f t="shared" si="99"/>
        <v>Klar</v>
      </c>
      <c r="O479" s="15" t="s">
        <v>160</v>
      </c>
      <c r="P479" s="16">
        <v>0.33333333333333298</v>
      </c>
      <c r="Q479" s="16">
        <v>0.625</v>
      </c>
      <c r="R479" s="15">
        <f>IFERROR(MATCH(1,INDEX((MATCHER!$B$5:$B$504=A479)*(MATCHER!$D$5:$D$504=C479)*(MATCHER!$K$5:$K$504="Ja")*(MATCHER!$C$5:$C$504&lt;E479)*(MATCHER!$M$5:$M$504&gt;D479),0),0),"")</f>
        <v>175</v>
      </c>
      <c r="S479" s="15" t="str">
        <f>IF(R479="","",IFERROR(MATCH(1,INDEX((MATCHER!$B$5:$B$504=A479)*(MATCHER!$D$5:$D$504=C479)*(MATCHER!$K$5:$K$504="Ja")*(MATCHER!$C$5:$C$504&lt;E479)*(MATCHER!$M$5:$M$504&gt;D479)*(ROW(MATCHER!$A$5:$A$504)-ROW(MATCHER!$A$5)+1&gt;R479),0),0),""))</f>
        <v/>
      </c>
      <c r="T479" s="15" t="str">
        <f>IF(S479="","",IFERROR(MATCH(1,INDEX((MATCHER!$B$5:$B$504=A479)*(MATCHER!$D$5:$D$504=C479)*(MATCHER!$K$5:$K$504="Ja")*(MATCHER!$C$5:$C$504&lt;E479)*(MATCHER!$M$5:$M$504&gt;D479)*(ROW(MATCHER!$A$5:$A$504)-ROW(MATCHER!$A$5)+1&gt;S479),0),0),""))</f>
        <v/>
      </c>
      <c r="U479" s="15">
        <f t="shared" si="100"/>
        <v>0</v>
      </c>
      <c r="V479" s="15">
        <f>IF(OR(I479&lt;&gt;"Ja",J479=""),"",COUNTIFS($O$5:O479,O479,$U$5:U479,1))</f>
        <v>2</v>
      </c>
      <c r="W479" s="15" t="str">
        <f t="shared" si="101"/>
        <v>2027-03-13 | Tallbackaskolan|2</v>
      </c>
      <c r="X479" s="16" t="str">
        <f t="shared" si="102"/>
        <v/>
      </c>
      <c r="Y479" s="15">
        <f>IF(OR(I479&lt;&gt;"Ja",J479=""),0,IF(COUNTIFS($O$5:O479,O479,$I$5:I479,"Ja",$J$5:J479,"&lt;&gt;")=1,1,0))</f>
        <v>0</v>
      </c>
      <c r="Z479" s="15">
        <f>IF(OR(I479&lt;&gt;"Ja",J479=""),0,IF(COUNTIFS(O479:$O$546,O479,I479:$I$546,"Ja",J479:$J$546,"&lt;&gt;")=1,1,0))</f>
        <v>0</v>
      </c>
      <c r="AA479" s="15">
        <f t="shared" si="107"/>
        <v>2</v>
      </c>
      <c r="AB479" s="15" t="str">
        <f>IF(U479&lt;&gt;1,"",COUNTIF($U$5:U479,1))</f>
        <v/>
      </c>
      <c r="AC479" s="15" t="str">
        <f t="shared" si="103"/>
        <v/>
      </c>
      <c r="AD479" s="15" t="str">
        <f t="shared" si="104"/>
        <v>Vanligt café</v>
      </c>
      <c r="AE479" s="15" t="str">
        <f t="shared" si="105"/>
        <v/>
      </c>
      <c r="AF479" t="str">
        <f>IF(T479="","",IFERROR(MATCH(1,INDEX((MATCHER!$B$5:$B$504=A479)*(MATCHER!$D$5:$D$504=C479)*(MATCHER!$K$5:$K$504="Ja")*(MATCHER!$C$5:$C$504&lt;E479)*(MATCHER!$M$5:$M$504&gt;D479)*(ROW(MATCHER!$A$5:$A$504)-ROW(MATCHER!$A$5)+1&gt;T479),0),0),""))</f>
        <v/>
      </c>
    </row>
    <row r="480" spans="1:32" ht="26">
      <c r="A480" s="42">
        <v>46459</v>
      </c>
      <c r="B480" s="43" t="s">
        <v>85</v>
      </c>
      <c r="C480" s="43" t="s">
        <v>110</v>
      </c>
      <c r="D480" s="44">
        <v>0.58333333333333304</v>
      </c>
      <c r="E480" s="44">
        <v>0.60416666666666696</v>
      </c>
      <c r="F480" s="45" t="str">
        <f>IF(R480="","",HOUR(INDEX(MATCHER!$C$5:$C$504,R480))&amp;":"&amp;IF(MINUTE(INDEX(MATCHER!$C$5:$C$504,R480))&lt;10,"0","")&amp;MINUTE(INDEX(MATCHER!$C$5:$C$504,R480))&amp;" "&amp;INDEX(MATCHER!$H$5:$H$504,R480)&amp;" – "&amp;INDEX(MATCHER!$I$5:$I$504,R480))&amp;IF(S480="",""," | "&amp;HOUR(INDEX(MATCHER!$C$5:$C$504,S480))&amp;":"&amp;IF(MINUTE(INDEX(MATCHER!$C$5:$C$504,S480))&lt;10,"0","")&amp;MINUTE(INDEX(MATCHER!$C$5:$C$504,S480))&amp;" "&amp;INDEX(MATCHER!$H$5:$H$504,S480)&amp;" – "&amp;INDEX(MATCHER!$I$5:$I$504,S480))&amp;IF(T480="",""," | "&amp;HOUR(INDEX(MATCHER!$C$5:$C$504,T480))&amp;":"&amp;IF(MINUTE(INDEX(MATCHER!$C$5:$C$504,T480))&lt;10,"0","")&amp;MINUTE(INDEX(MATCHER!$C$5:$C$504,T480))&amp;" "&amp;INDEX(MATCHER!$H$5:$H$504,T480)&amp;" – "&amp;INDEX(MATCHER!$I$5:$I$504,T480))&amp;IF(AF480="",""," | "&amp;HOUR(INDEX(MATCHER!$C$5:$C$504,AF480))&amp;":"&amp;IF(MINUTE(INDEX(MATCHER!$C$5:$C$504,AF480))&lt;10,"0","")&amp;MINUTE(INDEX(MATCHER!$C$5:$C$504,AF480))&amp;" "&amp;INDEX(MATCHER!$H$5:$H$504,AF480)&amp;" – "&amp;INDEX(MATCHER!$I$5:$I$504,AF480))</f>
        <v>14:00 AIK – Lidingö SK 2</v>
      </c>
      <c r="G480" s="45" t="str">
        <f>MID(IF(R480="","",IF(OR(INDEX(MATCHER!$J$5:$J$504,R480)=""),""," / "&amp;INDEX(MATCHER!$J$5:$J$504,R480)))&amp;IF(S480="","",IF(OR(INDEX(MATCHER!$J$5:$J$504,S480)="",INDEX(MATCHER!$J$5:$J$504,S480)=IFERROR(INDEX(MATCHER!$J$5:$J$504,R480),"")),""," / "&amp;INDEX(MATCHER!$J$5:$J$504,S480)))&amp;IF(T480="","",IF(OR(INDEX(MATCHER!$J$5:$J$504,T480)="",INDEX(MATCHER!$J$5:$J$504,T480)=IFERROR(INDEX(MATCHER!$J$5:$J$504,R480),""),INDEX(MATCHER!$J$5:$J$504,T480)=IFERROR(INDEX(MATCHER!$J$5:$J$504,S480),"")),""," / "&amp;INDEX(MATCHER!$J$5:$J$504,T480)))&amp;IF(AF480="","",IF(OR(INDEX(MATCHER!$J$5:$J$504,AF480)="",INDEX(MATCHER!$J$5:$J$504,AF480)=IFERROR(INDEX(MATCHER!$J$5:$J$504,R480),""),INDEX(MATCHER!$J$5:$J$504,AF480)=IFERROR(INDEX(MATCHER!$J$5:$J$504,S480),""),INDEX(MATCHER!$J$5:$J$504,AF480)=IFERROR(INDEX(MATCHER!$J$5:$J$504,T480),"")),""," / "&amp;INDEX(MATCHER!$J$5:$J$504,AF480))),4,1000)</f>
        <v>P12</v>
      </c>
      <c r="H480" s="45" t="str">
        <f t="shared" si="106"/>
        <v>F11, P12</v>
      </c>
      <c r="I480" s="46" t="s">
        <v>90</v>
      </c>
      <c r="J480" s="47" t="s">
        <v>117</v>
      </c>
      <c r="K480" s="48"/>
      <c r="L480" s="49"/>
      <c r="M480" s="50" t="str">
        <f>IF(O480&lt;&gt;O479,MAX(1,MIN(AA480,ROUNDUP(SUMPRODUCT(($O$5:$O$546=O480)*($I$5:$I$546="Ja")*($E$5:$E$546-$D$5:$D$546))*24/REGLER!$B$8,0))),"")</f>
        <v/>
      </c>
      <c r="N480" s="50" t="str">
        <f t="shared" si="99"/>
        <v>Klar</v>
      </c>
      <c r="O480" s="15" t="s">
        <v>160</v>
      </c>
      <c r="P480" s="16">
        <v>0.33333333333333298</v>
      </c>
      <c r="Q480" s="16">
        <v>0.625</v>
      </c>
      <c r="R480" s="15">
        <f>IFERROR(MATCH(1,INDEX((MATCHER!$B$5:$B$504=A480)*(MATCHER!$D$5:$D$504=C480)*(MATCHER!$K$5:$K$504="Ja")*(MATCHER!$C$5:$C$504&lt;E480)*(MATCHER!$M$5:$M$504&gt;D480),0),0),"")</f>
        <v>176</v>
      </c>
      <c r="S480" s="15" t="str">
        <f>IF(R480="","",IFERROR(MATCH(1,INDEX((MATCHER!$B$5:$B$504=A480)*(MATCHER!$D$5:$D$504=C480)*(MATCHER!$K$5:$K$504="Ja")*(MATCHER!$C$5:$C$504&lt;E480)*(MATCHER!$M$5:$M$504&gt;D480)*(ROW(MATCHER!$A$5:$A$504)-ROW(MATCHER!$A$5)+1&gt;R480),0),0),""))</f>
        <v/>
      </c>
      <c r="T480" s="15" t="str">
        <f>IF(S480="","",IFERROR(MATCH(1,INDEX((MATCHER!$B$5:$B$504=A480)*(MATCHER!$D$5:$D$504=C480)*(MATCHER!$K$5:$K$504="Ja")*(MATCHER!$C$5:$C$504&lt;E480)*(MATCHER!$M$5:$M$504&gt;D480)*(ROW(MATCHER!$A$5:$A$504)-ROW(MATCHER!$A$5)+1&gt;S480),0),0),""))</f>
        <v/>
      </c>
      <c r="U480" s="15">
        <f t="shared" si="100"/>
        <v>0</v>
      </c>
      <c r="V480" s="15">
        <f>IF(OR(I480&lt;&gt;"Ja",J480=""),"",COUNTIFS($O$5:O480,O480,$U$5:U480,1))</f>
        <v>2</v>
      </c>
      <c r="W480" s="15" t="str">
        <f t="shared" si="101"/>
        <v>2027-03-13 | Tallbackaskolan|2</v>
      </c>
      <c r="X480" s="16" t="str">
        <f t="shared" si="102"/>
        <v/>
      </c>
      <c r="Y480" s="15">
        <f>IF(OR(I480&lt;&gt;"Ja",J480=""),0,IF(COUNTIFS($O$5:O480,O480,$I$5:I480,"Ja",$J$5:J480,"&lt;&gt;")=1,1,0))</f>
        <v>0</v>
      </c>
      <c r="Z480" s="15">
        <f>IF(OR(I480&lt;&gt;"Ja",J480=""),0,IF(COUNTIFS(O480:$O$546,O480,I480:$I$546,"Ja",J480:$J$546,"&lt;&gt;")=1,1,0))</f>
        <v>0</v>
      </c>
      <c r="AA480" s="15">
        <f t="shared" si="107"/>
        <v>2</v>
      </c>
      <c r="AB480" s="15" t="str">
        <f>IF(U480&lt;&gt;1,"",COUNTIF($U$5:U480,1))</f>
        <v/>
      </c>
      <c r="AC480" s="15" t="str">
        <f t="shared" si="103"/>
        <v/>
      </c>
      <c r="AD480" s="15" t="str">
        <f t="shared" si="104"/>
        <v>Vanligt café</v>
      </c>
      <c r="AE480" s="15" t="str">
        <f t="shared" si="105"/>
        <v/>
      </c>
      <c r="AF480" t="str">
        <f>IF(T480="","",IFERROR(MATCH(1,INDEX((MATCHER!$B$5:$B$504=A480)*(MATCHER!$D$5:$D$504=C480)*(MATCHER!$K$5:$K$504="Ja")*(MATCHER!$C$5:$C$504&lt;E480)*(MATCHER!$M$5:$M$504&gt;D480)*(ROW(MATCHER!$A$5:$A$504)-ROW(MATCHER!$A$5)+1&gt;T480),0),0),""))</f>
        <v/>
      </c>
    </row>
    <row r="481" spans="1:32" ht="26.5" thickBot="1">
      <c r="A481" s="52">
        <v>46459</v>
      </c>
      <c r="B481" s="53" t="s">
        <v>85</v>
      </c>
      <c r="C481" s="53" t="s">
        <v>110</v>
      </c>
      <c r="D481" s="54">
        <v>0.60416666666666696</v>
      </c>
      <c r="E481" s="54">
        <v>0.625</v>
      </c>
      <c r="F481" s="55" t="str">
        <f>IF(R481="","",HOUR(INDEX(MATCHER!$C$5:$C$504,R481))&amp;":"&amp;IF(MINUTE(INDEX(MATCHER!$C$5:$C$504,R481))&lt;10,"0","")&amp;MINUTE(INDEX(MATCHER!$C$5:$C$504,R481))&amp;" "&amp;INDEX(MATCHER!$H$5:$H$504,R481)&amp;" – "&amp;INDEX(MATCHER!$I$5:$I$504,R481))&amp;IF(S481="",""," | "&amp;HOUR(INDEX(MATCHER!$C$5:$C$504,S481))&amp;":"&amp;IF(MINUTE(INDEX(MATCHER!$C$5:$C$504,S481))&lt;10,"0","")&amp;MINUTE(INDEX(MATCHER!$C$5:$C$504,S481))&amp;" "&amp;INDEX(MATCHER!$H$5:$H$504,S481)&amp;" – "&amp;INDEX(MATCHER!$I$5:$I$504,S481))&amp;IF(T481="",""," | "&amp;HOUR(INDEX(MATCHER!$C$5:$C$504,T481))&amp;":"&amp;IF(MINUTE(INDEX(MATCHER!$C$5:$C$504,T481))&lt;10,"0","")&amp;MINUTE(INDEX(MATCHER!$C$5:$C$504,T481))&amp;" "&amp;INDEX(MATCHER!$H$5:$H$504,T481)&amp;" – "&amp;INDEX(MATCHER!$I$5:$I$504,T481))&amp;IF(AF481="",""," | "&amp;HOUR(INDEX(MATCHER!$C$5:$C$504,AF481))&amp;":"&amp;IF(MINUTE(INDEX(MATCHER!$C$5:$C$504,AF481))&lt;10,"0","")&amp;MINUTE(INDEX(MATCHER!$C$5:$C$504,AF481))&amp;" "&amp;INDEX(MATCHER!$H$5:$H$504,AF481)&amp;" – "&amp;INDEX(MATCHER!$I$5:$I$504,AF481))</f>
        <v>14:00 AIK – Lidingö SK 2</v>
      </c>
      <c r="G481" s="55" t="str">
        <f>MID(IF(R481="","",IF(OR(INDEX(MATCHER!$J$5:$J$504,R481)=""),""," / "&amp;INDEX(MATCHER!$J$5:$J$504,R481)))&amp;IF(S481="","",IF(OR(INDEX(MATCHER!$J$5:$J$504,S481)="",INDEX(MATCHER!$J$5:$J$504,S481)=IFERROR(INDEX(MATCHER!$J$5:$J$504,R481),"")),""," / "&amp;INDEX(MATCHER!$J$5:$J$504,S481)))&amp;IF(T481="","",IF(OR(INDEX(MATCHER!$J$5:$J$504,T481)="",INDEX(MATCHER!$J$5:$J$504,T481)=IFERROR(INDEX(MATCHER!$J$5:$J$504,R481),""),INDEX(MATCHER!$J$5:$J$504,T481)=IFERROR(INDEX(MATCHER!$J$5:$J$504,S481),"")),""," / "&amp;INDEX(MATCHER!$J$5:$J$504,T481)))&amp;IF(AF481="","",IF(OR(INDEX(MATCHER!$J$5:$J$504,AF481)="",INDEX(MATCHER!$J$5:$J$504,AF481)=IFERROR(INDEX(MATCHER!$J$5:$J$504,R481),""),INDEX(MATCHER!$J$5:$J$504,AF481)=IFERROR(INDEX(MATCHER!$J$5:$J$504,S481),""),INDEX(MATCHER!$J$5:$J$504,AF481)=IFERROR(INDEX(MATCHER!$J$5:$J$504,T481),"")),""," / "&amp;INDEX(MATCHER!$J$5:$J$504,AF481))),4,1000)</f>
        <v>P12</v>
      </c>
      <c r="H481" s="55" t="str">
        <f t="shared" si="106"/>
        <v>F11, P12</v>
      </c>
      <c r="I481" s="56" t="s">
        <v>90</v>
      </c>
      <c r="J481" s="57" t="s">
        <v>117</v>
      </c>
      <c r="K481" s="58"/>
      <c r="L481" s="59"/>
      <c r="M481" s="60" t="str">
        <f>IF(O481&lt;&gt;O480,MAX(1,MIN(AA481,ROUNDUP(SUMPRODUCT(($O$5:$O$546=O481)*($I$5:$I$546="Ja")*($E$5:$E$546-$D$5:$D$546))*24/REGLER!$B$8,0))),"")</f>
        <v/>
      </c>
      <c r="N481" s="60" t="str">
        <f t="shared" si="99"/>
        <v>Klar</v>
      </c>
      <c r="O481" s="15" t="s">
        <v>160</v>
      </c>
      <c r="P481" s="16">
        <v>0.33333333333333298</v>
      </c>
      <c r="Q481" s="16">
        <v>0.625</v>
      </c>
      <c r="R481" s="15">
        <f>IFERROR(MATCH(1,INDEX((MATCHER!$B$5:$B$504=A481)*(MATCHER!$D$5:$D$504=C481)*(MATCHER!$K$5:$K$504="Ja")*(MATCHER!$C$5:$C$504&lt;E481)*(MATCHER!$M$5:$M$504&gt;D481),0),0),"")</f>
        <v>176</v>
      </c>
      <c r="S481" s="15" t="str">
        <f>IF(R481="","",IFERROR(MATCH(1,INDEX((MATCHER!$B$5:$B$504=A481)*(MATCHER!$D$5:$D$504=C481)*(MATCHER!$K$5:$K$504="Ja")*(MATCHER!$C$5:$C$504&lt;E481)*(MATCHER!$M$5:$M$504&gt;D481)*(ROW(MATCHER!$A$5:$A$504)-ROW(MATCHER!$A$5)+1&gt;R481),0),0),""))</f>
        <v/>
      </c>
      <c r="T481" s="15" t="str">
        <f>IF(S481="","",IFERROR(MATCH(1,INDEX((MATCHER!$B$5:$B$504=A481)*(MATCHER!$D$5:$D$504=C481)*(MATCHER!$K$5:$K$504="Ja")*(MATCHER!$C$5:$C$504&lt;E481)*(MATCHER!$M$5:$M$504&gt;D481)*(ROW(MATCHER!$A$5:$A$504)-ROW(MATCHER!$A$5)+1&gt;S481),0),0),""))</f>
        <v/>
      </c>
      <c r="U481" s="15">
        <f t="shared" si="100"/>
        <v>0</v>
      </c>
      <c r="V481" s="15">
        <f>IF(OR(I481&lt;&gt;"Ja",J481=""),"",COUNTIFS($O$5:O481,O481,$U$5:U481,1))</f>
        <v>2</v>
      </c>
      <c r="W481" s="15" t="str">
        <f t="shared" si="101"/>
        <v>2027-03-13 | Tallbackaskolan|2</v>
      </c>
      <c r="X481" s="16">
        <f t="shared" si="102"/>
        <v>0.625</v>
      </c>
      <c r="Y481" s="15">
        <f>IF(OR(I481&lt;&gt;"Ja",J481=""),0,IF(COUNTIFS($O$5:O481,O481,$I$5:I481,"Ja",$J$5:J481,"&lt;&gt;")=1,1,0))</f>
        <v>0</v>
      </c>
      <c r="Z481" s="15">
        <f>IF(OR(I481&lt;&gt;"Ja",J481=""),0,IF(COUNTIFS(O481:$O$546,O481,I481:$I$546,"Ja",J481:$J$546,"&lt;&gt;")=1,1,0))</f>
        <v>1</v>
      </c>
      <c r="AA481" s="15">
        <f t="shared" si="107"/>
        <v>2</v>
      </c>
      <c r="AB481" s="15" t="str">
        <f>IF(U481&lt;&gt;1,"",COUNTIF($U$5:U481,1))</f>
        <v/>
      </c>
      <c r="AC481" s="15" t="str">
        <f t="shared" si="103"/>
        <v>2027-03-13 | Tallbackaskolan|2</v>
      </c>
      <c r="AD481" s="15" t="str">
        <f t="shared" si="104"/>
        <v>Vanligt café</v>
      </c>
      <c r="AE481" s="15" t="str">
        <f t="shared" si="105"/>
        <v/>
      </c>
      <c r="AF481" t="str">
        <f>IF(T481="","",IFERROR(MATCH(1,INDEX((MATCHER!$B$5:$B$504=A481)*(MATCHER!$D$5:$D$504=C481)*(MATCHER!$K$5:$K$504="Ja")*(MATCHER!$C$5:$C$504&lt;E481)*(MATCHER!$M$5:$M$504&gt;D481)*(ROW(MATCHER!$A$5:$A$504)-ROW(MATCHER!$A$5)+1&gt;T481),0),0),""))</f>
        <v/>
      </c>
    </row>
    <row r="482" spans="1:32" ht="26">
      <c r="A482" s="42">
        <v>46459</v>
      </c>
      <c r="B482" s="43" t="s">
        <v>85</v>
      </c>
      <c r="C482" s="43" t="s">
        <v>86</v>
      </c>
      <c r="D482" s="44">
        <v>0.33333333333333298</v>
      </c>
      <c r="E482" s="44">
        <v>0.35416666666666702</v>
      </c>
      <c r="F482" s="45" t="str">
        <f>IF(R482="","",HOUR(INDEX(MATCHER!$C$5:$C$504,R482))&amp;":"&amp;IF(MINUTE(INDEX(MATCHER!$C$5:$C$504,R482))&lt;10,"0","")&amp;MINUTE(INDEX(MATCHER!$C$5:$C$504,R482))&amp;" "&amp;INDEX(MATCHER!$H$5:$H$504,R482)&amp;" – "&amp;INDEX(MATCHER!$I$5:$I$504,R482))&amp;IF(S482="",""," | "&amp;HOUR(INDEX(MATCHER!$C$5:$C$504,S482))&amp;":"&amp;IF(MINUTE(INDEX(MATCHER!$C$5:$C$504,S482))&lt;10,"0","")&amp;MINUTE(INDEX(MATCHER!$C$5:$C$504,S482))&amp;" "&amp;INDEX(MATCHER!$H$5:$H$504,S482)&amp;" – "&amp;INDEX(MATCHER!$I$5:$I$504,S482))&amp;IF(T482="",""," | "&amp;HOUR(INDEX(MATCHER!$C$5:$C$504,T482))&amp;":"&amp;IF(MINUTE(INDEX(MATCHER!$C$5:$C$504,T482))&lt;10,"0","")&amp;MINUTE(INDEX(MATCHER!$C$5:$C$504,T482))&amp;" "&amp;INDEX(MATCHER!$H$5:$H$504,T482)&amp;" – "&amp;INDEX(MATCHER!$I$5:$I$504,T482))&amp;IF(AF482="",""," | "&amp;HOUR(INDEX(MATCHER!$C$5:$C$504,AF482))&amp;":"&amp;IF(MINUTE(INDEX(MATCHER!$C$5:$C$504,AF482))&lt;10,"0","")&amp;MINUTE(INDEX(MATCHER!$C$5:$C$504,AF482))&amp;" "&amp;INDEX(MATCHER!$H$5:$H$504,AF482)&amp;" – "&amp;INDEX(MATCHER!$I$5:$I$504,AF482))</f>
        <v/>
      </c>
      <c r="G482" s="45" t="str">
        <f>MID(IF(R482="","",IF(OR(INDEX(MATCHER!$J$5:$J$504,R482)=""),""," / "&amp;INDEX(MATCHER!$J$5:$J$504,R482)))&amp;IF(S482="","",IF(OR(INDEX(MATCHER!$J$5:$J$504,S482)="",INDEX(MATCHER!$J$5:$J$504,S482)=IFERROR(INDEX(MATCHER!$J$5:$J$504,R482),"")),""," / "&amp;INDEX(MATCHER!$J$5:$J$504,S482)))&amp;IF(T482="","",IF(OR(INDEX(MATCHER!$J$5:$J$504,T482)="",INDEX(MATCHER!$J$5:$J$504,T482)=IFERROR(INDEX(MATCHER!$J$5:$J$504,R482),""),INDEX(MATCHER!$J$5:$J$504,T482)=IFERROR(INDEX(MATCHER!$J$5:$J$504,S482),"")),""," / "&amp;INDEX(MATCHER!$J$5:$J$504,T482)))&amp;IF(AF482="","",IF(OR(INDEX(MATCHER!$J$5:$J$504,AF482)="",INDEX(MATCHER!$J$5:$J$504,AF482)=IFERROR(INDEX(MATCHER!$J$5:$J$504,R482),""),INDEX(MATCHER!$J$5:$J$504,AF482)=IFERROR(INDEX(MATCHER!$J$5:$J$504,S482),""),INDEX(MATCHER!$J$5:$J$504,AF482)=IFERROR(INDEX(MATCHER!$J$5:$J$504,T482),"")),""," / "&amp;INDEX(MATCHER!$J$5:$J$504,AF482))),4,1000)</f>
        <v/>
      </c>
      <c r="H482" s="45" t="str">
        <f>MID(IF(COUNTIFS(MATCHER!$B$5:$B$504,A482,MATCHER!$D$5:$D$504,C482,MATCHER!$J$5:$J$504,REGLER!$I$6,MATCHER!$K$5:$K$504,"Ja")+COUNTIFS(MATCHER!$B$5:$B$504,A482,MATCHER!$D$5:$D$504,C482,MATCHER!$J$5:$J$504,REGLER!$I$6&amp;" 2",MATCHER!$K$5:$K$504,"Ja")&gt;0,", "&amp;REGLER!$I$6,"")&amp;IF(COUNTIFS(MATCHER!$B$5:$B$504,A482,MATCHER!$D$5:$D$504,C482,MATCHER!$J$5:$J$504,REGLER!$I$7,MATCHER!$K$5:$K$504,"Ja")+COUNTIFS(MATCHER!$B$5:$B$504,A482,MATCHER!$D$5:$D$504,C482,MATCHER!$J$5:$J$504,REGLER!$I$7&amp;" 2",MATCHER!$K$5:$K$504,"Ja")&gt;0,", "&amp;REGLER!$I$7,"")&amp;IF(COUNTIFS(MATCHER!$B$5:$B$504,A482,MATCHER!$D$5:$D$504,C482,MATCHER!$J$5:$J$504,REGLER!$I$8,MATCHER!$K$5:$K$504,"Ja")+COUNTIFS(MATCHER!$B$5:$B$504,A482,MATCHER!$D$5:$D$504,C482,MATCHER!$J$5:$J$504,REGLER!$I$8&amp;" 2",MATCHER!$K$5:$K$504,"Ja")&gt;0,", "&amp;REGLER!$I$8,"")&amp;IF(COUNTIFS(MATCHER!$B$5:$B$504,A482,MATCHER!$D$5:$D$504,C482,MATCHER!$J$5:$J$504,REGLER!$I$9,MATCHER!$K$5:$K$504,"Ja")+COUNTIFS(MATCHER!$B$5:$B$504,A482,MATCHER!$D$5:$D$504,C482,MATCHER!$J$5:$J$504,REGLER!$I$9&amp;" 2",MATCHER!$K$5:$K$504,"Ja")&gt;0,", "&amp;REGLER!$I$9,"")&amp;IF(COUNTIFS(MATCHER!$B$5:$B$504,A482,MATCHER!$D$5:$D$504,C482,MATCHER!$J$5:$J$504,REGLER!$I$10,MATCHER!$K$5:$K$504,"Ja")+COUNTIFS(MATCHER!$B$5:$B$504,A482,MATCHER!$D$5:$D$504,C482,MATCHER!$J$5:$J$504,REGLER!$I$10&amp;" 2",MATCHER!$K$5:$K$504,"Ja")&gt;0,", "&amp;REGLER!$I$10,"")&amp;IF(COUNTIFS(MATCHER!$B$5:$B$504,A482,MATCHER!$D$5:$D$504,C482,MATCHER!$J$5:$J$504,REGLER!$I$11,MATCHER!$K$5:$K$504,"Ja")+COUNTIFS(MATCHER!$B$5:$B$504,A482,MATCHER!$D$5:$D$504,C482,MATCHER!$J$5:$J$504,REGLER!$I$11&amp;" 2",MATCHER!$K$5:$K$504,"Ja")&gt;0,", "&amp;REGLER!$I$11,"")&amp;IF(COUNTIFS(MATCHER!$B$5:$B$504,A482,MATCHER!$D$5:$D$504,C482,MATCHER!$J$5:$J$504,REGLER!$I$12,MATCHER!$K$5:$K$504,"Ja")+COUNTIFS(MATCHER!$B$5:$B$504,A482,MATCHER!$D$5:$D$504,C482,MATCHER!$J$5:$J$504,REGLER!$I$12&amp;" 2",MATCHER!$K$5:$K$504,"Ja")&gt;0,", "&amp;REGLER!$I$12,"")&amp;IF(COUNTIFS(MATCHER!$B$5:$B$504,A482,MATCHER!$D$5:$D$504,C482,MATCHER!$J$5:$J$504,REGLER!$I$13,MATCHER!$K$5:$K$504,"Ja")+COUNTIFS(MATCHER!$B$5:$B$504,A482,MATCHER!$D$5:$D$504,C482,MATCHER!$J$5:$J$504,REGLER!$I$13&amp;" 2",MATCHER!$K$5:$K$504,"Ja")&gt;0,", "&amp;REGLER!$I$13,"")&amp;IF(COUNTIFS(MATCHER!$B$5:$B$504,A482,MATCHER!$D$5:$D$504,C482,MATCHER!$J$5:$J$504,REGLER!$I$14,MATCHER!$K$5:$K$504,"Ja")+COUNTIFS(MATCHER!$B$5:$B$504,A482,MATCHER!$D$5:$D$504,C482,MATCHER!$J$5:$J$504,REGLER!$I$14&amp;" 2",MATCHER!$K$5:$K$504,"Ja")&gt;0,", "&amp;REGLER!$I$14,"")&amp;IF(COUNTIFS(MATCHER!$B$5:$B$504,A482,MATCHER!$D$5:$D$504,C482,MATCHER!$J$5:$J$504,REGLER!$I$15,MATCHER!$K$5:$K$504,"Ja")+COUNTIFS(MATCHER!$B$5:$B$504,A482,MATCHER!$D$5:$D$504,C482,MATCHER!$J$5:$J$504,REGLER!$I$15&amp;" 2",MATCHER!$K$5:$K$504,"Ja")&gt;0,", "&amp;REGLER!$I$15,"")&amp;IF(COUNTIFS(MATCHER!$B$5:$B$504,A482,MATCHER!$D$5:$D$504,C482,MATCHER!$J$5:$J$504,REGLER!$I$16,MATCHER!$K$5:$K$504,"Ja")+COUNTIFS(MATCHER!$B$5:$B$504,A482,MATCHER!$D$5:$D$504,C482,MATCHER!$J$5:$J$504,REGLER!$I$16&amp;" 2",MATCHER!$K$5:$K$504,"Ja")&gt;0,", "&amp;REGLER!$I$16,"")&amp;IF(COUNTIFS(MATCHER!$B$5:$B$504,A482,MATCHER!$D$5:$D$504,C482,MATCHER!$J$5:$J$504,REGLER!$I$17,MATCHER!$K$5:$K$504,"Ja")+COUNTIFS(MATCHER!$B$5:$B$504,A482,MATCHER!$D$5:$D$504,C482,MATCHER!$J$5:$J$504,REGLER!$I$17&amp;" 2",MATCHER!$K$5:$K$504,"Ja")&gt;0,", "&amp;REGLER!$I$17,"")&amp;IF(COUNTIFS(MATCHER!$B$5:$B$504,A482,MATCHER!$D$5:$D$504,C482,MATCHER!$J$5:$J$504,REGLER!$I$18,MATCHER!$K$5:$K$504,"Ja")+COUNTIFS(MATCHER!$B$5:$B$504,A482,MATCHER!$D$5:$D$504,C482,MATCHER!$J$5:$J$504,REGLER!$I$18&amp;" 2",MATCHER!$K$5:$K$504,"Ja")&gt;0,", "&amp;REGLER!$I$18,"")&amp;IF(COUNTIFS(MATCHER!$B$5:$B$504,A482,MATCHER!$D$5:$D$504,C482,MATCHER!$J$5:$J$504,REGLER!$I$19,MATCHER!$K$5:$K$504,"Ja")+COUNTIFS(MATCHER!$B$5:$B$504,A482,MATCHER!$D$5:$D$504,C482,MATCHER!$J$5:$J$504,REGLER!$I$19&amp;" 2",MATCHER!$K$5:$K$504,"Ja")&gt;0,", "&amp;REGLER!$I$19,"")&amp;IF(COUNTIFS(MATCHER!$B$5:$B$504,A482,MATCHER!$D$5:$D$504,C482,MATCHER!$J$5:$J$504,REGLER!$I$20,MATCHER!$K$5:$K$504,"Ja")+COUNTIFS(MATCHER!$B$5:$B$504,A482,MATCHER!$D$5:$D$504,C482,MATCHER!$J$5:$J$504,REGLER!$I$20&amp;" 2",MATCHER!$K$5:$K$504,"Ja")&gt;0,", "&amp;REGLER!$I$20,"")&amp;IF(COUNTIFS(MATCHER!$B$5:$B$504,A482,MATCHER!$D$5:$D$504,C482,MATCHER!$J$5:$J$504,REGLER!$I$21,MATCHER!$K$5:$K$504,"Ja")+COUNTIFS(MATCHER!$B$5:$B$504,A482,MATCHER!$D$5:$D$504,C482,MATCHER!$J$5:$J$504,REGLER!$I$21&amp;" 2",MATCHER!$K$5:$K$504,"Ja")&gt;0,", "&amp;REGLER!$I$21,"")&amp;IF(COUNTIFS(MATCHER!$B$5:$B$504,A482,MATCHER!$D$5:$D$504,C482,MATCHER!$J$5:$J$504,REGLER!$I$22,MATCHER!$K$5:$K$504,"Ja")+COUNTIFS(MATCHER!$B$5:$B$504,A482,MATCHER!$D$5:$D$504,C482,MATCHER!$J$5:$J$504,REGLER!$I$22&amp;" 2",MATCHER!$K$5:$K$504,"Ja")&gt;0,", "&amp;REGLER!$I$22,"")&amp;IF(COUNTIFS(MATCHER!$B$5:$B$504,A482,MATCHER!$D$5:$D$504,C482,MATCHER!$J$5:$J$504,REGLER!$I$23,MATCHER!$K$5:$K$504,"Ja")+COUNTIFS(MATCHER!$B$5:$B$504,A482,MATCHER!$D$5:$D$504,C482,MATCHER!$J$5:$J$504,REGLER!$I$23&amp;" 2",MATCHER!$K$5:$K$504,"Ja")&gt;0,", "&amp;REGLER!$I$23,"")&amp;IF(COUNTIFS(MATCHER!$B$5:$B$504,A482,MATCHER!$D$5:$D$504,C482,MATCHER!$J$5:$J$504,REGLER!$I$24,MATCHER!$K$5:$K$504,"Ja")+COUNTIFS(MATCHER!$B$5:$B$504,A482,MATCHER!$D$5:$D$504,C482,MATCHER!$J$5:$J$504,REGLER!$I$24&amp;" 2",MATCHER!$K$5:$K$504,"Ja")&gt;0,", "&amp;REGLER!$I$24,"")&amp;IF(COUNTIFS(MATCHER!$B$5:$B$504,A482,MATCHER!$D$5:$D$504,C482,MATCHER!$J$5:$J$504,REGLER!$I$25,MATCHER!$K$5:$K$504,"Ja")+COUNTIFS(MATCHER!$B$5:$B$504,A482,MATCHER!$D$5:$D$504,C482,MATCHER!$J$5:$J$504,REGLER!$I$25&amp;" 2",MATCHER!$K$5:$K$504,"Ja")&gt;0,", "&amp;REGLER!$I$25,"")&amp;IF(COUNTIFS(MATCHER!$B$5:$B$504,A482,MATCHER!$D$5:$D$504,C482,MATCHER!$J$5:$J$504,REGLER!$I$26,MATCHER!$K$5:$K$504,"Ja")+COUNTIFS(MATCHER!$B$5:$B$504,A482,MATCHER!$D$5:$D$504,C482,MATCHER!$J$5:$J$504,REGLER!$I$26&amp;" 2",MATCHER!$K$5:$K$504,"Ja")&gt;0,", "&amp;REGLER!$I$26,""),3,1000)</f>
        <v/>
      </c>
      <c r="I482" s="46" t="s">
        <v>90</v>
      </c>
      <c r="J482" s="47" t="s">
        <v>148</v>
      </c>
      <c r="K482" s="48" t="s">
        <v>88</v>
      </c>
      <c r="L482" s="49"/>
      <c r="M482" s="50">
        <f>IF(O482&lt;&gt;O481,MAX(1,MIN(AA482,ROUNDUP(SUMPRODUCT(($O$5:$O$546=O482)*($I$5:$I$546="Ja")*($E$5:$E$546-$D$5:$D$546))*24/REGLER!$B$8,0))),"")</f>
        <v>1</v>
      </c>
      <c r="N482" s="50" t="str">
        <f t="shared" si="99"/>
        <v>Kontrollera lag</v>
      </c>
      <c r="O482" s="15" t="s">
        <v>161</v>
      </c>
      <c r="P482" s="16">
        <v>0.33333333333333298</v>
      </c>
      <c r="Q482" s="16">
        <v>0.66666666666666696</v>
      </c>
      <c r="R482" s="15" t="str">
        <f>IFERROR(MATCH(1,INDEX((MATCHER!$B$5:$B$504=A482)*(MATCHER!$D$5:$D$504=C482)*(MATCHER!$K$5:$K$504="Ja")*(MATCHER!$C$5:$C$504&lt;E482)*(MATCHER!$M$5:$M$504&gt;D482),0),0),"")</f>
        <v/>
      </c>
      <c r="S482" s="15" t="str">
        <f>IF(R482="","",IFERROR(MATCH(1,INDEX((MATCHER!$B$5:$B$504=A482)*(MATCHER!$D$5:$D$504=C482)*(MATCHER!$K$5:$K$504="Ja")*(MATCHER!$C$5:$C$504&lt;E482)*(MATCHER!$M$5:$M$504&gt;D482)*(ROW(MATCHER!$A$5:$A$504)-ROW(MATCHER!$A$5)+1&gt;R482),0),0),""))</f>
        <v/>
      </c>
      <c r="T482" s="15" t="str">
        <f>IF(S482="","",IFERROR(MATCH(1,INDEX((MATCHER!$B$5:$B$504=A482)*(MATCHER!$D$5:$D$504=C482)*(MATCHER!$K$5:$K$504="Ja")*(MATCHER!$C$5:$C$504&lt;E482)*(MATCHER!$M$5:$M$504&gt;D482)*(ROW(MATCHER!$A$5:$A$504)-ROW(MATCHER!$A$5)+1&gt;S482),0),0),""))</f>
        <v/>
      </c>
      <c r="U482" s="15">
        <f t="shared" si="100"/>
        <v>1</v>
      </c>
      <c r="V482" s="15">
        <f>IF(OR(I482&lt;&gt;"Ja",J482=""),"",COUNTIFS($O$5:O482,O482,$U$5:U482,1))</f>
        <v>1</v>
      </c>
      <c r="W482" s="15" t="str">
        <f t="shared" si="101"/>
        <v>2027-03-13 | Ulriksdalshallen|1</v>
      </c>
      <c r="X482" s="16" t="str">
        <f t="shared" si="102"/>
        <v/>
      </c>
      <c r="Y482" s="15">
        <f>IF(OR(I482&lt;&gt;"Ja",J482=""),0,IF(COUNTIFS($O$5:O482,O482,$I$5:I482,"Ja",$J$5:J482,"&lt;&gt;")=1,1,0))</f>
        <v>1</v>
      </c>
      <c r="Z482" s="15">
        <f>IF(OR(I482&lt;&gt;"Ja",J482=""),0,IF(COUNTIFS(O482:$O$546,O482,I482:$I$546,"Ja",J482:$J$546,"&lt;&gt;")=1,1,0))</f>
        <v>0</v>
      </c>
      <c r="AA482" s="15">
        <f>IF(COUNTIFS(MATCHER!$B$5:$B$504,A482,MATCHER!$D$5:$D$504,C482,MATCHER!$J$5:$J$504,REGLER!$I$6,MATCHER!$K$5:$K$504,"Ja")+COUNTIFS(MATCHER!$B$5:$B$504,A482,MATCHER!$D$5:$D$504,C482,MATCHER!$J$5:$J$504,REGLER!$I$6&amp;" 2",MATCHER!$K$5:$K$504,"Ja")&gt;0,1,0)+IF(COUNTIFS(MATCHER!$B$5:$B$504,A482,MATCHER!$D$5:$D$504,C482,MATCHER!$J$5:$J$504,REGLER!$I$7,MATCHER!$K$5:$K$504,"Ja")+COUNTIFS(MATCHER!$B$5:$B$504,A482,MATCHER!$D$5:$D$504,C482,MATCHER!$J$5:$J$504,REGLER!$I$7&amp;" 2",MATCHER!$K$5:$K$504,"Ja")&gt;0,1,0)+IF(COUNTIFS(MATCHER!$B$5:$B$504,A482,MATCHER!$D$5:$D$504,C482,MATCHER!$J$5:$J$504,REGLER!$I$8,MATCHER!$K$5:$K$504,"Ja")+COUNTIFS(MATCHER!$B$5:$B$504,A482,MATCHER!$D$5:$D$504,C482,MATCHER!$J$5:$J$504,REGLER!$I$8&amp;" 2",MATCHER!$K$5:$K$504,"Ja")&gt;0,1,0)+IF(COUNTIFS(MATCHER!$B$5:$B$504,A482,MATCHER!$D$5:$D$504,C482,MATCHER!$J$5:$J$504,REGLER!$I$9,MATCHER!$K$5:$K$504,"Ja")+COUNTIFS(MATCHER!$B$5:$B$504,A482,MATCHER!$D$5:$D$504,C482,MATCHER!$J$5:$J$504,REGLER!$I$9&amp;" 2",MATCHER!$K$5:$K$504,"Ja")&gt;0,1,0)+IF(COUNTIFS(MATCHER!$B$5:$B$504,A482,MATCHER!$D$5:$D$504,C482,MATCHER!$J$5:$J$504,REGLER!$I$10,MATCHER!$K$5:$K$504,"Ja")+COUNTIFS(MATCHER!$B$5:$B$504,A482,MATCHER!$D$5:$D$504,C482,MATCHER!$J$5:$J$504,REGLER!$I$10&amp;" 2",MATCHER!$K$5:$K$504,"Ja")&gt;0,1,0)+IF(COUNTIFS(MATCHER!$B$5:$B$504,A482,MATCHER!$D$5:$D$504,C482,MATCHER!$J$5:$J$504,REGLER!$I$11,MATCHER!$K$5:$K$504,"Ja")+COUNTIFS(MATCHER!$B$5:$B$504,A482,MATCHER!$D$5:$D$504,C482,MATCHER!$J$5:$J$504,REGLER!$I$11&amp;" 2",MATCHER!$K$5:$K$504,"Ja")&gt;0,1,0)+IF(COUNTIFS(MATCHER!$B$5:$B$504,A482,MATCHER!$D$5:$D$504,C482,MATCHER!$J$5:$J$504,REGLER!$I$12,MATCHER!$K$5:$K$504,"Ja")+COUNTIFS(MATCHER!$B$5:$B$504,A482,MATCHER!$D$5:$D$504,C482,MATCHER!$J$5:$J$504,REGLER!$I$12&amp;" 2",MATCHER!$K$5:$K$504,"Ja")&gt;0,1,0)+IF(COUNTIFS(MATCHER!$B$5:$B$504,A482,MATCHER!$D$5:$D$504,C482,MATCHER!$J$5:$J$504,REGLER!$I$13,MATCHER!$K$5:$K$504,"Ja")+COUNTIFS(MATCHER!$B$5:$B$504,A482,MATCHER!$D$5:$D$504,C482,MATCHER!$J$5:$J$504,REGLER!$I$13&amp;" 2",MATCHER!$K$5:$K$504,"Ja")&gt;0,1,0)+IF(COUNTIFS(MATCHER!$B$5:$B$504,A482,MATCHER!$D$5:$D$504,C482,MATCHER!$J$5:$J$504,REGLER!$I$14,MATCHER!$K$5:$K$504,"Ja")+COUNTIFS(MATCHER!$B$5:$B$504,A482,MATCHER!$D$5:$D$504,C482,MATCHER!$J$5:$J$504,REGLER!$I$14&amp;" 2",MATCHER!$K$5:$K$504,"Ja")&gt;0,1,0)+IF(COUNTIFS(MATCHER!$B$5:$B$504,A482,MATCHER!$D$5:$D$504,C482,MATCHER!$J$5:$J$504,REGLER!$I$15,MATCHER!$K$5:$K$504,"Ja")+COUNTIFS(MATCHER!$B$5:$B$504,A482,MATCHER!$D$5:$D$504,C482,MATCHER!$J$5:$J$504,REGLER!$I$15&amp;" 2",MATCHER!$K$5:$K$504,"Ja")&gt;0,1,0)+IF(COUNTIFS(MATCHER!$B$5:$B$504,A482,MATCHER!$D$5:$D$504,C482,MATCHER!$J$5:$J$504,REGLER!$I$16,MATCHER!$K$5:$K$504,"Ja")+COUNTIFS(MATCHER!$B$5:$B$504,A482,MATCHER!$D$5:$D$504,C482,MATCHER!$J$5:$J$504,REGLER!$I$16&amp;" 2",MATCHER!$K$5:$K$504,"Ja")&gt;0,1,0)+IF(COUNTIFS(MATCHER!$B$5:$B$504,A482,MATCHER!$D$5:$D$504,C482,MATCHER!$J$5:$J$504,REGLER!$I$17,MATCHER!$K$5:$K$504,"Ja")+COUNTIFS(MATCHER!$B$5:$B$504,A482,MATCHER!$D$5:$D$504,C482,MATCHER!$J$5:$J$504,REGLER!$I$17&amp;" 2",MATCHER!$K$5:$K$504,"Ja")&gt;0,1,0)+IF(COUNTIFS(MATCHER!$B$5:$B$504,A482,MATCHER!$D$5:$D$504,C482,MATCHER!$J$5:$J$504,REGLER!$I$18,MATCHER!$K$5:$K$504,"Ja")+COUNTIFS(MATCHER!$B$5:$B$504,A482,MATCHER!$D$5:$D$504,C482,MATCHER!$J$5:$J$504,REGLER!$I$18&amp;" 2",MATCHER!$K$5:$K$504,"Ja")&gt;0,1,0)+IF(COUNTIFS(MATCHER!$B$5:$B$504,A482,MATCHER!$D$5:$D$504,C482,MATCHER!$J$5:$J$504,REGLER!$I$19,MATCHER!$K$5:$K$504,"Ja")+COUNTIFS(MATCHER!$B$5:$B$504,A482,MATCHER!$D$5:$D$504,C482,MATCHER!$J$5:$J$504,REGLER!$I$19&amp;" 2",MATCHER!$K$5:$K$504,"Ja")&gt;0,1,0)+IF(COUNTIFS(MATCHER!$B$5:$B$504,A482,MATCHER!$D$5:$D$504,C482,MATCHER!$J$5:$J$504,REGLER!$I$20,MATCHER!$K$5:$K$504,"Ja")+COUNTIFS(MATCHER!$B$5:$B$504,A482,MATCHER!$D$5:$D$504,C482,MATCHER!$J$5:$J$504,REGLER!$I$20&amp;" 2",MATCHER!$K$5:$K$504,"Ja")&gt;0,1,0)+IF(COUNTIFS(MATCHER!$B$5:$B$504,A482,MATCHER!$D$5:$D$504,C482,MATCHER!$J$5:$J$504,REGLER!$I$21,MATCHER!$K$5:$K$504,"Ja")+COUNTIFS(MATCHER!$B$5:$B$504,A482,MATCHER!$D$5:$D$504,C482,MATCHER!$J$5:$J$504,REGLER!$I$21&amp;" 2",MATCHER!$K$5:$K$504,"Ja")&gt;0,1,0)+IF(COUNTIFS(MATCHER!$B$5:$B$504,A482,MATCHER!$D$5:$D$504,C482,MATCHER!$J$5:$J$504,REGLER!$I$22,MATCHER!$K$5:$K$504,"Ja")+COUNTIFS(MATCHER!$B$5:$B$504,A482,MATCHER!$D$5:$D$504,C482,MATCHER!$J$5:$J$504,REGLER!$I$22&amp;" 2",MATCHER!$K$5:$K$504,"Ja")&gt;0,1,0)+IF(COUNTIFS(MATCHER!$B$5:$B$504,A482,MATCHER!$D$5:$D$504,C482,MATCHER!$J$5:$J$504,REGLER!$I$23,MATCHER!$K$5:$K$504,"Ja")+COUNTIFS(MATCHER!$B$5:$B$504,A482,MATCHER!$D$5:$D$504,C482,MATCHER!$J$5:$J$504,REGLER!$I$23&amp;" 2",MATCHER!$K$5:$K$504,"Ja")&gt;0,1,0)+IF(COUNTIFS(MATCHER!$B$5:$B$504,A482,MATCHER!$D$5:$D$504,C482,MATCHER!$J$5:$J$504,REGLER!$I$24,MATCHER!$K$5:$K$504,"Ja")+COUNTIFS(MATCHER!$B$5:$B$504,A482,MATCHER!$D$5:$D$504,C482,MATCHER!$J$5:$J$504,REGLER!$I$24&amp;" 2",MATCHER!$K$5:$K$504,"Ja")&gt;0,1,0)+IF(COUNTIFS(MATCHER!$B$5:$B$504,A482,MATCHER!$D$5:$D$504,C482,MATCHER!$J$5:$J$504,REGLER!$I$25,MATCHER!$K$5:$K$504,"Ja")+COUNTIFS(MATCHER!$B$5:$B$504,A482,MATCHER!$D$5:$D$504,C482,MATCHER!$J$5:$J$504,REGLER!$I$25&amp;" 2",MATCHER!$K$5:$K$504,"Ja")&gt;0,1,0)+IF(COUNTIFS(MATCHER!$B$5:$B$504,A482,MATCHER!$D$5:$D$504,C482,MATCHER!$J$5:$J$504,REGLER!$I$26,MATCHER!$K$5:$K$504,"Ja")+COUNTIFS(MATCHER!$B$5:$B$504,A482,MATCHER!$D$5:$D$504,C482,MATCHER!$J$5:$J$504,REGLER!$I$26&amp;" 2",MATCHER!$K$5:$K$504,"Ja")&gt;0,1,0)</f>
        <v>0</v>
      </c>
      <c r="AB482" s="15">
        <f>IF(U482&lt;&gt;1,"",COUNTIF($U$5:U482,1))</f>
        <v>85</v>
      </c>
      <c r="AC482" s="15" t="str">
        <f t="shared" si="103"/>
        <v/>
      </c>
      <c r="AD482" s="15" t="str">
        <f t="shared" si="104"/>
        <v>Vanligt café</v>
      </c>
      <c r="AE482" s="15">
        <f t="shared" si="105"/>
        <v>4.0000000000000089</v>
      </c>
      <c r="AF482" t="str">
        <f>IF(T482="","",IFERROR(MATCH(1,INDEX((MATCHER!$B$5:$B$504=A482)*(MATCHER!$D$5:$D$504=C482)*(MATCHER!$K$5:$K$504="Ja")*(MATCHER!$C$5:$C$504&lt;E482)*(MATCHER!$M$5:$M$504&gt;D482)*(ROW(MATCHER!$A$5:$A$504)-ROW(MATCHER!$A$5)+1&gt;T482),0),0),""))</f>
        <v/>
      </c>
    </row>
    <row r="483" spans="1:32" ht="26">
      <c r="A483" s="42">
        <v>46459</v>
      </c>
      <c r="B483" s="43" t="s">
        <v>85</v>
      </c>
      <c r="C483" s="43" t="s">
        <v>86</v>
      </c>
      <c r="D483" s="44">
        <v>0.35416666666666702</v>
      </c>
      <c r="E483" s="44">
        <v>0.375</v>
      </c>
      <c r="F483" s="45" t="str">
        <f>IF(R483="","",HOUR(INDEX(MATCHER!$C$5:$C$504,R483))&amp;":"&amp;IF(MINUTE(INDEX(MATCHER!$C$5:$C$504,R483))&lt;10,"0","")&amp;MINUTE(INDEX(MATCHER!$C$5:$C$504,R483))&amp;" "&amp;INDEX(MATCHER!$H$5:$H$504,R483)&amp;" – "&amp;INDEX(MATCHER!$I$5:$I$504,R483))&amp;IF(S483="",""," | "&amp;HOUR(INDEX(MATCHER!$C$5:$C$504,S483))&amp;":"&amp;IF(MINUTE(INDEX(MATCHER!$C$5:$C$504,S483))&lt;10,"0","")&amp;MINUTE(INDEX(MATCHER!$C$5:$C$504,S483))&amp;" "&amp;INDEX(MATCHER!$H$5:$H$504,S483)&amp;" – "&amp;INDEX(MATCHER!$I$5:$I$504,S483))&amp;IF(T483="",""," | "&amp;HOUR(INDEX(MATCHER!$C$5:$C$504,T483))&amp;":"&amp;IF(MINUTE(INDEX(MATCHER!$C$5:$C$504,T483))&lt;10,"0","")&amp;MINUTE(INDEX(MATCHER!$C$5:$C$504,T483))&amp;" "&amp;INDEX(MATCHER!$H$5:$H$504,T483)&amp;" – "&amp;INDEX(MATCHER!$I$5:$I$504,T483))&amp;IF(AF483="",""," | "&amp;HOUR(INDEX(MATCHER!$C$5:$C$504,AF483))&amp;":"&amp;IF(MINUTE(INDEX(MATCHER!$C$5:$C$504,AF483))&lt;10,"0","")&amp;MINUTE(INDEX(MATCHER!$C$5:$C$504,AF483))&amp;" "&amp;INDEX(MATCHER!$H$5:$H$504,AF483)&amp;" – "&amp;INDEX(MATCHER!$I$5:$I$504,AF483))</f>
        <v/>
      </c>
      <c r="G483" s="45" t="str">
        <f>MID(IF(R483="","",IF(OR(INDEX(MATCHER!$J$5:$J$504,R483)=""),""," / "&amp;INDEX(MATCHER!$J$5:$J$504,R483)))&amp;IF(S483="","",IF(OR(INDEX(MATCHER!$J$5:$J$504,S483)="",INDEX(MATCHER!$J$5:$J$504,S483)=IFERROR(INDEX(MATCHER!$J$5:$J$504,R483),"")),""," / "&amp;INDEX(MATCHER!$J$5:$J$504,S483)))&amp;IF(T483="","",IF(OR(INDEX(MATCHER!$J$5:$J$504,T483)="",INDEX(MATCHER!$J$5:$J$504,T483)=IFERROR(INDEX(MATCHER!$J$5:$J$504,R483),""),INDEX(MATCHER!$J$5:$J$504,T483)=IFERROR(INDEX(MATCHER!$J$5:$J$504,S483),"")),""," / "&amp;INDEX(MATCHER!$J$5:$J$504,T483)))&amp;IF(AF483="","",IF(OR(INDEX(MATCHER!$J$5:$J$504,AF483)="",INDEX(MATCHER!$J$5:$J$504,AF483)=IFERROR(INDEX(MATCHER!$J$5:$J$504,R483),""),INDEX(MATCHER!$J$5:$J$504,AF483)=IFERROR(INDEX(MATCHER!$J$5:$J$504,S483),""),INDEX(MATCHER!$J$5:$J$504,AF483)=IFERROR(INDEX(MATCHER!$J$5:$J$504,T483),"")),""," / "&amp;INDEX(MATCHER!$J$5:$J$504,AF483))),4,1000)</f>
        <v/>
      </c>
      <c r="H483" s="45" t="str">
        <f t="shared" ref="H483:H497" si="108">H482</f>
        <v/>
      </c>
      <c r="I483" s="73" t="s">
        <v>90</v>
      </c>
      <c r="J483" s="74" t="s">
        <v>148</v>
      </c>
      <c r="K483" s="75"/>
      <c r="L483" s="71"/>
      <c r="M483" s="50" t="str">
        <f>IF(O483&lt;&gt;O482,MAX(1,MIN(AA483,ROUNDUP(SUMPRODUCT(($O$5:$O$546=O483)*($I$5:$I$546="Ja")*($E$5:$E$546-$D$5:$D$546))*24/REGLER!$B$8,0))),"")</f>
        <v/>
      </c>
      <c r="N483" s="50" t="str">
        <f t="shared" si="99"/>
        <v>Kontrollera lag</v>
      </c>
      <c r="O483" s="15" t="s">
        <v>161</v>
      </c>
      <c r="P483" s="16">
        <v>0.33333333333333298</v>
      </c>
      <c r="Q483" s="16">
        <v>0.66666666666666696</v>
      </c>
      <c r="R483" s="15" t="str">
        <f>IFERROR(MATCH(1,INDEX((MATCHER!$B$5:$B$504=A483)*(MATCHER!$D$5:$D$504=C483)*(MATCHER!$K$5:$K$504="Ja")*(MATCHER!$C$5:$C$504&lt;E483)*(MATCHER!$M$5:$M$504&gt;D483),0),0),"")</f>
        <v/>
      </c>
      <c r="S483" s="15" t="str">
        <f>IF(R483="","",IFERROR(MATCH(1,INDEX((MATCHER!$B$5:$B$504=A483)*(MATCHER!$D$5:$D$504=C483)*(MATCHER!$K$5:$K$504="Ja")*(MATCHER!$C$5:$C$504&lt;E483)*(MATCHER!$M$5:$M$504&gt;D483)*(ROW(MATCHER!$A$5:$A$504)-ROW(MATCHER!$A$5)+1&gt;R483),0),0),""))</f>
        <v/>
      </c>
      <c r="T483" s="15" t="str">
        <f>IF(S483="","",IFERROR(MATCH(1,INDEX((MATCHER!$B$5:$B$504=A483)*(MATCHER!$D$5:$D$504=C483)*(MATCHER!$K$5:$K$504="Ja")*(MATCHER!$C$5:$C$504&lt;E483)*(MATCHER!$M$5:$M$504&gt;D483)*(ROW(MATCHER!$A$5:$A$504)-ROW(MATCHER!$A$5)+1&gt;S483),0),0),""))</f>
        <v/>
      </c>
      <c r="U483" s="15">
        <f t="shared" si="100"/>
        <v>0</v>
      </c>
      <c r="V483" s="15">
        <f>IF(OR(I483&lt;&gt;"Ja",J483=""),"",COUNTIFS($O$5:O483,O483,$U$5:U483,1))</f>
        <v>1</v>
      </c>
      <c r="W483" s="15" t="str">
        <f t="shared" si="101"/>
        <v>2027-03-13 | Ulriksdalshallen|1</v>
      </c>
      <c r="X483" s="16" t="str">
        <f t="shared" si="102"/>
        <v/>
      </c>
      <c r="Y483" s="15">
        <f>IF(OR(I483&lt;&gt;"Ja",J483=""),0,IF(COUNTIFS($O$5:O483,O483,$I$5:I483,"Ja",$J$5:J483,"&lt;&gt;")=1,1,0))</f>
        <v>0</v>
      </c>
      <c r="Z483" s="15">
        <f>IF(OR(I483&lt;&gt;"Ja",J483=""),0,IF(COUNTIFS(O483:$O$546,O483,I483:$I$546,"Ja",J483:$J$546,"&lt;&gt;")=1,1,0))</f>
        <v>0</v>
      </c>
      <c r="AA483" s="15">
        <f t="shared" ref="AA483:AA497" si="109">AA482</f>
        <v>0</v>
      </c>
      <c r="AB483" s="15" t="str">
        <f>IF(U483&lt;&gt;1,"",COUNTIF($U$5:U483,1))</f>
        <v/>
      </c>
      <c r="AC483" s="15" t="str">
        <f t="shared" si="103"/>
        <v/>
      </c>
      <c r="AD483" s="15" t="str">
        <f t="shared" si="104"/>
        <v>Vanligt café</v>
      </c>
      <c r="AE483" s="15" t="str">
        <f t="shared" si="105"/>
        <v/>
      </c>
      <c r="AF483" t="str">
        <f>IF(T483="","",IFERROR(MATCH(1,INDEX((MATCHER!$B$5:$B$504=A483)*(MATCHER!$D$5:$D$504=C483)*(MATCHER!$K$5:$K$504="Ja")*(MATCHER!$C$5:$C$504&lt;E483)*(MATCHER!$M$5:$M$504&gt;D483)*(ROW(MATCHER!$A$5:$A$504)-ROW(MATCHER!$A$5)+1&gt;T483),0),0),""))</f>
        <v/>
      </c>
    </row>
    <row r="484" spans="1:32" ht="26">
      <c r="A484" s="42">
        <v>46459</v>
      </c>
      <c r="B484" s="43" t="s">
        <v>85</v>
      </c>
      <c r="C484" s="43" t="s">
        <v>86</v>
      </c>
      <c r="D484" s="44">
        <v>0.375</v>
      </c>
      <c r="E484" s="44">
        <v>0.39583333333333298</v>
      </c>
      <c r="F484" s="45" t="str">
        <f>IF(R484="","",HOUR(INDEX(MATCHER!$C$5:$C$504,R484))&amp;":"&amp;IF(MINUTE(INDEX(MATCHER!$C$5:$C$504,R484))&lt;10,"0","")&amp;MINUTE(INDEX(MATCHER!$C$5:$C$504,R484))&amp;" "&amp;INDEX(MATCHER!$H$5:$H$504,R484)&amp;" – "&amp;INDEX(MATCHER!$I$5:$I$504,R484))&amp;IF(S484="",""," | "&amp;HOUR(INDEX(MATCHER!$C$5:$C$504,S484))&amp;":"&amp;IF(MINUTE(INDEX(MATCHER!$C$5:$C$504,S484))&lt;10,"0","")&amp;MINUTE(INDEX(MATCHER!$C$5:$C$504,S484))&amp;" "&amp;INDEX(MATCHER!$H$5:$H$504,S484)&amp;" – "&amp;INDEX(MATCHER!$I$5:$I$504,S484))&amp;IF(T484="",""," | "&amp;HOUR(INDEX(MATCHER!$C$5:$C$504,T484))&amp;":"&amp;IF(MINUTE(INDEX(MATCHER!$C$5:$C$504,T484))&lt;10,"0","")&amp;MINUTE(INDEX(MATCHER!$C$5:$C$504,T484))&amp;" "&amp;INDEX(MATCHER!$H$5:$H$504,T484)&amp;" – "&amp;INDEX(MATCHER!$I$5:$I$504,T484))&amp;IF(AF484="",""," | "&amp;HOUR(INDEX(MATCHER!$C$5:$C$504,AF484))&amp;":"&amp;IF(MINUTE(INDEX(MATCHER!$C$5:$C$504,AF484))&lt;10,"0","")&amp;MINUTE(INDEX(MATCHER!$C$5:$C$504,AF484))&amp;" "&amp;INDEX(MATCHER!$H$5:$H$504,AF484)&amp;" – "&amp;INDEX(MATCHER!$I$5:$I$504,AF484))</f>
        <v>9:00 HF Öst – HF Öst 2</v>
      </c>
      <c r="G484" s="45" t="str">
        <f>MID(IF(R484="","",IF(OR(INDEX(MATCHER!$J$5:$J$504,R484)=""),""," / "&amp;INDEX(MATCHER!$J$5:$J$504,R484)))&amp;IF(S484="","",IF(OR(INDEX(MATCHER!$J$5:$J$504,S484)="",INDEX(MATCHER!$J$5:$J$504,S484)=IFERROR(INDEX(MATCHER!$J$5:$J$504,R484),"")),""," / "&amp;INDEX(MATCHER!$J$5:$J$504,S484)))&amp;IF(T484="","",IF(OR(INDEX(MATCHER!$J$5:$J$504,T484)="",INDEX(MATCHER!$J$5:$J$504,T484)=IFERROR(INDEX(MATCHER!$J$5:$J$504,R484),""),INDEX(MATCHER!$J$5:$J$504,T484)=IFERROR(INDEX(MATCHER!$J$5:$J$504,S484),"")),""," / "&amp;INDEX(MATCHER!$J$5:$J$504,T484)))&amp;IF(AF484="","",IF(OR(INDEX(MATCHER!$J$5:$J$504,AF484)="",INDEX(MATCHER!$J$5:$J$504,AF484)=IFERROR(INDEX(MATCHER!$J$5:$J$504,R484),""),INDEX(MATCHER!$J$5:$J$504,AF484)=IFERROR(INDEX(MATCHER!$J$5:$J$504,S484),""),INDEX(MATCHER!$J$5:$J$504,AF484)=IFERROR(INDEX(MATCHER!$J$5:$J$504,T484),"")),""," / "&amp;INDEX(MATCHER!$J$5:$J$504,AF484))),4,1000)</f>
        <v/>
      </c>
      <c r="H484" s="45" t="str">
        <f t="shared" si="108"/>
        <v/>
      </c>
      <c r="I484" s="46" t="s">
        <v>90</v>
      </c>
      <c r="J484" s="47" t="s">
        <v>148</v>
      </c>
      <c r="K484" s="48"/>
      <c r="L484" s="49"/>
      <c r="M484" s="50" t="str">
        <f>IF(O484&lt;&gt;O483,MAX(1,MIN(AA484,ROUNDUP(SUMPRODUCT(($O$5:$O$546=O484)*($I$5:$I$546="Ja")*($E$5:$E$546-$D$5:$D$546))*24/REGLER!$B$8,0))),"")</f>
        <v/>
      </c>
      <c r="N484" s="50" t="str">
        <f t="shared" si="99"/>
        <v>Kontrollera lag</v>
      </c>
      <c r="O484" s="15" t="s">
        <v>161</v>
      </c>
      <c r="P484" s="16">
        <v>0.33333333333333298</v>
      </c>
      <c r="Q484" s="16">
        <v>0.66666666666666696</v>
      </c>
      <c r="R484" s="15">
        <f>IFERROR(MATCH(1,INDEX((MATCHER!$B$5:$B$504=A484)*(MATCHER!$D$5:$D$504=C484)*(MATCHER!$K$5:$K$504="Ja")*(MATCHER!$C$5:$C$504&lt;E484)*(MATCHER!$M$5:$M$504&gt;D484),0),0),"")</f>
        <v>177</v>
      </c>
      <c r="S484" s="15" t="str">
        <f>IF(R484="","",IFERROR(MATCH(1,INDEX((MATCHER!$B$5:$B$504=A484)*(MATCHER!$D$5:$D$504=C484)*(MATCHER!$K$5:$K$504="Ja")*(MATCHER!$C$5:$C$504&lt;E484)*(MATCHER!$M$5:$M$504&gt;D484)*(ROW(MATCHER!$A$5:$A$504)-ROW(MATCHER!$A$5)+1&gt;R484),0),0),""))</f>
        <v/>
      </c>
      <c r="T484" s="15" t="str">
        <f>IF(S484="","",IFERROR(MATCH(1,INDEX((MATCHER!$B$5:$B$504=A484)*(MATCHER!$D$5:$D$504=C484)*(MATCHER!$K$5:$K$504="Ja")*(MATCHER!$C$5:$C$504&lt;E484)*(MATCHER!$M$5:$M$504&gt;D484)*(ROW(MATCHER!$A$5:$A$504)-ROW(MATCHER!$A$5)+1&gt;S484),0),0),""))</f>
        <v/>
      </c>
      <c r="U484" s="15">
        <f t="shared" si="100"/>
        <v>0</v>
      </c>
      <c r="V484" s="15">
        <f>IF(OR(I484&lt;&gt;"Ja",J484=""),"",COUNTIFS($O$5:O484,O484,$U$5:U484,1))</f>
        <v>1</v>
      </c>
      <c r="W484" s="15" t="str">
        <f t="shared" si="101"/>
        <v>2027-03-13 | Ulriksdalshallen|1</v>
      </c>
      <c r="X484" s="16" t="str">
        <f t="shared" si="102"/>
        <v/>
      </c>
      <c r="Y484" s="15">
        <f>IF(OR(I484&lt;&gt;"Ja",J484=""),0,IF(COUNTIFS($O$5:O484,O484,$I$5:I484,"Ja",$J$5:J484,"&lt;&gt;")=1,1,0))</f>
        <v>0</v>
      </c>
      <c r="Z484" s="15">
        <f>IF(OR(I484&lt;&gt;"Ja",J484=""),0,IF(COUNTIFS(O484:$O$546,O484,I484:$I$546,"Ja",J484:$J$546,"&lt;&gt;")=1,1,0))</f>
        <v>0</v>
      </c>
      <c r="AA484" s="15">
        <f t="shared" si="109"/>
        <v>0</v>
      </c>
      <c r="AB484" s="15" t="str">
        <f>IF(U484&lt;&gt;1,"",COUNTIF($U$5:U484,1))</f>
        <v/>
      </c>
      <c r="AC484" s="15" t="str">
        <f t="shared" si="103"/>
        <v/>
      </c>
      <c r="AD484" s="15" t="str">
        <f t="shared" si="104"/>
        <v>Vanligt café</v>
      </c>
      <c r="AE484" s="15" t="str">
        <f t="shared" si="105"/>
        <v/>
      </c>
      <c r="AF484" t="str">
        <f>IF(T484="","",IFERROR(MATCH(1,INDEX((MATCHER!$B$5:$B$504=A484)*(MATCHER!$D$5:$D$504=C484)*(MATCHER!$K$5:$K$504="Ja")*(MATCHER!$C$5:$C$504&lt;E484)*(MATCHER!$M$5:$M$504&gt;D484)*(ROW(MATCHER!$A$5:$A$504)-ROW(MATCHER!$A$5)+1&gt;T484),0),0),""))</f>
        <v/>
      </c>
    </row>
    <row r="485" spans="1:32" ht="26">
      <c r="A485" s="42">
        <v>46459</v>
      </c>
      <c r="B485" s="43" t="s">
        <v>85</v>
      </c>
      <c r="C485" s="43" t="s">
        <v>86</v>
      </c>
      <c r="D485" s="44">
        <v>0.39583333333333298</v>
      </c>
      <c r="E485" s="44">
        <v>0.41666666666666702</v>
      </c>
      <c r="F485" s="45" t="str">
        <f>IF(R485="","",HOUR(INDEX(MATCHER!$C$5:$C$504,R485))&amp;":"&amp;IF(MINUTE(INDEX(MATCHER!$C$5:$C$504,R485))&lt;10,"0","")&amp;MINUTE(INDEX(MATCHER!$C$5:$C$504,R485))&amp;" "&amp;INDEX(MATCHER!$H$5:$H$504,R485)&amp;" – "&amp;INDEX(MATCHER!$I$5:$I$504,R485))&amp;IF(S485="",""," | "&amp;HOUR(INDEX(MATCHER!$C$5:$C$504,S485))&amp;":"&amp;IF(MINUTE(INDEX(MATCHER!$C$5:$C$504,S485))&lt;10,"0","")&amp;MINUTE(INDEX(MATCHER!$C$5:$C$504,S485))&amp;" "&amp;INDEX(MATCHER!$H$5:$H$504,S485)&amp;" – "&amp;INDEX(MATCHER!$I$5:$I$504,S485))&amp;IF(T485="",""," | "&amp;HOUR(INDEX(MATCHER!$C$5:$C$504,T485))&amp;":"&amp;IF(MINUTE(INDEX(MATCHER!$C$5:$C$504,T485))&lt;10,"0","")&amp;MINUTE(INDEX(MATCHER!$C$5:$C$504,T485))&amp;" "&amp;INDEX(MATCHER!$H$5:$H$504,T485)&amp;" – "&amp;INDEX(MATCHER!$I$5:$I$504,T485))&amp;IF(AF485="",""," | "&amp;HOUR(INDEX(MATCHER!$C$5:$C$504,AF485))&amp;":"&amp;IF(MINUTE(INDEX(MATCHER!$C$5:$C$504,AF485))&lt;10,"0","")&amp;MINUTE(INDEX(MATCHER!$C$5:$C$504,AF485))&amp;" "&amp;INDEX(MATCHER!$H$5:$H$504,AF485)&amp;" – "&amp;INDEX(MATCHER!$I$5:$I$504,AF485))</f>
        <v>9:00 HF Öst – HF Öst 2</v>
      </c>
      <c r="G485" s="45" t="str">
        <f>MID(IF(R485="","",IF(OR(INDEX(MATCHER!$J$5:$J$504,R485)=""),""," / "&amp;INDEX(MATCHER!$J$5:$J$504,R485)))&amp;IF(S485="","",IF(OR(INDEX(MATCHER!$J$5:$J$504,S485)="",INDEX(MATCHER!$J$5:$J$504,S485)=IFERROR(INDEX(MATCHER!$J$5:$J$504,R485),"")),""," / "&amp;INDEX(MATCHER!$J$5:$J$504,S485)))&amp;IF(T485="","",IF(OR(INDEX(MATCHER!$J$5:$J$504,T485)="",INDEX(MATCHER!$J$5:$J$504,T485)=IFERROR(INDEX(MATCHER!$J$5:$J$504,R485),""),INDEX(MATCHER!$J$5:$J$504,T485)=IFERROR(INDEX(MATCHER!$J$5:$J$504,S485),"")),""," / "&amp;INDEX(MATCHER!$J$5:$J$504,T485)))&amp;IF(AF485="","",IF(OR(INDEX(MATCHER!$J$5:$J$504,AF485)="",INDEX(MATCHER!$J$5:$J$504,AF485)=IFERROR(INDEX(MATCHER!$J$5:$J$504,R485),""),INDEX(MATCHER!$J$5:$J$504,AF485)=IFERROR(INDEX(MATCHER!$J$5:$J$504,S485),""),INDEX(MATCHER!$J$5:$J$504,AF485)=IFERROR(INDEX(MATCHER!$J$5:$J$504,T485),"")),""," / "&amp;INDEX(MATCHER!$J$5:$J$504,AF485))),4,1000)</f>
        <v/>
      </c>
      <c r="H485" s="45" t="str">
        <f t="shared" si="108"/>
        <v/>
      </c>
      <c r="I485" s="46" t="s">
        <v>90</v>
      </c>
      <c r="J485" s="47" t="s">
        <v>148</v>
      </c>
      <c r="K485" s="48"/>
      <c r="L485" s="49"/>
      <c r="M485" s="50" t="str">
        <f>IF(O485&lt;&gt;O484,MAX(1,MIN(AA485,ROUNDUP(SUMPRODUCT(($O$5:$O$546=O485)*($I$5:$I$546="Ja")*($E$5:$E$546-$D$5:$D$546))*24/REGLER!$B$8,0))),"")</f>
        <v/>
      </c>
      <c r="N485" s="50" t="str">
        <f t="shared" si="99"/>
        <v>Kontrollera lag</v>
      </c>
      <c r="O485" s="15" t="s">
        <v>161</v>
      </c>
      <c r="P485" s="16">
        <v>0.33333333333333298</v>
      </c>
      <c r="Q485" s="16">
        <v>0.66666666666666696</v>
      </c>
      <c r="R485" s="15">
        <f>IFERROR(MATCH(1,INDEX((MATCHER!$B$5:$B$504=A485)*(MATCHER!$D$5:$D$504=C485)*(MATCHER!$K$5:$K$504="Ja")*(MATCHER!$C$5:$C$504&lt;E485)*(MATCHER!$M$5:$M$504&gt;D485),0),0),"")</f>
        <v>177</v>
      </c>
      <c r="S485" s="15" t="str">
        <f>IF(R485="","",IFERROR(MATCH(1,INDEX((MATCHER!$B$5:$B$504=A485)*(MATCHER!$D$5:$D$504=C485)*(MATCHER!$K$5:$K$504="Ja")*(MATCHER!$C$5:$C$504&lt;E485)*(MATCHER!$M$5:$M$504&gt;D485)*(ROW(MATCHER!$A$5:$A$504)-ROW(MATCHER!$A$5)+1&gt;R485),0),0),""))</f>
        <v/>
      </c>
      <c r="T485" s="15" t="str">
        <f>IF(S485="","",IFERROR(MATCH(1,INDEX((MATCHER!$B$5:$B$504=A485)*(MATCHER!$D$5:$D$504=C485)*(MATCHER!$K$5:$K$504="Ja")*(MATCHER!$C$5:$C$504&lt;E485)*(MATCHER!$M$5:$M$504&gt;D485)*(ROW(MATCHER!$A$5:$A$504)-ROW(MATCHER!$A$5)+1&gt;S485),0),0),""))</f>
        <v/>
      </c>
      <c r="U485" s="15">
        <f t="shared" si="100"/>
        <v>0</v>
      </c>
      <c r="V485" s="15">
        <f>IF(OR(I485&lt;&gt;"Ja",J485=""),"",COUNTIFS($O$5:O485,O485,$U$5:U485,1))</f>
        <v>1</v>
      </c>
      <c r="W485" s="15" t="str">
        <f t="shared" si="101"/>
        <v>2027-03-13 | Ulriksdalshallen|1</v>
      </c>
      <c r="X485" s="16" t="str">
        <f t="shared" si="102"/>
        <v/>
      </c>
      <c r="Y485" s="15">
        <f>IF(OR(I485&lt;&gt;"Ja",J485=""),0,IF(COUNTIFS($O$5:O485,O485,$I$5:I485,"Ja",$J$5:J485,"&lt;&gt;")=1,1,0))</f>
        <v>0</v>
      </c>
      <c r="Z485" s="15">
        <f>IF(OR(I485&lt;&gt;"Ja",J485=""),0,IF(COUNTIFS(O485:$O$546,O485,I485:$I$546,"Ja",J485:$J$546,"&lt;&gt;")=1,1,0))</f>
        <v>0</v>
      </c>
      <c r="AA485" s="15">
        <f t="shared" si="109"/>
        <v>0</v>
      </c>
      <c r="AB485" s="15" t="str">
        <f>IF(U485&lt;&gt;1,"",COUNTIF($U$5:U485,1))</f>
        <v/>
      </c>
      <c r="AC485" s="15" t="str">
        <f t="shared" si="103"/>
        <v/>
      </c>
      <c r="AD485" s="15" t="str">
        <f t="shared" si="104"/>
        <v>Vanligt café</v>
      </c>
      <c r="AE485" s="15" t="str">
        <f t="shared" si="105"/>
        <v/>
      </c>
      <c r="AF485" t="str">
        <f>IF(T485="","",IFERROR(MATCH(1,INDEX((MATCHER!$B$5:$B$504=A485)*(MATCHER!$D$5:$D$504=C485)*(MATCHER!$K$5:$K$504="Ja")*(MATCHER!$C$5:$C$504&lt;E485)*(MATCHER!$M$5:$M$504&gt;D485)*(ROW(MATCHER!$A$5:$A$504)-ROW(MATCHER!$A$5)+1&gt;T485),0),0),""))</f>
        <v/>
      </c>
    </row>
    <row r="486" spans="1:32" ht="26">
      <c r="A486" s="42">
        <v>46459</v>
      </c>
      <c r="B486" s="43" t="s">
        <v>85</v>
      </c>
      <c r="C486" s="43" t="s">
        <v>86</v>
      </c>
      <c r="D486" s="44">
        <v>0.41666666666666702</v>
      </c>
      <c r="E486" s="44">
        <v>0.4375</v>
      </c>
      <c r="F486" s="45" t="str">
        <f>IF(R486="","",HOUR(INDEX(MATCHER!$C$5:$C$504,R486))&amp;":"&amp;IF(MINUTE(INDEX(MATCHER!$C$5:$C$504,R486))&lt;10,"0","")&amp;MINUTE(INDEX(MATCHER!$C$5:$C$504,R486))&amp;" "&amp;INDEX(MATCHER!$H$5:$H$504,R486)&amp;" – "&amp;INDEX(MATCHER!$I$5:$I$504,R486))&amp;IF(S486="",""," | "&amp;HOUR(INDEX(MATCHER!$C$5:$C$504,S486))&amp;":"&amp;IF(MINUTE(INDEX(MATCHER!$C$5:$C$504,S486))&lt;10,"0","")&amp;MINUTE(INDEX(MATCHER!$C$5:$C$504,S486))&amp;" "&amp;INDEX(MATCHER!$H$5:$H$504,S486)&amp;" – "&amp;INDEX(MATCHER!$I$5:$I$504,S486))&amp;IF(T486="",""," | "&amp;HOUR(INDEX(MATCHER!$C$5:$C$504,T486))&amp;":"&amp;IF(MINUTE(INDEX(MATCHER!$C$5:$C$504,T486))&lt;10,"0","")&amp;MINUTE(INDEX(MATCHER!$C$5:$C$504,T486))&amp;" "&amp;INDEX(MATCHER!$H$5:$H$504,T486)&amp;" – "&amp;INDEX(MATCHER!$I$5:$I$504,T486))&amp;IF(AF486="",""," | "&amp;HOUR(INDEX(MATCHER!$C$5:$C$504,AF486))&amp;":"&amp;IF(MINUTE(INDEX(MATCHER!$C$5:$C$504,AF486))&lt;10,"0","")&amp;MINUTE(INDEX(MATCHER!$C$5:$C$504,AF486))&amp;" "&amp;INDEX(MATCHER!$H$5:$H$504,AF486)&amp;" – "&amp;INDEX(MATCHER!$I$5:$I$504,AF486))</f>
        <v>9:00 HF Öst – HF Öst 2</v>
      </c>
      <c r="G486" s="45" t="str">
        <f>MID(IF(R486="","",IF(OR(INDEX(MATCHER!$J$5:$J$504,R486)=""),""," / "&amp;INDEX(MATCHER!$J$5:$J$504,R486)))&amp;IF(S486="","",IF(OR(INDEX(MATCHER!$J$5:$J$504,S486)="",INDEX(MATCHER!$J$5:$J$504,S486)=IFERROR(INDEX(MATCHER!$J$5:$J$504,R486),"")),""," / "&amp;INDEX(MATCHER!$J$5:$J$504,S486)))&amp;IF(T486="","",IF(OR(INDEX(MATCHER!$J$5:$J$504,T486)="",INDEX(MATCHER!$J$5:$J$504,T486)=IFERROR(INDEX(MATCHER!$J$5:$J$504,R486),""),INDEX(MATCHER!$J$5:$J$504,T486)=IFERROR(INDEX(MATCHER!$J$5:$J$504,S486),"")),""," / "&amp;INDEX(MATCHER!$J$5:$J$504,T486)))&amp;IF(AF486="","",IF(OR(INDEX(MATCHER!$J$5:$J$504,AF486)="",INDEX(MATCHER!$J$5:$J$504,AF486)=IFERROR(INDEX(MATCHER!$J$5:$J$504,R486),""),INDEX(MATCHER!$J$5:$J$504,AF486)=IFERROR(INDEX(MATCHER!$J$5:$J$504,S486),""),INDEX(MATCHER!$J$5:$J$504,AF486)=IFERROR(INDEX(MATCHER!$J$5:$J$504,T486),"")),""," / "&amp;INDEX(MATCHER!$J$5:$J$504,AF486))),4,1000)</f>
        <v/>
      </c>
      <c r="H486" s="45" t="str">
        <f t="shared" si="108"/>
        <v/>
      </c>
      <c r="I486" s="46" t="s">
        <v>90</v>
      </c>
      <c r="J486" s="47" t="s">
        <v>148</v>
      </c>
      <c r="K486" s="48"/>
      <c r="L486" s="49"/>
      <c r="M486" s="50" t="str">
        <f>IF(O486&lt;&gt;O485,MAX(1,MIN(AA486,ROUNDUP(SUMPRODUCT(($O$5:$O$546=O486)*($I$5:$I$546="Ja")*($E$5:$E$546-$D$5:$D$546))*24/REGLER!$B$8,0))),"")</f>
        <v/>
      </c>
      <c r="N486" s="50" t="str">
        <f t="shared" si="99"/>
        <v>Kontrollera lag</v>
      </c>
      <c r="O486" s="15" t="s">
        <v>161</v>
      </c>
      <c r="P486" s="16">
        <v>0.33333333333333298</v>
      </c>
      <c r="Q486" s="16">
        <v>0.66666666666666696</v>
      </c>
      <c r="R486" s="15">
        <f>IFERROR(MATCH(1,INDEX((MATCHER!$B$5:$B$504=A486)*(MATCHER!$D$5:$D$504=C486)*(MATCHER!$K$5:$K$504="Ja")*(MATCHER!$C$5:$C$504&lt;E486)*(MATCHER!$M$5:$M$504&gt;D486),0),0),"")</f>
        <v>177</v>
      </c>
      <c r="S486" s="15" t="str">
        <f>IF(R486="","",IFERROR(MATCH(1,INDEX((MATCHER!$B$5:$B$504=A486)*(MATCHER!$D$5:$D$504=C486)*(MATCHER!$K$5:$K$504="Ja")*(MATCHER!$C$5:$C$504&lt;E486)*(MATCHER!$M$5:$M$504&gt;D486)*(ROW(MATCHER!$A$5:$A$504)-ROW(MATCHER!$A$5)+1&gt;R486),0),0),""))</f>
        <v/>
      </c>
      <c r="T486" s="15" t="str">
        <f>IF(S486="","",IFERROR(MATCH(1,INDEX((MATCHER!$B$5:$B$504=A486)*(MATCHER!$D$5:$D$504=C486)*(MATCHER!$K$5:$K$504="Ja")*(MATCHER!$C$5:$C$504&lt;E486)*(MATCHER!$M$5:$M$504&gt;D486)*(ROW(MATCHER!$A$5:$A$504)-ROW(MATCHER!$A$5)+1&gt;S486),0),0),""))</f>
        <v/>
      </c>
      <c r="U486" s="15">
        <f t="shared" si="100"/>
        <v>0</v>
      </c>
      <c r="V486" s="15">
        <f>IF(OR(I486&lt;&gt;"Ja",J486=""),"",COUNTIFS($O$5:O486,O486,$U$5:U486,1))</f>
        <v>1</v>
      </c>
      <c r="W486" s="15" t="str">
        <f t="shared" si="101"/>
        <v>2027-03-13 | Ulriksdalshallen|1</v>
      </c>
      <c r="X486" s="16" t="str">
        <f t="shared" si="102"/>
        <v/>
      </c>
      <c r="Y486" s="15">
        <f>IF(OR(I486&lt;&gt;"Ja",J486=""),0,IF(COUNTIFS($O$5:O486,O486,$I$5:I486,"Ja",$J$5:J486,"&lt;&gt;")=1,1,0))</f>
        <v>0</v>
      </c>
      <c r="Z486" s="15">
        <f>IF(OR(I486&lt;&gt;"Ja",J486=""),0,IF(COUNTIFS(O486:$O$546,O486,I486:$I$546,"Ja",J486:$J$546,"&lt;&gt;")=1,1,0))</f>
        <v>0</v>
      </c>
      <c r="AA486" s="15">
        <f t="shared" si="109"/>
        <v>0</v>
      </c>
      <c r="AB486" s="15" t="str">
        <f>IF(U486&lt;&gt;1,"",COUNTIF($U$5:U486,1))</f>
        <v/>
      </c>
      <c r="AC486" s="15" t="str">
        <f t="shared" si="103"/>
        <v/>
      </c>
      <c r="AD486" s="15" t="str">
        <f t="shared" si="104"/>
        <v>Vanligt café</v>
      </c>
      <c r="AE486" s="15" t="str">
        <f t="shared" si="105"/>
        <v/>
      </c>
      <c r="AF486" t="str">
        <f>IF(T486="","",IFERROR(MATCH(1,INDEX((MATCHER!$B$5:$B$504=A486)*(MATCHER!$D$5:$D$504=C486)*(MATCHER!$K$5:$K$504="Ja")*(MATCHER!$C$5:$C$504&lt;E486)*(MATCHER!$M$5:$M$504&gt;D486)*(ROW(MATCHER!$A$5:$A$504)-ROW(MATCHER!$A$5)+1&gt;T486),0),0),""))</f>
        <v/>
      </c>
    </row>
    <row r="487" spans="1:32" ht="26">
      <c r="A487" s="42">
        <v>46459</v>
      </c>
      <c r="B487" s="43" t="s">
        <v>85</v>
      </c>
      <c r="C487" s="43" t="s">
        <v>86</v>
      </c>
      <c r="D487" s="44">
        <v>0.4375</v>
      </c>
      <c r="E487" s="44">
        <v>0.45833333333333298</v>
      </c>
      <c r="F487" s="45" t="str">
        <f>IF(R487="","",HOUR(INDEX(MATCHER!$C$5:$C$504,R487))&amp;":"&amp;IF(MINUTE(INDEX(MATCHER!$C$5:$C$504,R487))&lt;10,"0","")&amp;MINUTE(INDEX(MATCHER!$C$5:$C$504,R487))&amp;" "&amp;INDEX(MATCHER!$H$5:$H$504,R487)&amp;" – "&amp;INDEX(MATCHER!$I$5:$I$504,R487))&amp;IF(S487="",""," | "&amp;HOUR(INDEX(MATCHER!$C$5:$C$504,S487))&amp;":"&amp;IF(MINUTE(INDEX(MATCHER!$C$5:$C$504,S487))&lt;10,"0","")&amp;MINUTE(INDEX(MATCHER!$C$5:$C$504,S487))&amp;" "&amp;INDEX(MATCHER!$H$5:$H$504,S487)&amp;" – "&amp;INDEX(MATCHER!$I$5:$I$504,S487))&amp;IF(T487="",""," | "&amp;HOUR(INDEX(MATCHER!$C$5:$C$504,T487))&amp;":"&amp;IF(MINUTE(INDEX(MATCHER!$C$5:$C$504,T487))&lt;10,"0","")&amp;MINUTE(INDEX(MATCHER!$C$5:$C$504,T487))&amp;" "&amp;INDEX(MATCHER!$H$5:$H$504,T487)&amp;" – "&amp;INDEX(MATCHER!$I$5:$I$504,T487))&amp;IF(AF487="",""," | "&amp;HOUR(INDEX(MATCHER!$C$5:$C$504,AF487))&amp;":"&amp;IF(MINUTE(INDEX(MATCHER!$C$5:$C$504,AF487))&lt;10,"0","")&amp;MINUTE(INDEX(MATCHER!$C$5:$C$504,AF487))&amp;" "&amp;INDEX(MATCHER!$H$5:$H$504,AF487)&amp;" – "&amp;INDEX(MATCHER!$I$5:$I$504,AF487))</f>
        <v>9:00 HF Öst – HF Öst 2</v>
      </c>
      <c r="G487" s="45" t="str">
        <f>MID(IF(R487="","",IF(OR(INDEX(MATCHER!$J$5:$J$504,R487)=""),""," / "&amp;INDEX(MATCHER!$J$5:$J$504,R487)))&amp;IF(S487="","",IF(OR(INDEX(MATCHER!$J$5:$J$504,S487)="",INDEX(MATCHER!$J$5:$J$504,S487)=IFERROR(INDEX(MATCHER!$J$5:$J$504,R487),"")),""," / "&amp;INDEX(MATCHER!$J$5:$J$504,S487)))&amp;IF(T487="","",IF(OR(INDEX(MATCHER!$J$5:$J$504,T487)="",INDEX(MATCHER!$J$5:$J$504,T487)=IFERROR(INDEX(MATCHER!$J$5:$J$504,R487),""),INDEX(MATCHER!$J$5:$J$504,T487)=IFERROR(INDEX(MATCHER!$J$5:$J$504,S487),"")),""," / "&amp;INDEX(MATCHER!$J$5:$J$504,T487)))&amp;IF(AF487="","",IF(OR(INDEX(MATCHER!$J$5:$J$504,AF487)="",INDEX(MATCHER!$J$5:$J$504,AF487)=IFERROR(INDEX(MATCHER!$J$5:$J$504,R487),""),INDEX(MATCHER!$J$5:$J$504,AF487)=IFERROR(INDEX(MATCHER!$J$5:$J$504,S487),""),INDEX(MATCHER!$J$5:$J$504,AF487)=IFERROR(INDEX(MATCHER!$J$5:$J$504,T487),"")),""," / "&amp;INDEX(MATCHER!$J$5:$J$504,AF487))),4,1000)</f>
        <v/>
      </c>
      <c r="H487" s="45" t="str">
        <f t="shared" si="108"/>
        <v/>
      </c>
      <c r="I487" s="46" t="s">
        <v>90</v>
      </c>
      <c r="J487" s="47" t="s">
        <v>148</v>
      </c>
      <c r="K487" s="48"/>
      <c r="L487" s="49"/>
      <c r="M487" s="50" t="str">
        <f>IF(O487&lt;&gt;O486,MAX(1,MIN(AA487,ROUNDUP(SUMPRODUCT(($O$5:$O$546=O487)*($I$5:$I$546="Ja")*($E$5:$E$546-$D$5:$D$546))*24/REGLER!$B$8,0))),"")</f>
        <v/>
      </c>
      <c r="N487" s="50" t="str">
        <f t="shared" si="99"/>
        <v>Kontrollera lag</v>
      </c>
      <c r="O487" s="15" t="s">
        <v>161</v>
      </c>
      <c r="P487" s="16">
        <v>0.33333333333333298</v>
      </c>
      <c r="Q487" s="16">
        <v>0.66666666666666696</v>
      </c>
      <c r="R487" s="15">
        <f>IFERROR(MATCH(1,INDEX((MATCHER!$B$5:$B$504=A487)*(MATCHER!$D$5:$D$504=C487)*(MATCHER!$K$5:$K$504="Ja")*(MATCHER!$C$5:$C$504&lt;E487)*(MATCHER!$M$5:$M$504&gt;D487),0),0),"")</f>
        <v>177</v>
      </c>
      <c r="S487" s="15" t="str">
        <f>IF(R487="","",IFERROR(MATCH(1,INDEX((MATCHER!$B$5:$B$504=A487)*(MATCHER!$D$5:$D$504=C487)*(MATCHER!$K$5:$K$504="Ja")*(MATCHER!$C$5:$C$504&lt;E487)*(MATCHER!$M$5:$M$504&gt;D487)*(ROW(MATCHER!$A$5:$A$504)-ROW(MATCHER!$A$5)+1&gt;R487),0),0),""))</f>
        <v/>
      </c>
      <c r="T487" s="15" t="str">
        <f>IF(S487="","",IFERROR(MATCH(1,INDEX((MATCHER!$B$5:$B$504=A487)*(MATCHER!$D$5:$D$504=C487)*(MATCHER!$K$5:$K$504="Ja")*(MATCHER!$C$5:$C$504&lt;E487)*(MATCHER!$M$5:$M$504&gt;D487)*(ROW(MATCHER!$A$5:$A$504)-ROW(MATCHER!$A$5)+1&gt;S487),0),0),""))</f>
        <v/>
      </c>
      <c r="U487" s="15">
        <f t="shared" si="100"/>
        <v>0</v>
      </c>
      <c r="V487" s="15">
        <f>IF(OR(I487&lt;&gt;"Ja",J487=""),"",COUNTIFS($O$5:O487,O487,$U$5:U487,1))</f>
        <v>1</v>
      </c>
      <c r="W487" s="15" t="str">
        <f t="shared" si="101"/>
        <v>2027-03-13 | Ulriksdalshallen|1</v>
      </c>
      <c r="X487" s="16" t="str">
        <f t="shared" si="102"/>
        <v/>
      </c>
      <c r="Y487" s="15">
        <f>IF(OR(I487&lt;&gt;"Ja",J487=""),0,IF(COUNTIFS($O$5:O487,O487,$I$5:I487,"Ja",$J$5:J487,"&lt;&gt;")=1,1,0))</f>
        <v>0</v>
      </c>
      <c r="Z487" s="15">
        <f>IF(OR(I487&lt;&gt;"Ja",J487=""),0,IF(COUNTIFS(O487:$O$546,O487,I487:$I$546,"Ja",J487:$J$546,"&lt;&gt;")=1,1,0))</f>
        <v>0</v>
      </c>
      <c r="AA487" s="15">
        <f t="shared" si="109"/>
        <v>0</v>
      </c>
      <c r="AB487" s="15" t="str">
        <f>IF(U487&lt;&gt;1,"",COUNTIF($U$5:U487,1))</f>
        <v/>
      </c>
      <c r="AC487" s="15" t="str">
        <f t="shared" si="103"/>
        <v/>
      </c>
      <c r="AD487" s="15" t="str">
        <f t="shared" si="104"/>
        <v>Vanligt café</v>
      </c>
      <c r="AE487" s="15" t="str">
        <f t="shared" si="105"/>
        <v/>
      </c>
      <c r="AF487" t="str">
        <f>IF(T487="","",IFERROR(MATCH(1,INDEX((MATCHER!$B$5:$B$504=A487)*(MATCHER!$D$5:$D$504=C487)*(MATCHER!$K$5:$K$504="Ja")*(MATCHER!$C$5:$C$504&lt;E487)*(MATCHER!$M$5:$M$504&gt;D487)*(ROW(MATCHER!$A$5:$A$504)-ROW(MATCHER!$A$5)+1&gt;T487),0),0),""))</f>
        <v/>
      </c>
    </row>
    <row r="488" spans="1:32" ht="26">
      <c r="A488" s="42">
        <v>46459</v>
      </c>
      <c r="B488" s="43" t="s">
        <v>85</v>
      </c>
      <c r="C488" s="43" t="s">
        <v>86</v>
      </c>
      <c r="D488" s="44">
        <v>0.45833333333333298</v>
      </c>
      <c r="E488" s="44">
        <v>0.47916666666666702</v>
      </c>
      <c r="F488" s="45" t="str">
        <f>IF(R488="","",HOUR(INDEX(MATCHER!$C$5:$C$504,R488))&amp;":"&amp;IF(MINUTE(INDEX(MATCHER!$C$5:$C$504,R488))&lt;10,"0","")&amp;MINUTE(INDEX(MATCHER!$C$5:$C$504,R488))&amp;" "&amp;INDEX(MATCHER!$H$5:$H$504,R488)&amp;" – "&amp;INDEX(MATCHER!$I$5:$I$504,R488))&amp;IF(S488="",""," | "&amp;HOUR(INDEX(MATCHER!$C$5:$C$504,S488))&amp;":"&amp;IF(MINUTE(INDEX(MATCHER!$C$5:$C$504,S488))&lt;10,"0","")&amp;MINUTE(INDEX(MATCHER!$C$5:$C$504,S488))&amp;" "&amp;INDEX(MATCHER!$H$5:$H$504,S488)&amp;" – "&amp;INDEX(MATCHER!$I$5:$I$504,S488))&amp;IF(T488="",""," | "&amp;HOUR(INDEX(MATCHER!$C$5:$C$504,T488))&amp;":"&amp;IF(MINUTE(INDEX(MATCHER!$C$5:$C$504,T488))&lt;10,"0","")&amp;MINUTE(INDEX(MATCHER!$C$5:$C$504,T488))&amp;" "&amp;INDEX(MATCHER!$H$5:$H$504,T488)&amp;" – "&amp;INDEX(MATCHER!$I$5:$I$504,T488))&amp;IF(AF488="",""," | "&amp;HOUR(INDEX(MATCHER!$C$5:$C$504,AF488))&amp;":"&amp;IF(MINUTE(INDEX(MATCHER!$C$5:$C$504,AF488))&lt;10,"0","")&amp;MINUTE(INDEX(MATCHER!$C$5:$C$504,AF488))&amp;" "&amp;INDEX(MATCHER!$H$5:$H$504,AF488)&amp;" – "&amp;INDEX(MATCHER!$I$5:$I$504,AF488))</f>
        <v>9:00 HF Öst – HF Öst 2</v>
      </c>
      <c r="G488" s="45" t="str">
        <f>MID(IF(R488="","",IF(OR(INDEX(MATCHER!$J$5:$J$504,R488)=""),""," / "&amp;INDEX(MATCHER!$J$5:$J$504,R488)))&amp;IF(S488="","",IF(OR(INDEX(MATCHER!$J$5:$J$504,S488)="",INDEX(MATCHER!$J$5:$J$504,S488)=IFERROR(INDEX(MATCHER!$J$5:$J$504,R488),"")),""," / "&amp;INDEX(MATCHER!$J$5:$J$504,S488)))&amp;IF(T488="","",IF(OR(INDEX(MATCHER!$J$5:$J$504,T488)="",INDEX(MATCHER!$J$5:$J$504,T488)=IFERROR(INDEX(MATCHER!$J$5:$J$504,R488),""),INDEX(MATCHER!$J$5:$J$504,T488)=IFERROR(INDEX(MATCHER!$J$5:$J$504,S488),"")),""," / "&amp;INDEX(MATCHER!$J$5:$J$504,T488)))&amp;IF(AF488="","",IF(OR(INDEX(MATCHER!$J$5:$J$504,AF488)="",INDEX(MATCHER!$J$5:$J$504,AF488)=IFERROR(INDEX(MATCHER!$J$5:$J$504,R488),""),INDEX(MATCHER!$J$5:$J$504,AF488)=IFERROR(INDEX(MATCHER!$J$5:$J$504,S488),""),INDEX(MATCHER!$J$5:$J$504,AF488)=IFERROR(INDEX(MATCHER!$J$5:$J$504,T488),"")),""," / "&amp;INDEX(MATCHER!$J$5:$J$504,AF488))),4,1000)</f>
        <v/>
      </c>
      <c r="H488" s="45" t="str">
        <f t="shared" si="108"/>
        <v/>
      </c>
      <c r="I488" s="46" t="s">
        <v>90</v>
      </c>
      <c r="J488" s="47" t="s">
        <v>148</v>
      </c>
      <c r="K488" s="48"/>
      <c r="L488" s="49"/>
      <c r="M488" s="50" t="str">
        <f>IF(O488&lt;&gt;O487,MAX(1,MIN(AA488,ROUNDUP(SUMPRODUCT(($O$5:$O$546=O488)*($I$5:$I$546="Ja")*($E$5:$E$546-$D$5:$D$546))*24/REGLER!$B$8,0))),"")</f>
        <v/>
      </c>
      <c r="N488" s="50" t="str">
        <f t="shared" si="99"/>
        <v>Kontrollera lag</v>
      </c>
      <c r="O488" s="15" t="s">
        <v>161</v>
      </c>
      <c r="P488" s="16">
        <v>0.33333333333333298</v>
      </c>
      <c r="Q488" s="16">
        <v>0.66666666666666696</v>
      </c>
      <c r="R488" s="15">
        <f>IFERROR(MATCH(1,INDEX((MATCHER!$B$5:$B$504=A488)*(MATCHER!$D$5:$D$504=C488)*(MATCHER!$K$5:$K$504="Ja")*(MATCHER!$C$5:$C$504&lt;E488)*(MATCHER!$M$5:$M$504&gt;D488),0),0),"")</f>
        <v>177</v>
      </c>
      <c r="S488" s="15" t="str">
        <f>IF(R488="","",IFERROR(MATCH(1,INDEX((MATCHER!$B$5:$B$504=A488)*(MATCHER!$D$5:$D$504=C488)*(MATCHER!$K$5:$K$504="Ja")*(MATCHER!$C$5:$C$504&lt;E488)*(MATCHER!$M$5:$M$504&gt;D488)*(ROW(MATCHER!$A$5:$A$504)-ROW(MATCHER!$A$5)+1&gt;R488),0),0),""))</f>
        <v/>
      </c>
      <c r="T488" s="15" t="str">
        <f>IF(S488="","",IFERROR(MATCH(1,INDEX((MATCHER!$B$5:$B$504=A488)*(MATCHER!$D$5:$D$504=C488)*(MATCHER!$K$5:$K$504="Ja")*(MATCHER!$C$5:$C$504&lt;E488)*(MATCHER!$M$5:$M$504&gt;D488)*(ROW(MATCHER!$A$5:$A$504)-ROW(MATCHER!$A$5)+1&gt;S488),0),0),""))</f>
        <v/>
      </c>
      <c r="U488" s="15">
        <f t="shared" si="100"/>
        <v>0</v>
      </c>
      <c r="V488" s="15">
        <f>IF(OR(I488&lt;&gt;"Ja",J488=""),"",COUNTIFS($O$5:O488,O488,$U$5:U488,1))</f>
        <v>1</v>
      </c>
      <c r="W488" s="15" t="str">
        <f t="shared" si="101"/>
        <v>2027-03-13 | Ulriksdalshallen|1</v>
      </c>
      <c r="X488" s="16" t="str">
        <f t="shared" si="102"/>
        <v/>
      </c>
      <c r="Y488" s="15">
        <f>IF(OR(I488&lt;&gt;"Ja",J488=""),0,IF(COUNTIFS($O$5:O488,O488,$I$5:I488,"Ja",$J$5:J488,"&lt;&gt;")=1,1,0))</f>
        <v>0</v>
      </c>
      <c r="Z488" s="15">
        <f>IF(OR(I488&lt;&gt;"Ja",J488=""),0,IF(COUNTIFS(O488:$O$546,O488,I488:$I$546,"Ja",J488:$J$546,"&lt;&gt;")=1,1,0))</f>
        <v>0</v>
      </c>
      <c r="AA488" s="15">
        <f t="shared" si="109"/>
        <v>0</v>
      </c>
      <c r="AB488" s="15" t="str">
        <f>IF(U488&lt;&gt;1,"",COUNTIF($U$5:U488,1))</f>
        <v/>
      </c>
      <c r="AC488" s="15" t="str">
        <f t="shared" si="103"/>
        <v/>
      </c>
      <c r="AD488" s="15" t="str">
        <f t="shared" si="104"/>
        <v>Vanligt café</v>
      </c>
      <c r="AE488" s="15" t="str">
        <f t="shared" si="105"/>
        <v/>
      </c>
      <c r="AF488" t="str">
        <f>IF(T488="","",IFERROR(MATCH(1,INDEX((MATCHER!$B$5:$B$504=A488)*(MATCHER!$D$5:$D$504=C488)*(MATCHER!$K$5:$K$504="Ja")*(MATCHER!$C$5:$C$504&lt;E488)*(MATCHER!$M$5:$M$504&gt;D488)*(ROW(MATCHER!$A$5:$A$504)-ROW(MATCHER!$A$5)+1&gt;T488),0),0),""))</f>
        <v/>
      </c>
    </row>
    <row r="489" spans="1:32" ht="26">
      <c r="A489" s="42">
        <v>46459</v>
      </c>
      <c r="B489" s="43" t="s">
        <v>85</v>
      </c>
      <c r="C489" s="43" t="s">
        <v>86</v>
      </c>
      <c r="D489" s="44">
        <v>0.47916666666666702</v>
      </c>
      <c r="E489" s="44">
        <v>0.5</v>
      </c>
      <c r="F489" s="45" t="str">
        <f>IF(R489="","",HOUR(INDEX(MATCHER!$C$5:$C$504,R489))&amp;":"&amp;IF(MINUTE(INDEX(MATCHER!$C$5:$C$504,R489))&lt;10,"0","")&amp;MINUTE(INDEX(MATCHER!$C$5:$C$504,R489))&amp;" "&amp;INDEX(MATCHER!$H$5:$H$504,R489)&amp;" – "&amp;INDEX(MATCHER!$I$5:$I$504,R489))&amp;IF(S489="",""," | "&amp;HOUR(INDEX(MATCHER!$C$5:$C$504,S489))&amp;":"&amp;IF(MINUTE(INDEX(MATCHER!$C$5:$C$504,S489))&lt;10,"0","")&amp;MINUTE(INDEX(MATCHER!$C$5:$C$504,S489))&amp;" "&amp;INDEX(MATCHER!$H$5:$H$504,S489)&amp;" – "&amp;INDEX(MATCHER!$I$5:$I$504,S489))&amp;IF(T489="",""," | "&amp;HOUR(INDEX(MATCHER!$C$5:$C$504,T489))&amp;":"&amp;IF(MINUTE(INDEX(MATCHER!$C$5:$C$504,T489))&lt;10,"0","")&amp;MINUTE(INDEX(MATCHER!$C$5:$C$504,T489))&amp;" "&amp;INDEX(MATCHER!$H$5:$H$504,T489)&amp;" – "&amp;INDEX(MATCHER!$I$5:$I$504,T489))&amp;IF(AF489="",""," | "&amp;HOUR(INDEX(MATCHER!$C$5:$C$504,AF489))&amp;":"&amp;IF(MINUTE(INDEX(MATCHER!$C$5:$C$504,AF489))&lt;10,"0","")&amp;MINUTE(INDEX(MATCHER!$C$5:$C$504,AF489))&amp;" "&amp;INDEX(MATCHER!$H$5:$H$504,AF489)&amp;" – "&amp;INDEX(MATCHER!$I$5:$I$504,AF489))</f>
        <v>9:00 HF Öst – HF Öst 2</v>
      </c>
      <c r="G489" s="45" t="str">
        <f>MID(IF(R489="","",IF(OR(INDEX(MATCHER!$J$5:$J$504,R489)=""),""," / "&amp;INDEX(MATCHER!$J$5:$J$504,R489)))&amp;IF(S489="","",IF(OR(INDEX(MATCHER!$J$5:$J$504,S489)="",INDEX(MATCHER!$J$5:$J$504,S489)=IFERROR(INDEX(MATCHER!$J$5:$J$504,R489),"")),""," / "&amp;INDEX(MATCHER!$J$5:$J$504,S489)))&amp;IF(T489="","",IF(OR(INDEX(MATCHER!$J$5:$J$504,T489)="",INDEX(MATCHER!$J$5:$J$504,T489)=IFERROR(INDEX(MATCHER!$J$5:$J$504,R489),""),INDEX(MATCHER!$J$5:$J$504,T489)=IFERROR(INDEX(MATCHER!$J$5:$J$504,S489),"")),""," / "&amp;INDEX(MATCHER!$J$5:$J$504,T489)))&amp;IF(AF489="","",IF(OR(INDEX(MATCHER!$J$5:$J$504,AF489)="",INDEX(MATCHER!$J$5:$J$504,AF489)=IFERROR(INDEX(MATCHER!$J$5:$J$504,R489),""),INDEX(MATCHER!$J$5:$J$504,AF489)=IFERROR(INDEX(MATCHER!$J$5:$J$504,S489),""),INDEX(MATCHER!$J$5:$J$504,AF489)=IFERROR(INDEX(MATCHER!$J$5:$J$504,T489),"")),""," / "&amp;INDEX(MATCHER!$J$5:$J$504,AF489))),4,1000)</f>
        <v/>
      </c>
      <c r="H489" s="45" t="str">
        <f t="shared" si="108"/>
        <v/>
      </c>
      <c r="I489" s="46" t="s">
        <v>90</v>
      </c>
      <c r="J489" s="47" t="s">
        <v>148</v>
      </c>
      <c r="K489" s="48"/>
      <c r="L489" s="49"/>
      <c r="M489" s="50" t="str">
        <f>IF(O489&lt;&gt;O488,MAX(1,MIN(AA489,ROUNDUP(SUMPRODUCT(($O$5:$O$546=O489)*($I$5:$I$546="Ja")*($E$5:$E$546-$D$5:$D$546))*24/REGLER!$B$8,0))),"")</f>
        <v/>
      </c>
      <c r="N489" s="50" t="str">
        <f t="shared" si="99"/>
        <v>Kontrollera lag</v>
      </c>
      <c r="O489" s="15" t="s">
        <v>161</v>
      </c>
      <c r="P489" s="16">
        <v>0.33333333333333298</v>
      </c>
      <c r="Q489" s="16">
        <v>0.66666666666666696</v>
      </c>
      <c r="R489" s="15">
        <f>IFERROR(MATCH(1,INDEX((MATCHER!$B$5:$B$504=A489)*(MATCHER!$D$5:$D$504=C489)*(MATCHER!$K$5:$K$504="Ja")*(MATCHER!$C$5:$C$504&lt;E489)*(MATCHER!$M$5:$M$504&gt;D489),0),0),"")</f>
        <v>177</v>
      </c>
      <c r="S489" s="15" t="str">
        <f>IF(R489="","",IFERROR(MATCH(1,INDEX((MATCHER!$B$5:$B$504=A489)*(MATCHER!$D$5:$D$504=C489)*(MATCHER!$K$5:$K$504="Ja")*(MATCHER!$C$5:$C$504&lt;E489)*(MATCHER!$M$5:$M$504&gt;D489)*(ROW(MATCHER!$A$5:$A$504)-ROW(MATCHER!$A$5)+1&gt;R489),0),0),""))</f>
        <v/>
      </c>
      <c r="T489" s="15" t="str">
        <f>IF(S489="","",IFERROR(MATCH(1,INDEX((MATCHER!$B$5:$B$504=A489)*(MATCHER!$D$5:$D$504=C489)*(MATCHER!$K$5:$K$504="Ja")*(MATCHER!$C$5:$C$504&lt;E489)*(MATCHER!$M$5:$M$504&gt;D489)*(ROW(MATCHER!$A$5:$A$504)-ROW(MATCHER!$A$5)+1&gt;S489),0),0),""))</f>
        <v/>
      </c>
      <c r="U489" s="15">
        <f t="shared" si="100"/>
        <v>0</v>
      </c>
      <c r="V489" s="15">
        <f>IF(OR(I489&lt;&gt;"Ja",J489=""),"",COUNTIFS($O$5:O489,O489,$U$5:U489,1))</f>
        <v>1</v>
      </c>
      <c r="W489" s="15" t="str">
        <f t="shared" si="101"/>
        <v>2027-03-13 | Ulriksdalshallen|1</v>
      </c>
      <c r="X489" s="16">
        <f t="shared" si="102"/>
        <v>0.5</v>
      </c>
      <c r="Y489" s="15">
        <f>IF(OR(I489&lt;&gt;"Ja",J489=""),0,IF(COUNTIFS($O$5:O489,O489,$I$5:I489,"Ja",$J$5:J489,"&lt;&gt;")=1,1,0))</f>
        <v>0</v>
      </c>
      <c r="Z489" s="15">
        <f>IF(OR(I489&lt;&gt;"Ja",J489=""),0,IF(COUNTIFS(O489:$O$546,O489,I489:$I$546,"Ja",J489:$J$546,"&lt;&gt;")=1,1,0))</f>
        <v>0</v>
      </c>
      <c r="AA489" s="15">
        <f t="shared" si="109"/>
        <v>0</v>
      </c>
      <c r="AB489" s="15" t="str">
        <f>IF(U489&lt;&gt;1,"",COUNTIF($U$5:U489,1))</f>
        <v/>
      </c>
      <c r="AC489" s="15" t="str">
        <f t="shared" si="103"/>
        <v>2027-03-13 | Ulriksdalshallen|1</v>
      </c>
      <c r="AD489" s="15" t="str">
        <f t="shared" si="104"/>
        <v>Vanligt café</v>
      </c>
      <c r="AE489" s="15" t="str">
        <f t="shared" si="105"/>
        <v/>
      </c>
      <c r="AF489" t="str">
        <f>IF(T489="","",IFERROR(MATCH(1,INDEX((MATCHER!$B$5:$B$504=A489)*(MATCHER!$D$5:$D$504=C489)*(MATCHER!$K$5:$K$504="Ja")*(MATCHER!$C$5:$C$504&lt;E489)*(MATCHER!$M$5:$M$504&gt;D489)*(ROW(MATCHER!$A$5:$A$504)-ROW(MATCHER!$A$5)+1&gt;T489),0),0),""))</f>
        <v/>
      </c>
    </row>
    <row r="490" spans="1:32" ht="26">
      <c r="A490" s="42">
        <v>46459</v>
      </c>
      <c r="B490" s="43" t="s">
        <v>85</v>
      </c>
      <c r="C490" s="43" t="s">
        <v>86</v>
      </c>
      <c r="D490" s="44">
        <v>0.5</v>
      </c>
      <c r="E490" s="44">
        <v>0.52083333333333304</v>
      </c>
      <c r="F490" s="45" t="str">
        <f>IF(R490="","",HOUR(INDEX(MATCHER!$C$5:$C$504,R490))&amp;":"&amp;IF(MINUTE(INDEX(MATCHER!$C$5:$C$504,R490))&lt;10,"0","")&amp;MINUTE(INDEX(MATCHER!$C$5:$C$504,R490))&amp;" "&amp;INDEX(MATCHER!$H$5:$H$504,R490)&amp;" – "&amp;INDEX(MATCHER!$I$5:$I$504,R490))&amp;IF(S490="",""," | "&amp;HOUR(INDEX(MATCHER!$C$5:$C$504,S490))&amp;":"&amp;IF(MINUTE(INDEX(MATCHER!$C$5:$C$504,S490))&lt;10,"0","")&amp;MINUTE(INDEX(MATCHER!$C$5:$C$504,S490))&amp;" "&amp;INDEX(MATCHER!$H$5:$H$504,S490)&amp;" – "&amp;INDEX(MATCHER!$I$5:$I$504,S490))&amp;IF(T490="",""," | "&amp;HOUR(INDEX(MATCHER!$C$5:$C$504,T490))&amp;":"&amp;IF(MINUTE(INDEX(MATCHER!$C$5:$C$504,T490))&lt;10,"0","")&amp;MINUTE(INDEX(MATCHER!$C$5:$C$504,T490))&amp;" "&amp;INDEX(MATCHER!$H$5:$H$504,T490)&amp;" – "&amp;INDEX(MATCHER!$I$5:$I$504,T490))&amp;IF(AF490="",""," | "&amp;HOUR(INDEX(MATCHER!$C$5:$C$504,AF490))&amp;":"&amp;IF(MINUTE(INDEX(MATCHER!$C$5:$C$504,AF490))&lt;10,"0","")&amp;MINUTE(INDEX(MATCHER!$C$5:$C$504,AF490))&amp;" "&amp;INDEX(MATCHER!$H$5:$H$504,AF490)&amp;" – "&amp;INDEX(MATCHER!$I$5:$I$504,AF490))</f>
        <v/>
      </c>
      <c r="G490" s="45" t="str">
        <f>MID(IF(R490="","",IF(OR(INDEX(MATCHER!$J$5:$J$504,R490)=""),""," / "&amp;INDEX(MATCHER!$J$5:$J$504,R490)))&amp;IF(S490="","",IF(OR(INDEX(MATCHER!$J$5:$J$504,S490)="",INDEX(MATCHER!$J$5:$J$504,S490)=IFERROR(INDEX(MATCHER!$J$5:$J$504,R490),"")),""," / "&amp;INDEX(MATCHER!$J$5:$J$504,S490)))&amp;IF(T490="","",IF(OR(INDEX(MATCHER!$J$5:$J$504,T490)="",INDEX(MATCHER!$J$5:$J$504,T490)=IFERROR(INDEX(MATCHER!$J$5:$J$504,R490),""),INDEX(MATCHER!$J$5:$J$504,T490)=IFERROR(INDEX(MATCHER!$J$5:$J$504,S490),"")),""," / "&amp;INDEX(MATCHER!$J$5:$J$504,T490)))&amp;IF(AF490="","",IF(OR(INDEX(MATCHER!$J$5:$J$504,AF490)="",INDEX(MATCHER!$J$5:$J$504,AF490)=IFERROR(INDEX(MATCHER!$J$5:$J$504,R490),""),INDEX(MATCHER!$J$5:$J$504,AF490)=IFERROR(INDEX(MATCHER!$J$5:$J$504,S490),""),INDEX(MATCHER!$J$5:$J$504,AF490)=IFERROR(INDEX(MATCHER!$J$5:$J$504,T490),"")),""," / "&amp;INDEX(MATCHER!$J$5:$J$504,AF490))),4,1000)</f>
        <v/>
      </c>
      <c r="H490" s="45" t="str">
        <f t="shared" si="108"/>
        <v/>
      </c>
      <c r="I490" s="46" t="s">
        <v>90</v>
      </c>
      <c r="J490" s="47" t="s">
        <v>135</v>
      </c>
      <c r="K490" s="48"/>
      <c r="L490" s="49" t="s">
        <v>858</v>
      </c>
      <c r="M490" s="50" t="str">
        <f>IF(O490&lt;&gt;O489,MAX(1,MIN(AA490,ROUNDUP(SUMPRODUCT(($O$5:$O$546=O490)*($I$5:$I$546="Ja")*($E$5:$E$546-$D$5:$D$546))*24/REGLER!$B$8,0))),"")</f>
        <v/>
      </c>
      <c r="N490" s="50" t="str">
        <f t="shared" si="99"/>
        <v>Kontrollera lag</v>
      </c>
      <c r="O490" s="15" t="s">
        <v>161</v>
      </c>
      <c r="P490" s="16">
        <v>0.33333333333333298</v>
      </c>
      <c r="Q490" s="16">
        <v>0.66666666666666696</v>
      </c>
      <c r="R490" s="15" t="str">
        <f>IFERROR(MATCH(1,INDEX((MATCHER!$B$5:$B$504=A490)*(MATCHER!$D$5:$D$504=C490)*(MATCHER!$K$5:$K$504="Ja")*(MATCHER!$C$5:$C$504&lt;E490)*(MATCHER!$M$5:$M$504&gt;D490),0),0),"")</f>
        <v/>
      </c>
      <c r="S490" s="15" t="str">
        <f>IF(R490="","",IFERROR(MATCH(1,INDEX((MATCHER!$B$5:$B$504=A490)*(MATCHER!$D$5:$D$504=C490)*(MATCHER!$K$5:$K$504="Ja")*(MATCHER!$C$5:$C$504&lt;E490)*(MATCHER!$M$5:$M$504&gt;D490)*(ROW(MATCHER!$A$5:$A$504)-ROW(MATCHER!$A$5)+1&gt;R490),0),0),""))</f>
        <v/>
      </c>
      <c r="T490" s="15" t="str">
        <f>IF(S490="","",IFERROR(MATCH(1,INDEX((MATCHER!$B$5:$B$504=A490)*(MATCHER!$D$5:$D$504=C490)*(MATCHER!$K$5:$K$504="Ja")*(MATCHER!$C$5:$C$504&lt;E490)*(MATCHER!$M$5:$M$504&gt;D490)*(ROW(MATCHER!$A$5:$A$504)-ROW(MATCHER!$A$5)+1&gt;S490),0),0),""))</f>
        <v/>
      </c>
      <c r="U490" s="15">
        <f t="shared" si="100"/>
        <v>1</v>
      </c>
      <c r="V490" s="15">
        <f>IF(OR(I490&lt;&gt;"Ja",J490=""),"",COUNTIFS($O$5:O490,O490,$U$5:U490,1))</f>
        <v>2</v>
      </c>
      <c r="W490" s="15" t="str">
        <f t="shared" si="101"/>
        <v>2027-03-13 | Ulriksdalshallen|2</v>
      </c>
      <c r="X490" s="16">
        <f t="shared" si="102"/>
        <v>0.52083333333333304</v>
      </c>
      <c r="Y490" s="15">
        <f>IF(OR(I490&lt;&gt;"Ja",J490=""),0,IF(COUNTIFS($O$5:O490,O490,$I$5:I490,"Ja",$J$5:J490,"&lt;&gt;")=1,1,0))</f>
        <v>0</v>
      </c>
      <c r="Z490" s="15">
        <f>IF(OR(I490&lt;&gt;"Ja",J490=""),0,IF(COUNTIFS(O490:$O$546,O490,I490:$I$546,"Ja",J490:$J$546,"&lt;&gt;")=1,1,0))</f>
        <v>0</v>
      </c>
      <c r="AA490" s="15">
        <f t="shared" si="109"/>
        <v>0</v>
      </c>
      <c r="AB490" s="15">
        <f>IF(U490&lt;&gt;1,"",COUNTIF($U$5:U490,1))</f>
        <v>86</v>
      </c>
      <c r="AC490" s="15" t="str">
        <f t="shared" si="103"/>
        <v>2027-03-13 | Ulriksdalshallen|2</v>
      </c>
      <c r="AD490" s="15" t="str">
        <f t="shared" si="104"/>
        <v>Vanligt café</v>
      </c>
      <c r="AE490" s="15">
        <f t="shared" si="105"/>
        <v>0.49999999999999289</v>
      </c>
      <c r="AF490" t="str">
        <f>IF(T490="","",IFERROR(MATCH(1,INDEX((MATCHER!$B$5:$B$504=A490)*(MATCHER!$D$5:$D$504=C490)*(MATCHER!$K$5:$K$504="Ja")*(MATCHER!$C$5:$C$504&lt;E490)*(MATCHER!$M$5:$M$504&gt;D490)*(ROW(MATCHER!$A$5:$A$504)-ROW(MATCHER!$A$5)+1&gt;T490),0),0),""))</f>
        <v/>
      </c>
    </row>
    <row r="491" spans="1:32" ht="26">
      <c r="A491" s="42">
        <v>46459</v>
      </c>
      <c r="B491" s="43" t="s">
        <v>85</v>
      </c>
      <c r="C491" s="43" t="s">
        <v>86</v>
      </c>
      <c r="D491" s="44">
        <v>0.52083333333333304</v>
      </c>
      <c r="E491" s="44">
        <v>0.54166666666666696</v>
      </c>
      <c r="F491" s="45" t="str">
        <f>IF(R491="","",HOUR(INDEX(MATCHER!$C$5:$C$504,R491))&amp;":"&amp;IF(MINUTE(INDEX(MATCHER!$C$5:$C$504,R491))&lt;10,"0","")&amp;MINUTE(INDEX(MATCHER!$C$5:$C$504,R491))&amp;" "&amp;INDEX(MATCHER!$H$5:$H$504,R491)&amp;" – "&amp;INDEX(MATCHER!$I$5:$I$504,R491))&amp;IF(S491="",""," | "&amp;HOUR(INDEX(MATCHER!$C$5:$C$504,S491))&amp;":"&amp;IF(MINUTE(INDEX(MATCHER!$C$5:$C$504,S491))&lt;10,"0","")&amp;MINUTE(INDEX(MATCHER!$C$5:$C$504,S491))&amp;" "&amp;INDEX(MATCHER!$H$5:$H$504,S491)&amp;" – "&amp;INDEX(MATCHER!$I$5:$I$504,S491))&amp;IF(T491="",""," | "&amp;HOUR(INDEX(MATCHER!$C$5:$C$504,T491))&amp;":"&amp;IF(MINUTE(INDEX(MATCHER!$C$5:$C$504,T491))&lt;10,"0","")&amp;MINUTE(INDEX(MATCHER!$C$5:$C$504,T491))&amp;" "&amp;INDEX(MATCHER!$H$5:$H$504,T491)&amp;" – "&amp;INDEX(MATCHER!$I$5:$I$504,T491))&amp;IF(AF491="",""," | "&amp;HOUR(INDEX(MATCHER!$C$5:$C$504,AF491))&amp;":"&amp;IF(MINUTE(INDEX(MATCHER!$C$5:$C$504,AF491))&lt;10,"0","")&amp;MINUTE(INDEX(MATCHER!$C$5:$C$504,AF491))&amp;" "&amp;INDEX(MATCHER!$H$5:$H$504,AF491)&amp;" – "&amp;INDEX(MATCHER!$I$5:$I$504,AF491))</f>
        <v>12:30 HF Öst – HF Öst 2</v>
      </c>
      <c r="G491" s="45" t="str">
        <f>MID(IF(R491="","",IF(OR(INDEX(MATCHER!$J$5:$J$504,R491)=""),""," / "&amp;INDEX(MATCHER!$J$5:$J$504,R491)))&amp;IF(S491="","",IF(OR(INDEX(MATCHER!$J$5:$J$504,S491)="",INDEX(MATCHER!$J$5:$J$504,S491)=IFERROR(INDEX(MATCHER!$J$5:$J$504,R491),"")),""," / "&amp;INDEX(MATCHER!$J$5:$J$504,S491)))&amp;IF(T491="","",IF(OR(INDEX(MATCHER!$J$5:$J$504,T491)="",INDEX(MATCHER!$J$5:$J$504,T491)=IFERROR(INDEX(MATCHER!$J$5:$J$504,R491),""),INDEX(MATCHER!$J$5:$J$504,T491)=IFERROR(INDEX(MATCHER!$J$5:$J$504,S491),"")),""," / "&amp;INDEX(MATCHER!$J$5:$J$504,T491)))&amp;IF(AF491="","",IF(OR(INDEX(MATCHER!$J$5:$J$504,AF491)="",INDEX(MATCHER!$J$5:$J$504,AF491)=IFERROR(INDEX(MATCHER!$J$5:$J$504,R491),""),INDEX(MATCHER!$J$5:$J$504,AF491)=IFERROR(INDEX(MATCHER!$J$5:$J$504,S491),""),INDEX(MATCHER!$J$5:$J$504,AF491)=IFERROR(INDEX(MATCHER!$J$5:$J$504,T491),"")),""," / "&amp;INDEX(MATCHER!$J$5:$J$504,AF491))),4,1000)</f>
        <v/>
      </c>
      <c r="H491" s="45" t="str">
        <f t="shared" si="108"/>
        <v/>
      </c>
      <c r="I491" s="46" t="s">
        <v>90</v>
      </c>
      <c r="J491" s="47" t="s">
        <v>150</v>
      </c>
      <c r="K491" s="48"/>
      <c r="L491" s="49" t="s">
        <v>858</v>
      </c>
      <c r="M491" s="50" t="str">
        <f>IF(O491&lt;&gt;O490,MAX(1,MIN(AA491,ROUNDUP(SUMPRODUCT(($O$5:$O$546=O491)*($I$5:$I$546="Ja")*($E$5:$E$546-$D$5:$D$546))*24/REGLER!$B$8,0))),"")</f>
        <v/>
      </c>
      <c r="N491" s="50" t="str">
        <f t="shared" si="99"/>
        <v>Kontrollera lag</v>
      </c>
      <c r="O491" s="15" t="s">
        <v>161</v>
      </c>
      <c r="P491" s="16">
        <v>0.33333333333333298</v>
      </c>
      <c r="Q491" s="16">
        <v>0.66666666666666696</v>
      </c>
      <c r="R491" s="15">
        <f>IFERROR(MATCH(1,INDEX((MATCHER!$B$5:$B$504=A491)*(MATCHER!$D$5:$D$504=C491)*(MATCHER!$K$5:$K$504="Ja")*(MATCHER!$C$5:$C$504&lt;E491)*(MATCHER!$M$5:$M$504&gt;D491),0),0),"")</f>
        <v>178</v>
      </c>
      <c r="S491" s="15" t="str">
        <f>IF(R491="","",IFERROR(MATCH(1,INDEX((MATCHER!$B$5:$B$504=A491)*(MATCHER!$D$5:$D$504=C491)*(MATCHER!$K$5:$K$504="Ja")*(MATCHER!$C$5:$C$504&lt;E491)*(MATCHER!$M$5:$M$504&gt;D491)*(ROW(MATCHER!$A$5:$A$504)-ROW(MATCHER!$A$5)+1&gt;R491),0),0),""))</f>
        <v/>
      </c>
      <c r="T491" s="15" t="str">
        <f>IF(S491="","",IFERROR(MATCH(1,INDEX((MATCHER!$B$5:$B$504=A491)*(MATCHER!$D$5:$D$504=C491)*(MATCHER!$K$5:$K$504="Ja")*(MATCHER!$C$5:$C$504&lt;E491)*(MATCHER!$M$5:$M$504&gt;D491)*(ROW(MATCHER!$A$5:$A$504)-ROW(MATCHER!$A$5)+1&gt;S491),0),0),""))</f>
        <v/>
      </c>
      <c r="U491" s="15">
        <f t="shared" si="100"/>
        <v>1</v>
      </c>
      <c r="V491" s="15">
        <f>IF(OR(I491&lt;&gt;"Ja",J491=""),"",COUNTIFS($O$5:O491,O491,$U$5:U491,1))</f>
        <v>3</v>
      </c>
      <c r="W491" s="15" t="str">
        <f t="shared" si="101"/>
        <v>2027-03-13 | Ulriksdalshallen|3</v>
      </c>
      <c r="X491" s="16">
        <f t="shared" si="102"/>
        <v>0.54166666666666696</v>
      </c>
      <c r="Y491" s="15">
        <f>IF(OR(I491&lt;&gt;"Ja",J491=""),0,IF(COUNTIFS($O$5:O491,O491,$I$5:I491,"Ja",$J$5:J491,"&lt;&gt;")=1,1,0))</f>
        <v>0</v>
      </c>
      <c r="Z491" s="15">
        <f>IF(OR(I491&lt;&gt;"Ja",J491=""),0,IF(COUNTIFS(O491:$O$546,O491,I491:$I$546,"Ja",J491:$J$546,"&lt;&gt;")=1,1,0))</f>
        <v>0</v>
      </c>
      <c r="AA491" s="15">
        <f t="shared" si="109"/>
        <v>0</v>
      </c>
      <c r="AB491" s="15">
        <f>IF(U491&lt;&gt;1,"",COUNTIF($U$5:U491,1))</f>
        <v>87</v>
      </c>
      <c r="AC491" s="15" t="str">
        <f t="shared" si="103"/>
        <v>2027-03-13 | Ulriksdalshallen|3</v>
      </c>
      <c r="AD491" s="15" t="str">
        <f t="shared" si="104"/>
        <v>Vanligt café</v>
      </c>
      <c r="AE491" s="15">
        <f t="shared" si="105"/>
        <v>0.50000000000001421</v>
      </c>
      <c r="AF491" t="str">
        <f>IF(T491="","",IFERROR(MATCH(1,INDEX((MATCHER!$B$5:$B$504=A491)*(MATCHER!$D$5:$D$504=C491)*(MATCHER!$K$5:$K$504="Ja")*(MATCHER!$C$5:$C$504&lt;E491)*(MATCHER!$M$5:$M$504&gt;D491)*(ROW(MATCHER!$A$5:$A$504)-ROW(MATCHER!$A$5)+1&gt;T491),0),0),""))</f>
        <v/>
      </c>
    </row>
    <row r="492" spans="1:32" ht="26">
      <c r="A492" s="42">
        <v>46459</v>
      </c>
      <c r="B492" s="43" t="s">
        <v>85</v>
      </c>
      <c r="C492" s="43" t="s">
        <v>86</v>
      </c>
      <c r="D492" s="44">
        <v>0.54166666666666696</v>
      </c>
      <c r="E492" s="44">
        <v>0.5625</v>
      </c>
      <c r="F492" s="45" t="str">
        <f>IF(R492="","",HOUR(INDEX(MATCHER!$C$5:$C$504,R492))&amp;":"&amp;IF(MINUTE(INDEX(MATCHER!$C$5:$C$504,R492))&lt;10,"0","")&amp;MINUTE(INDEX(MATCHER!$C$5:$C$504,R492))&amp;" "&amp;INDEX(MATCHER!$H$5:$H$504,R492)&amp;" – "&amp;INDEX(MATCHER!$I$5:$I$504,R492))&amp;IF(S492="",""," | "&amp;HOUR(INDEX(MATCHER!$C$5:$C$504,S492))&amp;":"&amp;IF(MINUTE(INDEX(MATCHER!$C$5:$C$504,S492))&lt;10,"0","")&amp;MINUTE(INDEX(MATCHER!$C$5:$C$504,S492))&amp;" "&amp;INDEX(MATCHER!$H$5:$H$504,S492)&amp;" – "&amp;INDEX(MATCHER!$I$5:$I$504,S492))&amp;IF(T492="",""," | "&amp;HOUR(INDEX(MATCHER!$C$5:$C$504,T492))&amp;":"&amp;IF(MINUTE(INDEX(MATCHER!$C$5:$C$504,T492))&lt;10,"0","")&amp;MINUTE(INDEX(MATCHER!$C$5:$C$504,T492))&amp;" "&amp;INDEX(MATCHER!$H$5:$H$504,T492)&amp;" – "&amp;INDEX(MATCHER!$I$5:$I$504,T492))&amp;IF(AF492="",""," | "&amp;HOUR(INDEX(MATCHER!$C$5:$C$504,AF492))&amp;":"&amp;IF(MINUTE(INDEX(MATCHER!$C$5:$C$504,AF492))&lt;10,"0","")&amp;MINUTE(INDEX(MATCHER!$C$5:$C$504,AF492))&amp;" "&amp;INDEX(MATCHER!$H$5:$H$504,AF492)&amp;" – "&amp;INDEX(MATCHER!$I$5:$I$504,AF492))</f>
        <v>12:30 HF Öst – HF Öst 2</v>
      </c>
      <c r="G492" s="45" t="str">
        <f>MID(IF(R492="","",IF(OR(INDEX(MATCHER!$J$5:$J$504,R492)=""),""," / "&amp;INDEX(MATCHER!$J$5:$J$504,R492)))&amp;IF(S492="","",IF(OR(INDEX(MATCHER!$J$5:$J$504,S492)="",INDEX(MATCHER!$J$5:$J$504,S492)=IFERROR(INDEX(MATCHER!$J$5:$J$504,R492),"")),""," / "&amp;INDEX(MATCHER!$J$5:$J$504,S492)))&amp;IF(T492="","",IF(OR(INDEX(MATCHER!$J$5:$J$504,T492)="",INDEX(MATCHER!$J$5:$J$504,T492)=IFERROR(INDEX(MATCHER!$J$5:$J$504,R492),""),INDEX(MATCHER!$J$5:$J$504,T492)=IFERROR(INDEX(MATCHER!$J$5:$J$504,S492),"")),""," / "&amp;INDEX(MATCHER!$J$5:$J$504,T492)))&amp;IF(AF492="","",IF(OR(INDEX(MATCHER!$J$5:$J$504,AF492)="",INDEX(MATCHER!$J$5:$J$504,AF492)=IFERROR(INDEX(MATCHER!$J$5:$J$504,R492),""),INDEX(MATCHER!$J$5:$J$504,AF492)=IFERROR(INDEX(MATCHER!$J$5:$J$504,S492),""),INDEX(MATCHER!$J$5:$J$504,AF492)=IFERROR(INDEX(MATCHER!$J$5:$J$504,T492),"")),""," / "&amp;INDEX(MATCHER!$J$5:$J$504,AF492))),4,1000)</f>
        <v/>
      </c>
      <c r="H492" s="45" t="str">
        <f t="shared" si="108"/>
        <v/>
      </c>
      <c r="I492" s="46" t="s">
        <v>90</v>
      </c>
      <c r="J492" s="47" t="s">
        <v>111</v>
      </c>
      <c r="K492" s="48"/>
      <c r="L492" s="157" t="s">
        <v>858</v>
      </c>
      <c r="M492" s="50" t="str">
        <f>IF(O492&lt;&gt;O491,MAX(1,MIN(AA492,ROUNDUP(SUMPRODUCT(($O$5:$O$546=O492)*($I$5:$I$546="Ja")*($E$5:$E$546-$D$5:$D$546))*24/REGLER!$B$8,0))),"")</f>
        <v/>
      </c>
      <c r="N492" s="50" t="str">
        <f t="shared" si="99"/>
        <v>Kontrollera lag</v>
      </c>
      <c r="O492" s="15" t="s">
        <v>161</v>
      </c>
      <c r="P492" s="16">
        <v>0.33333333333333298</v>
      </c>
      <c r="Q492" s="16">
        <v>0.66666666666666696</v>
      </c>
      <c r="R492" s="15">
        <f>IFERROR(MATCH(1,INDEX((MATCHER!$B$5:$B$504=A492)*(MATCHER!$D$5:$D$504=C492)*(MATCHER!$K$5:$K$504="Ja")*(MATCHER!$C$5:$C$504&lt;E492)*(MATCHER!$M$5:$M$504&gt;D492),0),0),"")</f>
        <v>178</v>
      </c>
      <c r="S492" s="15" t="str">
        <f>IF(R492="","",IFERROR(MATCH(1,INDEX((MATCHER!$B$5:$B$504=A492)*(MATCHER!$D$5:$D$504=C492)*(MATCHER!$K$5:$K$504="Ja")*(MATCHER!$C$5:$C$504&lt;E492)*(MATCHER!$M$5:$M$504&gt;D492)*(ROW(MATCHER!$A$5:$A$504)-ROW(MATCHER!$A$5)+1&gt;R492),0),0),""))</f>
        <v/>
      </c>
      <c r="T492" s="15" t="str">
        <f>IF(S492="","",IFERROR(MATCH(1,INDEX((MATCHER!$B$5:$B$504=A492)*(MATCHER!$D$5:$D$504=C492)*(MATCHER!$K$5:$K$504="Ja")*(MATCHER!$C$5:$C$504&lt;E492)*(MATCHER!$M$5:$M$504&gt;D492)*(ROW(MATCHER!$A$5:$A$504)-ROW(MATCHER!$A$5)+1&gt;S492),0),0),""))</f>
        <v/>
      </c>
      <c r="U492" s="15">
        <f t="shared" si="100"/>
        <v>1</v>
      </c>
      <c r="V492" s="15">
        <f>IF(OR(I492&lt;&gt;"Ja",J492=""),"",COUNTIFS($O$5:O492,O492,$U$5:U492,1))</f>
        <v>4</v>
      </c>
      <c r="W492" s="15" t="str">
        <f t="shared" si="101"/>
        <v>2027-03-13 | Ulriksdalshallen|4</v>
      </c>
      <c r="X492" s="16">
        <f t="shared" si="102"/>
        <v>0.5625</v>
      </c>
      <c r="Y492" s="15">
        <f>IF(OR(I492&lt;&gt;"Ja",J492=""),0,IF(COUNTIFS($O$5:O492,O492,$I$5:I492,"Ja",$J$5:J492,"&lt;&gt;")=1,1,0))</f>
        <v>0</v>
      </c>
      <c r="Z492" s="15">
        <f>IF(OR(I492&lt;&gt;"Ja",J492=""),0,IF(COUNTIFS(O492:$O$546,O492,I492:$I$546,"Ja",J492:$J$546,"&lt;&gt;")=1,1,0))</f>
        <v>0</v>
      </c>
      <c r="AA492" s="15">
        <f t="shared" si="109"/>
        <v>0</v>
      </c>
      <c r="AB492" s="15">
        <f>IF(U492&lt;&gt;1,"",COUNTIF($U$5:U492,1))</f>
        <v>88</v>
      </c>
      <c r="AC492" s="15" t="str">
        <f t="shared" si="103"/>
        <v>2027-03-13 | Ulriksdalshallen|4</v>
      </c>
      <c r="AD492" s="15" t="str">
        <f t="shared" si="104"/>
        <v>Vanligt café</v>
      </c>
      <c r="AE492" s="15">
        <f t="shared" si="105"/>
        <v>0.49999999999999289</v>
      </c>
      <c r="AF492" t="str">
        <f>IF(T492="","",IFERROR(MATCH(1,INDEX((MATCHER!$B$5:$B$504=A492)*(MATCHER!$D$5:$D$504=C492)*(MATCHER!$K$5:$K$504="Ja")*(MATCHER!$C$5:$C$504&lt;E492)*(MATCHER!$M$5:$M$504&gt;D492)*(ROW(MATCHER!$A$5:$A$504)-ROW(MATCHER!$A$5)+1&gt;T492),0),0),""))</f>
        <v/>
      </c>
    </row>
    <row r="493" spans="1:32" ht="26">
      <c r="A493" s="42">
        <v>46459</v>
      </c>
      <c r="B493" s="43" t="s">
        <v>85</v>
      </c>
      <c r="C493" s="43" t="s">
        <v>86</v>
      </c>
      <c r="D493" s="44">
        <v>0.5625</v>
      </c>
      <c r="E493" s="44">
        <v>0.58333333333333304</v>
      </c>
      <c r="F493" s="45" t="str">
        <f>IF(R493="","",HOUR(INDEX(MATCHER!$C$5:$C$504,R493))&amp;":"&amp;IF(MINUTE(INDEX(MATCHER!$C$5:$C$504,R493))&lt;10,"0","")&amp;MINUTE(INDEX(MATCHER!$C$5:$C$504,R493))&amp;" "&amp;INDEX(MATCHER!$H$5:$H$504,R493)&amp;" – "&amp;INDEX(MATCHER!$I$5:$I$504,R493))&amp;IF(S493="",""," | "&amp;HOUR(INDEX(MATCHER!$C$5:$C$504,S493))&amp;":"&amp;IF(MINUTE(INDEX(MATCHER!$C$5:$C$504,S493))&lt;10,"0","")&amp;MINUTE(INDEX(MATCHER!$C$5:$C$504,S493))&amp;" "&amp;INDEX(MATCHER!$H$5:$H$504,S493)&amp;" – "&amp;INDEX(MATCHER!$I$5:$I$504,S493))&amp;IF(T493="",""," | "&amp;HOUR(INDEX(MATCHER!$C$5:$C$504,T493))&amp;":"&amp;IF(MINUTE(INDEX(MATCHER!$C$5:$C$504,T493))&lt;10,"0","")&amp;MINUTE(INDEX(MATCHER!$C$5:$C$504,T493))&amp;" "&amp;INDEX(MATCHER!$H$5:$H$504,T493)&amp;" – "&amp;INDEX(MATCHER!$I$5:$I$504,T493))&amp;IF(AF493="",""," | "&amp;HOUR(INDEX(MATCHER!$C$5:$C$504,AF493))&amp;":"&amp;IF(MINUTE(INDEX(MATCHER!$C$5:$C$504,AF493))&lt;10,"0","")&amp;MINUTE(INDEX(MATCHER!$C$5:$C$504,AF493))&amp;" "&amp;INDEX(MATCHER!$H$5:$H$504,AF493)&amp;" – "&amp;INDEX(MATCHER!$I$5:$I$504,AF493))</f>
        <v>12:30 HF Öst – HF Öst 2</v>
      </c>
      <c r="G493" s="45" t="str">
        <f>MID(IF(R493="","",IF(OR(INDEX(MATCHER!$J$5:$J$504,R493)=""),""," / "&amp;INDEX(MATCHER!$J$5:$J$504,R493)))&amp;IF(S493="","",IF(OR(INDEX(MATCHER!$J$5:$J$504,S493)="",INDEX(MATCHER!$J$5:$J$504,S493)=IFERROR(INDEX(MATCHER!$J$5:$J$504,R493),"")),""," / "&amp;INDEX(MATCHER!$J$5:$J$504,S493)))&amp;IF(T493="","",IF(OR(INDEX(MATCHER!$J$5:$J$504,T493)="",INDEX(MATCHER!$J$5:$J$504,T493)=IFERROR(INDEX(MATCHER!$J$5:$J$504,R493),""),INDEX(MATCHER!$J$5:$J$504,T493)=IFERROR(INDEX(MATCHER!$J$5:$J$504,S493),"")),""," / "&amp;INDEX(MATCHER!$J$5:$J$504,T493)))&amp;IF(AF493="","",IF(OR(INDEX(MATCHER!$J$5:$J$504,AF493)="",INDEX(MATCHER!$J$5:$J$504,AF493)=IFERROR(INDEX(MATCHER!$J$5:$J$504,R493),""),INDEX(MATCHER!$J$5:$J$504,AF493)=IFERROR(INDEX(MATCHER!$J$5:$J$504,S493),""),INDEX(MATCHER!$J$5:$J$504,AF493)=IFERROR(INDEX(MATCHER!$J$5:$J$504,T493),"")),""," / "&amp;INDEX(MATCHER!$J$5:$J$504,AF493))),4,1000)</f>
        <v/>
      </c>
      <c r="H493" s="45" t="str">
        <f t="shared" si="108"/>
        <v/>
      </c>
      <c r="I493" s="46" t="s">
        <v>90</v>
      </c>
      <c r="J493" s="47" t="s">
        <v>135</v>
      </c>
      <c r="K493" s="48"/>
      <c r="L493" s="49" t="s">
        <v>858</v>
      </c>
      <c r="M493" s="50" t="str">
        <f>IF(O493&lt;&gt;O492,MAX(1,MIN(AA493,ROUNDUP(SUMPRODUCT(($O$5:$O$546=O493)*($I$5:$I$546="Ja")*($E$5:$E$546-$D$5:$D$546))*24/REGLER!$B$8,0))),"")</f>
        <v/>
      </c>
      <c r="N493" s="50" t="str">
        <f t="shared" si="99"/>
        <v>Kontrollera lag</v>
      </c>
      <c r="O493" s="15" t="s">
        <v>161</v>
      </c>
      <c r="P493" s="16">
        <v>0.33333333333333298</v>
      </c>
      <c r="Q493" s="16">
        <v>0.66666666666666696</v>
      </c>
      <c r="R493" s="15">
        <f>IFERROR(MATCH(1,INDEX((MATCHER!$B$5:$B$504=A493)*(MATCHER!$D$5:$D$504=C493)*(MATCHER!$K$5:$K$504="Ja")*(MATCHER!$C$5:$C$504&lt;E493)*(MATCHER!$M$5:$M$504&gt;D493),0),0),"")</f>
        <v>178</v>
      </c>
      <c r="S493" s="15" t="str">
        <f>IF(R493="","",IFERROR(MATCH(1,INDEX((MATCHER!$B$5:$B$504=A493)*(MATCHER!$D$5:$D$504=C493)*(MATCHER!$K$5:$K$504="Ja")*(MATCHER!$C$5:$C$504&lt;E493)*(MATCHER!$M$5:$M$504&gt;D493)*(ROW(MATCHER!$A$5:$A$504)-ROW(MATCHER!$A$5)+1&gt;R493),0),0),""))</f>
        <v/>
      </c>
      <c r="T493" s="15" t="str">
        <f>IF(S493="","",IFERROR(MATCH(1,INDEX((MATCHER!$B$5:$B$504=A493)*(MATCHER!$D$5:$D$504=C493)*(MATCHER!$K$5:$K$504="Ja")*(MATCHER!$C$5:$C$504&lt;E493)*(MATCHER!$M$5:$M$504&gt;D493)*(ROW(MATCHER!$A$5:$A$504)-ROW(MATCHER!$A$5)+1&gt;S493),0),0),""))</f>
        <v/>
      </c>
      <c r="U493" s="15">
        <f t="shared" si="100"/>
        <v>1</v>
      </c>
      <c r="V493" s="15">
        <f>IF(OR(I493&lt;&gt;"Ja",J493=""),"",COUNTIFS($O$5:O493,O493,$U$5:U493,1))</f>
        <v>5</v>
      </c>
      <c r="W493" s="15" t="str">
        <f t="shared" si="101"/>
        <v>2027-03-13 | Ulriksdalshallen|5</v>
      </c>
      <c r="X493" s="16">
        <f t="shared" si="102"/>
        <v>0.58333333333333304</v>
      </c>
      <c r="Y493" s="15">
        <f>IF(OR(I493&lt;&gt;"Ja",J493=""),0,IF(COUNTIFS($O$5:O493,O493,$I$5:I493,"Ja",$J$5:J493,"&lt;&gt;")=1,1,0))</f>
        <v>0</v>
      </c>
      <c r="Z493" s="15">
        <f>IF(OR(I493&lt;&gt;"Ja",J493=""),0,IF(COUNTIFS(O493:$O$546,O493,I493:$I$546,"Ja",J493:$J$546,"&lt;&gt;")=1,1,0))</f>
        <v>0</v>
      </c>
      <c r="AA493" s="15">
        <f t="shared" si="109"/>
        <v>0</v>
      </c>
      <c r="AB493" s="15">
        <f>IF(U493&lt;&gt;1,"",COUNTIF($U$5:U493,1))</f>
        <v>89</v>
      </c>
      <c r="AC493" s="15" t="str">
        <f t="shared" si="103"/>
        <v>2027-03-13 | Ulriksdalshallen|5</v>
      </c>
      <c r="AD493" s="15" t="str">
        <f t="shared" si="104"/>
        <v>Vanligt café</v>
      </c>
      <c r="AE493" s="15">
        <f t="shared" si="105"/>
        <v>0.49999999999999289</v>
      </c>
      <c r="AF493" t="str">
        <f>IF(T493="","",IFERROR(MATCH(1,INDEX((MATCHER!$B$5:$B$504=A493)*(MATCHER!$D$5:$D$504=C493)*(MATCHER!$K$5:$K$504="Ja")*(MATCHER!$C$5:$C$504&lt;E493)*(MATCHER!$M$5:$M$504&gt;D493)*(ROW(MATCHER!$A$5:$A$504)-ROW(MATCHER!$A$5)+1&gt;T493),0),0),""))</f>
        <v/>
      </c>
    </row>
    <row r="494" spans="1:32" ht="26">
      <c r="A494" s="42">
        <v>46459</v>
      </c>
      <c r="B494" s="43" t="s">
        <v>85</v>
      </c>
      <c r="C494" s="43" t="s">
        <v>86</v>
      </c>
      <c r="D494" s="44">
        <v>0.58333333333333304</v>
      </c>
      <c r="E494" s="44">
        <v>0.60416666666666696</v>
      </c>
      <c r="F494" s="45" t="str">
        <f>IF(R494="","",HOUR(INDEX(MATCHER!$C$5:$C$504,R494))&amp;":"&amp;IF(MINUTE(INDEX(MATCHER!$C$5:$C$504,R494))&lt;10,"0","")&amp;MINUTE(INDEX(MATCHER!$C$5:$C$504,R494))&amp;" "&amp;INDEX(MATCHER!$H$5:$H$504,R494)&amp;" – "&amp;INDEX(MATCHER!$I$5:$I$504,R494))&amp;IF(S494="",""," | "&amp;HOUR(INDEX(MATCHER!$C$5:$C$504,S494))&amp;":"&amp;IF(MINUTE(INDEX(MATCHER!$C$5:$C$504,S494))&lt;10,"0","")&amp;MINUTE(INDEX(MATCHER!$C$5:$C$504,S494))&amp;" "&amp;INDEX(MATCHER!$H$5:$H$504,S494)&amp;" – "&amp;INDEX(MATCHER!$I$5:$I$504,S494))&amp;IF(T494="",""," | "&amp;HOUR(INDEX(MATCHER!$C$5:$C$504,T494))&amp;":"&amp;IF(MINUTE(INDEX(MATCHER!$C$5:$C$504,T494))&lt;10,"0","")&amp;MINUTE(INDEX(MATCHER!$C$5:$C$504,T494))&amp;" "&amp;INDEX(MATCHER!$H$5:$H$504,T494)&amp;" – "&amp;INDEX(MATCHER!$I$5:$I$504,T494))&amp;IF(AF494="",""," | "&amp;HOUR(INDEX(MATCHER!$C$5:$C$504,AF494))&amp;":"&amp;IF(MINUTE(INDEX(MATCHER!$C$5:$C$504,AF494))&lt;10,"0","")&amp;MINUTE(INDEX(MATCHER!$C$5:$C$504,AF494))&amp;" "&amp;INDEX(MATCHER!$H$5:$H$504,AF494)&amp;" – "&amp;INDEX(MATCHER!$I$5:$I$504,AF494))</f>
        <v>12:30 HF Öst – HF Öst 2</v>
      </c>
      <c r="G494" s="45" t="str">
        <f>MID(IF(R494="","",IF(OR(INDEX(MATCHER!$J$5:$J$504,R494)=""),""," / "&amp;INDEX(MATCHER!$J$5:$J$504,R494)))&amp;IF(S494="","",IF(OR(INDEX(MATCHER!$J$5:$J$504,S494)="",INDEX(MATCHER!$J$5:$J$504,S494)=IFERROR(INDEX(MATCHER!$J$5:$J$504,R494),"")),""," / "&amp;INDEX(MATCHER!$J$5:$J$504,S494)))&amp;IF(T494="","",IF(OR(INDEX(MATCHER!$J$5:$J$504,T494)="",INDEX(MATCHER!$J$5:$J$504,T494)=IFERROR(INDEX(MATCHER!$J$5:$J$504,R494),""),INDEX(MATCHER!$J$5:$J$504,T494)=IFERROR(INDEX(MATCHER!$J$5:$J$504,S494),"")),""," / "&amp;INDEX(MATCHER!$J$5:$J$504,T494)))&amp;IF(AF494="","",IF(OR(INDEX(MATCHER!$J$5:$J$504,AF494)="",INDEX(MATCHER!$J$5:$J$504,AF494)=IFERROR(INDEX(MATCHER!$J$5:$J$504,R494),""),INDEX(MATCHER!$J$5:$J$504,AF494)=IFERROR(INDEX(MATCHER!$J$5:$J$504,S494),""),INDEX(MATCHER!$J$5:$J$504,AF494)=IFERROR(INDEX(MATCHER!$J$5:$J$504,T494),"")),""," / "&amp;INDEX(MATCHER!$J$5:$J$504,AF494))),4,1000)</f>
        <v/>
      </c>
      <c r="H494" s="45" t="str">
        <f t="shared" si="108"/>
        <v/>
      </c>
      <c r="I494" s="46" t="s">
        <v>90</v>
      </c>
      <c r="J494" s="47" t="s">
        <v>150</v>
      </c>
      <c r="K494" s="48"/>
      <c r="L494" s="49" t="s">
        <v>858</v>
      </c>
      <c r="M494" s="50" t="str">
        <f>IF(O494&lt;&gt;O493,MAX(1,MIN(AA494,ROUNDUP(SUMPRODUCT(($O$5:$O$546=O494)*($I$5:$I$546="Ja")*($E$5:$E$546-$D$5:$D$546))*24/REGLER!$B$8,0))),"")</f>
        <v/>
      </c>
      <c r="N494" s="50" t="str">
        <f t="shared" si="99"/>
        <v>Kontrollera lag</v>
      </c>
      <c r="O494" s="15" t="s">
        <v>161</v>
      </c>
      <c r="P494" s="16">
        <v>0.33333333333333298</v>
      </c>
      <c r="Q494" s="16">
        <v>0.66666666666666696</v>
      </c>
      <c r="R494" s="15">
        <f>IFERROR(MATCH(1,INDEX((MATCHER!$B$5:$B$504=A494)*(MATCHER!$D$5:$D$504=C494)*(MATCHER!$K$5:$K$504="Ja")*(MATCHER!$C$5:$C$504&lt;E494)*(MATCHER!$M$5:$M$504&gt;D494),0),0),"")</f>
        <v>178</v>
      </c>
      <c r="S494" s="15" t="str">
        <f>IF(R494="","",IFERROR(MATCH(1,INDEX((MATCHER!$B$5:$B$504=A494)*(MATCHER!$D$5:$D$504=C494)*(MATCHER!$K$5:$K$504="Ja")*(MATCHER!$C$5:$C$504&lt;E494)*(MATCHER!$M$5:$M$504&gt;D494)*(ROW(MATCHER!$A$5:$A$504)-ROW(MATCHER!$A$5)+1&gt;R494),0),0),""))</f>
        <v/>
      </c>
      <c r="T494" s="15" t="str">
        <f>IF(S494="","",IFERROR(MATCH(1,INDEX((MATCHER!$B$5:$B$504=A494)*(MATCHER!$D$5:$D$504=C494)*(MATCHER!$K$5:$K$504="Ja")*(MATCHER!$C$5:$C$504&lt;E494)*(MATCHER!$M$5:$M$504&gt;D494)*(ROW(MATCHER!$A$5:$A$504)-ROW(MATCHER!$A$5)+1&gt;S494),0),0),""))</f>
        <v/>
      </c>
      <c r="U494" s="15">
        <f t="shared" si="100"/>
        <v>1</v>
      </c>
      <c r="V494" s="15">
        <f>IF(OR(I494&lt;&gt;"Ja",J494=""),"",COUNTIFS($O$5:O494,O494,$U$5:U494,1))</f>
        <v>6</v>
      </c>
      <c r="W494" s="15" t="str">
        <f t="shared" si="101"/>
        <v>2027-03-13 | Ulriksdalshallen|6</v>
      </c>
      <c r="X494" s="16">
        <f t="shared" si="102"/>
        <v>0.60416666666666696</v>
      </c>
      <c r="Y494" s="15">
        <f>IF(OR(I494&lt;&gt;"Ja",J494=""),0,IF(COUNTIFS($O$5:O494,O494,$I$5:I494,"Ja",$J$5:J494,"&lt;&gt;")=1,1,0))</f>
        <v>0</v>
      </c>
      <c r="Z494" s="15">
        <f>IF(OR(I494&lt;&gt;"Ja",J494=""),0,IF(COUNTIFS(O494:$O$546,O494,I494:$I$546,"Ja",J494:$J$546,"&lt;&gt;")=1,1,0))</f>
        <v>0</v>
      </c>
      <c r="AA494" s="15">
        <f t="shared" si="109"/>
        <v>0</v>
      </c>
      <c r="AB494" s="15">
        <f>IF(U494&lt;&gt;1,"",COUNTIF($U$5:U494,1))</f>
        <v>90</v>
      </c>
      <c r="AC494" s="15" t="str">
        <f t="shared" si="103"/>
        <v>2027-03-13 | Ulriksdalshallen|6</v>
      </c>
      <c r="AD494" s="15" t="str">
        <f t="shared" si="104"/>
        <v>Vanligt café</v>
      </c>
      <c r="AE494" s="15">
        <f t="shared" si="105"/>
        <v>0.50000000000001421</v>
      </c>
      <c r="AF494" t="str">
        <f>IF(T494="","",IFERROR(MATCH(1,INDEX((MATCHER!$B$5:$B$504=A494)*(MATCHER!$D$5:$D$504=C494)*(MATCHER!$K$5:$K$504="Ja")*(MATCHER!$C$5:$C$504&lt;E494)*(MATCHER!$M$5:$M$504&gt;D494)*(ROW(MATCHER!$A$5:$A$504)-ROW(MATCHER!$A$5)+1&gt;T494),0),0),""))</f>
        <v/>
      </c>
    </row>
    <row r="495" spans="1:32" ht="26">
      <c r="A495" s="42">
        <v>46459</v>
      </c>
      <c r="B495" s="43" t="s">
        <v>85</v>
      </c>
      <c r="C495" s="43" t="s">
        <v>86</v>
      </c>
      <c r="D495" s="44">
        <v>0.60416666666666696</v>
      </c>
      <c r="E495" s="44">
        <v>0.625</v>
      </c>
      <c r="F495" s="45" t="str">
        <f>IF(R495="","",HOUR(INDEX(MATCHER!$C$5:$C$504,R495))&amp;":"&amp;IF(MINUTE(INDEX(MATCHER!$C$5:$C$504,R495))&lt;10,"0","")&amp;MINUTE(INDEX(MATCHER!$C$5:$C$504,R495))&amp;" "&amp;INDEX(MATCHER!$H$5:$H$504,R495)&amp;" – "&amp;INDEX(MATCHER!$I$5:$I$504,R495))&amp;IF(S495="",""," | "&amp;HOUR(INDEX(MATCHER!$C$5:$C$504,S495))&amp;":"&amp;IF(MINUTE(INDEX(MATCHER!$C$5:$C$504,S495))&lt;10,"0","")&amp;MINUTE(INDEX(MATCHER!$C$5:$C$504,S495))&amp;" "&amp;INDEX(MATCHER!$H$5:$H$504,S495)&amp;" – "&amp;INDEX(MATCHER!$I$5:$I$504,S495))&amp;IF(T495="",""," | "&amp;HOUR(INDEX(MATCHER!$C$5:$C$504,T495))&amp;":"&amp;IF(MINUTE(INDEX(MATCHER!$C$5:$C$504,T495))&lt;10,"0","")&amp;MINUTE(INDEX(MATCHER!$C$5:$C$504,T495))&amp;" "&amp;INDEX(MATCHER!$H$5:$H$504,T495)&amp;" – "&amp;INDEX(MATCHER!$I$5:$I$504,T495))&amp;IF(AF495="",""," | "&amp;HOUR(INDEX(MATCHER!$C$5:$C$504,AF495))&amp;":"&amp;IF(MINUTE(INDEX(MATCHER!$C$5:$C$504,AF495))&lt;10,"0","")&amp;MINUTE(INDEX(MATCHER!$C$5:$C$504,AF495))&amp;" "&amp;INDEX(MATCHER!$H$5:$H$504,AF495)&amp;" – "&amp;INDEX(MATCHER!$I$5:$I$504,AF495))</f>
        <v>12:30 HF Öst – HF Öst 2</v>
      </c>
      <c r="G495" s="45" t="str">
        <f>MID(IF(R495="","",IF(OR(INDEX(MATCHER!$J$5:$J$504,R495)=""),""," / "&amp;INDEX(MATCHER!$J$5:$J$504,R495)))&amp;IF(S495="","",IF(OR(INDEX(MATCHER!$J$5:$J$504,S495)="",INDEX(MATCHER!$J$5:$J$504,S495)=IFERROR(INDEX(MATCHER!$J$5:$J$504,R495),"")),""," / "&amp;INDEX(MATCHER!$J$5:$J$504,S495)))&amp;IF(T495="","",IF(OR(INDEX(MATCHER!$J$5:$J$504,T495)="",INDEX(MATCHER!$J$5:$J$504,T495)=IFERROR(INDEX(MATCHER!$J$5:$J$504,R495),""),INDEX(MATCHER!$J$5:$J$504,T495)=IFERROR(INDEX(MATCHER!$J$5:$J$504,S495),"")),""," / "&amp;INDEX(MATCHER!$J$5:$J$504,T495)))&amp;IF(AF495="","",IF(OR(INDEX(MATCHER!$J$5:$J$504,AF495)="",INDEX(MATCHER!$J$5:$J$504,AF495)=IFERROR(INDEX(MATCHER!$J$5:$J$504,R495),""),INDEX(MATCHER!$J$5:$J$504,AF495)=IFERROR(INDEX(MATCHER!$J$5:$J$504,S495),""),INDEX(MATCHER!$J$5:$J$504,AF495)=IFERROR(INDEX(MATCHER!$J$5:$J$504,T495),"")),""," / "&amp;INDEX(MATCHER!$J$5:$J$504,AF495))),4,1000)</f>
        <v/>
      </c>
      <c r="H495" s="45" t="str">
        <f t="shared" si="108"/>
        <v/>
      </c>
      <c r="I495" s="46" t="s">
        <v>90</v>
      </c>
      <c r="J495" s="47" t="s">
        <v>111</v>
      </c>
      <c r="K495" s="48"/>
      <c r="L495" s="157" t="s">
        <v>858</v>
      </c>
      <c r="M495" s="50" t="str">
        <f>IF(O495&lt;&gt;O494,MAX(1,MIN(AA495,ROUNDUP(SUMPRODUCT(($O$5:$O$546=O495)*($I$5:$I$546="Ja")*($E$5:$E$546-$D$5:$D$546))*24/REGLER!$B$8,0))),"")</f>
        <v/>
      </c>
      <c r="N495" s="50" t="str">
        <f t="shared" si="99"/>
        <v>Kontrollera lag</v>
      </c>
      <c r="O495" s="15" t="s">
        <v>161</v>
      </c>
      <c r="P495" s="16">
        <v>0.33333333333333298</v>
      </c>
      <c r="Q495" s="16">
        <v>0.66666666666666696</v>
      </c>
      <c r="R495" s="15">
        <f>IFERROR(MATCH(1,INDEX((MATCHER!$B$5:$B$504=A495)*(MATCHER!$D$5:$D$504=C495)*(MATCHER!$K$5:$K$504="Ja")*(MATCHER!$C$5:$C$504&lt;E495)*(MATCHER!$M$5:$M$504&gt;D495),0),0),"")</f>
        <v>178</v>
      </c>
      <c r="S495" s="15" t="str">
        <f>IF(R495="","",IFERROR(MATCH(1,INDEX((MATCHER!$B$5:$B$504=A495)*(MATCHER!$D$5:$D$504=C495)*(MATCHER!$K$5:$K$504="Ja")*(MATCHER!$C$5:$C$504&lt;E495)*(MATCHER!$M$5:$M$504&gt;D495)*(ROW(MATCHER!$A$5:$A$504)-ROW(MATCHER!$A$5)+1&gt;R495),0),0),""))</f>
        <v/>
      </c>
      <c r="T495" s="15" t="str">
        <f>IF(S495="","",IFERROR(MATCH(1,INDEX((MATCHER!$B$5:$B$504=A495)*(MATCHER!$D$5:$D$504=C495)*(MATCHER!$K$5:$K$504="Ja")*(MATCHER!$C$5:$C$504&lt;E495)*(MATCHER!$M$5:$M$504&gt;D495)*(ROW(MATCHER!$A$5:$A$504)-ROW(MATCHER!$A$5)+1&gt;S495),0),0),""))</f>
        <v/>
      </c>
      <c r="U495" s="15">
        <f t="shared" si="100"/>
        <v>1</v>
      </c>
      <c r="V495" s="15">
        <f>IF(OR(I495&lt;&gt;"Ja",J495=""),"",COUNTIFS($O$5:O495,O495,$U$5:U495,1))</f>
        <v>7</v>
      </c>
      <c r="W495" s="15" t="str">
        <f t="shared" si="101"/>
        <v>2027-03-13 | Ulriksdalshallen|7</v>
      </c>
      <c r="X495" s="16">
        <f t="shared" si="102"/>
        <v>0.625</v>
      </c>
      <c r="Y495" s="15">
        <f>IF(OR(I495&lt;&gt;"Ja",J495=""),0,IF(COUNTIFS($O$5:O495,O495,$I$5:I495,"Ja",$J$5:J495,"&lt;&gt;")=1,1,0))</f>
        <v>0</v>
      </c>
      <c r="Z495" s="15">
        <f>IF(OR(I495&lt;&gt;"Ja",J495=""),0,IF(COUNTIFS(O495:$O$546,O495,I495:$I$546,"Ja",J495:$J$546,"&lt;&gt;")=1,1,0))</f>
        <v>0</v>
      </c>
      <c r="AA495" s="15">
        <f t="shared" si="109"/>
        <v>0</v>
      </c>
      <c r="AB495" s="15">
        <f>IF(U495&lt;&gt;1,"",COUNTIF($U$5:U495,1))</f>
        <v>91</v>
      </c>
      <c r="AC495" s="15" t="str">
        <f t="shared" si="103"/>
        <v>2027-03-13 | Ulriksdalshallen|7</v>
      </c>
      <c r="AD495" s="15" t="str">
        <f t="shared" si="104"/>
        <v>Vanligt café</v>
      </c>
      <c r="AE495" s="15">
        <f t="shared" si="105"/>
        <v>0.49999999999999289</v>
      </c>
      <c r="AF495" t="str">
        <f>IF(T495="","",IFERROR(MATCH(1,INDEX((MATCHER!$B$5:$B$504=A495)*(MATCHER!$D$5:$D$504=C495)*(MATCHER!$K$5:$K$504="Ja")*(MATCHER!$C$5:$C$504&lt;E495)*(MATCHER!$M$5:$M$504&gt;D495)*(ROW(MATCHER!$A$5:$A$504)-ROW(MATCHER!$A$5)+1&gt;T495),0),0),""))</f>
        <v/>
      </c>
    </row>
    <row r="496" spans="1:32" ht="26">
      <c r="A496" s="42">
        <v>46459</v>
      </c>
      <c r="B496" s="43" t="s">
        <v>85</v>
      </c>
      <c r="C496" s="43" t="s">
        <v>86</v>
      </c>
      <c r="D496" s="44">
        <v>0.625</v>
      </c>
      <c r="E496" s="44">
        <v>0.64583333333333304</v>
      </c>
      <c r="F496" s="45" t="str">
        <f>IF(R496="","",HOUR(INDEX(MATCHER!$C$5:$C$504,R496))&amp;":"&amp;IF(MINUTE(INDEX(MATCHER!$C$5:$C$504,R496))&lt;10,"0","")&amp;MINUTE(INDEX(MATCHER!$C$5:$C$504,R496))&amp;" "&amp;INDEX(MATCHER!$H$5:$H$504,R496)&amp;" – "&amp;INDEX(MATCHER!$I$5:$I$504,R496))&amp;IF(S496="",""," | "&amp;HOUR(INDEX(MATCHER!$C$5:$C$504,S496))&amp;":"&amp;IF(MINUTE(INDEX(MATCHER!$C$5:$C$504,S496))&lt;10,"0","")&amp;MINUTE(INDEX(MATCHER!$C$5:$C$504,S496))&amp;" "&amp;INDEX(MATCHER!$H$5:$H$504,S496)&amp;" – "&amp;INDEX(MATCHER!$I$5:$I$504,S496))&amp;IF(T496="",""," | "&amp;HOUR(INDEX(MATCHER!$C$5:$C$504,T496))&amp;":"&amp;IF(MINUTE(INDEX(MATCHER!$C$5:$C$504,T496))&lt;10,"0","")&amp;MINUTE(INDEX(MATCHER!$C$5:$C$504,T496))&amp;" "&amp;INDEX(MATCHER!$H$5:$H$504,T496)&amp;" – "&amp;INDEX(MATCHER!$I$5:$I$504,T496))&amp;IF(AF496="",""," | "&amp;HOUR(INDEX(MATCHER!$C$5:$C$504,AF496))&amp;":"&amp;IF(MINUTE(INDEX(MATCHER!$C$5:$C$504,AF496))&lt;10,"0","")&amp;MINUTE(INDEX(MATCHER!$C$5:$C$504,AF496))&amp;" "&amp;INDEX(MATCHER!$H$5:$H$504,AF496)&amp;" – "&amp;INDEX(MATCHER!$I$5:$I$504,AF496))</f>
        <v>12:30 HF Öst – HF Öst 2</v>
      </c>
      <c r="G496" s="45" t="str">
        <f>MID(IF(R496="","",IF(OR(INDEX(MATCHER!$J$5:$J$504,R496)=""),""," / "&amp;INDEX(MATCHER!$J$5:$J$504,R496)))&amp;IF(S496="","",IF(OR(INDEX(MATCHER!$J$5:$J$504,S496)="",INDEX(MATCHER!$J$5:$J$504,S496)=IFERROR(INDEX(MATCHER!$J$5:$J$504,R496),"")),""," / "&amp;INDEX(MATCHER!$J$5:$J$504,S496)))&amp;IF(T496="","",IF(OR(INDEX(MATCHER!$J$5:$J$504,T496)="",INDEX(MATCHER!$J$5:$J$504,T496)=IFERROR(INDEX(MATCHER!$J$5:$J$504,R496),""),INDEX(MATCHER!$J$5:$J$504,T496)=IFERROR(INDEX(MATCHER!$J$5:$J$504,S496),"")),""," / "&amp;INDEX(MATCHER!$J$5:$J$504,T496)))&amp;IF(AF496="","",IF(OR(INDEX(MATCHER!$J$5:$J$504,AF496)="",INDEX(MATCHER!$J$5:$J$504,AF496)=IFERROR(INDEX(MATCHER!$J$5:$J$504,R496),""),INDEX(MATCHER!$J$5:$J$504,AF496)=IFERROR(INDEX(MATCHER!$J$5:$J$504,S496),""),INDEX(MATCHER!$J$5:$J$504,AF496)=IFERROR(INDEX(MATCHER!$J$5:$J$504,T496),"")),""," / "&amp;INDEX(MATCHER!$J$5:$J$504,AF496))),4,1000)</f>
        <v/>
      </c>
      <c r="H496" s="45" t="str">
        <f t="shared" si="108"/>
        <v/>
      </c>
      <c r="I496" s="46" t="s">
        <v>90</v>
      </c>
      <c r="J496" s="47" t="s">
        <v>135</v>
      </c>
      <c r="K496" s="48"/>
      <c r="L496" s="49" t="s">
        <v>858</v>
      </c>
      <c r="M496" s="50" t="str">
        <f>IF(O496&lt;&gt;O495,MAX(1,MIN(AA496,ROUNDUP(SUMPRODUCT(($O$5:$O$546=O496)*($I$5:$I$546="Ja")*($E$5:$E$546-$D$5:$D$546))*24/REGLER!$B$8,0))),"")</f>
        <v/>
      </c>
      <c r="N496" s="50" t="str">
        <f t="shared" si="99"/>
        <v>Kontrollera lag</v>
      </c>
      <c r="O496" s="15" t="s">
        <v>161</v>
      </c>
      <c r="P496" s="16">
        <v>0.33333333333333298</v>
      </c>
      <c r="Q496" s="16">
        <v>0.66666666666666696</v>
      </c>
      <c r="R496" s="15">
        <f>IFERROR(MATCH(1,INDEX((MATCHER!$B$5:$B$504=A496)*(MATCHER!$D$5:$D$504=C496)*(MATCHER!$K$5:$K$504="Ja")*(MATCHER!$C$5:$C$504&lt;E496)*(MATCHER!$M$5:$M$504&gt;D496),0),0),"")</f>
        <v>178</v>
      </c>
      <c r="S496" s="15" t="str">
        <f>IF(R496="","",IFERROR(MATCH(1,INDEX((MATCHER!$B$5:$B$504=A496)*(MATCHER!$D$5:$D$504=C496)*(MATCHER!$K$5:$K$504="Ja")*(MATCHER!$C$5:$C$504&lt;E496)*(MATCHER!$M$5:$M$504&gt;D496)*(ROW(MATCHER!$A$5:$A$504)-ROW(MATCHER!$A$5)+1&gt;R496),0),0),""))</f>
        <v/>
      </c>
      <c r="T496" s="15" t="str">
        <f>IF(S496="","",IFERROR(MATCH(1,INDEX((MATCHER!$B$5:$B$504=A496)*(MATCHER!$D$5:$D$504=C496)*(MATCHER!$K$5:$K$504="Ja")*(MATCHER!$C$5:$C$504&lt;E496)*(MATCHER!$M$5:$M$504&gt;D496)*(ROW(MATCHER!$A$5:$A$504)-ROW(MATCHER!$A$5)+1&gt;S496),0),0),""))</f>
        <v/>
      </c>
      <c r="U496" s="15">
        <f t="shared" si="100"/>
        <v>1</v>
      </c>
      <c r="V496" s="15">
        <f>IF(OR(I496&lt;&gt;"Ja",J496=""),"",COUNTIFS($O$5:O496,O496,$U$5:U496,1))</f>
        <v>8</v>
      </c>
      <c r="W496" s="15" t="str">
        <f t="shared" si="101"/>
        <v>2027-03-13 | Ulriksdalshallen|8</v>
      </c>
      <c r="X496" s="16">
        <f t="shared" si="102"/>
        <v>0.64583333333333304</v>
      </c>
      <c r="Y496" s="15">
        <f>IF(OR(I496&lt;&gt;"Ja",J496=""),0,IF(COUNTIFS($O$5:O496,O496,$I$5:I496,"Ja",$J$5:J496,"&lt;&gt;")=1,1,0))</f>
        <v>0</v>
      </c>
      <c r="Z496" s="15">
        <f>IF(OR(I496&lt;&gt;"Ja",J496=""),0,IF(COUNTIFS(O496:$O$546,O496,I496:$I$546,"Ja",J496:$J$546,"&lt;&gt;")=1,1,0))</f>
        <v>0</v>
      </c>
      <c r="AA496" s="15">
        <f t="shared" si="109"/>
        <v>0</v>
      </c>
      <c r="AB496" s="15">
        <f>IF(U496&lt;&gt;1,"",COUNTIF($U$5:U496,1))</f>
        <v>92</v>
      </c>
      <c r="AC496" s="15" t="str">
        <f t="shared" si="103"/>
        <v>2027-03-13 | Ulriksdalshallen|8</v>
      </c>
      <c r="AD496" s="15" t="str">
        <f t="shared" si="104"/>
        <v>Vanligt café</v>
      </c>
      <c r="AE496" s="15">
        <f t="shared" si="105"/>
        <v>0.49999999999999289</v>
      </c>
      <c r="AF496" t="str">
        <f>IF(T496="","",IFERROR(MATCH(1,INDEX((MATCHER!$B$5:$B$504=A496)*(MATCHER!$D$5:$D$504=C496)*(MATCHER!$K$5:$K$504="Ja")*(MATCHER!$C$5:$C$504&lt;E496)*(MATCHER!$M$5:$M$504&gt;D496)*(ROW(MATCHER!$A$5:$A$504)-ROW(MATCHER!$A$5)+1&gt;T496),0),0),""))</f>
        <v/>
      </c>
    </row>
    <row r="497" spans="1:32" ht="26.5" thickBot="1">
      <c r="A497" s="52">
        <v>46459</v>
      </c>
      <c r="B497" s="53" t="s">
        <v>85</v>
      </c>
      <c r="C497" s="53" t="s">
        <v>86</v>
      </c>
      <c r="D497" s="54">
        <v>0.64583333333333304</v>
      </c>
      <c r="E497" s="54">
        <v>0.66666666666666696</v>
      </c>
      <c r="F497" s="55" t="str">
        <f>IF(R497="","",HOUR(INDEX(MATCHER!$C$5:$C$504,R497))&amp;":"&amp;IF(MINUTE(INDEX(MATCHER!$C$5:$C$504,R497))&lt;10,"0","")&amp;MINUTE(INDEX(MATCHER!$C$5:$C$504,R497))&amp;" "&amp;INDEX(MATCHER!$H$5:$H$504,R497)&amp;" – "&amp;INDEX(MATCHER!$I$5:$I$504,R497))&amp;IF(S497="",""," | "&amp;HOUR(INDEX(MATCHER!$C$5:$C$504,S497))&amp;":"&amp;IF(MINUTE(INDEX(MATCHER!$C$5:$C$504,S497))&lt;10,"0","")&amp;MINUTE(INDEX(MATCHER!$C$5:$C$504,S497))&amp;" "&amp;INDEX(MATCHER!$H$5:$H$504,S497)&amp;" – "&amp;INDEX(MATCHER!$I$5:$I$504,S497))&amp;IF(T497="",""," | "&amp;HOUR(INDEX(MATCHER!$C$5:$C$504,T497))&amp;":"&amp;IF(MINUTE(INDEX(MATCHER!$C$5:$C$504,T497))&lt;10,"0","")&amp;MINUTE(INDEX(MATCHER!$C$5:$C$504,T497))&amp;" "&amp;INDEX(MATCHER!$H$5:$H$504,T497)&amp;" – "&amp;INDEX(MATCHER!$I$5:$I$504,T497))&amp;IF(AF497="",""," | "&amp;HOUR(INDEX(MATCHER!$C$5:$C$504,AF497))&amp;":"&amp;IF(MINUTE(INDEX(MATCHER!$C$5:$C$504,AF497))&lt;10,"0","")&amp;MINUTE(INDEX(MATCHER!$C$5:$C$504,AF497))&amp;" "&amp;INDEX(MATCHER!$H$5:$H$504,AF497)&amp;" – "&amp;INDEX(MATCHER!$I$5:$I$504,AF497))</f>
        <v/>
      </c>
      <c r="G497" s="55" t="str">
        <f>MID(IF(R497="","",IF(OR(INDEX(MATCHER!$J$5:$J$504,R497)=""),""," / "&amp;INDEX(MATCHER!$J$5:$J$504,R497)))&amp;IF(S497="","",IF(OR(INDEX(MATCHER!$J$5:$J$504,S497)="",INDEX(MATCHER!$J$5:$J$504,S497)=IFERROR(INDEX(MATCHER!$J$5:$J$504,R497),"")),""," / "&amp;INDEX(MATCHER!$J$5:$J$504,S497)))&amp;IF(T497="","",IF(OR(INDEX(MATCHER!$J$5:$J$504,T497)="",INDEX(MATCHER!$J$5:$J$504,T497)=IFERROR(INDEX(MATCHER!$J$5:$J$504,R497),""),INDEX(MATCHER!$J$5:$J$504,T497)=IFERROR(INDEX(MATCHER!$J$5:$J$504,S497),"")),""," / "&amp;INDEX(MATCHER!$J$5:$J$504,T497)))&amp;IF(AF497="","",IF(OR(INDEX(MATCHER!$J$5:$J$504,AF497)="",INDEX(MATCHER!$J$5:$J$504,AF497)=IFERROR(INDEX(MATCHER!$J$5:$J$504,R497),""),INDEX(MATCHER!$J$5:$J$504,AF497)=IFERROR(INDEX(MATCHER!$J$5:$J$504,S497),""),INDEX(MATCHER!$J$5:$J$504,AF497)=IFERROR(INDEX(MATCHER!$J$5:$J$504,T497),"")),""," / "&amp;INDEX(MATCHER!$J$5:$J$504,AF497))),4,1000)</f>
        <v/>
      </c>
      <c r="H497" s="55" t="str">
        <f t="shared" si="108"/>
        <v/>
      </c>
      <c r="I497" s="56" t="s">
        <v>90</v>
      </c>
      <c r="J497" s="57" t="s">
        <v>150</v>
      </c>
      <c r="K497" s="58"/>
      <c r="L497" s="59" t="s">
        <v>858</v>
      </c>
      <c r="M497" s="60" t="str">
        <f>IF(O497&lt;&gt;O496,MAX(1,MIN(AA497,ROUNDUP(SUMPRODUCT(($O$5:$O$546=O497)*($I$5:$I$546="Ja")*($E$5:$E$546-$D$5:$D$546))*24/REGLER!$B$8,0))),"")</f>
        <v/>
      </c>
      <c r="N497" s="60" t="str">
        <f t="shared" si="99"/>
        <v>Kontrollera lag</v>
      </c>
      <c r="O497" s="15" t="s">
        <v>161</v>
      </c>
      <c r="P497" s="16">
        <v>0.33333333333333298</v>
      </c>
      <c r="Q497" s="16">
        <v>0.66666666666666696</v>
      </c>
      <c r="R497" s="15" t="str">
        <f>IFERROR(MATCH(1,INDEX((MATCHER!$B$5:$B$504=A497)*(MATCHER!$D$5:$D$504=C497)*(MATCHER!$K$5:$K$504="Ja")*(MATCHER!$C$5:$C$504&lt;E497)*(MATCHER!$M$5:$M$504&gt;D497),0),0),"")</f>
        <v/>
      </c>
      <c r="S497" s="15" t="str">
        <f>IF(R497="","",IFERROR(MATCH(1,INDEX((MATCHER!$B$5:$B$504=A497)*(MATCHER!$D$5:$D$504=C497)*(MATCHER!$K$5:$K$504="Ja")*(MATCHER!$C$5:$C$504&lt;E497)*(MATCHER!$M$5:$M$504&gt;D497)*(ROW(MATCHER!$A$5:$A$504)-ROW(MATCHER!$A$5)+1&gt;R497),0),0),""))</f>
        <v/>
      </c>
      <c r="T497" s="15" t="str">
        <f>IF(S497="","",IFERROR(MATCH(1,INDEX((MATCHER!$B$5:$B$504=A497)*(MATCHER!$D$5:$D$504=C497)*(MATCHER!$K$5:$K$504="Ja")*(MATCHER!$C$5:$C$504&lt;E497)*(MATCHER!$M$5:$M$504&gt;D497)*(ROW(MATCHER!$A$5:$A$504)-ROW(MATCHER!$A$5)+1&gt;S497),0),0),""))</f>
        <v/>
      </c>
      <c r="U497" s="15">
        <f t="shared" si="100"/>
        <v>1</v>
      </c>
      <c r="V497" s="15">
        <f>IF(OR(I497&lt;&gt;"Ja",J497=""),"",COUNTIFS($O$5:O497,O497,$U$5:U497,1))</f>
        <v>9</v>
      </c>
      <c r="W497" s="15" t="str">
        <f t="shared" si="101"/>
        <v>2027-03-13 | Ulriksdalshallen|9</v>
      </c>
      <c r="X497" s="16">
        <f t="shared" si="102"/>
        <v>0.66666666666666696</v>
      </c>
      <c r="Y497" s="15">
        <f>IF(OR(I497&lt;&gt;"Ja",J497=""),0,IF(COUNTIFS($O$5:O497,O497,$I$5:I497,"Ja",$J$5:J497,"&lt;&gt;")=1,1,0))</f>
        <v>0</v>
      </c>
      <c r="Z497" s="15">
        <f>IF(OR(I497&lt;&gt;"Ja",J497=""),0,IF(COUNTIFS(O497:$O$546,O497,I497:$I$546,"Ja",J497:$J$546,"&lt;&gt;")=1,1,0))</f>
        <v>1</v>
      </c>
      <c r="AA497" s="15">
        <f t="shared" si="109"/>
        <v>0</v>
      </c>
      <c r="AB497" s="15">
        <f>IF(U497&lt;&gt;1,"",COUNTIF($U$5:U497,1))</f>
        <v>93</v>
      </c>
      <c r="AC497" s="15" t="str">
        <f t="shared" si="103"/>
        <v>2027-03-13 | Ulriksdalshallen|9</v>
      </c>
      <c r="AD497" s="15" t="str">
        <f t="shared" si="104"/>
        <v>Vanligt café</v>
      </c>
      <c r="AE497" s="15">
        <f t="shared" si="105"/>
        <v>0.50000000000001421</v>
      </c>
      <c r="AF497" t="str">
        <f>IF(T497="","",IFERROR(MATCH(1,INDEX((MATCHER!$B$5:$B$504=A497)*(MATCHER!$D$5:$D$504=C497)*(MATCHER!$K$5:$K$504="Ja")*(MATCHER!$C$5:$C$504&lt;E497)*(MATCHER!$M$5:$M$504&gt;D497)*(ROW(MATCHER!$A$5:$A$504)-ROW(MATCHER!$A$5)+1&gt;T497),0),0),""))</f>
        <v/>
      </c>
    </row>
    <row r="498" spans="1:32" ht="13">
      <c r="A498" s="42">
        <v>46466</v>
      </c>
      <c r="B498" s="43" t="s">
        <v>85</v>
      </c>
      <c r="C498" s="43" t="s">
        <v>94</v>
      </c>
      <c r="D498" s="44">
        <v>0.53125</v>
      </c>
      <c r="E498" s="44">
        <v>0.54166666666666696</v>
      </c>
      <c r="F498" s="45" t="str">
        <f>IF(R498="","",HOUR(INDEX(MATCHER!$C$5:$C$504,R498))&amp;":"&amp;IF(MINUTE(INDEX(MATCHER!$C$5:$C$504,R498))&lt;10,"0","")&amp;MINUTE(INDEX(MATCHER!$C$5:$C$504,R498))&amp;" "&amp;INDEX(MATCHER!$H$5:$H$504,R498)&amp;" – "&amp;INDEX(MATCHER!$I$5:$I$504,R498))&amp;IF(S498="",""," | "&amp;HOUR(INDEX(MATCHER!$C$5:$C$504,S498))&amp;":"&amp;IF(MINUTE(INDEX(MATCHER!$C$5:$C$504,S498))&lt;10,"0","")&amp;MINUTE(INDEX(MATCHER!$C$5:$C$504,S498))&amp;" "&amp;INDEX(MATCHER!$H$5:$H$504,S498)&amp;" – "&amp;INDEX(MATCHER!$I$5:$I$504,S498))&amp;IF(T498="",""," | "&amp;HOUR(INDEX(MATCHER!$C$5:$C$504,T498))&amp;":"&amp;IF(MINUTE(INDEX(MATCHER!$C$5:$C$504,T498))&lt;10,"0","")&amp;MINUTE(INDEX(MATCHER!$C$5:$C$504,T498))&amp;" "&amp;INDEX(MATCHER!$H$5:$H$504,T498)&amp;" – "&amp;INDEX(MATCHER!$I$5:$I$504,T498))&amp;IF(AF498="",""," | "&amp;HOUR(INDEX(MATCHER!$C$5:$C$504,AF498))&amp;":"&amp;IF(MINUTE(INDEX(MATCHER!$C$5:$C$504,AF498))&lt;10,"0","")&amp;MINUTE(INDEX(MATCHER!$C$5:$C$504,AF498))&amp;" "&amp;INDEX(MATCHER!$H$5:$H$504,AF498)&amp;" – "&amp;INDEX(MATCHER!$I$5:$I$504,AF498))</f>
        <v/>
      </c>
      <c r="G498" s="45" t="str">
        <f>MID(IF(R498="","",IF(OR(INDEX(MATCHER!$J$5:$J$504,R498)=""),""," / "&amp;INDEX(MATCHER!$J$5:$J$504,R498)))&amp;IF(S498="","",IF(OR(INDEX(MATCHER!$J$5:$J$504,S498)="",INDEX(MATCHER!$J$5:$J$504,S498)=IFERROR(INDEX(MATCHER!$J$5:$J$504,R498),"")),""," / "&amp;INDEX(MATCHER!$J$5:$J$504,S498)))&amp;IF(T498="","",IF(OR(INDEX(MATCHER!$J$5:$J$504,T498)="",INDEX(MATCHER!$J$5:$J$504,T498)=IFERROR(INDEX(MATCHER!$J$5:$J$504,R498),""),INDEX(MATCHER!$J$5:$J$504,T498)=IFERROR(INDEX(MATCHER!$J$5:$J$504,S498),"")),""," / "&amp;INDEX(MATCHER!$J$5:$J$504,T498)))&amp;IF(AF498="","",IF(OR(INDEX(MATCHER!$J$5:$J$504,AF498)="",INDEX(MATCHER!$J$5:$J$504,AF498)=IFERROR(INDEX(MATCHER!$J$5:$J$504,R498),""),INDEX(MATCHER!$J$5:$J$504,AF498)=IFERROR(INDEX(MATCHER!$J$5:$J$504,S498),""),INDEX(MATCHER!$J$5:$J$504,AF498)=IFERROR(INDEX(MATCHER!$J$5:$J$504,T498),"")),""," / "&amp;INDEX(MATCHER!$J$5:$J$504,AF498))),4,1000)</f>
        <v/>
      </c>
      <c r="H498" s="45" t="str">
        <f>MID(IF(COUNTIFS(MATCHER!$B$5:$B$504,A498,MATCHER!$D$5:$D$504,C498,MATCHER!$J$5:$J$504,REGLER!$I$6,MATCHER!$K$5:$K$504,"Ja")+COUNTIFS(MATCHER!$B$5:$B$504,A498,MATCHER!$D$5:$D$504,C498,MATCHER!$J$5:$J$504,REGLER!$I$6&amp;" 2",MATCHER!$K$5:$K$504,"Ja")&gt;0,", "&amp;REGLER!$I$6,"")&amp;IF(COUNTIFS(MATCHER!$B$5:$B$504,A498,MATCHER!$D$5:$D$504,C498,MATCHER!$J$5:$J$504,REGLER!$I$7,MATCHER!$K$5:$K$504,"Ja")+COUNTIFS(MATCHER!$B$5:$B$504,A498,MATCHER!$D$5:$D$504,C498,MATCHER!$J$5:$J$504,REGLER!$I$7&amp;" 2",MATCHER!$K$5:$K$504,"Ja")&gt;0,", "&amp;REGLER!$I$7,"")&amp;IF(COUNTIFS(MATCHER!$B$5:$B$504,A498,MATCHER!$D$5:$D$504,C498,MATCHER!$J$5:$J$504,REGLER!$I$8,MATCHER!$K$5:$K$504,"Ja")+COUNTIFS(MATCHER!$B$5:$B$504,A498,MATCHER!$D$5:$D$504,C498,MATCHER!$J$5:$J$504,REGLER!$I$8&amp;" 2",MATCHER!$K$5:$K$504,"Ja")&gt;0,", "&amp;REGLER!$I$8,"")&amp;IF(COUNTIFS(MATCHER!$B$5:$B$504,A498,MATCHER!$D$5:$D$504,C498,MATCHER!$J$5:$J$504,REGLER!$I$9,MATCHER!$K$5:$K$504,"Ja")+COUNTIFS(MATCHER!$B$5:$B$504,A498,MATCHER!$D$5:$D$504,C498,MATCHER!$J$5:$J$504,REGLER!$I$9&amp;" 2",MATCHER!$K$5:$K$504,"Ja")&gt;0,", "&amp;REGLER!$I$9,"")&amp;IF(COUNTIFS(MATCHER!$B$5:$B$504,A498,MATCHER!$D$5:$D$504,C498,MATCHER!$J$5:$J$504,REGLER!$I$10,MATCHER!$K$5:$K$504,"Ja")+COUNTIFS(MATCHER!$B$5:$B$504,A498,MATCHER!$D$5:$D$504,C498,MATCHER!$J$5:$J$504,REGLER!$I$10&amp;" 2",MATCHER!$K$5:$K$504,"Ja")&gt;0,", "&amp;REGLER!$I$10,"")&amp;IF(COUNTIFS(MATCHER!$B$5:$B$504,A498,MATCHER!$D$5:$D$504,C498,MATCHER!$J$5:$J$504,REGLER!$I$11,MATCHER!$K$5:$K$504,"Ja")+COUNTIFS(MATCHER!$B$5:$B$504,A498,MATCHER!$D$5:$D$504,C498,MATCHER!$J$5:$J$504,REGLER!$I$11&amp;" 2",MATCHER!$K$5:$K$504,"Ja")&gt;0,", "&amp;REGLER!$I$11,"")&amp;IF(COUNTIFS(MATCHER!$B$5:$B$504,A498,MATCHER!$D$5:$D$504,C498,MATCHER!$J$5:$J$504,REGLER!$I$12,MATCHER!$K$5:$K$504,"Ja")+COUNTIFS(MATCHER!$B$5:$B$504,A498,MATCHER!$D$5:$D$504,C498,MATCHER!$J$5:$J$504,REGLER!$I$12&amp;" 2",MATCHER!$K$5:$K$504,"Ja")&gt;0,", "&amp;REGLER!$I$12,"")&amp;IF(COUNTIFS(MATCHER!$B$5:$B$504,A498,MATCHER!$D$5:$D$504,C498,MATCHER!$J$5:$J$504,REGLER!$I$13,MATCHER!$K$5:$K$504,"Ja")+COUNTIFS(MATCHER!$B$5:$B$504,A498,MATCHER!$D$5:$D$504,C498,MATCHER!$J$5:$J$504,REGLER!$I$13&amp;" 2",MATCHER!$K$5:$K$504,"Ja")&gt;0,", "&amp;REGLER!$I$13,"")&amp;IF(COUNTIFS(MATCHER!$B$5:$B$504,A498,MATCHER!$D$5:$D$504,C498,MATCHER!$J$5:$J$504,REGLER!$I$14,MATCHER!$K$5:$K$504,"Ja")+COUNTIFS(MATCHER!$B$5:$B$504,A498,MATCHER!$D$5:$D$504,C498,MATCHER!$J$5:$J$504,REGLER!$I$14&amp;" 2",MATCHER!$K$5:$K$504,"Ja")&gt;0,", "&amp;REGLER!$I$14,"")&amp;IF(COUNTIFS(MATCHER!$B$5:$B$504,A498,MATCHER!$D$5:$D$504,C498,MATCHER!$J$5:$J$504,REGLER!$I$15,MATCHER!$K$5:$K$504,"Ja")+COUNTIFS(MATCHER!$B$5:$B$504,A498,MATCHER!$D$5:$D$504,C498,MATCHER!$J$5:$J$504,REGLER!$I$15&amp;" 2",MATCHER!$K$5:$K$504,"Ja")&gt;0,", "&amp;REGLER!$I$15,"")&amp;IF(COUNTIFS(MATCHER!$B$5:$B$504,A498,MATCHER!$D$5:$D$504,C498,MATCHER!$J$5:$J$504,REGLER!$I$16,MATCHER!$K$5:$K$504,"Ja")+COUNTIFS(MATCHER!$B$5:$B$504,A498,MATCHER!$D$5:$D$504,C498,MATCHER!$J$5:$J$504,REGLER!$I$16&amp;" 2",MATCHER!$K$5:$K$504,"Ja")&gt;0,", "&amp;REGLER!$I$16,"")&amp;IF(COUNTIFS(MATCHER!$B$5:$B$504,A498,MATCHER!$D$5:$D$504,C498,MATCHER!$J$5:$J$504,REGLER!$I$17,MATCHER!$K$5:$K$504,"Ja")+COUNTIFS(MATCHER!$B$5:$B$504,A498,MATCHER!$D$5:$D$504,C498,MATCHER!$J$5:$J$504,REGLER!$I$17&amp;" 2",MATCHER!$K$5:$K$504,"Ja")&gt;0,", "&amp;REGLER!$I$17,"")&amp;IF(COUNTIFS(MATCHER!$B$5:$B$504,A498,MATCHER!$D$5:$D$504,C498,MATCHER!$J$5:$J$504,REGLER!$I$18,MATCHER!$K$5:$K$504,"Ja")+COUNTIFS(MATCHER!$B$5:$B$504,A498,MATCHER!$D$5:$D$504,C498,MATCHER!$J$5:$J$504,REGLER!$I$18&amp;" 2",MATCHER!$K$5:$K$504,"Ja")&gt;0,", "&amp;REGLER!$I$18,"")&amp;IF(COUNTIFS(MATCHER!$B$5:$B$504,A498,MATCHER!$D$5:$D$504,C498,MATCHER!$J$5:$J$504,REGLER!$I$19,MATCHER!$K$5:$K$504,"Ja")+COUNTIFS(MATCHER!$B$5:$B$504,A498,MATCHER!$D$5:$D$504,C498,MATCHER!$J$5:$J$504,REGLER!$I$19&amp;" 2",MATCHER!$K$5:$K$504,"Ja")&gt;0,", "&amp;REGLER!$I$19,"")&amp;IF(COUNTIFS(MATCHER!$B$5:$B$504,A498,MATCHER!$D$5:$D$504,C498,MATCHER!$J$5:$J$504,REGLER!$I$20,MATCHER!$K$5:$K$504,"Ja")+COUNTIFS(MATCHER!$B$5:$B$504,A498,MATCHER!$D$5:$D$504,C498,MATCHER!$J$5:$J$504,REGLER!$I$20&amp;" 2",MATCHER!$K$5:$K$504,"Ja")&gt;0,", "&amp;REGLER!$I$20,"")&amp;IF(COUNTIFS(MATCHER!$B$5:$B$504,A498,MATCHER!$D$5:$D$504,C498,MATCHER!$J$5:$J$504,REGLER!$I$21,MATCHER!$K$5:$K$504,"Ja")+COUNTIFS(MATCHER!$B$5:$B$504,A498,MATCHER!$D$5:$D$504,C498,MATCHER!$J$5:$J$504,REGLER!$I$21&amp;" 2",MATCHER!$K$5:$K$504,"Ja")&gt;0,", "&amp;REGLER!$I$21,"")&amp;IF(COUNTIFS(MATCHER!$B$5:$B$504,A498,MATCHER!$D$5:$D$504,C498,MATCHER!$J$5:$J$504,REGLER!$I$22,MATCHER!$K$5:$K$504,"Ja")+COUNTIFS(MATCHER!$B$5:$B$504,A498,MATCHER!$D$5:$D$504,C498,MATCHER!$J$5:$J$504,REGLER!$I$22&amp;" 2",MATCHER!$K$5:$K$504,"Ja")&gt;0,", "&amp;REGLER!$I$22,"")&amp;IF(COUNTIFS(MATCHER!$B$5:$B$504,A498,MATCHER!$D$5:$D$504,C498,MATCHER!$J$5:$J$504,REGLER!$I$23,MATCHER!$K$5:$K$504,"Ja")+COUNTIFS(MATCHER!$B$5:$B$504,A498,MATCHER!$D$5:$D$504,C498,MATCHER!$J$5:$J$504,REGLER!$I$23&amp;" 2",MATCHER!$K$5:$K$504,"Ja")&gt;0,", "&amp;REGLER!$I$23,"")&amp;IF(COUNTIFS(MATCHER!$B$5:$B$504,A498,MATCHER!$D$5:$D$504,C498,MATCHER!$J$5:$J$504,REGLER!$I$24,MATCHER!$K$5:$K$504,"Ja")+COUNTIFS(MATCHER!$B$5:$B$504,A498,MATCHER!$D$5:$D$504,C498,MATCHER!$J$5:$J$504,REGLER!$I$24&amp;" 2",MATCHER!$K$5:$K$504,"Ja")&gt;0,", "&amp;REGLER!$I$24,"")&amp;IF(COUNTIFS(MATCHER!$B$5:$B$504,A498,MATCHER!$D$5:$D$504,C498,MATCHER!$J$5:$J$504,REGLER!$I$25,MATCHER!$K$5:$K$504,"Ja")+COUNTIFS(MATCHER!$B$5:$B$504,A498,MATCHER!$D$5:$D$504,C498,MATCHER!$J$5:$J$504,REGLER!$I$25&amp;" 2",MATCHER!$K$5:$K$504,"Ja")&gt;0,", "&amp;REGLER!$I$25,"")&amp;IF(COUNTIFS(MATCHER!$B$5:$B$504,A498,MATCHER!$D$5:$D$504,C498,MATCHER!$J$5:$J$504,REGLER!$I$26,MATCHER!$K$5:$K$504,"Ja")+COUNTIFS(MATCHER!$B$5:$B$504,A498,MATCHER!$D$5:$D$504,C498,MATCHER!$J$5:$J$504,REGLER!$I$26&amp;" 2",MATCHER!$K$5:$K$504,"Ja")&gt;0,", "&amp;REGLER!$I$26,""),3,1000)</f>
        <v>P16</v>
      </c>
      <c r="I498" s="46" t="s">
        <v>87</v>
      </c>
      <c r="J498" s="47"/>
      <c r="K498" s="48" t="s">
        <v>98</v>
      </c>
      <c r="L498" s="68"/>
      <c r="M498" s="50">
        <f>IF(O498&lt;&gt;O497,MAX(1,MIN(AA498,ROUNDUP(SUMPRODUCT(($O$5:$O$546=O498)*($I$5:$I$546="Ja")*($E$5:$E$546-$D$5:$D$546))*24/REGLER!$B$8,0))),"")</f>
        <v>1</v>
      </c>
      <c r="N498" s="50" t="str">
        <f t="shared" si="99"/>
        <v>Ej öppet</v>
      </c>
      <c r="O498" s="15" t="s">
        <v>162</v>
      </c>
      <c r="P498" s="16">
        <v>0.53125</v>
      </c>
      <c r="Q498" s="16">
        <v>0.625</v>
      </c>
      <c r="R498" s="15" t="str">
        <f>IFERROR(MATCH(1,INDEX((MATCHER!$B$5:$B$504=A498)*(MATCHER!$D$5:$D$504=C498)*(MATCHER!$K$5:$K$504="Ja")*(MATCHER!$C$5:$C$504&lt;E498)*(MATCHER!$M$5:$M$504&gt;D498),0),0),"")</f>
        <v/>
      </c>
      <c r="S498" s="15" t="str">
        <f>IF(R498="","",IFERROR(MATCH(1,INDEX((MATCHER!$B$5:$B$504=A498)*(MATCHER!$D$5:$D$504=C498)*(MATCHER!$K$5:$K$504="Ja")*(MATCHER!$C$5:$C$504&lt;E498)*(MATCHER!$M$5:$M$504&gt;D498)*(ROW(MATCHER!$A$5:$A$504)-ROW(MATCHER!$A$5)+1&gt;R498),0),0),""))</f>
        <v/>
      </c>
      <c r="T498" s="15" t="str">
        <f>IF(S498="","",IFERROR(MATCH(1,INDEX((MATCHER!$B$5:$B$504=A498)*(MATCHER!$D$5:$D$504=C498)*(MATCHER!$K$5:$K$504="Ja")*(MATCHER!$C$5:$C$504&lt;E498)*(MATCHER!$M$5:$M$504&gt;D498)*(ROW(MATCHER!$A$5:$A$504)-ROW(MATCHER!$A$5)+1&gt;S498),0),0),""))</f>
        <v/>
      </c>
      <c r="U498" s="15" t="str">
        <f t="shared" si="100"/>
        <v/>
      </c>
      <c r="V498" s="15" t="str">
        <f>IF(OR(I498&lt;&gt;"Ja",J498=""),"",COUNTIFS($O$5:O498,O498,$U$5:U498,1))</f>
        <v/>
      </c>
      <c r="W498" s="15" t="str">
        <f t="shared" si="101"/>
        <v/>
      </c>
      <c r="X498" s="16" t="str">
        <f t="shared" si="102"/>
        <v/>
      </c>
      <c r="Y498" s="15">
        <f>IF(OR(I498&lt;&gt;"Ja",J498=""),0,IF(COUNTIFS($O$5:O498,O498,$I$5:I498,"Ja",$J$5:J498,"&lt;&gt;")=1,1,0))</f>
        <v>0</v>
      </c>
      <c r="Z498" s="15">
        <f>IF(OR(I498&lt;&gt;"Ja",J498=""),0,IF(COUNTIFS(O498:$O$546,O498,I498:$I$546,"Ja",J498:$J$546,"&lt;&gt;")=1,1,0))</f>
        <v>0</v>
      </c>
      <c r="AA498" s="15">
        <f>IF(COUNTIFS(MATCHER!$B$5:$B$504,A498,MATCHER!$D$5:$D$504,C498,MATCHER!$J$5:$J$504,REGLER!$I$6,MATCHER!$K$5:$K$504,"Ja")+COUNTIFS(MATCHER!$B$5:$B$504,A498,MATCHER!$D$5:$D$504,C498,MATCHER!$J$5:$J$504,REGLER!$I$6&amp;" 2",MATCHER!$K$5:$K$504,"Ja")&gt;0,1,0)+IF(COUNTIFS(MATCHER!$B$5:$B$504,A498,MATCHER!$D$5:$D$504,C498,MATCHER!$J$5:$J$504,REGLER!$I$7,MATCHER!$K$5:$K$504,"Ja")+COUNTIFS(MATCHER!$B$5:$B$504,A498,MATCHER!$D$5:$D$504,C498,MATCHER!$J$5:$J$504,REGLER!$I$7&amp;" 2",MATCHER!$K$5:$K$504,"Ja")&gt;0,1,0)+IF(COUNTIFS(MATCHER!$B$5:$B$504,A498,MATCHER!$D$5:$D$504,C498,MATCHER!$J$5:$J$504,REGLER!$I$8,MATCHER!$K$5:$K$504,"Ja")+COUNTIFS(MATCHER!$B$5:$B$504,A498,MATCHER!$D$5:$D$504,C498,MATCHER!$J$5:$J$504,REGLER!$I$8&amp;" 2",MATCHER!$K$5:$K$504,"Ja")&gt;0,1,0)+IF(COUNTIFS(MATCHER!$B$5:$B$504,A498,MATCHER!$D$5:$D$504,C498,MATCHER!$J$5:$J$504,REGLER!$I$9,MATCHER!$K$5:$K$504,"Ja")+COUNTIFS(MATCHER!$B$5:$B$504,A498,MATCHER!$D$5:$D$504,C498,MATCHER!$J$5:$J$504,REGLER!$I$9&amp;" 2",MATCHER!$K$5:$K$504,"Ja")&gt;0,1,0)+IF(COUNTIFS(MATCHER!$B$5:$B$504,A498,MATCHER!$D$5:$D$504,C498,MATCHER!$J$5:$J$504,REGLER!$I$10,MATCHER!$K$5:$K$504,"Ja")+COUNTIFS(MATCHER!$B$5:$B$504,A498,MATCHER!$D$5:$D$504,C498,MATCHER!$J$5:$J$504,REGLER!$I$10&amp;" 2",MATCHER!$K$5:$K$504,"Ja")&gt;0,1,0)+IF(COUNTIFS(MATCHER!$B$5:$B$504,A498,MATCHER!$D$5:$D$504,C498,MATCHER!$J$5:$J$504,REGLER!$I$11,MATCHER!$K$5:$K$504,"Ja")+COUNTIFS(MATCHER!$B$5:$B$504,A498,MATCHER!$D$5:$D$504,C498,MATCHER!$J$5:$J$504,REGLER!$I$11&amp;" 2",MATCHER!$K$5:$K$504,"Ja")&gt;0,1,0)+IF(COUNTIFS(MATCHER!$B$5:$B$504,A498,MATCHER!$D$5:$D$504,C498,MATCHER!$J$5:$J$504,REGLER!$I$12,MATCHER!$K$5:$K$504,"Ja")+COUNTIFS(MATCHER!$B$5:$B$504,A498,MATCHER!$D$5:$D$504,C498,MATCHER!$J$5:$J$504,REGLER!$I$12&amp;" 2",MATCHER!$K$5:$K$504,"Ja")&gt;0,1,0)+IF(COUNTIFS(MATCHER!$B$5:$B$504,A498,MATCHER!$D$5:$D$504,C498,MATCHER!$J$5:$J$504,REGLER!$I$13,MATCHER!$K$5:$K$504,"Ja")+COUNTIFS(MATCHER!$B$5:$B$504,A498,MATCHER!$D$5:$D$504,C498,MATCHER!$J$5:$J$504,REGLER!$I$13&amp;" 2",MATCHER!$K$5:$K$504,"Ja")&gt;0,1,0)+IF(COUNTIFS(MATCHER!$B$5:$B$504,A498,MATCHER!$D$5:$D$504,C498,MATCHER!$J$5:$J$504,REGLER!$I$14,MATCHER!$K$5:$K$504,"Ja")+COUNTIFS(MATCHER!$B$5:$B$504,A498,MATCHER!$D$5:$D$504,C498,MATCHER!$J$5:$J$504,REGLER!$I$14&amp;" 2",MATCHER!$K$5:$K$504,"Ja")&gt;0,1,0)+IF(COUNTIFS(MATCHER!$B$5:$B$504,A498,MATCHER!$D$5:$D$504,C498,MATCHER!$J$5:$J$504,REGLER!$I$15,MATCHER!$K$5:$K$504,"Ja")+COUNTIFS(MATCHER!$B$5:$B$504,A498,MATCHER!$D$5:$D$504,C498,MATCHER!$J$5:$J$504,REGLER!$I$15&amp;" 2",MATCHER!$K$5:$K$504,"Ja")&gt;0,1,0)+IF(COUNTIFS(MATCHER!$B$5:$B$504,A498,MATCHER!$D$5:$D$504,C498,MATCHER!$J$5:$J$504,REGLER!$I$16,MATCHER!$K$5:$K$504,"Ja")+COUNTIFS(MATCHER!$B$5:$B$504,A498,MATCHER!$D$5:$D$504,C498,MATCHER!$J$5:$J$504,REGLER!$I$16&amp;" 2",MATCHER!$K$5:$K$504,"Ja")&gt;0,1,0)+IF(COUNTIFS(MATCHER!$B$5:$B$504,A498,MATCHER!$D$5:$D$504,C498,MATCHER!$J$5:$J$504,REGLER!$I$17,MATCHER!$K$5:$K$504,"Ja")+COUNTIFS(MATCHER!$B$5:$B$504,A498,MATCHER!$D$5:$D$504,C498,MATCHER!$J$5:$J$504,REGLER!$I$17&amp;" 2",MATCHER!$K$5:$K$504,"Ja")&gt;0,1,0)+IF(COUNTIFS(MATCHER!$B$5:$B$504,A498,MATCHER!$D$5:$D$504,C498,MATCHER!$J$5:$J$504,REGLER!$I$18,MATCHER!$K$5:$K$504,"Ja")+COUNTIFS(MATCHER!$B$5:$B$504,A498,MATCHER!$D$5:$D$504,C498,MATCHER!$J$5:$J$504,REGLER!$I$18&amp;" 2",MATCHER!$K$5:$K$504,"Ja")&gt;0,1,0)+IF(COUNTIFS(MATCHER!$B$5:$B$504,A498,MATCHER!$D$5:$D$504,C498,MATCHER!$J$5:$J$504,REGLER!$I$19,MATCHER!$K$5:$K$504,"Ja")+COUNTIFS(MATCHER!$B$5:$B$504,A498,MATCHER!$D$5:$D$504,C498,MATCHER!$J$5:$J$504,REGLER!$I$19&amp;" 2",MATCHER!$K$5:$K$504,"Ja")&gt;0,1,0)+IF(COUNTIFS(MATCHER!$B$5:$B$504,A498,MATCHER!$D$5:$D$504,C498,MATCHER!$J$5:$J$504,REGLER!$I$20,MATCHER!$K$5:$K$504,"Ja")+COUNTIFS(MATCHER!$B$5:$B$504,A498,MATCHER!$D$5:$D$504,C498,MATCHER!$J$5:$J$504,REGLER!$I$20&amp;" 2",MATCHER!$K$5:$K$504,"Ja")&gt;0,1,0)+IF(COUNTIFS(MATCHER!$B$5:$B$504,A498,MATCHER!$D$5:$D$504,C498,MATCHER!$J$5:$J$504,REGLER!$I$21,MATCHER!$K$5:$K$504,"Ja")+COUNTIFS(MATCHER!$B$5:$B$504,A498,MATCHER!$D$5:$D$504,C498,MATCHER!$J$5:$J$504,REGLER!$I$21&amp;" 2",MATCHER!$K$5:$K$504,"Ja")&gt;0,1,0)+IF(COUNTIFS(MATCHER!$B$5:$B$504,A498,MATCHER!$D$5:$D$504,C498,MATCHER!$J$5:$J$504,REGLER!$I$22,MATCHER!$K$5:$K$504,"Ja")+COUNTIFS(MATCHER!$B$5:$B$504,A498,MATCHER!$D$5:$D$504,C498,MATCHER!$J$5:$J$504,REGLER!$I$22&amp;" 2",MATCHER!$K$5:$K$504,"Ja")&gt;0,1,0)+IF(COUNTIFS(MATCHER!$B$5:$B$504,A498,MATCHER!$D$5:$D$504,C498,MATCHER!$J$5:$J$504,REGLER!$I$23,MATCHER!$K$5:$K$504,"Ja")+COUNTIFS(MATCHER!$B$5:$B$504,A498,MATCHER!$D$5:$D$504,C498,MATCHER!$J$5:$J$504,REGLER!$I$23&amp;" 2",MATCHER!$K$5:$K$504,"Ja")&gt;0,1,0)+IF(COUNTIFS(MATCHER!$B$5:$B$504,A498,MATCHER!$D$5:$D$504,C498,MATCHER!$J$5:$J$504,REGLER!$I$24,MATCHER!$K$5:$K$504,"Ja")+COUNTIFS(MATCHER!$B$5:$B$504,A498,MATCHER!$D$5:$D$504,C498,MATCHER!$J$5:$J$504,REGLER!$I$24&amp;" 2",MATCHER!$K$5:$K$504,"Ja")&gt;0,1,0)+IF(COUNTIFS(MATCHER!$B$5:$B$504,A498,MATCHER!$D$5:$D$504,C498,MATCHER!$J$5:$J$504,REGLER!$I$25,MATCHER!$K$5:$K$504,"Ja")+COUNTIFS(MATCHER!$B$5:$B$504,A498,MATCHER!$D$5:$D$504,C498,MATCHER!$J$5:$J$504,REGLER!$I$25&amp;" 2",MATCHER!$K$5:$K$504,"Ja")&gt;0,1,0)+IF(COUNTIFS(MATCHER!$B$5:$B$504,A498,MATCHER!$D$5:$D$504,C498,MATCHER!$J$5:$J$504,REGLER!$I$26,MATCHER!$K$5:$K$504,"Ja")+COUNTIFS(MATCHER!$B$5:$B$504,A498,MATCHER!$D$5:$D$504,C498,MATCHER!$J$5:$J$504,REGLER!$I$26&amp;" 2",MATCHER!$K$5:$K$504,"Ja")&gt;0,1,0)</f>
        <v>1</v>
      </c>
      <c r="AB498" s="15" t="str">
        <f>IF(U498&lt;&gt;1,"",COUNTIF($U$5:U498,1))</f>
        <v/>
      </c>
      <c r="AC498" s="15" t="str">
        <f t="shared" si="103"/>
        <v/>
      </c>
      <c r="AD498" s="15" t="str">
        <f t="shared" si="104"/>
        <v>Minicafé</v>
      </c>
      <c r="AE498" s="15" t="str">
        <f t="shared" si="105"/>
        <v/>
      </c>
      <c r="AF498" t="str">
        <f>IF(T498="","",IFERROR(MATCH(1,INDEX((MATCHER!$B$5:$B$504=A498)*(MATCHER!$D$5:$D$504=C498)*(MATCHER!$K$5:$K$504="Ja")*(MATCHER!$C$5:$C$504&lt;E498)*(MATCHER!$M$5:$M$504&gt;D498)*(ROW(MATCHER!$A$5:$A$504)-ROW(MATCHER!$A$5)+1&gt;T498),0),0),""))</f>
        <v/>
      </c>
    </row>
    <row r="499" spans="1:32" ht="13">
      <c r="A499" s="42">
        <v>46466</v>
      </c>
      <c r="B499" s="43" t="s">
        <v>85</v>
      </c>
      <c r="C499" s="43" t="s">
        <v>94</v>
      </c>
      <c r="D499" s="44">
        <v>0.54166666666666696</v>
      </c>
      <c r="E499" s="44">
        <v>0.5625</v>
      </c>
      <c r="F499" s="45" t="str">
        <f>IF(R499="","",HOUR(INDEX(MATCHER!$C$5:$C$504,R499))&amp;":"&amp;IF(MINUTE(INDEX(MATCHER!$C$5:$C$504,R499))&lt;10,"0","")&amp;MINUTE(INDEX(MATCHER!$C$5:$C$504,R499))&amp;" "&amp;INDEX(MATCHER!$H$5:$H$504,R499)&amp;" – "&amp;INDEX(MATCHER!$I$5:$I$504,R499))&amp;IF(S499="",""," | "&amp;HOUR(INDEX(MATCHER!$C$5:$C$504,S499))&amp;":"&amp;IF(MINUTE(INDEX(MATCHER!$C$5:$C$504,S499))&lt;10,"0","")&amp;MINUTE(INDEX(MATCHER!$C$5:$C$504,S499))&amp;" "&amp;INDEX(MATCHER!$H$5:$H$504,S499)&amp;" – "&amp;INDEX(MATCHER!$I$5:$I$504,S499))&amp;IF(T499="",""," | "&amp;HOUR(INDEX(MATCHER!$C$5:$C$504,T499))&amp;":"&amp;IF(MINUTE(INDEX(MATCHER!$C$5:$C$504,T499))&lt;10,"0","")&amp;MINUTE(INDEX(MATCHER!$C$5:$C$504,T499))&amp;" "&amp;INDEX(MATCHER!$H$5:$H$504,T499)&amp;" – "&amp;INDEX(MATCHER!$I$5:$I$504,T499))&amp;IF(AF499="",""," | "&amp;HOUR(INDEX(MATCHER!$C$5:$C$504,AF499))&amp;":"&amp;IF(MINUTE(INDEX(MATCHER!$C$5:$C$504,AF499))&lt;10,"0","")&amp;MINUTE(INDEX(MATCHER!$C$5:$C$504,AF499))&amp;" "&amp;INDEX(MATCHER!$H$5:$H$504,AF499)&amp;" – "&amp;INDEX(MATCHER!$I$5:$I$504,AF499))</f>
        <v/>
      </c>
      <c r="G499" s="45" t="str">
        <f>MID(IF(R499="","",IF(OR(INDEX(MATCHER!$J$5:$J$504,R499)=""),""," / "&amp;INDEX(MATCHER!$J$5:$J$504,R499)))&amp;IF(S499="","",IF(OR(INDEX(MATCHER!$J$5:$J$504,S499)="",INDEX(MATCHER!$J$5:$J$504,S499)=IFERROR(INDEX(MATCHER!$J$5:$J$504,R499),"")),""," / "&amp;INDEX(MATCHER!$J$5:$J$504,S499)))&amp;IF(T499="","",IF(OR(INDEX(MATCHER!$J$5:$J$504,T499)="",INDEX(MATCHER!$J$5:$J$504,T499)=IFERROR(INDEX(MATCHER!$J$5:$J$504,R499),""),INDEX(MATCHER!$J$5:$J$504,T499)=IFERROR(INDEX(MATCHER!$J$5:$J$504,S499),"")),""," / "&amp;INDEX(MATCHER!$J$5:$J$504,T499)))&amp;IF(AF499="","",IF(OR(INDEX(MATCHER!$J$5:$J$504,AF499)="",INDEX(MATCHER!$J$5:$J$504,AF499)=IFERROR(INDEX(MATCHER!$J$5:$J$504,R499),""),INDEX(MATCHER!$J$5:$J$504,AF499)=IFERROR(INDEX(MATCHER!$J$5:$J$504,S499),""),INDEX(MATCHER!$J$5:$J$504,AF499)=IFERROR(INDEX(MATCHER!$J$5:$J$504,T499),"")),""," / "&amp;INDEX(MATCHER!$J$5:$J$504,AF499))),4,1000)</f>
        <v/>
      </c>
      <c r="H499" s="45" t="str">
        <f>H498</f>
        <v>P16</v>
      </c>
      <c r="I499" s="46" t="s">
        <v>87</v>
      </c>
      <c r="J499" s="47"/>
      <c r="K499" s="48"/>
      <c r="L499" s="49"/>
      <c r="M499" s="50" t="str">
        <f>IF(O499&lt;&gt;O498,MAX(1,MIN(AA499,ROUNDUP(SUMPRODUCT(($O$5:$O$546=O499)*($I$5:$I$546="Ja")*($E$5:$E$546-$D$5:$D$546))*24/REGLER!$B$8,0))),"")</f>
        <v/>
      </c>
      <c r="N499" s="50" t="str">
        <f t="shared" si="99"/>
        <v>Ej öppet</v>
      </c>
      <c r="O499" s="15" t="s">
        <v>162</v>
      </c>
      <c r="P499" s="16">
        <v>0.53125</v>
      </c>
      <c r="Q499" s="16">
        <v>0.625</v>
      </c>
      <c r="R499" s="15" t="str">
        <f>IFERROR(MATCH(1,INDEX((MATCHER!$B$5:$B$504=A499)*(MATCHER!$D$5:$D$504=C499)*(MATCHER!$K$5:$K$504="Ja")*(MATCHER!$C$5:$C$504&lt;E499)*(MATCHER!$M$5:$M$504&gt;D499),0),0),"")</f>
        <v/>
      </c>
      <c r="S499" s="15" t="str">
        <f>IF(R499="","",IFERROR(MATCH(1,INDEX((MATCHER!$B$5:$B$504=A499)*(MATCHER!$D$5:$D$504=C499)*(MATCHER!$K$5:$K$504="Ja")*(MATCHER!$C$5:$C$504&lt;E499)*(MATCHER!$M$5:$M$504&gt;D499)*(ROW(MATCHER!$A$5:$A$504)-ROW(MATCHER!$A$5)+1&gt;R499),0),0),""))</f>
        <v/>
      </c>
      <c r="T499" s="15" t="str">
        <f>IF(S499="","",IFERROR(MATCH(1,INDEX((MATCHER!$B$5:$B$504=A499)*(MATCHER!$D$5:$D$504=C499)*(MATCHER!$K$5:$K$504="Ja")*(MATCHER!$C$5:$C$504&lt;E499)*(MATCHER!$M$5:$M$504&gt;D499)*(ROW(MATCHER!$A$5:$A$504)-ROW(MATCHER!$A$5)+1&gt;S499),0),0),""))</f>
        <v/>
      </c>
      <c r="U499" s="15" t="str">
        <f t="shared" si="100"/>
        <v/>
      </c>
      <c r="V499" s="15" t="str">
        <f>IF(OR(I499&lt;&gt;"Ja",J499=""),"",COUNTIFS($O$5:O499,O499,$U$5:U499,1))</f>
        <v/>
      </c>
      <c r="W499" s="15" t="str">
        <f t="shared" si="101"/>
        <v/>
      </c>
      <c r="X499" s="16" t="str">
        <f t="shared" si="102"/>
        <v/>
      </c>
      <c r="Y499" s="15">
        <f>IF(OR(I499&lt;&gt;"Ja",J499=""),0,IF(COUNTIFS($O$5:O499,O499,$I$5:I499,"Ja",$J$5:J499,"&lt;&gt;")=1,1,0))</f>
        <v>0</v>
      </c>
      <c r="Z499" s="15">
        <f>IF(OR(I499&lt;&gt;"Ja",J499=""),0,IF(COUNTIFS(O499:$O$546,O499,I499:$I$546,"Ja",J499:$J$546,"&lt;&gt;")=1,1,0))</f>
        <v>0</v>
      </c>
      <c r="AA499" s="15">
        <f>AA498</f>
        <v>1</v>
      </c>
      <c r="AB499" s="15" t="str">
        <f>IF(U499&lt;&gt;1,"",COUNTIF($U$5:U499,1))</f>
        <v/>
      </c>
      <c r="AC499" s="15" t="str">
        <f t="shared" si="103"/>
        <v/>
      </c>
      <c r="AD499" s="15" t="str">
        <f t="shared" si="104"/>
        <v>Minicafé</v>
      </c>
      <c r="AE499" s="15" t="str">
        <f t="shared" si="105"/>
        <v/>
      </c>
      <c r="AF499" t="str">
        <f>IF(T499="","",IFERROR(MATCH(1,INDEX((MATCHER!$B$5:$B$504=A499)*(MATCHER!$D$5:$D$504=C499)*(MATCHER!$K$5:$K$504="Ja")*(MATCHER!$C$5:$C$504&lt;E499)*(MATCHER!$M$5:$M$504&gt;D499)*(ROW(MATCHER!$A$5:$A$504)-ROW(MATCHER!$A$5)+1&gt;T499),0),0),""))</f>
        <v/>
      </c>
    </row>
    <row r="500" spans="1:32" ht="13">
      <c r="A500" s="42">
        <v>46466</v>
      </c>
      <c r="B500" s="43" t="s">
        <v>85</v>
      </c>
      <c r="C500" s="43" t="s">
        <v>94</v>
      </c>
      <c r="D500" s="44">
        <v>0.5625</v>
      </c>
      <c r="E500" s="44">
        <v>0.58333333333333304</v>
      </c>
      <c r="F500" s="45" t="str">
        <f>IF(R500="","",HOUR(INDEX(MATCHER!$C$5:$C$504,R500))&amp;":"&amp;IF(MINUTE(INDEX(MATCHER!$C$5:$C$504,R500))&lt;10,"0","")&amp;MINUTE(INDEX(MATCHER!$C$5:$C$504,R500))&amp;" "&amp;INDEX(MATCHER!$H$5:$H$504,R500)&amp;" – "&amp;INDEX(MATCHER!$I$5:$I$504,R500))&amp;IF(S500="",""," | "&amp;HOUR(INDEX(MATCHER!$C$5:$C$504,S500))&amp;":"&amp;IF(MINUTE(INDEX(MATCHER!$C$5:$C$504,S500))&lt;10,"0","")&amp;MINUTE(INDEX(MATCHER!$C$5:$C$504,S500))&amp;" "&amp;INDEX(MATCHER!$H$5:$H$504,S500)&amp;" – "&amp;INDEX(MATCHER!$I$5:$I$504,S500))&amp;IF(T500="",""," | "&amp;HOUR(INDEX(MATCHER!$C$5:$C$504,T500))&amp;":"&amp;IF(MINUTE(INDEX(MATCHER!$C$5:$C$504,T500))&lt;10,"0","")&amp;MINUTE(INDEX(MATCHER!$C$5:$C$504,T500))&amp;" "&amp;INDEX(MATCHER!$H$5:$H$504,T500)&amp;" – "&amp;INDEX(MATCHER!$I$5:$I$504,T500))&amp;IF(AF500="",""," | "&amp;HOUR(INDEX(MATCHER!$C$5:$C$504,AF500))&amp;":"&amp;IF(MINUTE(INDEX(MATCHER!$C$5:$C$504,AF500))&lt;10,"0","")&amp;MINUTE(INDEX(MATCHER!$C$5:$C$504,AF500))&amp;" "&amp;INDEX(MATCHER!$H$5:$H$504,AF500)&amp;" – "&amp;INDEX(MATCHER!$I$5:$I$504,AF500))</f>
        <v>13:40 AIK 2 – Årsta AIK HF 2</v>
      </c>
      <c r="G500" s="45" t="str">
        <f>MID(IF(R500="","",IF(OR(INDEX(MATCHER!$J$5:$J$504,R500)=""),""," / "&amp;INDEX(MATCHER!$J$5:$J$504,R500)))&amp;IF(S500="","",IF(OR(INDEX(MATCHER!$J$5:$J$504,S500)="",INDEX(MATCHER!$J$5:$J$504,S500)=IFERROR(INDEX(MATCHER!$J$5:$J$504,R500),"")),""," / "&amp;INDEX(MATCHER!$J$5:$J$504,S500)))&amp;IF(T500="","",IF(OR(INDEX(MATCHER!$J$5:$J$504,T500)="",INDEX(MATCHER!$J$5:$J$504,T500)=IFERROR(INDEX(MATCHER!$J$5:$J$504,R500),""),INDEX(MATCHER!$J$5:$J$504,T500)=IFERROR(INDEX(MATCHER!$J$5:$J$504,S500),"")),""," / "&amp;INDEX(MATCHER!$J$5:$J$504,T500)))&amp;IF(AF500="","",IF(OR(INDEX(MATCHER!$J$5:$J$504,AF500)="",INDEX(MATCHER!$J$5:$J$504,AF500)=IFERROR(INDEX(MATCHER!$J$5:$J$504,R500),""),INDEX(MATCHER!$J$5:$J$504,AF500)=IFERROR(INDEX(MATCHER!$J$5:$J$504,S500),""),INDEX(MATCHER!$J$5:$J$504,AF500)=IFERROR(INDEX(MATCHER!$J$5:$J$504,T500),"")),""," / "&amp;INDEX(MATCHER!$J$5:$J$504,AF500))),4,1000)</f>
        <v>P16 2</v>
      </c>
      <c r="H500" s="45" t="str">
        <f>H499</f>
        <v>P16</v>
      </c>
      <c r="I500" s="46" t="s">
        <v>90</v>
      </c>
      <c r="J500" s="47" t="s">
        <v>100</v>
      </c>
      <c r="K500" s="48"/>
      <c r="L500" s="49"/>
      <c r="M500" s="50" t="str">
        <f>IF(O500&lt;&gt;O499,MAX(1,MIN(AA500,ROUNDUP(SUMPRODUCT(($O$5:$O$546=O500)*($I$5:$I$546="Ja")*($E$5:$E$546-$D$5:$D$546))*24/REGLER!$B$8,0))),"")</f>
        <v/>
      </c>
      <c r="N500" s="50" t="str">
        <f t="shared" si="99"/>
        <v>Klar</v>
      </c>
      <c r="O500" s="15" t="s">
        <v>162</v>
      </c>
      <c r="P500" s="16">
        <v>0.53125</v>
      </c>
      <c r="Q500" s="16">
        <v>0.625</v>
      </c>
      <c r="R500" s="15">
        <f>IFERROR(MATCH(1,INDEX((MATCHER!$B$5:$B$504=A500)*(MATCHER!$D$5:$D$504=C500)*(MATCHER!$K$5:$K$504="Ja")*(MATCHER!$C$5:$C$504&lt;E500)*(MATCHER!$M$5:$M$504&gt;D500),0),0),"")</f>
        <v>179</v>
      </c>
      <c r="S500" s="15" t="str">
        <f>IF(R500="","",IFERROR(MATCH(1,INDEX((MATCHER!$B$5:$B$504=A500)*(MATCHER!$D$5:$D$504=C500)*(MATCHER!$K$5:$K$504="Ja")*(MATCHER!$C$5:$C$504&lt;E500)*(MATCHER!$M$5:$M$504&gt;D500)*(ROW(MATCHER!$A$5:$A$504)-ROW(MATCHER!$A$5)+1&gt;R500),0),0),""))</f>
        <v/>
      </c>
      <c r="T500" s="15" t="str">
        <f>IF(S500="","",IFERROR(MATCH(1,INDEX((MATCHER!$B$5:$B$504=A500)*(MATCHER!$D$5:$D$504=C500)*(MATCHER!$K$5:$K$504="Ja")*(MATCHER!$C$5:$C$504&lt;E500)*(MATCHER!$M$5:$M$504&gt;D500)*(ROW(MATCHER!$A$5:$A$504)-ROW(MATCHER!$A$5)+1&gt;S500),0),0),""))</f>
        <v/>
      </c>
      <c r="U500" s="15">
        <f t="shared" si="100"/>
        <v>1</v>
      </c>
      <c r="V500" s="15">
        <f>IF(OR(I500&lt;&gt;"Ja",J500=""),"",COUNTIFS($O$5:O500,O500,$U$5:U500,1))</f>
        <v>1</v>
      </c>
      <c r="W500" s="15" t="str">
        <f t="shared" si="101"/>
        <v>2027-03-20 | Råsta Park|1</v>
      </c>
      <c r="X500" s="16" t="str">
        <f t="shared" si="102"/>
        <v/>
      </c>
      <c r="Y500" s="15">
        <f>IF(OR(I500&lt;&gt;"Ja",J500=""),0,IF(COUNTIFS($O$5:O500,O500,$I$5:I500,"Ja",$J$5:J500,"&lt;&gt;")=1,1,0))</f>
        <v>1</v>
      </c>
      <c r="Z500" s="15">
        <f>IF(OR(I500&lt;&gt;"Ja",J500=""),0,IF(COUNTIFS(O500:$O$546,O500,I500:$I$546,"Ja",J500:$J$546,"&lt;&gt;")=1,1,0))</f>
        <v>0</v>
      </c>
      <c r="AA500" s="15">
        <f>AA499</f>
        <v>1</v>
      </c>
      <c r="AB500" s="15">
        <f>IF(U500&lt;&gt;1,"",COUNTIF($U$5:U500,1))</f>
        <v>94</v>
      </c>
      <c r="AC500" s="15" t="str">
        <f t="shared" si="103"/>
        <v/>
      </c>
      <c r="AD500" s="15" t="str">
        <f t="shared" si="104"/>
        <v>Minicafé</v>
      </c>
      <c r="AE500" s="15">
        <f t="shared" si="105"/>
        <v>1.5</v>
      </c>
      <c r="AF500" t="str">
        <f>IF(T500="","",IFERROR(MATCH(1,INDEX((MATCHER!$B$5:$B$504=A500)*(MATCHER!$D$5:$D$504=C500)*(MATCHER!$K$5:$K$504="Ja")*(MATCHER!$C$5:$C$504&lt;E500)*(MATCHER!$M$5:$M$504&gt;D500)*(ROW(MATCHER!$A$5:$A$504)-ROW(MATCHER!$A$5)+1&gt;T500),0),0),""))</f>
        <v/>
      </c>
    </row>
    <row r="501" spans="1:32" ht="13">
      <c r="A501" s="42">
        <v>46466</v>
      </c>
      <c r="B501" s="43" t="s">
        <v>85</v>
      </c>
      <c r="C501" s="43" t="s">
        <v>94</v>
      </c>
      <c r="D501" s="44">
        <v>0.58333333333333304</v>
      </c>
      <c r="E501" s="44">
        <v>0.60416666666666696</v>
      </c>
      <c r="F501" s="45" t="str">
        <f>IF(R501="","",HOUR(INDEX(MATCHER!$C$5:$C$504,R501))&amp;":"&amp;IF(MINUTE(INDEX(MATCHER!$C$5:$C$504,R501))&lt;10,"0","")&amp;MINUTE(INDEX(MATCHER!$C$5:$C$504,R501))&amp;" "&amp;INDEX(MATCHER!$H$5:$H$504,R501)&amp;" – "&amp;INDEX(MATCHER!$I$5:$I$504,R501))&amp;IF(S501="",""," | "&amp;HOUR(INDEX(MATCHER!$C$5:$C$504,S501))&amp;":"&amp;IF(MINUTE(INDEX(MATCHER!$C$5:$C$504,S501))&lt;10,"0","")&amp;MINUTE(INDEX(MATCHER!$C$5:$C$504,S501))&amp;" "&amp;INDEX(MATCHER!$H$5:$H$504,S501)&amp;" – "&amp;INDEX(MATCHER!$I$5:$I$504,S501))&amp;IF(T501="",""," | "&amp;HOUR(INDEX(MATCHER!$C$5:$C$504,T501))&amp;":"&amp;IF(MINUTE(INDEX(MATCHER!$C$5:$C$504,T501))&lt;10,"0","")&amp;MINUTE(INDEX(MATCHER!$C$5:$C$504,T501))&amp;" "&amp;INDEX(MATCHER!$H$5:$H$504,T501)&amp;" – "&amp;INDEX(MATCHER!$I$5:$I$504,T501))&amp;IF(AF501="",""," | "&amp;HOUR(INDEX(MATCHER!$C$5:$C$504,AF501))&amp;":"&amp;IF(MINUTE(INDEX(MATCHER!$C$5:$C$504,AF501))&lt;10,"0","")&amp;MINUTE(INDEX(MATCHER!$C$5:$C$504,AF501))&amp;" "&amp;INDEX(MATCHER!$H$5:$H$504,AF501)&amp;" – "&amp;INDEX(MATCHER!$I$5:$I$504,AF501))</f>
        <v>13:40 AIK 2 – Årsta AIK HF 2</v>
      </c>
      <c r="G501" s="45" t="str">
        <f>MID(IF(R501="","",IF(OR(INDEX(MATCHER!$J$5:$J$504,R501)=""),""," / "&amp;INDEX(MATCHER!$J$5:$J$504,R501)))&amp;IF(S501="","",IF(OR(INDEX(MATCHER!$J$5:$J$504,S501)="",INDEX(MATCHER!$J$5:$J$504,S501)=IFERROR(INDEX(MATCHER!$J$5:$J$504,R501),"")),""," / "&amp;INDEX(MATCHER!$J$5:$J$504,S501)))&amp;IF(T501="","",IF(OR(INDEX(MATCHER!$J$5:$J$504,T501)="",INDEX(MATCHER!$J$5:$J$504,T501)=IFERROR(INDEX(MATCHER!$J$5:$J$504,R501),""),INDEX(MATCHER!$J$5:$J$504,T501)=IFERROR(INDEX(MATCHER!$J$5:$J$504,S501),"")),""," / "&amp;INDEX(MATCHER!$J$5:$J$504,T501)))&amp;IF(AF501="","",IF(OR(INDEX(MATCHER!$J$5:$J$504,AF501)="",INDEX(MATCHER!$J$5:$J$504,AF501)=IFERROR(INDEX(MATCHER!$J$5:$J$504,R501),""),INDEX(MATCHER!$J$5:$J$504,AF501)=IFERROR(INDEX(MATCHER!$J$5:$J$504,S501),""),INDEX(MATCHER!$J$5:$J$504,AF501)=IFERROR(INDEX(MATCHER!$J$5:$J$504,T501),"")),""," / "&amp;INDEX(MATCHER!$J$5:$J$504,AF501))),4,1000)</f>
        <v>P16 2</v>
      </c>
      <c r="H501" s="45" t="str">
        <f>H500</f>
        <v>P16</v>
      </c>
      <c r="I501" s="46" t="s">
        <v>90</v>
      </c>
      <c r="J501" s="47" t="s">
        <v>100</v>
      </c>
      <c r="K501" s="48"/>
      <c r="L501" s="49"/>
      <c r="M501" s="50" t="str">
        <f>IF(O501&lt;&gt;O500,MAX(1,MIN(AA501,ROUNDUP(SUMPRODUCT(($O$5:$O$546=O501)*($I$5:$I$546="Ja")*($E$5:$E$546-$D$5:$D$546))*24/REGLER!$B$8,0))),"")</f>
        <v/>
      </c>
      <c r="N501" s="50" t="str">
        <f t="shared" si="99"/>
        <v>Klar</v>
      </c>
      <c r="O501" s="15" t="s">
        <v>162</v>
      </c>
      <c r="P501" s="16">
        <v>0.53125</v>
      </c>
      <c r="Q501" s="16">
        <v>0.625</v>
      </c>
      <c r="R501" s="15">
        <f>IFERROR(MATCH(1,INDEX((MATCHER!$B$5:$B$504=A501)*(MATCHER!$D$5:$D$504=C501)*(MATCHER!$K$5:$K$504="Ja")*(MATCHER!$C$5:$C$504&lt;E501)*(MATCHER!$M$5:$M$504&gt;D501),0),0),"")</f>
        <v>179</v>
      </c>
      <c r="S501" s="15" t="str">
        <f>IF(R501="","",IFERROR(MATCH(1,INDEX((MATCHER!$B$5:$B$504=A501)*(MATCHER!$D$5:$D$504=C501)*(MATCHER!$K$5:$K$504="Ja")*(MATCHER!$C$5:$C$504&lt;E501)*(MATCHER!$M$5:$M$504&gt;D501)*(ROW(MATCHER!$A$5:$A$504)-ROW(MATCHER!$A$5)+1&gt;R501),0),0),""))</f>
        <v/>
      </c>
      <c r="T501" s="15" t="str">
        <f>IF(S501="","",IFERROR(MATCH(1,INDEX((MATCHER!$B$5:$B$504=A501)*(MATCHER!$D$5:$D$504=C501)*(MATCHER!$K$5:$K$504="Ja")*(MATCHER!$C$5:$C$504&lt;E501)*(MATCHER!$M$5:$M$504&gt;D501)*(ROW(MATCHER!$A$5:$A$504)-ROW(MATCHER!$A$5)+1&gt;S501),0),0),""))</f>
        <v/>
      </c>
      <c r="U501" s="15">
        <f t="shared" si="100"/>
        <v>0</v>
      </c>
      <c r="V501" s="15">
        <f>IF(OR(I501&lt;&gt;"Ja",J501=""),"",COUNTIFS($O$5:O501,O501,$U$5:U501,1))</f>
        <v>1</v>
      </c>
      <c r="W501" s="15" t="str">
        <f t="shared" si="101"/>
        <v>2027-03-20 | Råsta Park|1</v>
      </c>
      <c r="X501" s="16" t="str">
        <f t="shared" si="102"/>
        <v/>
      </c>
      <c r="Y501" s="15">
        <f>IF(OR(I501&lt;&gt;"Ja",J501=""),0,IF(COUNTIFS($O$5:O501,O501,$I$5:I501,"Ja",$J$5:J501,"&lt;&gt;")=1,1,0))</f>
        <v>0</v>
      </c>
      <c r="Z501" s="15">
        <f>IF(OR(I501&lt;&gt;"Ja",J501=""),0,IF(COUNTIFS(O501:$O$546,O501,I501:$I$546,"Ja",J501:$J$546,"&lt;&gt;")=1,1,0))</f>
        <v>0</v>
      </c>
      <c r="AA501" s="15">
        <f>AA500</f>
        <v>1</v>
      </c>
      <c r="AB501" s="15" t="str">
        <f>IF(U501&lt;&gt;1,"",COUNTIF($U$5:U501,1))</f>
        <v/>
      </c>
      <c r="AC501" s="15" t="str">
        <f t="shared" si="103"/>
        <v/>
      </c>
      <c r="AD501" s="15" t="str">
        <f t="shared" si="104"/>
        <v>Minicafé</v>
      </c>
      <c r="AE501" s="15" t="str">
        <f t="shared" si="105"/>
        <v/>
      </c>
      <c r="AF501" t="str">
        <f>IF(T501="","",IFERROR(MATCH(1,INDEX((MATCHER!$B$5:$B$504=A501)*(MATCHER!$D$5:$D$504=C501)*(MATCHER!$K$5:$K$504="Ja")*(MATCHER!$C$5:$C$504&lt;E501)*(MATCHER!$M$5:$M$504&gt;D501)*(ROW(MATCHER!$A$5:$A$504)-ROW(MATCHER!$A$5)+1&gt;T501),0),0),""))</f>
        <v/>
      </c>
    </row>
    <row r="502" spans="1:32" ht="13.5" thickBot="1">
      <c r="A502" s="52">
        <v>46466</v>
      </c>
      <c r="B502" s="53" t="s">
        <v>85</v>
      </c>
      <c r="C502" s="53" t="s">
        <v>94</v>
      </c>
      <c r="D502" s="54">
        <v>0.60416666666666696</v>
      </c>
      <c r="E502" s="54">
        <v>0.625</v>
      </c>
      <c r="F502" s="55" t="str">
        <f>IF(R502="","",HOUR(INDEX(MATCHER!$C$5:$C$504,R502))&amp;":"&amp;IF(MINUTE(INDEX(MATCHER!$C$5:$C$504,R502))&lt;10,"0","")&amp;MINUTE(INDEX(MATCHER!$C$5:$C$504,R502))&amp;" "&amp;INDEX(MATCHER!$H$5:$H$504,R502)&amp;" – "&amp;INDEX(MATCHER!$I$5:$I$504,R502))&amp;IF(S502="",""," | "&amp;HOUR(INDEX(MATCHER!$C$5:$C$504,S502))&amp;":"&amp;IF(MINUTE(INDEX(MATCHER!$C$5:$C$504,S502))&lt;10,"0","")&amp;MINUTE(INDEX(MATCHER!$C$5:$C$504,S502))&amp;" "&amp;INDEX(MATCHER!$H$5:$H$504,S502)&amp;" – "&amp;INDEX(MATCHER!$I$5:$I$504,S502))&amp;IF(T502="",""," | "&amp;HOUR(INDEX(MATCHER!$C$5:$C$504,T502))&amp;":"&amp;IF(MINUTE(INDEX(MATCHER!$C$5:$C$504,T502))&lt;10,"0","")&amp;MINUTE(INDEX(MATCHER!$C$5:$C$504,T502))&amp;" "&amp;INDEX(MATCHER!$H$5:$H$504,T502)&amp;" – "&amp;INDEX(MATCHER!$I$5:$I$504,T502))&amp;IF(AF502="",""," | "&amp;HOUR(INDEX(MATCHER!$C$5:$C$504,AF502))&amp;":"&amp;IF(MINUTE(INDEX(MATCHER!$C$5:$C$504,AF502))&lt;10,"0","")&amp;MINUTE(INDEX(MATCHER!$C$5:$C$504,AF502))&amp;" "&amp;INDEX(MATCHER!$H$5:$H$504,AF502)&amp;" – "&amp;INDEX(MATCHER!$I$5:$I$504,AF502))</f>
        <v>13:40 AIK 2 – Årsta AIK HF 2</v>
      </c>
      <c r="G502" s="55" t="str">
        <f>MID(IF(R502="","",IF(OR(INDEX(MATCHER!$J$5:$J$504,R502)=""),""," / "&amp;INDEX(MATCHER!$J$5:$J$504,R502)))&amp;IF(S502="","",IF(OR(INDEX(MATCHER!$J$5:$J$504,S502)="",INDEX(MATCHER!$J$5:$J$504,S502)=IFERROR(INDEX(MATCHER!$J$5:$J$504,R502),"")),""," / "&amp;INDEX(MATCHER!$J$5:$J$504,S502)))&amp;IF(T502="","",IF(OR(INDEX(MATCHER!$J$5:$J$504,T502)="",INDEX(MATCHER!$J$5:$J$504,T502)=IFERROR(INDEX(MATCHER!$J$5:$J$504,R502),""),INDEX(MATCHER!$J$5:$J$504,T502)=IFERROR(INDEX(MATCHER!$J$5:$J$504,S502),"")),""," / "&amp;INDEX(MATCHER!$J$5:$J$504,T502)))&amp;IF(AF502="","",IF(OR(INDEX(MATCHER!$J$5:$J$504,AF502)="",INDEX(MATCHER!$J$5:$J$504,AF502)=IFERROR(INDEX(MATCHER!$J$5:$J$504,R502),""),INDEX(MATCHER!$J$5:$J$504,AF502)=IFERROR(INDEX(MATCHER!$J$5:$J$504,S502),""),INDEX(MATCHER!$J$5:$J$504,AF502)=IFERROR(INDEX(MATCHER!$J$5:$J$504,T502),"")),""," / "&amp;INDEX(MATCHER!$J$5:$J$504,AF502))),4,1000)</f>
        <v>P16 2</v>
      </c>
      <c r="H502" s="55" t="str">
        <f>H501</f>
        <v>P16</v>
      </c>
      <c r="I502" s="56" t="s">
        <v>90</v>
      </c>
      <c r="J502" s="57" t="s">
        <v>100</v>
      </c>
      <c r="K502" s="58"/>
      <c r="L502" s="59"/>
      <c r="M502" s="60" t="str">
        <f>IF(O502&lt;&gt;O501,MAX(1,MIN(AA502,ROUNDUP(SUMPRODUCT(($O$5:$O$546=O502)*($I$5:$I$546="Ja")*($E$5:$E$546-$D$5:$D$546))*24/REGLER!$B$8,0))),"")</f>
        <v/>
      </c>
      <c r="N502" s="60" t="str">
        <f t="shared" si="99"/>
        <v>Klar</v>
      </c>
      <c r="O502" s="15" t="s">
        <v>162</v>
      </c>
      <c r="P502" s="16">
        <v>0.53125</v>
      </c>
      <c r="Q502" s="16">
        <v>0.625</v>
      </c>
      <c r="R502" s="15">
        <f>IFERROR(MATCH(1,INDEX((MATCHER!$B$5:$B$504=A502)*(MATCHER!$D$5:$D$504=C502)*(MATCHER!$K$5:$K$504="Ja")*(MATCHER!$C$5:$C$504&lt;E502)*(MATCHER!$M$5:$M$504&gt;D502),0),0),"")</f>
        <v>179</v>
      </c>
      <c r="S502" s="15" t="str">
        <f>IF(R502="","",IFERROR(MATCH(1,INDEX((MATCHER!$B$5:$B$504=A502)*(MATCHER!$D$5:$D$504=C502)*(MATCHER!$K$5:$K$504="Ja")*(MATCHER!$C$5:$C$504&lt;E502)*(MATCHER!$M$5:$M$504&gt;D502)*(ROW(MATCHER!$A$5:$A$504)-ROW(MATCHER!$A$5)+1&gt;R502),0),0),""))</f>
        <v/>
      </c>
      <c r="T502" s="15" t="str">
        <f>IF(S502="","",IFERROR(MATCH(1,INDEX((MATCHER!$B$5:$B$504=A502)*(MATCHER!$D$5:$D$504=C502)*(MATCHER!$K$5:$K$504="Ja")*(MATCHER!$C$5:$C$504&lt;E502)*(MATCHER!$M$5:$M$504&gt;D502)*(ROW(MATCHER!$A$5:$A$504)-ROW(MATCHER!$A$5)+1&gt;S502),0),0),""))</f>
        <v/>
      </c>
      <c r="U502" s="15">
        <f t="shared" si="100"/>
        <v>0</v>
      </c>
      <c r="V502" s="15">
        <f>IF(OR(I502&lt;&gt;"Ja",J502=""),"",COUNTIFS($O$5:O502,O502,$U$5:U502,1))</f>
        <v>1</v>
      </c>
      <c r="W502" s="15" t="str">
        <f t="shared" si="101"/>
        <v>2027-03-20 | Råsta Park|1</v>
      </c>
      <c r="X502" s="16">
        <f t="shared" si="102"/>
        <v>0.625</v>
      </c>
      <c r="Y502" s="15">
        <f>IF(OR(I502&lt;&gt;"Ja",J502=""),0,IF(COUNTIFS($O$5:O502,O502,$I$5:I502,"Ja",$J$5:J502,"&lt;&gt;")=1,1,0))</f>
        <v>0</v>
      </c>
      <c r="Z502" s="15">
        <f>IF(OR(I502&lt;&gt;"Ja",J502=""),0,IF(COUNTIFS(O502:$O$546,O502,I502:$I$546,"Ja",J502:$J$546,"&lt;&gt;")=1,1,0))</f>
        <v>1</v>
      </c>
      <c r="AA502" s="15">
        <f>AA501</f>
        <v>1</v>
      </c>
      <c r="AB502" s="15" t="str">
        <f>IF(U502&lt;&gt;1,"",COUNTIF($U$5:U502,1))</f>
        <v/>
      </c>
      <c r="AC502" s="15" t="str">
        <f t="shared" si="103"/>
        <v>2027-03-20 | Råsta Park|1</v>
      </c>
      <c r="AD502" s="15" t="str">
        <f t="shared" si="104"/>
        <v>Minicafé</v>
      </c>
      <c r="AE502" s="15" t="str">
        <f t="shared" si="105"/>
        <v/>
      </c>
      <c r="AF502" t="str">
        <f>IF(T502="","",IFERROR(MATCH(1,INDEX((MATCHER!$B$5:$B$504=A502)*(MATCHER!$D$5:$D$504=C502)*(MATCHER!$K$5:$K$504="Ja")*(MATCHER!$C$5:$C$504&lt;E502)*(MATCHER!$M$5:$M$504&gt;D502)*(ROW(MATCHER!$A$5:$A$504)-ROW(MATCHER!$A$5)+1&gt;T502),0),0),""))</f>
        <v/>
      </c>
    </row>
    <row r="503" spans="1:32" ht="26">
      <c r="A503" s="42">
        <v>46466</v>
      </c>
      <c r="B503" s="43" t="s">
        <v>85</v>
      </c>
      <c r="C503" s="43" t="s">
        <v>110</v>
      </c>
      <c r="D503" s="44">
        <v>0.39583333333333298</v>
      </c>
      <c r="E503" s="44">
        <v>0.41666666666666702</v>
      </c>
      <c r="F503" s="45" t="str">
        <f>IF(R503="","",HOUR(INDEX(MATCHER!$C$5:$C$504,R503))&amp;":"&amp;IF(MINUTE(INDEX(MATCHER!$C$5:$C$504,R503))&lt;10,"0","")&amp;MINUTE(INDEX(MATCHER!$C$5:$C$504,R503))&amp;" "&amp;INDEX(MATCHER!$H$5:$H$504,R503)&amp;" – "&amp;INDEX(MATCHER!$I$5:$I$504,R503))&amp;IF(S503="",""," | "&amp;HOUR(INDEX(MATCHER!$C$5:$C$504,S503))&amp;":"&amp;IF(MINUTE(INDEX(MATCHER!$C$5:$C$504,S503))&lt;10,"0","")&amp;MINUTE(INDEX(MATCHER!$C$5:$C$504,S503))&amp;" "&amp;INDEX(MATCHER!$H$5:$H$504,S503)&amp;" – "&amp;INDEX(MATCHER!$I$5:$I$504,S503))&amp;IF(T503="",""," | "&amp;HOUR(INDEX(MATCHER!$C$5:$C$504,T503))&amp;":"&amp;IF(MINUTE(INDEX(MATCHER!$C$5:$C$504,T503))&lt;10,"0","")&amp;MINUTE(INDEX(MATCHER!$C$5:$C$504,T503))&amp;" "&amp;INDEX(MATCHER!$H$5:$H$504,T503)&amp;" – "&amp;INDEX(MATCHER!$I$5:$I$504,T503))&amp;IF(AF503="",""," | "&amp;HOUR(INDEX(MATCHER!$C$5:$C$504,AF503))&amp;":"&amp;IF(MINUTE(INDEX(MATCHER!$C$5:$C$504,AF503))&lt;10,"0","")&amp;MINUTE(INDEX(MATCHER!$C$5:$C$504,AF503))&amp;" "&amp;INDEX(MATCHER!$H$5:$H$504,AF503)&amp;" – "&amp;INDEX(MATCHER!$I$5:$I$504,AF503))</f>
        <v/>
      </c>
      <c r="G503" s="45" t="str">
        <f>MID(IF(R503="","",IF(OR(INDEX(MATCHER!$J$5:$J$504,R503)=""),""," / "&amp;INDEX(MATCHER!$J$5:$J$504,R503)))&amp;IF(S503="","",IF(OR(INDEX(MATCHER!$J$5:$J$504,S503)="",INDEX(MATCHER!$J$5:$J$504,S503)=IFERROR(INDEX(MATCHER!$J$5:$J$504,R503),"")),""," / "&amp;INDEX(MATCHER!$J$5:$J$504,S503)))&amp;IF(T503="","",IF(OR(INDEX(MATCHER!$J$5:$J$504,T503)="",INDEX(MATCHER!$J$5:$J$504,T503)=IFERROR(INDEX(MATCHER!$J$5:$J$504,R503),""),INDEX(MATCHER!$J$5:$J$504,T503)=IFERROR(INDEX(MATCHER!$J$5:$J$504,S503),"")),""," / "&amp;INDEX(MATCHER!$J$5:$J$504,T503)))&amp;IF(AF503="","",IF(OR(INDEX(MATCHER!$J$5:$J$504,AF503)="",INDEX(MATCHER!$J$5:$J$504,AF503)=IFERROR(INDEX(MATCHER!$J$5:$J$504,R503),""),INDEX(MATCHER!$J$5:$J$504,AF503)=IFERROR(INDEX(MATCHER!$J$5:$J$504,S503),""),INDEX(MATCHER!$J$5:$J$504,AF503)=IFERROR(INDEX(MATCHER!$J$5:$J$504,T503),"")),""," / "&amp;INDEX(MATCHER!$J$5:$J$504,AF503))),4,1000)</f>
        <v/>
      </c>
      <c r="H503" s="45" t="str">
        <f>MID(IF(COUNTIFS(MATCHER!$B$5:$B$504,A503,MATCHER!$D$5:$D$504,C503,MATCHER!$J$5:$J$504,REGLER!$I$6,MATCHER!$K$5:$K$504,"Ja")+COUNTIFS(MATCHER!$B$5:$B$504,A503,MATCHER!$D$5:$D$504,C503,MATCHER!$J$5:$J$504,REGLER!$I$6&amp;" 2",MATCHER!$K$5:$K$504,"Ja")&gt;0,", "&amp;REGLER!$I$6,"")&amp;IF(COUNTIFS(MATCHER!$B$5:$B$504,A503,MATCHER!$D$5:$D$504,C503,MATCHER!$J$5:$J$504,REGLER!$I$7,MATCHER!$K$5:$K$504,"Ja")+COUNTIFS(MATCHER!$B$5:$B$504,A503,MATCHER!$D$5:$D$504,C503,MATCHER!$J$5:$J$504,REGLER!$I$7&amp;" 2",MATCHER!$K$5:$K$504,"Ja")&gt;0,", "&amp;REGLER!$I$7,"")&amp;IF(COUNTIFS(MATCHER!$B$5:$B$504,A503,MATCHER!$D$5:$D$504,C503,MATCHER!$J$5:$J$504,REGLER!$I$8,MATCHER!$K$5:$K$504,"Ja")+COUNTIFS(MATCHER!$B$5:$B$504,A503,MATCHER!$D$5:$D$504,C503,MATCHER!$J$5:$J$504,REGLER!$I$8&amp;" 2",MATCHER!$K$5:$K$504,"Ja")&gt;0,", "&amp;REGLER!$I$8,"")&amp;IF(COUNTIFS(MATCHER!$B$5:$B$504,A503,MATCHER!$D$5:$D$504,C503,MATCHER!$J$5:$J$504,REGLER!$I$9,MATCHER!$K$5:$K$504,"Ja")+COUNTIFS(MATCHER!$B$5:$B$504,A503,MATCHER!$D$5:$D$504,C503,MATCHER!$J$5:$J$504,REGLER!$I$9&amp;" 2",MATCHER!$K$5:$K$504,"Ja")&gt;0,", "&amp;REGLER!$I$9,"")&amp;IF(COUNTIFS(MATCHER!$B$5:$B$504,A503,MATCHER!$D$5:$D$504,C503,MATCHER!$J$5:$J$504,REGLER!$I$10,MATCHER!$K$5:$K$504,"Ja")+COUNTIFS(MATCHER!$B$5:$B$504,A503,MATCHER!$D$5:$D$504,C503,MATCHER!$J$5:$J$504,REGLER!$I$10&amp;" 2",MATCHER!$K$5:$K$504,"Ja")&gt;0,", "&amp;REGLER!$I$10,"")&amp;IF(COUNTIFS(MATCHER!$B$5:$B$504,A503,MATCHER!$D$5:$D$504,C503,MATCHER!$J$5:$J$504,REGLER!$I$11,MATCHER!$K$5:$K$504,"Ja")+COUNTIFS(MATCHER!$B$5:$B$504,A503,MATCHER!$D$5:$D$504,C503,MATCHER!$J$5:$J$504,REGLER!$I$11&amp;" 2",MATCHER!$K$5:$K$504,"Ja")&gt;0,", "&amp;REGLER!$I$11,"")&amp;IF(COUNTIFS(MATCHER!$B$5:$B$504,A503,MATCHER!$D$5:$D$504,C503,MATCHER!$J$5:$J$504,REGLER!$I$12,MATCHER!$K$5:$K$504,"Ja")+COUNTIFS(MATCHER!$B$5:$B$504,A503,MATCHER!$D$5:$D$504,C503,MATCHER!$J$5:$J$504,REGLER!$I$12&amp;" 2",MATCHER!$K$5:$K$504,"Ja")&gt;0,", "&amp;REGLER!$I$12,"")&amp;IF(COUNTIFS(MATCHER!$B$5:$B$504,A503,MATCHER!$D$5:$D$504,C503,MATCHER!$J$5:$J$504,REGLER!$I$13,MATCHER!$K$5:$K$504,"Ja")+COUNTIFS(MATCHER!$B$5:$B$504,A503,MATCHER!$D$5:$D$504,C503,MATCHER!$J$5:$J$504,REGLER!$I$13&amp;" 2",MATCHER!$K$5:$K$504,"Ja")&gt;0,", "&amp;REGLER!$I$13,"")&amp;IF(COUNTIFS(MATCHER!$B$5:$B$504,A503,MATCHER!$D$5:$D$504,C503,MATCHER!$J$5:$J$504,REGLER!$I$14,MATCHER!$K$5:$K$504,"Ja")+COUNTIFS(MATCHER!$B$5:$B$504,A503,MATCHER!$D$5:$D$504,C503,MATCHER!$J$5:$J$504,REGLER!$I$14&amp;" 2",MATCHER!$K$5:$K$504,"Ja")&gt;0,", "&amp;REGLER!$I$14,"")&amp;IF(COUNTIFS(MATCHER!$B$5:$B$504,A503,MATCHER!$D$5:$D$504,C503,MATCHER!$J$5:$J$504,REGLER!$I$15,MATCHER!$K$5:$K$504,"Ja")+COUNTIFS(MATCHER!$B$5:$B$504,A503,MATCHER!$D$5:$D$504,C503,MATCHER!$J$5:$J$504,REGLER!$I$15&amp;" 2",MATCHER!$K$5:$K$504,"Ja")&gt;0,", "&amp;REGLER!$I$15,"")&amp;IF(COUNTIFS(MATCHER!$B$5:$B$504,A503,MATCHER!$D$5:$D$504,C503,MATCHER!$J$5:$J$504,REGLER!$I$16,MATCHER!$K$5:$K$504,"Ja")+COUNTIFS(MATCHER!$B$5:$B$504,A503,MATCHER!$D$5:$D$504,C503,MATCHER!$J$5:$J$504,REGLER!$I$16&amp;" 2",MATCHER!$K$5:$K$504,"Ja")&gt;0,", "&amp;REGLER!$I$16,"")&amp;IF(COUNTIFS(MATCHER!$B$5:$B$504,A503,MATCHER!$D$5:$D$504,C503,MATCHER!$J$5:$J$504,REGLER!$I$17,MATCHER!$K$5:$K$504,"Ja")+COUNTIFS(MATCHER!$B$5:$B$504,A503,MATCHER!$D$5:$D$504,C503,MATCHER!$J$5:$J$504,REGLER!$I$17&amp;" 2",MATCHER!$K$5:$K$504,"Ja")&gt;0,", "&amp;REGLER!$I$17,"")&amp;IF(COUNTIFS(MATCHER!$B$5:$B$504,A503,MATCHER!$D$5:$D$504,C503,MATCHER!$J$5:$J$504,REGLER!$I$18,MATCHER!$K$5:$K$504,"Ja")+COUNTIFS(MATCHER!$B$5:$B$504,A503,MATCHER!$D$5:$D$504,C503,MATCHER!$J$5:$J$504,REGLER!$I$18&amp;" 2",MATCHER!$K$5:$K$504,"Ja")&gt;0,", "&amp;REGLER!$I$18,"")&amp;IF(COUNTIFS(MATCHER!$B$5:$B$504,A503,MATCHER!$D$5:$D$504,C503,MATCHER!$J$5:$J$504,REGLER!$I$19,MATCHER!$K$5:$K$504,"Ja")+COUNTIFS(MATCHER!$B$5:$B$504,A503,MATCHER!$D$5:$D$504,C503,MATCHER!$J$5:$J$504,REGLER!$I$19&amp;" 2",MATCHER!$K$5:$K$504,"Ja")&gt;0,", "&amp;REGLER!$I$19,"")&amp;IF(COUNTIFS(MATCHER!$B$5:$B$504,A503,MATCHER!$D$5:$D$504,C503,MATCHER!$J$5:$J$504,REGLER!$I$20,MATCHER!$K$5:$K$504,"Ja")+COUNTIFS(MATCHER!$B$5:$B$504,A503,MATCHER!$D$5:$D$504,C503,MATCHER!$J$5:$J$504,REGLER!$I$20&amp;" 2",MATCHER!$K$5:$K$504,"Ja")&gt;0,", "&amp;REGLER!$I$20,"")&amp;IF(COUNTIFS(MATCHER!$B$5:$B$504,A503,MATCHER!$D$5:$D$504,C503,MATCHER!$J$5:$J$504,REGLER!$I$21,MATCHER!$K$5:$K$504,"Ja")+COUNTIFS(MATCHER!$B$5:$B$504,A503,MATCHER!$D$5:$D$504,C503,MATCHER!$J$5:$J$504,REGLER!$I$21&amp;" 2",MATCHER!$K$5:$K$504,"Ja")&gt;0,", "&amp;REGLER!$I$21,"")&amp;IF(COUNTIFS(MATCHER!$B$5:$B$504,A503,MATCHER!$D$5:$D$504,C503,MATCHER!$J$5:$J$504,REGLER!$I$22,MATCHER!$K$5:$K$504,"Ja")+COUNTIFS(MATCHER!$B$5:$B$504,A503,MATCHER!$D$5:$D$504,C503,MATCHER!$J$5:$J$504,REGLER!$I$22&amp;" 2",MATCHER!$K$5:$K$504,"Ja")&gt;0,", "&amp;REGLER!$I$22,"")&amp;IF(COUNTIFS(MATCHER!$B$5:$B$504,A503,MATCHER!$D$5:$D$504,C503,MATCHER!$J$5:$J$504,REGLER!$I$23,MATCHER!$K$5:$K$504,"Ja")+COUNTIFS(MATCHER!$B$5:$B$504,A503,MATCHER!$D$5:$D$504,C503,MATCHER!$J$5:$J$504,REGLER!$I$23&amp;" 2",MATCHER!$K$5:$K$504,"Ja")&gt;0,", "&amp;REGLER!$I$23,"")&amp;IF(COUNTIFS(MATCHER!$B$5:$B$504,A503,MATCHER!$D$5:$D$504,C503,MATCHER!$J$5:$J$504,REGLER!$I$24,MATCHER!$K$5:$K$504,"Ja")+COUNTIFS(MATCHER!$B$5:$B$504,A503,MATCHER!$D$5:$D$504,C503,MATCHER!$J$5:$J$504,REGLER!$I$24&amp;" 2",MATCHER!$K$5:$K$504,"Ja")&gt;0,", "&amp;REGLER!$I$24,"")&amp;IF(COUNTIFS(MATCHER!$B$5:$B$504,A503,MATCHER!$D$5:$D$504,C503,MATCHER!$J$5:$J$504,REGLER!$I$25,MATCHER!$K$5:$K$504,"Ja")+COUNTIFS(MATCHER!$B$5:$B$504,A503,MATCHER!$D$5:$D$504,C503,MATCHER!$J$5:$J$504,REGLER!$I$25&amp;" 2",MATCHER!$K$5:$K$504,"Ja")&gt;0,", "&amp;REGLER!$I$25,"")&amp;IF(COUNTIFS(MATCHER!$B$5:$B$504,A503,MATCHER!$D$5:$D$504,C503,MATCHER!$J$5:$J$504,REGLER!$I$26,MATCHER!$K$5:$K$504,"Ja")+COUNTIFS(MATCHER!$B$5:$B$504,A503,MATCHER!$D$5:$D$504,C503,MATCHER!$J$5:$J$504,REGLER!$I$26&amp;" 2",MATCHER!$K$5:$K$504,"Ja")&gt;0,", "&amp;REGLER!$I$26,""),3,1000)</f>
        <v>P12</v>
      </c>
      <c r="I503" s="46" t="s">
        <v>90</v>
      </c>
      <c r="J503" s="47" t="s">
        <v>117</v>
      </c>
      <c r="K503" s="48" t="s">
        <v>88</v>
      </c>
      <c r="L503" s="49"/>
      <c r="M503" s="50">
        <f>IF(O503&lt;&gt;O502,MAX(1,MIN(AA503,ROUNDUP(SUMPRODUCT(($O$5:$O$546=O503)*($I$5:$I$546="Ja")*($E$5:$E$546-$D$5:$D$546))*24/REGLER!$B$8,0))),"")</f>
        <v>1</v>
      </c>
      <c r="N503" s="50" t="str">
        <f t="shared" si="99"/>
        <v>Klar</v>
      </c>
      <c r="O503" s="15" t="s">
        <v>163</v>
      </c>
      <c r="P503" s="16">
        <v>0.39583333333333298</v>
      </c>
      <c r="Q503" s="16">
        <v>0.5625</v>
      </c>
      <c r="R503" s="15" t="str">
        <f>IFERROR(MATCH(1,INDEX((MATCHER!$B$5:$B$504=A503)*(MATCHER!$D$5:$D$504=C503)*(MATCHER!$K$5:$K$504="Ja")*(MATCHER!$C$5:$C$504&lt;E503)*(MATCHER!$M$5:$M$504&gt;D503),0),0),"")</f>
        <v/>
      </c>
      <c r="S503" s="15" t="str">
        <f>IF(R503="","",IFERROR(MATCH(1,INDEX((MATCHER!$B$5:$B$504=A503)*(MATCHER!$D$5:$D$504=C503)*(MATCHER!$K$5:$K$504="Ja")*(MATCHER!$C$5:$C$504&lt;E503)*(MATCHER!$M$5:$M$504&gt;D503)*(ROW(MATCHER!$A$5:$A$504)-ROW(MATCHER!$A$5)+1&gt;R503),0),0),""))</f>
        <v/>
      </c>
      <c r="T503" s="15" t="str">
        <f>IF(S503="","",IFERROR(MATCH(1,INDEX((MATCHER!$B$5:$B$504=A503)*(MATCHER!$D$5:$D$504=C503)*(MATCHER!$K$5:$K$504="Ja")*(MATCHER!$C$5:$C$504&lt;E503)*(MATCHER!$M$5:$M$504&gt;D503)*(ROW(MATCHER!$A$5:$A$504)-ROW(MATCHER!$A$5)+1&gt;S503),0),0),""))</f>
        <v/>
      </c>
      <c r="U503" s="15">
        <f t="shared" si="100"/>
        <v>1</v>
      </c>
      <c r="V503" s="15">
        <f>IF(OR(I503&lt;&gt;"Ja",J503=""),"",COUNTIFS($O$5:O503,O503,$U$5:U503,1))</f>
        <v>1</v>
      </c>
      <c r="W503" s="15" t="str">
        <f t="shared" si="101"/>
        <v>2027-03-20 | Tallbackaskolan|1</v>
      </c>
      <c r="X503" s="16" t="str">
        <f t="shared" si="102"/>
        <v/>
      </c>
      <c r="Y503" s="15">
        <f>IF(OR(I503&lt;&gt;"Ja",J503=""),0,IF(COUNTIFS($O$5:O503,O503,$I$5:I503,"Ja",$J$5:J503,"&lt;&gt;")=1,1,0))</f>
        <v>1</v>
      </c>
      <c r="Z503" s="15">
        <f>IF(OR(I503&lt;&gt;"Ja",J503=""),0,IF(COUNTIFS(O503:$O$546,O503,I503:$I$546,"Ja",J503:$J$546,"&lt;&gt;")=1,1,0))</f>
        <v>0</v>
      </c>
      <c r="AA503" s="15">
        <f>IF(COUNTIFS(MATCHER!$B$5:$B$504,A503,MATCHER!$D$5:$D$504,C503,MATCHER!$J$5:$J$504,REGLER!$I$6,MATCHER!$K$5:$K$504,"Ja")+COUNTIFS(MATCHER!$B$5:$B$504,A503,MATCHER!$D$5:$D$504,C503,MATCHER!$J$5:$J$504,REGLER!$I$6&amp;" 2",MATCHER!$K$5:$K$504,"Ja")&gt;0,1,0)+IF(COUNTIFS(MATCHER!$B$5:$B$504,A503,MATCHER!$D$5:$D$504,C503,MATCHER!$J$5:$J$504,REGLER!$I$7,MATCHER!$K$5:$K$504,"Ja")+COUNTIFS(MATCHER!$B$5:$B$504,A503,MATCHER!$D$5:$D$504,C503,MATCHER!$J$5:$J$504,REGLER!$I$7&amp;" 2",MATCHER!$K$5:$K$504,"Ja")&gt;0,1,0)+IF(COUNTIFS(MATCHER!$B$5:$B$504,A503,MATCHER!$D$5:$D$504,C503,MATCHER!$J$5:$J$504,REGLER!$I$8,MATCHER!$K$5:$K$504,"Ja")+COUNTIFS(MATCHER!$B$5:$B$504,A503,MATCHER!$D$5:$D$504,C503,MATCHER!$J$5:$J$504,REGLER!$I$8&amp;" 2",MATCHER!$K$5:$K$504,"Ja")&gt;0,1,0)+IF(COUNTIFS(MATCHER!$B$5:$B$504,A503,MATCHER!$D$5:$D$504,C503,MATCHER!$J$5:$J$504,REGLER!$I$9,MATCHER!$K$5:$K$504,"Ja")+COUNTIFS(MATCHER!$B$5:$B$504,A503,MATCHER!$D$5:$D$504,C503,MATCHER!$J$5:$J$504,REGLER!$I$9&amp;" 2",MATCHER!$K$5:$K$504,"Ja")&gt;0,1,0)+IF(COUNTIFS(MATCHER!$B$5:$B$504,A503,MATCHER!$D$5:$D$504,C503,MATCHER!$J$5:$J$504,REGLER!$I$10,MATCHER!$K$5:$K$504,"Ja")+COUNTIFS(MATCHER!$B$5:$B$504,A503,MATCHER!$D$5:$D$504,C503,MATCHER!$J$5:$J$504,REGLER!$I$10&amp;" 2",MATCHER!$K$5:$K$504,"Ja")&gt;0,1,0)+IF(COUNTIFS(MATCHER!$B$5:$B$504,A503,MATCHER!$D$5:$D$504,C503,MATCHER!$J$5:$J$504,REGLER!$I$11,MATCHER!$K$5:$K$504,"Ja")+COUNTIFS(MATCHER!$B$5:$B$504,A503,MATCHER!$D$5:$D$504,C503,MATCHER!$J$5:$J$504,REGLER!$I$11&amp;" 2",MATCHER!$K$5:$K$504,"Ja")&gt;0,1,0)+IF(COUNTIFS(MATCHER!$B$5:$B$504,A503,MATCHER!$D$5:$D$504,C503,MATCHER!$J$5:$J$504,REGLER!$I$12,MATCHER!$K$5:$K$504,"Ja")+COUNTIFS(MATCHER!$B$5:$B$504,A503,MATCHER!$D$5:$D$504,C503,MATCHER!$J$5:$J$504,REGLER!$I$12&amp;" 2",MATCHER!$K$5:$K$504,"Ja")&gt;0,1,0)+IF(COUNTIFS(MATCHER!$B$5:$B$504,A503,MATCHER!$D$5:$D$504,C503,MATCHER!$J$5:$J$504,REGLER!$I$13,MATCHER!$K$5:$K$504,"Ja")+COUNTIFS(MATCHER!$B$5:$B$504,A503,MATCHER!$D$5:$D$504,C503,MATCHER!$J$5:$J$504,REGLER!$I$13&amp;" 2",MATCHER!$K$5:$K$504,"Ja")&gt;0,1,0)+IF(COUNTIFS(MATCHER!$B$5:$B$504,A503,MATCHER!$D$5:$D$504,C503,MATCHER!$J$5:$J$504,REGLER!$I$14,MATCHER!$K$5:$K$504,"Ja")+COUNTIFS(MATCHER!$B$5:$B$504,A503,MATCHER!$D$5:$D$504,C503,MATCHER!$J$5:$J$504,REGLER!$I$14&amp;" 2",MATCHER!$K$5:$K$504,"Ja")&gt;0,1,0)+IF(COUNTIFS(MATCHER!$B$5:$B$504,A503,MATCHER!$D$5:$D$504,C503,MATCHER!$J$5:$J$504,REGLER!$I$15,MATCHER!$K$5:$K$504,"Ja")+COUNTIFS(MATCHER!$B$5:$B$504,A503,MATCHER!$D$5:$D$504,C503,MATCHER!$J$5:$J$504,REGLER!$I$15&amp;" 2",MATCHER!$K$5:$K$504,"Ja")&gt;0,1,0)+IF(COUNTIFS(MATCHER!$B$5:$B$504,A503,MATCHER!$D$5:$D$504,C503,MATCHER!$J$5:$J$504,REGLER!$I$16,MATCHER!$K$5:$K$504,"Ja")+COUNTIFS(MATCHER!$B$5:$B$504,A503,MATCHER!$D$5:$D$504,C503,MATCHER!$J$5:$J$504,REGLER!$I$16&amp;" 2",MATCHER!$K$5:$K$504,"Ja")&gt;0,1,0)+IF(COUNTIFS(MATCHER!$B$5:$B$504,A503,MATCHER!$D$5:$D$504,C503,MATCHER!$J$5:$J$504,REGLER!$I$17,MATCHER!$K$5:$K$504,"Ja")+COUNTIFS(MATCHER!$B$5:$B$504,A503,MATCHER!$D$5:$D$504,C503,MATCHER!$J$5:$J$504,REGLER!$I$17&amp;" 2",MATCHER!$K$5:$K$504,"Ja")&gt;0,1,0)+IF(COUNTIFS(MATCHER!$B$5:$B$504,A503,MATCHER!$D$5:$D$504,C503,MATCHER!$J$5:$J$504,REGLER!$I$18,MATCHER!$K$5:$K$504,"Ja")+COUNTIFS(MATCHER!$B$5:$B$504,A503,MATCHER!$D$5:$D$504,C503,MATCHER!$J$5:$J$504,REGLER!$I$18&amp;" 2",MATCHER!$K$5:$K$504,"Ja")&gt;0,1,0)+IF(COUNTIFS(MATCHER!$B$5:$B$504,A503,MATCHER!$D$5:$D$504,C503,MATCHER!$J$5:$J$504,REGLER!$I$19,MATCHER!$K$5:$K$504,"Ja")+COUNTIFS(MATCHER!$B$5:$B$504,A503,MATCHER!$D$5:$D$504,C503,MATCHER!$J$5:$J$504,REGLER!$I$19&amp;" 2",MATCHER!$K$5:$K$504,"Ja")&gt;0,1,0)+IF(COUNTIFS(MATCHER!$B$5:$B$504,A503,MATCHER!$D$5:$D$504,C503,MATCHER!$J$5:$J$504,REGLER!$I$20,MATCHER!$K$5:$K$504,"Ja")+COUNTIFS(MATCHER!$B$5:$B$504,A503,MATCHER!$D$5:$D$504,C503,MATCHER!$J$5:$J$504,REGLER!$I$20&amp;" 2",MATCHER!$K$5:$K$504,"Ja")&gt;0,1,0)+IF(COUNTIFS(MATCHER!$B$5:$B$504,A503,MATCHER!$D$5:$D$504,C503,MATCHER!$J$5:$J$504,REGLER!$I$21,MATCHER!$K$5:$K$504,"Ja")+COUNTIFS(MATCHER!$B$5:$B$504,A503,MATCHER!$D$5:$D$504,C503,MATCHER!$J$5:$J$504,REGLER!$I$21&amp;" 2",MATCHER!$K$5:$K$504,"Ja")&gt;0,1,0)+IF(COUNTIFS(MATCHER!$B$5:$B$504,A503,MATCHER!$D$5:$D$504,C503,MATCHER!$J$5:$J$504,REGLER!$I$22,MATCHER!$K$5:$K$504,"Ja")+COUNTIFS(MATCHER!$B$5:$B$504,A503,MATCHER!$D$5:$D$504,C503,MATCHER!$J$5:$J$504,REGLER!$I$22&amp;" 2",MATCHER!$K$5:$K$504,"Ja")&gt;0,1,0)+IF(COUNTIFS(MATCHER!$B$5:$B$504,A503,MATCHER!$D$5:$D$504,C503,MATCHER!$J$5:$J$504,REGLER!$I$23,MATCHER!$K$5:$K$504,"Ja")+COUNTIFS(MATCHER!$B$5:$B$504,A503,MATCHER!$D$5:$D$504,C503,MATCHER!$J$5:$J$504,REGLER!$I$23&amp;" 2",MATCHER!$K$5:$K$504,"Ja")&gt;0,1,0)+IF(COUNTIFS(MATCHER!$B$5:$B$504,A503,MATCHER!$D$5:$D$504,C503,MATCHER!$J$5:$J$504,REGLER!$I$24,MATCHER!$K$5:$K$504,"Ja")+COUNTIFS(MATCHER!$B$5:$B$504,A503,MATCHER!$D$5:$D$504,C503,MATCHER!$J$5:$J$504,REGLER!$I$24&amp;" 2",MATCHER!$K$5:$K$504,"Ja")&gt;0,1,0)+IF(COUNTIFS(MATCHER!$B$5:$B$504,A503,MATCHER!$D$5:$D$504,C503,MATCHER!$J$5:$J$504,REGLER!$I$25,MATCHER!$K$5:$K$504,"Ja")+COUNTIFS(MATCHER!$B$5:$B$504,A503,MATCHER!$D$5:$D$504,C503,MATCHER!$J$5:$J$504,REGLER!$I$25&amp;" 2",MATCHER!$K$5:$K$504,"Ja")&gt;0,1,0)+IF(COUNTIFS(MATCHER!$B$5:$B$504,A503,MATCHER!$D$5:$D$504,C503,MATCHER!$J$5:$J$504,REGLER!$I$26,MATCHER!$K$5:$K$504,"Ja")+COUNTIFS(MATCHER!$B$5:$B$504,A503,MATCHER!$D$5:$D$504,C503,MATCHER!$J$5:$J$504,REGLER!$I$26&amp;" 2",MATCHER!$K$5:$K$504,"Ja")&gt;0,1,0)</f>
        <v>1</v>
      </c>
      <c r="AB503" s="15">
        <f>IF(U503&lt;&gt;1,"",COUNTIF($U$5:U503,1))</f>
        <v>95</v>
      </c>
      <c r="AC503" s="15" t="str">
        <f t="shared" si="103"/>
        <v/>
      </c>
      <c r="AD503" s="15" t="str">
        <f t="shared" si="104"/>
        <v>Vanligt café</v>
      </c>
      <c r="AE503" s="15">
        <f t="shared" si="105"/>
        <v>4.0000000000000089</v>
      </c>
      <c r="AF503" t="str">
        <f>IF(T503="","",IFERROR(MATCH(1,INDEX((MATCHER!$B$5:$B$504=A503)*(MATCHER!$D$5:$D$504=C503)*(MATCHER!$K$5:$K$504="Ja")*(MATCHER!$C$5:$C$504&lt;E503)*(MATCHER!$M$5:$M$504&gt;D503)*(ROW(MATCHER!$A$5:$A$504)-ROW(MATCHER!$A$5)+1&gt;T503),0),0),""))</f>
        <v/>
      </c>
    </row>
    <row r="504" spans="1:32" ht="26">
      <c r="A504" s="42">
        <v>46466</v>
      </c>
      <c r="B504" s="43" t="s">
        <v>85</v>
      </c>
      <c r="C504" s="43" t="s">
        <v>110</v>
      </c>
      <c r="D504" s="44">
        <v>0.41666666666666702</v>
      </c>
      <c r="E504" s="44">
        <v>0.4375</v>
      </c>
      <c r="F504" s="45" t="str">
        <f>IF(R504="","",HOUR(INDEX(MATCHER!$C$5:$C$504,R504))&amp;":"&amp;IF(MINUTE(INDEX(MATCHER!$C$5:$C$504,R504))&lt;10,"0","")&amp;MINUTE(INDEX(MATCHER!$C$5:$C$504,R504))&amp;" "&amp;INDEX(MATCHER!$H$5:$H$504,R504)&amp;" – "&amp;INDEX(MATCHER!$I$5:$I$504,R504))&amp;IF(S504="",""," | "&amp;HOUR(INDEX(MATCHER!$C$5:$C$504,S504))&amp;":"&amp;IF(MINUTE(INDEX(MATCHER!$C$5:$C$504,S504))&lt;10,"0","")&amp;MINUTE(INDEX(MATCHER!$C$5:$C$504,S504))&amp;" "&amp;INDEX(MATCHER!$H$5:$H$504,S504)&amp;" – "&amp;INDEX(MATCHER!$I$5:$I$504,S504))&amp;IF(T504="",""," | "&amp;HOUR(INDEX(MATCHER!$C$5:$C$504,T504))&amp;":"&amp;IF(MINUTE(INDEX(MATCHER!$C$5:$C$504,T504))&lt;10,"0","")&amp;MINUTE(INDEX(MATCHER!$C$5:$C$504,T504))&amp;" "&amp;INDEX(MATCHER!$H$5:$H$504,T504)&amp;" – "&amp;INDEX(MATCHER!$I$5:$I$504,T504))&amp;IF(AF504="",""," | "&amp;HOUR(INDEX(MATCHER!$C$5:$C$504,AF504))&amp;":"&amp;IF(MINUTE(INDEX(MATCHER!$C$5:$C$504,AF504))&lt;10,"0","")&amp;MINUTE(INDEX(MATCHER!$C$5:$C$504,AF504))&amp;" "&amp;INDEX(MATCHER!$H$5:$H$504,AF504)&amp;" – "&amp;INDEX(MATCHER!$I$5:$I$504,AF504))</f>
        <v>10:20 AIK 2 – Skuru IK 2</v>
      </c>
      <c r="G504" s="45" t="str">
        <f>MID(IF(R504="","",IF(OR(INDEX(MATCHER!$J$5:$J$504,R504)=""),""," / "&amp;INDEX(MATCHER!$J$5:$J$504,R504)))&amp;IF(S504="","",IF(OR(INDEX(MATCHER!$J$5:$J$504,S504)="",INDEX(MATCHER!$J$5:$J$504,S504)=IFERROR(INDEX(MATCHER!$J$5:$J$504,R504),"")),""," / "&amp;INDEX(MATCHER!$J$5:$J$504,S504)))&amp;IF(T504="","",IF(OR(INDEX(MATCHER!$J$5:$J$504,T504)="",INDEX(MATCHER!$J$5:$J$504,T504)=IFERROR(INDEX(MATCHER!$J$5:$J$504,R504),""),INDEX(MATCHER!$J$5:$J$504,T504)=IFERROR(INDEX(MATCHER!$J$5:$J$504,S504),"")),""," / "&amp;INDEX(MATCHER!$J$5:$J$504,T504)))&amp;IF(AF504="","",IF(OR(INDEX(MATCHER!$J$5:$J$504,AF504)="",INDEX(MATCHER!$J$5:$J$504,AF504)=IFERROR(INDEX(MATCHER!$J$5:$J$504,R504),""),INDEX(MATCHER!$J$5:$J$504,AF504)=IFERROR(INDEX(MATCHER!$J$5:$J$504,S504),""),INDEX(MATCHER!$J$5:$J$504,AF504)=IFERROR(INDEX(MATCHER!$J$5:$J$504,T504),"")),""," / "&amp;INDEX(MATCHER!$J$5:$J$504,AF504))),4,1000)</f>
        <v>P12 2</v>
      </c>
      <c r="H504" s="45" t="str">
        <f t="shared" ref="H504:H510" si="110">H503</f>
        <v>P12</v>
      </c>
      <c r="I504" s="46" t="s">
        <v>90</v>
      </c>
      <c r="J504" s="47" t="s">
        <v>117</v>
      </c>
      <c r="K504" s="48"/>
      <c r="L504" s="49"/>
      <c r="M504" s="50" t="str">
        <f>IF(O504&lt;&gt;O503,MAX(1,MIN(AA504,ROUNDUP(SUMPRODUCT(($O$5:$O$546=O504)*($I$5:$I$546="Ja")*($E$5:$E$546-$D$5:$D$546))*24/REGLER!$B$8,0))),"")</f>
        <v/>
      </c>
      <c r="N504" s="50" t="str">
        <f t="shared" si="99"/>
        <v>Klar</v>
      </c>
      <c r="O504" s="15" t="s">
        <v>163</v>
      </c>
      <c r="P504" s="16">
        <v>0.39583333333333298</v>
      </c>
      <c r="Q504" s="16">
        <v>0.5625</v>
      </c>
      <c r="R504" s="15">
        <f>IFERROR(MATCH(1,INDEX((MATCHER!$B$5:$B$504=A504)*(MATCHER!$D$5:$D$504=C504)*(MATCHER!$K$5:$K$504="Ja")*(MATCHER!$C$5:$C$504&lt;E504)*(MATCHER!$M$5:$M$504&gt;D504),0),0),"")</f>
        <v>182</v>
      </c>
      <c r="S504" s="15" t="str">
        <f>IF(R504="","",IFERROR(MATCH(1,INDEX((MATCHER!$B$5:$B$504=A504)*(MATCHER!$D$5:$D$504=C504)*(MATCHER!$K$5:$K$504="Ja")*(MATCHER!$C$5:$C$504&lt;E504)*(MATCHER!$M$5:$M$504&gt;D504)*(ROW(MATCHER!$A$5:$A$504)-ROW(MATCHER!$A$5)+1&gt;R504),0),0),""))</f>
        <v/>
      </c>
      <c r="T504" s="15" t="str">
        <f>IF(S504="","",IFERROR(MATCH(1,INDEX((MATCHER!$B$5:$B$504=A504)*(MATCHER!$D$5:$D$504=C504)*(MATCHER!$K$5:$K$504="Ja")*(MATCHER!$C$5:$C$504&lt;E504)*(MATCHER!$M$5:$M$504&gt;D504)*(ROW(MATCHER!$A$5:$A$504)-ROW(MATCHER!$A$5)+1&gt;S504),0),0),""))</f>
        <v/>
      </c>
      <c r="U504" s="15">
        <f t="shared" si="100"/>
        <v>0</v>
      </c>
      <c r="V504" s="15">
        <f>IF(OR(I504&lt;&gt;"Ja",J504=""),"",COUNTIFS($O$5:O504,O504,$U$5:U504,1))</f>
        <v>1</v>
      </c>
      <c r="W504" s="15" t="str">
        <f t="shared" si="101"/>
        <v>2027-03-20 | Tallbackaskolan|1</v>
      </c>
      <c r="X504" s="16" t="str">
        <f t="shared" si="102"/>
        <v/>
      </c>
      <c r="Y504" s="15">
        <f>IF(OR(I504&lt;&gt;"Ja",J504=""),0,IF(COUNTIFS($O$5:O504,O504,$I$5:I504,"Ja",$J$5:J504,"&lt;&gt;")=1,1,0))</f>
        <v>0</v>
      </c>
      <c r="Z504" s="15">
        <f>IF(OR(I504&lt;&gt;"Ja",J504=""),0,IF(COUNTIFS(O504:$O$546,O504,I504:$I$546,"Ja",J504:$J$546,"&lt;&gt;")=1,1,0))</f>
        <v>0</v>
      </c>
      <c r="AA504" s="15">
        <f t="shared" ref="AA504:AA510" si="111">AA503</f>
        <v>1</v>
      </c>
      <c r="AB504" s="15" t="str">
        <f>IF(U504&lt;&gt;1,"",COUNTIF($U$5:U504,1))</f>
        <v/>
      </c>
      <c r="AC504" s="15" t="str">
        <f t="shared" si="103"/>
        <v/>
      </c>
      <c r="AD504" s="15" t="str">
        <f t="shared" si="104"/>
        <v>Vanligt café</v>
      </c>
      <c r="AE504" s="15" t="str">
        <f t="shared" si="105"/>
        <v/>
      </c>
      <c r="AF504" t="str">
        <f>IF(T504="","",IFERROR(MATCH(1,INDEX((MATCHER!$B$5:$B$504=A504)*(MATCHER!$D$5:$D$504=C504)*(MATCHER!$K$5:$K$504="Ja")*(MATCHER!$C$5:$C$504&lt;E504)*(MATCHER!$M$5:$M$504&gt;D504)*(ROW(MATCHER!$A$5:$A$504)-ROW(MATCHER!$A$5)+1&gt;T504),0),0),""))</f>
        <v/>
      </c>
    </row>
    <row r="505" spans="1:32" ht="26">
      <c r="A505" s="42">
        <v>46466</v>
      </c>
      <c r="B505" s="43" t="s">
        <v>85</v>
      </c>
      <c r="C505" s="43" t="s">
        <v>110</v>
      </c>
      <c r="D505" s="44">
        <v>0.4375</v>
      </c>
      <c r="E505" s="44">
        <v>0.45833333333333298</v>
      </c>
      <c r="F505" s="45" t="str">
        <f>IF(R505="","",HOUR(INDEX(MATCHER!$C$5:$C$504,R505))&amp;":"&amp;IF(MINUTE(INDEX(MATCHER!$C$5:$C$504,R505))&lt;10,"0","")&amp;MINUTE(INDEX(MATCHER!$C$5:$C$504,R505))&amp;" "&amp;INDEX(MATCHER!$H$5:$H$504,R505)&amp;" – "&amp;INDEX(MATCHER!$I$5:$I$504,R505))&amp;IF(S505="",""," | "&amp;HOUR(INDEX(MATCHER!$C$5:$C$504,S505))&amp;":"&amp;IF(MINUTE(INDEX(MATCHER!$C$5:$C$504,S505))&lt;10,"0","")&amp;MINUTE(INDEX(MATCHER!$C$5:$C$504,S505))&amp;" "&amp;INDEX(MATCHER!$H$5:$H$504,S505)&amp;" – "&amp;INDEX(MATCHER!$I$5:$I$504,S505))&amp;IF(T505="",""," | "&amp;HOUR(INDEX(MATCHER!$C$5:$C$504,T505))&amp;":"&amp;IF(MINUTE(INDEX(MATCHER!$C$5:$C$504,T505))&lt;10,"0","")&amp;MINUTE(INDEX(MATCHER!$C$5:$C$504,T505))&amp;" "&amp;INDEX(MATCHER!$H$5:$H$504,T505)&amp;" – "&amp;INDEX(MATCHER!$I$5:$I$504,T505))&amp;IF(AF505="",""," | "&amp;HOUR(INDEX(MATCHER!$C$5:$C$504,AF505))&amp;":"&amp;IF(MINUTE(INDEX(MATCHER!$C$5:$C$504,AF505))&lt;10,"0","")&amp;MINUTE(INDEX(MATCHER!$C$5:$C$504,AF505))&amp;" "&amp;INDEX(MATCHER!$H$5:$H$504,AF505)&amp;" – "&amp;INDEX(MATCHER!$I$5:$I$504,AF505))</f>
        <v>10:20 AIK 2 – Skuru IK 2</v>
      </c>
      <c r="G505" s="45" t="str">
        <f>MID(IF(R505="","",IF(OR(INDEX(MATCHER!$J$5:$J$504,R505)=""),""," / "&amp;INDEX(MATCHER!$J$5:$J$504,R505)))&amp;IF(S505="","",IF(OR(INDEX(MATCHER!$J$5:$J$504,S505)="",INDEX(MATCHER!$J$5:$J$504,S505)=IFERROR(INDEX(MATCHER!$J$5:$J$504,R505),"")),""," / "&amp;INDEX(MATCHER!$J$5:$J$504,S505)))&amp;IF(T505="","",IF(OR(INDEX(MATCHER!$J$5:$J$504,T505)="",INDEX(MATCHER!$J$5:$J$504,T505)=IFERROR(INDEX(MATCHER!$J$5:$J$504,R505),""),INDEX(MATCHER!$J$5:$J$504,T505)=IFERROR(INDEX(MATCHER!$J$5:$J$504,S505),"")),""," / "&amp;INDEX(MATCHER!$J$5:$J$504,T505)))&amp;IF(AF505="","",IF(OR(INDEX(MATCHER!$J$5:$J$504,AF505)="",INDEX(MATCHER!$J$5:$J$504,AF505)=IFERROR(INDEX(MATCHER!$J$5:$J$504,R505),""),INDEX(MATCHER!$J$5:$J$504,AF505)=IFERROR(INDEX(MATCHER!$J$5:$J$504,S505),""),INDEX(MATCHER!$J$5:$J$504,AF505)=IFERROR(INDEX(MATCHER!$J$5:$J$504,T505),"")),""," / "&amp;INDEX(MATCHER!$J$5:$J$504,AF505))),4,1000)</f>
        <v>P12 2</v>
      </c>
      <c r="H505" s="45" t="str">
        <f t="shared" si="110"/>
        <v>P12</v>
      </c>
      <c r="I505" s="46" t="s">
        <v>90</v>
      </c>
      <c r="J505" s="47" t="s">
        <v>117</v>
      </c>
      <c r="K505" s="48"/>
      <c r="L505" s="49"/>
      <c r="M505" s="50" t="str">
        <f>IF(O505&lt;&gt;O504,MAX(1,MIN(AA505,ROUNDUP(SUMPRODUCT(($O$5:$O$546=O505)*($I$5:$I$546="Ja")*($E$5:$E$546-$D$5:$D$546))*24/REGLER!$B$8,0))),"")</f>
        <v/>
      </c>
      <c r="N505" s="50" t="str">
        <f t="shared" si="99"/>
        <v>Klar</v>
      </c>
      <c r="O505" s="15" t="s">
        <v>163</v>
      </c>
      <c r="P505" s="16">
        <v>0.39583333333333298</v>
      </c>
      <c r="Q505" s="16">
        <v>0.5625</v>
      </c>
      <c r="R505" s="15">
        <f>IFERROR(MATCH(1,INDEX((MATCHER!$B$5:$B$504=A505)*(MATCHER!$D$5:$D$504=C505)*(MATCHER!$K$5:$K$504="Ja")*(MATCHER!$C$5:$C$504&lt;E505)*(MATCHER!$M$5:$M$504&gt;D505),0),0),"")</f>
        <v>182</v>
      </c>
      <c r="S505" s="15" t="str">
        <f>IF(R505="","",IFERROR(MATCH(1,INDEX((MATCHER!$B$5:$B$504=A505)*(MATCHER!$D$5:$D$504=C505)*(MATCHER!$K$5:$K$504="Ja")*(MATCHER!$C$5:$C$504&lt;E505)*(MATCHER!$M$5:$M$504&gt;D505)*(ROW(MATCHER!$A$5:$A$504)-ROW(MATCHER!$A$5)+1&gt;R505),0),0),""))</f>
        <v/>
      </c>
      <c r="T505" s="15" t="str">
        <f>IF(S505="","",IFERROR(MATCH(1,INDEX((MATCHER!$B$5:$B$504=A505)*(MATCHER!$D$5:$D$504=C505)*(MATCHER!$K$5:$K$504="Ja")*(MATCHER!$C$5:$C$504&lt;E505)*(MATCHER!$M$5:$M$504&gt;D505)*(ROW(MATCHER!$A$5:$A$504)-ROW(MATCHER!$A$5)+1&gt;S505),0),0),""))</f>
        <v/>
      </c>
      <c r="U505" s="15">
        <f t="shared" si="100"/>
        <v>0</v>
      </c>
      <c r="V505" s="15">
        <f>IF(OR(I505&lt;&gt;"Ja",J505=""),"",COUNTIFS($O$5:O505,O505,$U$5:U505,1))</f>
        <v>1</v>
      </c>
      <c r="W505" s="15" t="str">
        <f t="shared" si="101"/>
        <v>2027-03-20 | Tallbackaskolan|1</v>
      </c>
      <c r="X505" s="16" t="str">
        <f t="shared" si="102"/>
        <v/>
      </c>
      <c r="Y505" s="15">
        <f>IF(OR(I505&lt;&gt;"Ja",J505=""),0,IF(COUNTIFS($O$5:O505,O505,$I$5:I505,"Ja",$J$5:J505,"&lt;&gt;")=1,1,0))</f>
        <v>0</v>
      </c>
      <c r="Z505" s="15">
        <f>IF(OR(I505&lt;&gt;"Ja",J505=""),0,IF(COUNTIFS(O505:$O$546,O505,I505:$I$546,"Ja",J505:$J$546,"&lt;&gt;")=1,1,0))</f>
        <v>0</v>
      </c>
      <c r="AA505" s="15">
        <f t="shared" si="111"/>
        <v>1</v>
      </c>
      <c r="AB505" s="15" t="str">
        <f>IF(U505&lt;&gt;1,"",COUNTIF($U$5:U505,1))</f>
        <v/>
      </c>
      <c r="AC505" s="15" t="str">
        <f t="shared" si="103"/>
        <v/>
      </c>
      <c r="AD505" s="15" t="str">
        <f t="shared" si="104"/>
        <v>Vanligt café</v>
      </c>
      <c r="AE505" s="15" t="str">
        <f t="shared" si="105"/>
        <v/>
      </c>
      <c r="AF505" t="str">
        <f>IF(T505="","",IFERROR(MATCH(1,INDEX((MATCHER!$B$5:$B$504=A505)*(MATCHER!$D$5:$D$504=C505)*(MATCHER!$K$5:$K$504="Ja")*(MATCHER!$C$5:$C$504&lt;E505)*(MATCHER!$M$5:$M$504&gt;D505)*(ROW(MATCHER!$A$5:$A$504)-ROW(MATCHER!$A$5)+1&gt;T505),0),0),""))</f>
        <v/>
      </c>
    </row>
    <row r="506" spans="1:32" ht="26">
      <c r="A506" s="42">
        <v>46466</v>
      </c>
      <c r="B506" s="43" t="s">
        <v>85</v>
      </c>
      <c r="C506" s="43" t="s">
        <v>110</v>
      </c>
      <c r="D506" s="44">
        <v>0.45833333333333298</v>
      </c>
      <c r="E506" s="44">
        <v>0.47916666666666702</v>
      </c>
      <c r="F506" s="45" t="str">
        <f>IF(R506="","",HOUR(INDEX(MATCHER!$C$5:$C$504,R506))&amp;":"&amp;IF(MINUTE(INDEX(MATCHER!$C$5:$C$504,R506))&lt;10,"0","")&amp;MINUTE(INDEX(MATCHER!$C$5:$C$504,R506))&amp;" "&amp;INDEX(MATCHER!$H$5:$H$504,R506)&amp;" – "&amp;INDEX(MATCHER!$I$5:$I$504,R506))&amp;IF(S506="",""," | "&amp;HOUR(INDEX(MATCHER!$C$5:$C$504,S506))&amp;":"&amp;IF(MINUTE(INDEX(MATCHER!$C$5:$C$504,S506))&lt;10,"0","")&amp;MINUTE(INDEX(MATCHER!$C$5:$C$504,S506))&amp;" "&amp;INDEX(MATCHER!$H$5:$H$504,S506)&amp;" – "&amp;INDEX(MATCHER!$I$5:$I$504,S506))&amp;IF(T506="",""," | "&amp;HOUR(INDEX(MATCHER!$C$5:$C$504,T506))&amp;":"&amp;IF(MINUTE(INDEX(MATCHER!$C$5:$C$504,T506))&lt;10,"0","")&amp;MINUTE(INDEX(MATCHER!$C$5:$C$504,T506))&amp;" "&amp;INDEX(MATCHER!$H$5:$H$504,T506)&amp;" – "&amp;INDEX(MATCHER!$I$5:$I$504,T506))&amp;IF(AF506="",""," | "&amp;HOUR(INDEX(MATCHER!$C$5:$C$504,AF506))&amp;":"&amp;IF(MINUTE(INDEX(MATCHER!$C$5:$C$504,AF506))&lt;10,"0","")&amp;MINUTE(INDEX(MATCHER!$C$5:$C$504,AF506))&amp;" "&amp;INDEX(MATCHER!$H$5:$H$504,AF506)&amp;" – "&amp;INDEX(MATCHER!$I$5:$I$504,AF506))</f>
        <v/>
      </c>
      <c r="G506" s="45" t="str">
        <f>MID(IF(R506="","",IF(OR(INDEX(MATCHER!$J$5:$J$504,R506)=""),""," / "&amp;INDEX(MATCHER!$J$5:$J$504,R506)))&amp;IF(S506="","",IF(OR(INDEX(MATCHER!$J$5:$J$504,S506)="",INDEX(MATCHER!$J$5:$J$504,S506)=IFERROR(INDEX(MATCHER!$J$5:$J$504,R506),"")),""," / "&amp;INDEX(MATCHER!$J$5:$J$504,S506)))&amp;IF(T506="","",IF(OR(INDEX(MATCHER!$J$5:$J$504,T506)="",INDEX(MATCHER!$J$5:$J$504,T506)=IFERROR(INDEX(MATCHER!$J$5:$J$504,R506),""),INDEX(MATCHER!$J$5:$J$504,T506)=IFERROR(INDEX(MATCHER!$J$5:$J$504,S506),"")),""," / "&amp;INDEX(MATCHER!$J$5:$J$504,T506)))&amp;IF(AF506="","",IF(OR(INDEX(MATCHER!$J$5:$J$504,AF506)="",INDEX(MATCHER!$J$5:$J$504,AF506)=IFERROR(INDEX(MATCHER!$J$5:$J$504,R506),""),INDEX(MATCHER!$J$5:$J$504,AF506)=IFERROR(INDEX(MATCHER!$J$5:$J$504,S506),""),INDEX(MATCHER!$J$5:$J$504,AF506)=IFERROR(INDEX(MATCHER!$J$5:$J$504,T506),"")),""," / "&amp;INDEX(MATCHER!$J$5:$J$504,AF506))),4,1000)</f>
        <v/>
      </c>
      <c r="H506" s="45" t="str">
        <f t="shared" si="110"/>
        <v>P12</v>
      </c>
      <c r="I506" s="46" t="s">
        <v>90</v>
      </c>
      <c r="J506" s="47" t="s">
        <v>117</v>
      </c>
      <c r="K506" s="48"/>
      <c r="L506" s="49"/>
      <c r="M506" s="50" t="str">
        <f>IF(O506&lt;&gt;O505,MAX(1,MIN(AA506,ROUNDUP(SUMPRODUCT(($O$5:$O$546=O506)*($I$5:$I$546="Ja")*($E$5:$E$546-$D$5:$D$546))*24/REGLER!$B$8,0))),"")</f>
        <v/>
      </c>
      <c r="N506" s="50" t="str">
        <f t="shared" si="99"/>
        <v>Klar</v>
      </c>
      <c r="O506" s="15" t="s">
        <v>163</v>
      </c>
      <c r="P506" s="16">
        <v>0.39583333333333298</v>
      </c>
      <c r="Q506" s="16">
        <v>0.5625</v>
      </c>
      <c r="R506" s="15" t="str">
        <f>IFERROR(MATCH(1,INDEX((MATCHER!$B$5:$B$504=A506)*(MATCHER!$D$5:$D$504=C506)*(MATCHER!$K$5:$K$504="Ja")*(MATCHER!$C$5:$C$504&lt;E506)*(MATCHER!$M$5:$M$504&gt;D506),0),0),"")</f>
        <v/>
      </c>
      <c r="S506" s="15" t="str">
        <f>IF(R506="","",IFERROR(MATCH(1,INDEX((MATCHER!$B$5:$B$504=A506)*(MATCHER!$D$5:$D$504=C506)*(MATCHER!$K$5:$K$504="Ja")*(MATCHER!$C$5:$C$504&lt;E506)*(MATCHER!$M$5:$M$504&gt;D506)*(ROW(MATCHER!$A$5:$A$504)-ROW(MATCHER!$A$5)+1&gt;R506),0),0),""))</f>
        <v/>
      </c>
      <c r="T506" s="15" t="str">
        <f>IF(S506="","",IFERROR(MATCH(1,INDEX((MATCHER!$B$5:$B$504=A506)*(MATCHER!$D$5:$D$504=C506)*(MATCHER!$K$5:$K$504="Ja")*(MATCHER!$C$5:$C$504&lt;E506)*(MATCHER!$M$5:$M$504&gt;D506)*(ROW(MATCHER!$A$5:$A$504)-ROW(MATCHER!$A$5)+1&gt;S506),0),0),""))</f>
        <v/>
      </c>
      <c r="U506" s="15">
        <f t="shared" si="100"/>
        <v>0</v>
      </c>
      <c r="V506" s="15">
        <f>IF(OR(I506&lt;&gt;"Ja",J506=""),"",COUNTIFS($O$5:O506,O506,$U$5:U506,1))</f>
        <v>1</v>
      </c>
      <c r="W506" s="15" t="str">
        <f t="shared" si="101"/>
        <v>2027-03-20 | Tallbackaskolan|1</v>
      </c>
      <c r="X506" s="16" t="str">
        <f t="shared" si="102"/>
        <v/>
      </c>
      <c r="Y506" s="15">
        <f>IF(OR(I506&lt;&gt;"Ja",J506=""),0,IF(COUNTIFS($O$5:O506,O506,$I$5:I506,"Ja",$J$5:J506,"&lt;&gt;")=1,1,0))</f>
        <v>0</v>
      </c>
      <c r="Z506" s="15">
        <f>IF(OR(I506&lt;&gt;"Ja",J506=""),0,IF(COUNTIFS(O506:$O$546,O506,I506:$I$546,"Ja",J506:$J$546,"&lt;&gt;")=1,1,0))</f>
        <v>0</v>
      </c>
      <c r="AA506" s="15">
        <f t="shared" si="111"/>
        <v>1</v>
      </c>
      <c r="AB506" s="15" t="str">
        <f>IF(U506&lt;&gt;1,"",COUNTIF($U$5:U506,1))</f>
        <v/>
      </c>
      <c r="AC506" s="15" t="str">
        <f t="shared" si="103"/>
        <v/>
      </c>
      <c r="AD506" s="15" t="str">
        <f t="shared" si="104"/>
        <v>Vanligt café</v>
      </c>
      <c r="AE506" s="15" t="str">
        <f t="shared" si="105"/>
        <v/>
      </c>
      <c r="AF506" t="str">
        <f>IF(T506="","",IFERROR(MATCH(1,INDEX((MATCHER!$B$5:$B$504=A506)*(MATCHER!$D$5:$D$504=C506)*(MATCHER!$K$5:$K$504="Ja")*(MATCHER!$C$5:$C$504&lt;E506)*(MATCHER!$M$5:$M$504&gt;D506)*(ROW(MATCHER!$A$5:$A$504)-ROW(MATCHER!$A$5)+1&gt;T506),0),0),""))</f>
        <v/>
      </c>
    </row>
    <row r="507" spans="1:32" ht="26">
      <c r="A507" s="42">
        <v>46466</v>
      </c>
      <c r="B507" s="43" t="s">
        <v>85</v>
      </c>
      <c r="C507" s="43" t="s">
        <v>110</v>
      </c>
      <c r="D507" s="44">
        <v>0.47916666666666702</v>
      </c>
      <c r="E507" s="44">
        <v>0.5</v>
      </c>
      <c r="F507" s="45" t="str">
        <f>IF(R507="","",HOUR(INDEX(MATCHER!$C$5:$C$504,R507))&amp;":"&amp;IF(MINUTE(INDEX(MATCHER!$C$5:$C$504,R507))&lt;10,"0","")&amp;MINUTE(INDEX(MATCHER!$C$5:$C$504,R507))&amp;" "&amp;INDEX(MATCHER!$H$5:$H$504,R507)&amp;" – "&amp;INDEX(MATCHER!$I$5:$I$504,R507))&amp;IF(S507="",""," | "&amp;HOUR(INDEX(MATCHER!$C$5:$C$504,S507))&amp;":"&amp;IF(MINUTE(INDEX(MATCHER!$C$5:$C$504,S507))&lt;10,"0","")&amp;MINUTE(INDEX(MATCHER!$C$5:$C$504,S507))&amp;" "&amp;INDEX(MATCHER!$H$5:$H$504,S507)&amp;" – "&amp;INDEX(MATCHER!$I$5:$I$504,S507))&amp;IF(T507="",""," | "&amp;HOUR(INDEX(MATCHER!$C$5:$C$504,T507))&amp;":"&amp;IF(MINUTE(INDEX(MATCHER!$C$5:$C$504,T507))&lt;10,"0","")&amp;MINUTE(INDEX(MATCHER!$C$5:$C$504,T507))&amp;" "&amp;INDEX(MATCHER!$H$5:$H$504,T507)&amp;" – "&amp;INDEX(MATCHER!$I$5:$I$504,T507))&amp;IF(AF507="",""," | "&amp;HOUR(INDEX(MATCHER!$C$5:$C$504,AF507))&amp;":"&amp;IF(MINUTE(INDEX(MATCHER!$C$5:$C$504,AF507))&lt;10,"0","")&amp;MINUTE(INDEX(MATCHER!$C$5:$C$504,AF507))&amp;" "&amp;INDEX(MATCHER!$H$5:$H$504,AF507)&amp;" – "&amp;INDEX(MATCHER!$I$5:$I$504,AF507))</f>
        <v>11:30 Hammarby IF HF – Skuru IK 2</v>
      </c>
      <c r="G507" s="45" t="str">
        <f>MID(IF(R507="","",IF(OR(INDEX(MATCHER!$J$5:$J$504,R507)=""),""," / "&amp;INDEX(MATCHER!$J$5:$J$504,R507)))&amp;IF(S507="","",IF(OR(INDEX(MATCHER!$J$5:$J$504,S507)="",INDEX(MATCHER!$J$5:$J$504,S507)=IFERROR(INDEX(MATCHER!$J$5:$J$504,R507),"")),""," / "&amp;INDEX(MATCHER!$J$5:$J$504,S507)))&amp;IF(T507="","",IF(OR(INDEX(MATCHER!$J$5:$J$504,T507)="",INDEX(MATCHER!$J$5:$J$504,T507)=IFERROR(INDEX(MATCHER!$J$5:$J$504,R507),""),INDEX(MATCHER!$J$5:$J$504,T507)=IFERROR(INDEX(MATCHER!$J$5:$J$504,S507),"")),""," / "&amp;INDEX(MATCHER!$J$5:$J$504,T507)))&amp;IF(AF507="","",IF(OR(INDEX(MATCHER!$J$5:$J$504,AF507)="",INDEX(MATCHER!$J$5:$J$504,AF507)=IFERROR(INDEX(MATCHER!$J$5:$J$504,R507),""),INDEX(MATCHER!$J$5:$J$504,AF507)=IFERROR(INDEX(MATCHER!$J$5:$J$504,S507),""),INDEX(MATCHER!$J$5:$J$504,AF507)=IFERROR(INDEX(MATCHER!$J$5:$J$504,T507),"")),""," / "&amp;INDEX(MATCHER!$J$5:$J$504,AF507))),4,1000)</f>
        <v/>
      </c>
      <c r="H507" s="45" t="str">
        <f t="shared" si="110"/>
        <v>P12</v>
      </c>
      <c r="I507" s="46" t="s">
        <v>90</v>
      </c>
      <c r="J507" s="47" t="s">
        <v>117</v>
      </c>
      <c r="K507" s="48"/>
      <c r="L507" s="49"/>
      <c r="M507" s="50" t="str">
        <f>IF(O507&lt;&gt;O506,MAX(1,MIN(AA507,ROUNDUP(SUMPRODUCT(($O$5:$O$546=O507)*($I$5:$I$546="Ja")*($E$5:$E$546-$D$5:$D$546))*24/REGLER!$B$8,0))),"")</f>
        <v/>
      </c>
      <c r="N507" s="50" t="str">
        <f t="shared" si="99"/>
        <v>Klar</v>
      </c>
      <c r="O507" s="15" t="s">
        <v>163</v>
      </c>
      <c r="P507" s="16">
        <v>0.39583333333333298</v>
      </c>
      <c r="Q507" s="16">
        <v>0.5625</v>
      </c>
      <c r="R507" s="15">
        <f>IFERROR(MATCH(1,INDEX((MATCHER!$B$5:$B$504=A507)*(MATCHER!$D$5:$D$504=C507)*(MATCHER!$K$5:$K$504="Ja")*(MATCHER!$C$5:$C$504&lt;E507)*(MATCHER!$M$5:$M$504&gt;D507),0),0),"")</f>
        <v>183</v>
      </c>
      <c r="S507" s="15" t="str">
        <f>IF(R507="","",IFERROR(MATCH(1,INDEX((MATCHER!$B$5:$B$504=A507)*(MATCHER!$D$5:$D$504=C507)*(MATCHER!$K$5:$K$504="Ja")*(MATCHER!$C$5:$C$504&lt;E507)*(MATCHER!$M$5:$M$504&gt;D507)*(ROW(MATCHER!$A$5:$A$504)-ROW(MATCHER!$A$5)+1&gt;R507),0),0),""))</f>
        <v/>
      </c>
      <c r="T507" s="15" t="str">
        <f>IF(S507="","",IFERROR(MATCH(1,INDEX((MATCHER!$B$5:$B$504=A507)*(MATCHER!$D$5:$D$504=C507)*(MATCHER!$K$5:$K$504="Ja")*(MATCHER!$C$5:$C$504&lt;E507)*(MATCHER!$M$5:$M$504&gt;D507)*(ROW(MATCHER!$A$5:$A$504)-ROW(MATCHER!$A$5)+1&gt;S507),0),0),""))</f>
        <v/>
      </c>
      <c r="U507" s="15">
        <f t="shared" si="100"/>
        <v>0</v>
      </c>
      <c r="V507" s="15">
        <f>IF(OR(I507&lt;&gt;"Ja",J507=""),"",COUNTIFS($O$5:O507,O507,$U$5:U507,1))</f>
        <v>1</v>
      </c>
      <c r="W507" s="15" t="str">
        <f t="shared" si="101"/>
        <v>2027-03-20 | Tallbackaskolan|1</v>
      </c>
      <c r="X507" s="16" t="str">
        <f t="shared" si="102"/>
        <v/>
      </c>
      <c r="Y507" s="15">
        <f>IF(OR(I507&lt;&gt;"Ja",J507=""),0,IF(COUNTIFS($O$5:O507,O507,$I$5:I507,"Ja",$J$5:J507,"&lt;&gt;")=1,1,0))</f>
        <v>0</v>
      </c>
      <c r="Z507" s="15">
        <f>IF(OR(I507&lt;&gt;"Ja",J507=""),0,IF(COUNTIFS(O507:$O$546,O507,I507:$I$546,"Ja",J507:$J$546,"&lt;&gt;")=1,1,0))</f>
        <v>0</v>
      </c>
      <c r="AA507" s="15">
        <f t="shared" si="111"/>
        <v>1</v>
      </c>
      <c r="AB507" s="15" t="str">
        <f>IF(U507&lt;&gt;1,"",COUNTIF($U$5:U507,1))</f>
        <v/>
      </c>
      <c r="AC507" s="15" t="str">
        <f t="shared" si="103"/>
        <v/>
      </c>
      <c r="AD507" s="15" t="str">
        <f t="shared" si="104"/>
        <v>Vanligt café</v>
      </c>
      <c r="AE507" s="15" t="str">
        <f t="shared" si="105"/>
        <v/>
      </c>
      <c r="AF507" t="str">
        <f>IF(T507="","",IFERROR(MATCH(1,INDEX((MATCHER!$B$5:$B$504=A507)*(MATCHER!$D$5:$D$504=C507)*(MATCHER!$K$5:$K$504="Ja")*(MATCHER!$C$5:$C$504&lt;E507)*(MATCHER!$M$5:$M$504&gt;D507)*(ROW(MATCHER!$A$5:$A$504)-ROW(MATCHER!$A$5)+1&gt;T507),0),0),""))</f>
        <v/>
      </c>
    </row>
    <row r="508" spans="1:32" ht="26">
      <c r="A508" s="42">
        <v>46466</v>
      </c>
      <c r="B508" s="43" t="s">
        <v>85</v>
      </c>
      <c r="C508" s="43" t="s">
        <v>110</v>
      </c>
      <c r="D508" s="44">
        <v>0.5</v>
      </c>
      <c r="E508" s="44">
        <v>0.52083333333333304</v>
      </c>
      <c r="F508" s="45" t="str">
        <f>IF(R508="","",HOUR(INDEX(MATCHER!$C$5:$C$504,R508))&amp;":"&amp;IF(MINUTE(INDEX(MATCHER!$C$5:$C$504,R508))&lt;10,"0","")&amp;MINUTE(INDEX(MATCHER!$C$5:$C$504,R508))&amp;" "&amp;INDEX(MATCHER!$H$5:$H$504,R508)&amp;" – "&amp;INDEX(MATCHER!$I$5:$I$504,R508))&amp;IF(S508="",""," | "&amp;HOUR(INDEX(MATCHER!$C$5:$C$504,S508))&amp;":"&amp;IF(MINUTE(INDEX(MATCHER!$C$5:$C$504,S508))&lt;10,"0","")&amp;MINUTE(INDEX(MATCHER!$C$5:$C$504,S508))&amp;" "&amp;INDEX(MATCHER!$H$5:$H$504,S508)&amp;" – "&amp;INDEX(MATCHER!$I$5:$I$504,S508))&amp;IF(T508="",""," | "&amp;HOUR(INDEX(MATCHER!$C$5:$C$504,T508))&amp;":"&amp;IF(MINUTE(INDEX(MATCHER!$C$5:$C$504,T508))&lt;10,"0","")&amp;MINUTE(INDEX(MATCHER!$C$5:$C$504,T508))&amp;" "&amp;INDEX(MATCHER!$H$5:$H$504,T508)&amp;" – "&amp;INDEX(MATCHER!$I$5:$I$504,T508))&amp;IF(AF508="",""," | "&amp;HOUR(INDEX(MATCHER!$C$5:$C$504,AF508))&amp;":"&amp;IF(MINUTE(INDEX(MATCHER!$C$5:$C$504,AF508))&lt;10,"0","")&amp;MINUTE(INDEX(MATCHER!$C$5:$C$504,AF508))&amp;" "&amp;INDEX(MATCHER!$H$5:$H$504,AF508)&amp;" – "&amp;INDEX(MATCHER!$I$5:$I$504,AF508))</f>
        <v>11:30 Hammarby IF HF – Skuru IK 2</v>
      </c>
      <c r="G508" s="45" t="str">
        <f>MID(IF(R508="","",IF(OR(INDEX(MATCHER!$J$5:$J$504,R508)=""),""," / "&amp;INDEX(MATCHER!$J$5:$J$504,R508)))&amp;IF(S508="","",IF(OR(INDEX(MATCHER!$J$5:$J$504,S508)="",INDEX(MATCHER!$J$5:$J$504,S508)=IFERROR(INDEX(MATCHER!$J$5:$J$504,R508),"")),""," / "&amp;INDEX(MATCHER!$J$5:$J$504,S508)))&amp;IF(T508="","",IF(OR(INDEX(MATCHER!$J$5:$J$504,T508)="",INDEX(MATCHER!$J$5:$J$504,T508)=IFERROR(INDEX(MATCHER!$J$5:$J$504,R508),""),INDEX(MATCHER!$J$5:$J$504,T508)=IFERROR(INDEX(MATCHER!$J$5:$J$504,S508),"")),""," / "&amp;INDEX(MATCHER!$J$5:$J$504,T508)))&amp;IF(AF508="","",IF(OR(INDEX(MATCHER!$J$5:$J$504,AF508)="",INDEX(MATCHER!$J$5:$J$504,AF508)=IFERROR(INDEX(MATCHER!$J$5:$J$504,R508),""),INDEX(MATCHER!$J$5:$J$504,AF508)=IFERROR(INDEX(MATCHER!$J$5:$J$504,S508),""),INDEX(MATCHER!$J$5:$J$504,AF508)=IFERROR(INDEX(MATCHER!$J$5:$J$504,T508),"")),""," / "&amp;INDEX(MATCHER!$J$5:$J$504,AF508))),4,1000)</f>
        <v/>
      </c>
      <c r="H508" s="45" t="str">
        <f t="shared" si="110"/>
        <v>P12</v>
      </c>
      <c r="I508" s="46" t="s">
        <v>90</v>
      </c>
      <c r="J508" s="47" t="s">
        <v>117</v>
      </c>
      <c r="K508" s="48"/>
      <c r="L508" s="49"/>
      <c r="M508" s="50" t="str">
        <f>IF(O508&lt;&gt;O507,MAX(1,MIN(AA508,ROUNDUP(SUMPRODUCT(($O$5:$O$546=O508)*($I$5:$I$546="Ja")*($E$5:$E$546-$D$5:$D$546))*24/REGLER!$B$8,0))),"")</f>
        <v/>
      </c>
      <c r="N508" s="50" t="str">
        <f t="shared" si="99"/>
        <v>Klar</v>
      </c>
      <c r="O508" s="15" t="s">
        <v>163</v>
      </c>
      <c r="P508" s="16">
        <v>0.39583333333333298</v>
      </c>
      <c r="Q508" s="16">
        <v>0.5625</v>
      </c>
      <c r="R508" s="15">
        <f>IFERROR(MATCH(1,INDEX((MATCHER!$B$5:$B$504=A508)*(MATCHER!$D$5:$D$504=C508)*(MATCHER!$K$5:$K$504="Ja")*(MATCHER!$C$5:$C$504&lt;E508)*(MATCHER!$M$5:$M$504&gt;D508),0),0),"")</f>
        <v>183</v>
      </c>
      <c r="S508" s="15" t="str">
        <f>IF(R508="","",IFERROR(MATCH(1,INDEX((MATCHER!$B$5:$B$504=A508)*(MATCHER!$D$5:$D$504=C508)*(MATCHER!$K$5:$K$504="Ja")*(MATCHER!$C$5:$C$504&lt;E508)*(MATCHER!$M$5:$M$504&gt;D508)*(ROW(MATCHER!$A$5:$A$504)-ROW(MATCHER!$A$5)+1&gt;R508),0),0),""))</f>
        <v/>
      </c>
      <c r="T508" s="15" t="str">
        <f>IF(S508="","",IFERROR(MATCH(1,INDEX((MATCHER!$B$5:$B$504=A508)*(MATCHER!$D$5:$D$504=C508)*(MATCHER!$K$5:$K$504="Ja")*(MATCHER!$C$5:$C$504&lt;E508)*(MATCHER!$M$5:$M$504&gt;D508)*(ROW(MATCHER!$A$5:$A$504)-ROW(MATCHER!$A$5)+1&gt;S508),0),0),""))</f>
        <v/>
      </c>
      <c r="U508" s="15">
        <f t="shared" si="100"/>
        <v>0</v>
      </c>
      <c r="V508" s="15">
        <f>IF(OR(I508&lt;&gt;"Ja",J508=""),"",COUNTIFS($O$5:O508,O508,$U$5:U508,1))</f>
        <v>1</v>
      </c>
      <c r="W508" s="15" t="str">
        <f t="shared" si="101"/>
        <v>2027-03-20 | Tallbackaskolan|1</v>
      </c>
      <c r="X508" s="16" t="str">
        <f t="shared" si="102"/>
        <v/>
      </c>
      <c r="Y508" s="15">
        <f>IF(OR(I508&lt;&gt;"Ja",J508=""),0,IF(COUNTIFS($O$5:O508,O508,$I$5:I508,"Ja",$J$5:J508,"&lt;&gt;")=1,1,0))</f>
        <v>0</v>
      </c>
      <c r="Z508" s="15">
        <f>IF(OR(I508&lt;&gt;"Ja",J508=""),0,IF(COUNTIFS(O508:$O$546,O508,I508:$I$546,"Ja",J508:$J$546,"&lt;&gt;")=1,1,0))</f>
        <v>0</v>
      </c>
      <c r="AA508" s="15">
        <f t="shared" si="111"/>
        <v>1</v>
      </c>
      <c r="AB508" s="15" t="str">
        <f>IF(U508&lt;&gt;1,"",COUNTIF($U$5:U508,1))</f>
        <v/>
      </c>
      <c r="AC508" s="15" t="str">
        <f t="shared" si="103"/>
        <v/>
      </c>
      <c r="AD508" s="15" t="str">
        <f t="shared" si="104"/>
        <v>Vanligt café</v>
      </c>
      <c r="AE508" s="15" t="str">
        <f t="shared" si="105"/>
        <v/>
      </c>
      <c r="AF508" t="str">
        <f>IF(T508="","",IFERROR(MATCH(1,INDEX((MATCHER!$B$5:$B$504=A508)*(MATCHER!$D$5:$D$504=C508)*(MATCHER!$K$5:$K$504="Ja")*(MATCHER!$C$5:$C$504&lt;E508)*(MATCHER!$M$5:$M$504&gt;D508)*(ROW(MATCHER!$A$5:$A$504)-ROW(MATCHER!$A$5)+1&gt;T508),0),0),""))</f>
        <v/>
      </c>
    </row>
    <row r="509" spans="1:32" ht="26">
      <c r="A509" s="42">
        <v>46466</v>
      </c>
      <c r="B509" s="43" t="s">
        <v>85</v>
      </c>
      <c r="C509" s="43" t="s">
        <v>110</v>
      </c>
      <c r="D509" s="44">
        <v>0.52083333333333304</v>
      </c>
      <c r="E509" s="44">
        <v>0.54166666666666696</v>
      </c>
      <c r="F509" s="45" t="str">
        <f>IF(R509="","",HOUR(INDEX(MATCHER!$C$5:$C$504,R509))&amp;":"&amp;IF(MINUTE(INDEX(MATCHER!$C$5:$C$504,R509))&lt;10,"0","")&amp;MINUTE(INDEX(MATCHER!$C$5:$C$504,R509))&amp;" "&amp;INDEX(MATCHER!$H$5:$H$504,R509)&amp;" – "&amp;INDEX(MATCHER!$I$5:$I$504,R509))&amp;IF(S509="",""," | "&amp;HOUR(INDEX(MATCHER!$C$5:$C$504,S509))&amp;":"&amp;IF(MINUTE(INDEX(MATCHER!$C$5:$C$504,S509))&lt;10,"0","")&amp;MINUTE(INDEX(MATCHER!$C$5:$C$504,S509))&amp;" "&amp;INDEX(MATCHER!$H$5:$H$504,S509)&amp;" – "&amp;INDEX(MATCHER!$I$5:$I$504,S509))&amp;IF(T509="",""," | "&amp;HOUR(INDEX(MATCHER!$C$5:$C$504,T509))&amp;":"&amp;IF(MINUTE(INDEX(MATCHER!$C$5:$C$504,T509))&lt;10,"0","")&amp;MINUTE(INDEX(MATCHER!$C$5:$C$504,T509))&amp;" "&amp;INDEX(MATCHER!$H$5:$H$504,T509)&amp;" – "&amp;INDEX(MATCHER!$I$5:$I$504,T509))&amp;IF(AF509="",""," | "&amp;HOUR(INDEX(MATCHER!$C$5:$C$504,AF509))&amp;":"&amp;IF(MINUTE(INDEX(MATCHER!$C$5:$C$504,AF509))&lt;10,"0","")&amp;MINUTE(INDEX(MATCHER!$C$5:$C$504,AF509))&amp;" "&amp;INDEX(MATCHER!$H$5:$H$504,AF509)&amp;" – "&amp;INDEX(MATCHER!$I$5:$I$504,AF509))</f>
        <v>12:40 AIK 2 – Hammarby IF HF</v>
      </c>
      <c r="G509" s="45" t="str">
        <f>MID(IF(R509="","",IF(OR(INDEX(MATCHER!$J$5:$J$504,R509)=""),""," / "&amp;INDEX(MATCHER!$J$5:$J$504,R509)))&amp;IF(S509="","",IF(OR(INDEX(MATCHER!$J$5:$J$504,S509)="",INDEX(MATCHER!$J$5:$J$504,S509)=IFERROR(INDEX(MATCHER!$J$5:$J$504,R509),"")),""," / "&amp;INDEX(MATCHER!$J$5:$J$504,S509)))&amp;IF(T509="","",IF(OR(INDEX(MATCHER!$J$5:$J$504,T509)="",INDEX(MATCHER!$J$5:$J$504,T509)=IFERROR(INDEX(MATCHER!$J$5:$J$504,R509),""),INDEX(MATCHER!$J$5:$J$504,T509)=IFERROR(INDEX(MATCHER!$J$5:$J$504,S509),"")),""," / "&amp;INDEX(MATCHER!$J$5:$J$504,T509)))&amp;IF(AF509="","",IF(OR(INDEX(MATCHER!$J$5:$J$504,AF509)="",INDEX(MATCHER!$J$5:$J$504,AF509)=IFERROR(INDEX(MATCHER!$J$5:$J$504,R509),""),INDEX(MATCHER!$J$5:$J$504,AF509)=IFERROR(INDEX(MATCHER!$J$5:$J$504,S509),""),INDEX(MATCHER!$J$5:$J$504,AF509)=IFERROR(INDEX(MATCHER!$J$5:$J$504,T509),"")),""," / "&amp;INDEX(MATCHER!$J$5:$J$504,AF509))),4,1000)</f>
        <v>P12 2</v>
      </c>
      <c r="H509" s="45" t="str">
        <f t="shared" si="110"/>
        <v>P12</v>
      </c>
      <c r="I509" s="46" t="s">
        <v>90</v>
      </c>
      <c r="J509" s="47" t="s">
        <v>117</v>
      </c>
      <c r="K509" s="48"/>
      <c r="L509" s="49"/>
      <c r="M509" s="50" t="str">
        <f>IF(O509&lt;&gt;O508,MAX(1,MIN(AA509,ROUNDUP(SUMPRODUCT(($O$5:$O$546=O509)*($I$5:$I$546="Ja")*($E$5:$E$546-$D$5:$D$546))*24/REGLER!$B$8,0))),"")</f>
        <v/>
      </c>
      <c r="N509" s="50" t="str">
        <f t="shared" si="99"/>
        <v>Klar</v>
      </c>
      <c r="O509" s="15" t="s">
        <v>163</v>
      </c>
      <c r="P509" s="16">
        <v>0.39583333333333298</v>
      </c>
      <c r="Q509" s="16">
        <v>0.5625</v>
      </c>
      <c r="R509" s="15">
        <f>IFERROR(MATCH(1,INDEX((MATCHER!$B$5:$B$504=A509)*(MATCHER!$D$5:$D$504=C509)*(MATCHER!$K$5:$K$504="Ja")*(MATCHER!$C$5:$C$504&lt;E509)*(MATCHER!$M$5:$M$504&gt;D509),0),0),"")</f>
        <v>184</v>
      </c>
      <c r="S509" s="15" t="str">
        <f>IF(R509="","",IFERROR(MATCH(1,INDEX((MATCHER!$B$5:$B$504=A509)*(MATCHER!$D$5:$D$504=C509)*(MATCHER!$K$5:$K$504="Ja")*(MATCHER!$C$5:$C$504&lt;E509)*(MATCHER!$M$5:$M$504&gt;D509)*(ROW(MATCHER!$A$5:$A$504)-ROW(MATCHER!$A$5)+1&gt;R509),0),0),""))</f>
        <v/>
      </c>
      <c r="T509" s="15" t="str">
        <f>IF(S509="","",IFERROR(MATCH(1,INDEX((MATCHER!$B$5:$B$504=A509)*(MATCHER!$D$5:$D$504=C509)*(MATCHER!$K$5:$K$504="Ja")*(MATCHER!$C$5:$C$504&lt;E509)*(MATCHER!$M$5:$M$504&gt;D509)*(ROW(MATCHER!$A$5:$A$504)-ROW(MATCHER!$A$5)+1&gt;S509),0),0),""))</f>
        <v/>
      </c>
      <c r="U509" s="15">
        <f t="shared" si="100"/>
        <v>0</v>
      </c>
      <c r="V509" s="15">
        <f>IF(OR(I509&lt;&gt;"Ja",J509=""),"",COUNTIFS($O$5:O509,O509,$U$5:U509,1))</f>
        <v>1</v>
      </c>
      <c r="W509" s="15" t="str">
        <f t="shared" si="101"/>
        <v>2027-03-20 | Tallbackaskolan|1</v>
      </c>
      <c r="X509" s="16" t="str">
        <f t="shared" si="102"/>
        <v/>
      </c>
      <c r="Y509" s="15">
        <f>IF(OR(I509&lt;&gt;"Ja",J509=""),0,IF(COUNTIFS($O$5:O509,O509,$I$5:I509,"Ja",$J$5:J509,"&lt;&gt;")=1,1,0))</f>
        <v>0</v>
      </c>
      <c r="Z509" s="15">
        <f>IF(OR(I509&lt;&gt;"Ja",J509=""),0,IF(COUNTIFS(O509:$O$546,O509,I509:$I$546,"Ja",J509:$J$546,"&lt;&gt;")=1,1,0))</f>
        <v>0</v>
      </c>
      <c r="AA509" s="15">
        <f t="shared" si="111"/>
        <v>1</v>
      </c>
      <c r="AB509" s="15" t="str">
        <f>IF(U509&lt;&gt;1,"",COUNTIF($U$5:U509,1))</f>
        <v/>
      </c>
      <c r="AC509" s="15" t="str">
        <f t="shared" si="103"/>
        <v/>
      </c>
      <c r="AD509" s="15" t="str">
        <f t="shared" si="104"/>
        <v>Vanligt café</v>
      </c>
      <c r="AE509" s="15" t="str">
        <f t="shared" si="105"/>
        <v/>
      </c>
      <c r="AF509" t="str">
        <f>IF(T509="","",IFERROR(MATCH(1,INDEX((MATCHER!$B$5:$B$504=A509)*(MATCHER!$D$5:$D$504=C509)*(MATCHER!$K$5:$K$504="Ja")*(MATCHER!$C$5:$C$504&lt;E509)*(MATCHER!$M$5:$M$504&gt;D509)*(ROW(MATCHER!$A$5:$A$504)-ROW(MATCHER!$A$5)+1&gt;T509),0),0),""))</f>
        <v/>
      </c>
    </row>
    <row r="510" spans="1:32" ht="26.5" thickBot="1">
      <c r="A510" s="52">
        <v>46466</v>
      </c>
      <c r="B510" s="53" t="s">
        <v>85</v>
      </c>
      <c r="C510" s="53" t="s">
        <v>110</v>
      </c>
      <c r="D510" s="54">
        <v>0.54166666666666696</v>
      </c>
      <c r="E510" s="54">
        <v>0.5625</v>
      </c>
      <c r="F510" s="55" t="str">
        <f>IF(R510="","",HOUR(INDEX(MATCHER!$C$5:$C$504,R510))&amp;":"&amp;IF(MINUTE(INDEX(MATCHER!$C$5:$C$504,R510))&lt;10,"0","")&amp;MINUTE(INDEX(MATCHER!$C$5:$C$504,R510))&amp;" "&amp;INDEX(MATCHER!$H$5:$H$504,R510)&amp;" – "&amp;INDEX(MATCHER!$I$5:$I$504,R510))&amp;IF(S510="",""," | "&amp;HOUR(INDEX(MATCHER!$C$5:$C$504,S510))&amp;":"&amp;IF(MINUTE(INDEX(MATCHER!$C$5:$C$504,S510))&lt;10,"0","")&amp;MINUTE(INDEX(MATCHER!$C$5:$C$504,S510))&amp;" "&amp;INDEX(MATCHER!$H$5:$H$504,S510)&amp;" – "&amp;INDEX(MATCHER!$I$5:$I$504,S510))&amp;IF(T510="",""," | "&amp;HOUR(INDEX(MATCHER!$C$5:$C$504,T510))&amp;":"&amp;IF(MINUTE(INDEX(MATCHER!$C$5:$C$504,T510))&lt;10,"0","")&amp;MINUTE(INDEX(MATCHER!$C$5:$C$504,T510))&amp;" "&amp;INDEX(MATCHER!$H$5:$H$504,T510)&amp;" – "&amp;INDEX(MATCHER!$I$5:$I$504,T510))&amp;IF(AF510="",""," | "&amp;HOUR(INDEX(MATCHER!$C$5:$C$504,AF510))&amp;":"&amp;IF(MINUTE(INDEX(MATCHER!$C$5:$C$504,AF510))&lt;10,"0","")&amp;MINUTE(INDEX(MATCHER!$C$5:$C$504,AF510))&amp;" "&amp;INDEX(MATCHER!$H$5:$H$504,AF510)&amp;" – "&amp;INDEX(MATCHER!$I$5:$I$504,AF510))</f>
        <v>12:40 AIK 2 – Hammarby IF HF</v>
      </c>
      <c r="G510" s="55" t="str">
        <f>MID(IF(R510="","",IF(OR(INDEX(MATCHER!$J$5:$J$504,R510)=""),""," / "&amp;INDEX(MATCHER!$J$5:$J$504,R510)))&amp;IF(S510="","",IF(OR(INDEX(MATCHER!$J$5:$J$504,S510)="",INDEX(MATCHER!$J$5:$J$504,S510)=IFERROR(INDEX(MATCHER!$J$5:$J$504,R510),"")),""," / "&amp;INDEX(MATCHER!$J$5:$J$504,S510)))&amp;IF(T510="","",IF(OR(INDEX(MATCHER!$J$5:$J$504,T510)="",INDEX(MATCHER!$J$5:$J$504,T510)=IFERROR(INDEX(MATCHER!$J$5:$J$504,R510),""),INDEX(MATCHER!$J$5:$J$504,T510)=IFERROR(INDEX(MATCHER!$J$5:$J$504,S510),"")),""," / "&amp;INDEX(MATCHER!$J$5:$J$504,T510)))&amp;IF(AF510="","",IF(OR(INDEX(MATCHER!$J$5:$J$504,AF510)="",INDEX(MATCHER!$J$5:$J$504,AF510)=IFERROR(INDEX(MATCHER!$J$5:$J$504,R510),""),INDEX(MATCHER!$J$5:$J$504,AF510)=IFERROR(INDEX(MATCHER!$J$5:$J$504,S510),""),INDEX(MATCHER!$J$5:$J$504,AF510)=IFERROR(INDEX(MATCHER!$J$5:$J$504,T510),"")),""," / "&amp;INDEX(MATCHER!$J$5:$J$504,AF510))),4,1000)</f>
        <v>P12 2</v>
      </c>
      <c r="H510" s="55" t="str">
        <f t="shared" si="110"/>
        <v>P12</v>
      </c>
      <c r="I510" s="56" t="s">
        <v>90</v>
      </c>
      <c r="J510" s="57" t="s">
        <v>117</v>
      </c>
      <c r="K510" s="58"/>
      <c r="L510" s="59"/>
      <c r="M510" s="60" t="str">
        <f>IF(O510&lt;&gt;O509,MAX(1,MIN(AA510,ROUNDUP(SUMPRODUCT(($O$5:$O$546=O510)*($I$5:$I$546="Ja")*($E$5:$E$546-$D$5:$D$546))*24/REGLER!$B$8,0))),"")</f>
        <v/>
      </c>
      <c r="N510" s="60" t="str">
        <f t="shared" si="99"/>
        <v>Klar</v>
      </c>
      <c r="O510" s="15" t="s">
        <v>163</v>
      </c>
      <c r="P510" s="16">
        <v>0.39583333333333298</v>
      </c>
      <c r="Q510" s="16">
        <v>0.5625</v>
      </c>
      <c r="R510" s="15">
        <f>IFERROR(MATCH(1,INDEX((MATCHER!$B$5:$B$504=A510)*(MATCHER!$D$5:$D$504=C510)*(MATCHER!$K$5:$K$504="Ja")*(MATCHER!$C$5:$C$504&lt;E510)*(MATCHER!$M$5:$M$504&gt;D510),0),0),"")</f>
        <v>184</v>
      </c>
      <c r="S510" s="15" t="str">
        <f>IF(R510="","",IFERROR(MATCH(1,INDEX((MATCHER!$B$5:$B$504=A510)*(MATCHER!$D$5:$D$504=C510)*(MATCHER!$K$5:$K$504="Ja")*(MATCHER!$C$5:$C$504&lt;E510)*(MATCHER!$M$5:$M$504&gt;D510)*(ROW(MATCHER!$A$5:$A$504)-ROW(MATCHER!$A$5)+1&gt;R510),0),0),""))</f>
        <v/>
      </c>
      <c r="T510" s="15" t="str">
        <f>IF(S510="","",IFERROR(MATCH(1,INDEX((MATCHER!$B$5:$B$504=A510)*(MATCHER!$D$5:$D$504=C510)*(MATCHER!$K$5:$K$504="Ja")*(MATCHER!$C$5:$C$504&lt;E510)*(MATCHER!$M$5:$M$504&gt;D510)*(ROW(MATCHER!$A$5:$A$504)-ROW(MATCHER!$A$5)+1&gt;S510),0),0),""))</f>
        <v/>
      </c>
      <c r="U510" s="15">
        <f t="shared" si="100"/>
        <v>0</v>
      </c>
      <c r="V510" s="15">
        <f>IF(OR(I510&lt;&gt;"Ja",J510=""),"",COUNTIFS($O$5:O510,O510,$U$5:U510,1))</f>
        <v>1</v>
      </c>
      <c r="W510" s="15" t="str">
        <f t="shared" si="101"/>
        <v>2027-03-20 | Tallbackaskolan|1</v>
      </c>
      <c r="X510" s="16">
        <f t="shared" si="102"/>
        <v>0.5625</v>
      </c>
      <c r="Y510" s="15">
        <f>IF(OR(I510&lt;&gt;"Ja",J510=""),0,IF(COUNTIFS($O$5:O510,O510,$I$5:I510,"Ja",$J$5:J510,"&lt;&gt;")=1,1,0))</f>
        <v>0</v>
      </c>
      <c r="Z510" s="15">
        <f>IF(OR(I510&lt;&gt;"Ja",J510=""),0,IF(COUNTIFS(O510:$O$546,O510,I510:$I$546,"Ja",J510:$J$546,"&lt;&gt;")=1,1,0))</f>
        <v>1</v>
      </c>
      <c r="AA510" s="15">
        <f t="shared" si="111"/>
        <v>1</v>
      </c>
      <c r="AB510" s="15" t="str">
        <f>IF(U510&lt;&gt;1,"",COUNTIF($U$5:U510,1))</f>
        <v/>
      </c>
      <c r="AC510" s="15" t="str">
        <f t="shared" si="103"/>
        <v>2027-03-20 | Tallbackaskolan|1</v>
      </c>
      <c r="AD510" s="15" t="str">
        <f t="shared" si="104"/>
        <v>Vanligt café</v>
      </c>
      <c r="AE510" s="15" t="str">
        <f t="shared" si="105"/>
        <v/>
      </c>
      <c r="AF510" t="str">
        <f>IF(T510="","",IFERROR(MATCH(1,INDEX((MATCHER!$B$5:$B$504=A510)*(MATCHER!$D$5:$D$504=C510)*(MATCHER!$K$5:$K$504="Ja")*(MATCHER!$C$5:$C$504&lt;E510)*(MATCHER!$M$5:$M$504&gt;D510)*(ROW(MATCHER!$A$5:$A$504)-ROW(MATCHER!$A$5)+1&gt;T510),0),0),""))</f>
        <v/>
      </c>
    </row>
    <row r="511" spans="1:32" ht="26">
      <c r="A511" s="42">
        <v>46466</v>
      </c>
      <c r="B511" s="43" t="s">
        <v>85</v>
      </c>
      <c r="C511" s="43" t="s">
        <v>86</v>
      </c>
      <c r="D511" s="44">
        <v>0.33333333333333298</v>
      </c>
      <c r="E511" s="44">
        <v>0.35416666666666702</v>
      </c>
      <c r="F511" s="45" t="str">
        <f>IF(R511="","",HOUR(INDEX(MATCHER!$C$5:$C$504,R511))&amp;":"&amp;IF(MINUTE(INDEX(MATCHER!$C$5:$C$504,R511))&lt;10,"0","")&amp;MINUTE(INDEX(MATCHER!$C$5:$C$504,R511))&amp;" "&amp;INDEX(MATCHER!$H$5:$H$504,R511)&amp;" – "&amp;INDEX(MATCHER!$I$5:$I$504,R511))&amp;IF(S511="",""," | "&amp;HOUR(INDEX(MATCHER!$C$5:$C$504,S511))&amp;":"&amp;IF(MINUTE(INDEX(MATCHER!$C$5:$C$504,S511))&lt;10,"0","")&amp;MINUTE(INDEX(MATCHER!$C$5:$C$504,S511))&amp;" "&amp;INDEX(MATCHER!$H$5:$H$504,S511)&amp;" – "&amp;INDEX(MATCHER!$I$5:$I$504,S511))&amp;IF(T511="",""," | "&amp;HOUR(INDEX(MATCHER!$C$5:$C$504,T511))&amp;":"&amp;IF(MINUTE(INDEX(MATCHER!$C$5:$C$504,T511))&lt;10,"0","")&amp;MINUTE(INDEX(MATCHER!$C$5:$C$504,T511))&amp;" "&amp;INDEX(MATCHER!$H$5:$H$504,T511)&amp;" – "&amp;INDEX(MATCHER!$I$5:$I$504,T511))&amp;IF(AF511="",""," | "&amp;HOUR(INDEX(MATCHER!$C$5:$C$504,AF511))&amp;":"&amp;IF(MINUTE(INDEX(MATCHER!$C$5:$C$504,AF511))&lt;10,"0","")&amp;MINUTE(INDEX(MATCHER!$C$5:$C$504,AF511))&amp;" "&amp;INDEX(MATCHER!$H$5:$H$504,AF511)&amp;" – "&amp;INDEX(MATCHER!$I$5:$I$504,AF511))</f>
        <v/>
      </c>
      <c r="G511" s="45" t="str">
        <f>MID(IF(R511="","",IF(OR(INDEX(MATCHER!$J$5:$J$504,R511)=""),""," / "&amp;INDEX(MATCHER!$J$5:$J$504,R511)))&amp;IF(S511="","",IF(OR(INDEX(MATCHER!$J$5:$J$504,S511)="",INDEX(MATCHER!$J$5:$J$504,S511)=IFERROR(INDEX(MATCHER!$J$5:$J$504,R511),"")),""," / "&amp;INDEX(MATCHER!$J$5:$J$504,S511)))&amp;IF(T511="","",IF(OR(INDEX(MATCHER!$J$5:$J$504,T511)="",INDEX(MATCHER!$J$5:$J$504,T511)=IFERROR(INDEX(MATCHER!$J$5:$J$504,R511),""),INDEX(MATCHER!$J$5:$J$504,T511)=IFERROR(INDEX(MATCHER!$J$5:$J$504,S511),"")),""," / "&amp;INDEX(MATCHER!$J$5:$J$504,T511)))&amp;IF(AF511="","",IF(OR(INDEX(MATCHER!$J$5:$J$504,AF511)="",INDEX(MATCHER!$J$5:$J$504,AF511)=IFERROR(INDEX(MATCHER!$J$5:$J$504,R511),""),INDEX(MATCHER!$J$5:$J$504,AF511)=IFERROR(INDEX(MATCHER!$J$5:$J$504,S511),""),INDEX(MATCHER!$J$5:$J$504,AF511)=IFERROR(INDEX(MATCHER!$J$5:$J$504,T511),"")),""," / "&amp;INDEX(MATCHER!$J$5:$J$504,AF511))),4,1000)</f>
        <v/>
      </c>
      <c r="H511" s="45" t="str">
        <f>MID(IF(COUNTIFS(MATCHER!$B$5:$B$504,A511,MATCHER!$D$5:$D$504,C511,MATCHER!$J$5:$J$504,REGLER!$I$6,MATCHER!$K$5:$K$504,"Ja")+COUNTIFS(MATCHER!$B$5:$B$504,A511,MATCHER!$D$5:$D$504,C511,MATCHER!$J$5:$J$504,REGLER!$I$6&amp;" 2",MATCHER!$K$5:$K$504,"Ja")&gt;0,", "&amp;REGLER!$I$6,"")&amp;IF(COUNTIFS(MATCHER!$B$5:$B$504,A511,MATCHER!$D$5:$D$504,C511,MATCHER!$J$5:$J$504,REGLER!$I$7,MATCHER!$K$5:$K$504,"Ja")+COUNTIFS(MATCHER!$B$5:$B$504,A511,MATCHER!$D$5:$D$504,C511,MATCHER!$J$5:$J$504,REGLER!$I$7&amp;" 2",MATCHER!$K$5:$K$504,"Ja")&gt;0,", "&amp;REGLER!$I$7,"")&amp;IF(COUNTIFS(MATCHER!$B$5:$B$504,A511,MATCHER!$D$5:$D$504,C511,MATCHER!$J$5:$J$504,REGLER!$I$8,MATCHER!$K$5:$K$504,"Ja")+COUNTIFS(MATCHER!$B$5:$B$504,A511,MATCHER!$D$5:$D$504,C511,MATCHER!$J$5:$J$504,REGLER!$I$8&amp;" 2",MATCHER!$K$5:$K$504,"Ja")&gt;0,", "&amp;REGLER!$I$8,"")&amp;IF(COUNTIFS(MATCHER!$B$5:$B$504,A511,MATCHER!$D$5:$D$504,C511,MATCHER!$J$5:$J$504,REGLER!$I$9,MATCHER!$K$5:$K$504,"Ja")+COUNTIFS(MATCHER!$B$5:$B$504,A511,MATCHER!$D$5:$D$504,C511,MATCHER!$J$5:$J$504,REGLER!$I$9&amp;" 2",MATCHER!$K$5:$K$504,"Ja")&gt;0,", "&amp;REGLER!$I$9,"")&amp;IF(COUNTIFS(MATCHER!$B$5:$B$504,A511,MATCHER!$D$5:$D$504,C511,MATCHER!$J$5:$J$504,REGLER!$I$10,MATCHER!$K$5:$K$504,"Ja")+COUNTIFS(MATCHER!$B$5:$B$504,A511,MATCHER!$D$5:$D$504,C511,MATCHER!$J$5:$J$504,REGLER!$I$10&amp;" 2",MATCHER!$K$5:$K$504,"Ja")&gt;0,", "&amp;REGLER!$I$10,"")&amp;IF(COUNTIFS(MATCHER!$B$5:$B$504,A511,MATCHER!$D$5:$D$504,C511,MATCHER!$J$5:$J$504,REGLER!$I$11,MATCHER!$K$5:$K$504,"Ja")+COUNTIFS(MATCHER!$B$5:$B$504,A511,MATCHER!$D$5:$D$504,C511,MATCHER!$J$5:$J$504,REGLER!$I$11&amp;" 2",MATCHER!$K$5:$K$504,"Ja")&gt;0,", "&amp;REGLER!$I$11,"")&amp;IF(COUNTIFS(MATCHER!$B$5:$B$504,A511,MATCHER!$D$5:$D$504,C511,MATCHER!$J$5:$J$504,REGLER!$I$12,MATCHER!$K$5:$K$504,"Ja")+COUNTIFS(MATCHER!$B$5:$B$504,A511,MATCHER!$D$5:$D$504,C511,MATCHER!$J$5:$J$504,REGLER!$I$12&amp;" 2",MATCHER!$K$5:$K$504,"Ja")&gt;0,", "&amp;REGLER!$I$12,"")&amp;IF(COUNTIFS(MATCHER!$B$5:$B$504,A511,MATCHER!$D$5:$D$504,C511,MATCHER!$J$5:$J$504,REGLER!$I$13,MATCHER!$K$5:$K$504,"Ja")+COUNTIFS(MATCHER!$B$5:$B$504,A511,MATCHER!$D$5:$D$504,C511,MATCHER!$J$5:$J$504,REGLER!$I$13&amp;" 2",MATCHER!$K$5:$K$504,"Ja")&gt;0,", "&amp;REGLER!$I$13,"")&amp;IF(COUNTIFS(MATCHER!$B$5:$B$504,A511,MATCHER!$D$5:$D$504,C511,MATCHER!$J$5:$J$504,REGLER!$I$14,MATCHER!$K$5:$K$504,"Ja")+COUNTIFS(MATCHER!$B$5:$B$504,A511,MATCHER!$D$5:$D$504,C511,MATCHER!$J$5:$J$504,REGLER!$I$14&amp;" 2",MATCHER!$K$5:$K$504,"Ja")&gt;0,", "&amp;REGLER!$I$14,"")&amp;IF(COUNTIFS(MATCHER!$B$5:$B$504,A511,MATCHER!$D$5:$D$504,C511,MATCHER!$J$5:$J$504,REGLER!$I$15,MATCHER!$K$5:$K$504,"Ja")+COUNTIFS(MATCHER!$B$5:$B$504,A511,MATCHER!$D$5:$D$504,C511,MATCHER!$J$5:$J$504,REGLER!$I$15&amp;" 2",MATCHER!$K$5:$K$504,"Ja")&gt;0,", "&amp;REGLER!$I$15,"")&amp;IF(COUNTIFS(MATCHER!$B$5:$B$504,A511,MATCHER!$D$5:$D$504,C511,MATCHER!$J$5:$J$504,REGLER!$I$16,MATCHER!$K$5:$K$504,"Ja")+COUNTIFS(MATCHER!$B$5:$B$504,A511,MATCHER!$D$5:$D$504,C511,MATCHER!$J$5:$J$504,REGLER!$I$16&amp;" 2",MATCHER!$K$5:$K$504,"Ja")&gt;0,", "&amp;REGLER!$I$16,"")&amp;IF(COUNTIFS(MATCHER!$B$5:$B$504,A511,MATCHER!$D$5:$D$504,C511,MATCHER!$J$5:$J$504,REGLER!$I$17,MATCHER!$K$5:$K$504,"Ja")+COUNTIFS(MATCHER!$B$5:$B$504,A511,MATCHER!$D$5:$D$504,C511,MATCHER!$J$5:$J$504,REGLER!$I$17&amp;" 2",MATCHER!$K$5:$K$504,"Ja")&gt;0,", "&amp;REGLER!$I$17,"")&amp;IF(COUNTIFS(MATCHER!$B$5:$B$504,A511,MATCHER!$D$5:$D$504,C511,MATCHER!$J$5:$J$504,REGLER!$I$18,MATCHER!$K$5:$K$504,"Ja")+COUNTIFS(MATCHER!$B$5:$B$504,A511,MATCHER!$D$5:$D$504,C511,MATCHER!$J$5:$J$504,REGLER!$I$18&amp;" 2",MATCHER!$K$5:$K$504,"Ja")&gt;0,", "&amp;REGLER!$I$18,"")&amp;IF(COUNTIFS(MATCHER!$B$5:$B$504,A511,MATCHER!$D$5:$D$504,C511,MATCHER!$J$5:$J$504,REGLER!$I$19,MATCHER!$K$5:$K$504,"Ja")+COUNTIFS(MATCHER!$B$5:$B$504,A511,MATCHER!$D$5:$D$504,C511,MATCHER!$J$5:$J$504,REGLER!$I$19&amp;" 2",MATCHER!$K$5:$K$504,"Ja")&gt;0,", "&amp;REGLER!$I$19,"")&amp;IF(COUNTIFS(MATCHER!$B$5:$B$504,A511,MATCHER!$D$5:$D$504,C511,MATCHER!$J$5:$J$504,REGLER!$I$20,MATCHER!$K$5:$K$504,"Ja")+COUNTIFS(MATCHER!$B$5:$B$504,A511,MATCHER!$D$5:$D$504,C511,MATCHER!$J$5:$J$504,REGLER!$I$20&amp;" 2",MATCHER!$K$5:$K$504,"Ja")&gt;0,", "&amp;REGLER!$I$20,"")&amp;IF(COUNTIFS(MATCHER!$B$5:$B$504,A511,MATCHER!$D$5:$D$504,C511,MATCHER!$J$5:$J$504,REGLER!$I$21,MATCHER!$K$5:$K$504,"Ja")+COUNTIFS(MATCHER!$B$5:$B$504,A511,MATCHER!$D$5:$D$504,C511,MATCHER!$J$5:$J$504,REGLER!$I$21&amp;" 2",MATCHER!$K$5:$K$504,"Ja")&gt;0,", "&amp;REGLER!$I$21,"")&amp;IF(COUNTIFS(MATCHER!$B$5:$B$504,A511,MATCHER!$D$5:$D$504,C511,MATCHER!$J$5:$J$504,REGLER!$I$22,MATCHER!$K$5:$K$504,"Ja")+COUNTIFS(MATCHER!$B$5:$B$504,A511,MATCHER!$D$5:$D$504,C511,MATCHER!$J$5:$J$504,REGLER!$I$22&amp;" 2",MATCHER!$K$5:$K$504,"Ja")&gt;0,", "&amp;REGLER!$I$22,"")&amp;IF(COUNTIFS(MATCHER!$B$5:$B$504,A511,MATCHER!$D$5:$D$504,C511,MATCHER!$J$5:$J$504,REGLER!$I$23,MATCHER!$K$5:$K$504,"Ja")+COUNTIFS(MATCHER!$B$5:$B$504,A511,MATCHER!$D$5:$D$504,C511,MATCHER!$J$5:$J$504,REGLER!$I$23&amp;" 2",MATCHER!$K$5:$K$504,"Ja")&gt;0,", "&amp;REGLER!$I$23,"")&amp;IF(COUNTIFS(MATCHER!$B$5:$B$504,A511,MATCHER!$D$5:$D$504,C511,MATCHER!$J$5:$J$504,REGLER!$I$24,MATCHER!$K$5:$K$504,"Ja")+COUNTIFS(MATCHER!$B$5:$B$504,A511,MATCHER!$D$5:$D$504,C511,MATCHER!$J$5:$J$504,REGLER!$I$24&amp;" 2",MATCHER!$K$5:$K$504,"Ja")&gt;0,", "&amp;REGLER!$I$24,"")&amp;IF(COUNTIFS(MATCHER!$B$5:$B$504,A511,MATCHER!$D$5:$D$504,C511,MATCHER!$J$5:$J$504,REGLER!$I$25,MATCHER!$K$5:$K$504,"Ja")+COUNTIFS(MATCHER!$B$5:$B$504,A511,MATCHER!$D$5:$D$504,C511,MATCHER!$J$5:$J$504,REGLER!$I$25&amp;" 2",MATCHER!$K$5:$K$504,"Ja")&gt;0,", "&amp;REGLER!$I$25,"")&amp;IF(COUNTIFS(MATCHER!$B$5:$B$504,A511,MATCHER!$D$5:$D$504,C511,MATCHER!$J$5:$J$504,REGLER!$I$26,MATCHER!$K$5:$K$504,"Ja")+COUNTIFS(MATCHER!$B$5:$B$504,A511,MATCHER!$D$5:$D$504,C511,MATCHER!$J$5:$J$504,REGLER!$I$26&amp;" 2",MATCHER!$K$5:$K$504,"Ja")&gt;0,", "&amp;REGLER!$I$26,""),3,1000)</f>
        <v>F13, F14</v>
      </c>
      <c r="I511" s="46" t="s">
        <v>90</v>
      </c>
      <c r="J511" s="47" t="s">
        <v>135</v>
      </c>
      <c r="K511" s="48" t="s">
        <v>88</v>
      </c>
      <c r="L511" s="49" t="s">
        <v>858</v>
      </c>
      <c r="M511" s="50">
        <f>IF(O511&lt;&gt;O510,MAX(1,MIN(AA511,ROUNDUP(SUMPRODUCT(($O$5:$O$546=O511)*($I$5:$I$546="Ja")*($E$5:$E$546-$D$5:$D$546))*24/REGLER!$B$8,0))),"")</f>
        <v>2</v>
      </c>
      <c r="N511" s="50" t="str">
        <f t="shared" si="99"/>
        <v>Kontrollera lag</v>
      </c>
      <c r="O511" s="15" t="s">
        <v>164</v>
      </c>
      <c r="P511" s="16">
        <v>0.33333333333333298</v>
      </c>
      <c r="Q511" s="16">
        <v>0.69791666666666696</v>
      </c>
      <c r="R511" s="15" t="str">
        <f>IFERROR(MATCH(1,INDEX((MATCHER!$B$5:$B$504=A511)*(MATCHER!$D$5:$D$504=C511)*(MATCHER!$K$5:$K$504="Ja")*(MATCHER!$C$5:$C$504&lt;E511)*(MATCHER!$M$5:$M$504&gt;D511),0),0),"")</f>
        <v/>
      </c>
      <c r="S511" s="15" t="str">
        <f>IF(R511="","",IFERROR(MATCH(1,INDEX((MATCHER!$B$5:$B$504=A511)*(MATCHER!$D$5:$D$504=C511)*(MATCHER!$K$5:$K$504="Ja")*(MATCHER!$C$5:$C$504&lt;E511)*(MATCHER!$M$5:$M$504&gt;D511)*(ROW(MATCHER!$A$5:$A$504)-ROW(MATCHER!$A$5)+1&gt;R511),0),0),""))</f>
        <v/>
      </c>
      <c r="T511" s="15" t="str">
        <f>IF(S511="","",IFERROR(MATCH(1,INDEX((MATCHER!$B$5:$B$504=A511)*(MATCHER!$D$5:$D$504=C511)*(MATCHER!$K$5:$K$504="Ja")*(MATCHER!$C$5:$C$504&lt;E511)*(MATCHER!$M$5:$M$504&gt;D511)*(ROW(MATCHER!$A$5:$A$504)-ROW(MATCHER!$A$5)+1&gt;S511),0),0),""))</f>
        <v/>
      </c>
      <c r="U511" s="15">
        <f t="shared" si="100"/>
        <v>1</v>
      </c>
      <c r="V511" s="15">
        <f>IF(OR(I511&lt;&gt;"Ja",J511=""),"",COUNTIFS($O$5:O511,O511,$U$5:U511,1))</f>
        <v>1</v>
      </c>
      <c r="W511" s="15" t="str">
        <f t="shared" si="101"/>
        <v>2027-03-20 | Ulriksdalshallen|1</v>
      </c>
      <c r="X511" s="16">
        <f t="shared" si="102"/>
        <v>0.35416666666666702</v>
      </c>
      <c r="Y511" s="15">
        <f>IF(OR(I511&lt;&gt;"Ja",J511=""),0,IF(COUNTIFS($O$5:O511,O511,$I$5:I511,"Ja",$J$5:J511,"&lt;&gt;")=1,1,0))</f>
        <v>1</v>
      </c>
      <c r="Z511" s="15">
        <f>IF(OR(I511&lt;&gt;"Ja",J511=""),0,IF(COUNTIFS(O511:$O$546,O511,I511:$I$546,"Ja",J511:$J$546,"&lt;&gt;")=1,1,0))</f>
        <v>0</v>
      </c>
      <c r="AA511" s="15">
        <f>IF(COUNTIFS(MATCHER!$B$5:$B$504,A511,MATCHER!$D$5:$D$504,C511,MATCHER!$J$5:$J$504,REGLER!$I$6,MATCHER!$K$5:$K$504,"Ja")+COUNTIFS(MATCHER!$B$5:$B$504,A511,MATCHER!$D$5:$D$504,C511,MATCHER!$J$5:$J$504,REGLER!$I$6&amp;" 2",MATCHER!$K$5:$K$504,"Ja")&gt;0,1,0)+IF(COUNTIFS(MATCHER!$B$5:$B$504,A511,MATCHER!$D$5:$D$504,C511,MATCHER!$J$5:$J$504,REGLER!$I$7,MATCHER!$K$5:$K$504,"Ja")+COUNTIFS(MATCHER!$B$5:$B$504,A511,MATCHER!$D$5:$D$504,C511,MATCHER!$J$5:$J$504,REGLER!$I$7&amp;" 2",MATCHER!$K$5:$K$504,"Ja")&gt;0,1,0)+IF(COUNTIFS(MATCHER!$B$5:$B$504,A511,MATCHER!$D$5:$D$504,C511,MATCHER!$J$5:$J$504,REGLER!$I$8,MATCHER!$K$5:$K$504,"Ja")+COUNTIFS(MATCHER!$B$5:$B$504,A511,MATCHER!$D$5:$D$504,C511,MATCHER!$J$5:$J$504,REGLER!$I$8&amp;" 2",MATCHER!$K$5:$K$504,"Ja")&gt;0,1,0)+IF(COUNTIFS(MATCHER!$B$5:$B$504,A511,MATCHER!$D$5:$D$504,C511,MATCHER!$J$5:$J$504,REGLER!$I$9,MATCHER!$K$5:$K$504,"Ja")+COUNTIFS(MATCHER!$B$5:$B$504,A511,MATCHER!$D$5:$D$504,C511,MATCHER!$J$5:$J$504,REGLER!$I$9&amp;" 2",MATCHER!$K$5:$K$504,"Ja")&gt;0,1,0)+IF(COUNTIFS(MATCHER!$B$5:$B$504,A511,MATCHER!$D$5:$D$504,C511,MATCHER!$J$5:$J$504,REGLER!$I$10,MATCHER!$K$5:$K$504,"Ja")+COUNTIFS(MATCHER!$B$5:$B$504,A511,MATCHER!$D$5:$D$504,C511,MATCHER!$J$5:$J$504,REGLER!$I$10&amp;" 2",MATCHER!$K$5:$K$504,"Ja")&gt;0,1,0)+IF(COUNTIFS(MATCHER!$B$5:$B$504,A511,MATCHER!$D$5:$D$504,C511,MATCHER!$J$5:$J$504,REGLER!$I$11,MATCHER!$K$5:$K$504,"Ja")+COUNTIFS(MATCHER!$B$5:$B$504,A511,MATCHER!$D$5:$D$504,C511,MATCHER!$J$5:$J$504,REGLER!$I$11&amp;" 2",MATCHER!$K$5:$K$504,"Ja")&gt;0,1,0)+IF(COUNTIFS(MATCHER!$B$5:$B$504,A511,MATCHER!$D$5:$D$504,C511,MATCHER!$J$5:$J$504,REGLER!$I$12,MATCHER!$K$5:$K$504,"Ja")+COUNTIFS(MATCHER!$B$5:$B$504,A511,MATCHER!$D$5:$D$504,C511,MATCHER!$J$5:$J$504,REGLER!$I$12&amp;" 2",MATCHER!$K$5:$K$504,"Ja")&gt;0,1,0)+IF(COUNTIFS(MATCHER!$B$5:$B$504,A511,MATCHER!$D$5:$D$504,C511,MATCHER!$J$5:$J$504,REGLER!$I$13,MATCHER!$K$5:$K$504,"Ja")+COUNTIFS(MATCHER!$B$5:$B$504,A511,MATCHER!$D$5:$D$504,C511,MATCHER!$J$5:$J$504,REGLER!$I$13&amp;" 2",MATCHER!$K$5:$K$504,"Ja")&gt;0,1,0)+IF(COUNTIFS(MATCHER!$B$5:$B$504,A511,MATCHER!$D$5:$D$504,C511,MATCHER!$J$5:$J$504,REGLER!$I$14,MATCHER!$K$5:$K$504,"Ja")+COUNTIFS(MATCHER!$B$5:$B$504,A511,MATCHER!$D$5:$D$504,C511,MATCHER!$J$5:$J$504,REGLER!$I$14&amp;" 2",MATCHER!$K$5:$K$504,"Ja")&gt;0,1,0)+IF(COUNTIFS(MATCHER!$B$5:$B$504,A511,MATCHER!$D$5:$D$504,C511,MATCHER!$J$5:$J$504,REGLER!$I$15,MATCHER!$K$5:$K$504,"Ja")+COUNTIFS(MATCHER!$B$5:$B$504,A511,MATCHER!$D$5:$D$504,C511,MATCHER!$J$5:$J$504,REGLER!$I$15&amp;" 2",MATCHER!$K$5:$K$504,"Ja")&gt;0,1,0)+IF(COUNTIFS(MATCHER!$B$5:$B$504,A511,MATCHER!$D$5:$D$504,C511,MATCHER!$J$5:$J$504,REGLER!$I$16,MATCHER!$K$5:$K$504,"Ja")+COUNTIFS(MATCHER!$B$5:$B$504,A511,MATCHER!$D$5:$D$504,C511,MATCHER!$J$5:$J$504,REGLER!$I$16&amp;" 2",MATCHER!$K$5:$K$504,"Ja")&gt;0,1,0)+IF(COUNTIFS(MATCHER!$B$5:$B$504,A511,MATCHER!$D$5:$D$504,C511,MATCHER!$J$5:$J$504,REGLER!$I$17,MATCHER!$K$5:$K$504,"Ja")+COUNTIFS(MATCHER!$B$5:$B$504,A511,MATCHER!$D$5:$D$504,C511,MATCHER!$J$5:$J$504,REGLER!$I$17&amp;" 2",MATCHER!$K$5:$K$504,"Ja")&gt;0,1,0)+IF(COUNTIFS(MATCHER!$B$5:$B$504,A511,MATCHER!$D$5:$D$504,C511,MATCHER!$J$5:$J$504,REGLER!$I$18,MATCHER!$K$5:$K$504,"Ja")+COUNTIFS(MATCHER!$B$5:$B$504,A511,MATCHER!$D$5:$D$504,C511,MATCHER!$J$5:$J$504,REGLER!$I$18&amp;" 2",MATCHER!$K$5:$K$504,"Ja")&gt;0,1,0)+IF(COUNTIFS(MATCHER!$B$5:$B$504,A511,MATCHER!$D$5:$D$504,C511,MATCHER!$J$5:$J$504,REGLER!$I$19,MATCHER!$K$5:$K$504,"Ja")+COUNTIFS(MATCHER!$B$5:$B$504,A511,MATCHER!$D$5:$D$504,C511,MATCHER!$J$5:$J$504,REGLER!$I$19&amp;" 2",MATCHER!$K$5:$K$504,"Ja")&gt;0,1,0)+IF(COUNTIFS(MATCHER!$B$5:$B$504,A511,MATCHER!$D$5:$D$504,C511,MATCHER!$J$5:$J$504,REGLER!$I$20,MATCHER!$K$5:$K$504,"Ja")+COUNTIFS(MATCHER!$B$5:$B$504,A511,MATCHER!$D$5:$D$504,C511,MATCHER!$J$5:$J$504,REGLER!$I$20&amp;" 2",MATCHER!$K$5:$K$504,"Ja")&gt;0,1,0)+IF(COUNTIFS(MATCHER!$B$5:$B$504,A511,MATCHER!$D$5:$D$504,C511,MATCHER!$J$5:$J$504,REGLER!$I$21,MATCHER!$K$5:$K$504,"Ja")+COUNTIFS(MATCHER!$B$5:$B$504,A511,MATCHER!$D$5:$D$504,C511,MATCHER!$J$5:$J$504,REGLER!$I$21&amp;" 2",MATCHER!$K$5:$K$504,"Ja")&gt;0,1,0)+IF(COUNTIFS(MATCHER!$B$5:$B$504,A511,MATCHER!$D$5:$D$504,C511,MATCHER!$J$5:$J$504,REGLER!$I$22,MATCHER!$K$5:$K$504,"Ja")+COUNTIFS(MATCHER!$B$5:$B$504,A511,MATCHER!$D$5:$D$504,C511,MATCHER!$J$5:$J$504,REGLER!$I$22&amp;" 2",MATCHER!$K$5:$K$504,"Ja")&gt;0,1,0)+IF(COUNTIFS(MATCHER!$B$5:$B$504,A511,MATCHER!$D$5:$D$504,C511,MATCHER!$J$5:$J$504,REGLER!$I$23,MATCHER!$K$5:$K$504,"Ja")+COUNTIFS(MATCHER!$B$5:$B$504,A511,MATCHER!$D$5:$D$504,C511,MATCHER!$J$5:$J$504,REGLER!$I$23&amp;" 2",MATCHER!$K$5:$K$504,"Ja")&gt;0,1,0)+IF(COUNTIFS(MATCHER!$B$5:$B$504,A511,MATCHER!$D$5:$D$504,C511,MATCHER!$J$5:$J$504,REGLER!$I$24,MATCHER!$K$5:$K$504,"Ja")+COUNTIFS(MATCHER!$B$5:$B$504,A511,MATCHER!$D$5:$D$504,C511,MATCHER!$J$5:$J$504,REGLER!$I$24&amp;" 2",MATCHER!$K$5:$K$504,"Ja")&gt;0,1,0)+IF(COUNTIFS(MATCHER!$B$5:$B$504,A511,MATCHER!$D$5:$D$504,C511,MATCHER!$J$5:$J$504,REGLER!$I$25,MATCHER!$K$5:$K$504,"Ja")+COUNTIFS(MATCHER!$B$5:$B$504,A511,MATCHER!$D$5:$D$504,C511,MATCHER!$J$5:$J$504,REGLER!$I$25&amp;" 2",MATCHER!$K$5:$K$504,"Ja")&gt;0,1,0)+IF(COUNTIFS(MATCHER!$B$5:$B$504,A511,MATCHER!$D$5:$D$504,C511,MATCHER!$J$5:$J$504,REGLER!$I$26,MATCHER!$K$5:$K$504,"Ja")+COUNTIFS(MATCHER!$B$5:$B$504,A511,MATCHER!$D$5:$D$504,C511,MATCHER!$J$5:$J$504,REGLER!$I$26&amp;" 2",MATCHER!$K$5:$K$504,"Ja")&gt;0,1,0)</f>
        <v>2</v>
      </c>
      <c r="AB511" s="15">
        <f>IF(U511&lt;&gt;1,"",COUNTIF($U$5:U511,1))</f>
        <v>96</v>
      </c>
      <c r="AC511" s="15" t="str">
        <f t="shared" si="103"/>
        <v>2027-03-20 | Ulriksdalshallen|1</v>
      </c>
      <c r="AD511" s="15" t="str">
        <f t="shared" si="104"/>
        <v>Vanligt café</v>
      </c>
      <c r="AE511" s="15">
        <f t="shared" si="105"/>
        <v>0.50000000000001688</v>
      </c>
      <c r="AF511" t="str">
        <f>IF(T511="","",IFERROR(MATCH(1,INDEX((MATCHER!$B$5:$B$504=A511)*(MATCHER!$D$5:$D$504=C511)*(MATCHER!$K$5:$K$504="Ja")*(MATCHER!$C$5:$C$504&lt;E511)*(MATCHER!$M$5:$M$504&gt;D511)*(ROW(MATCHER!$A$5:$A$504)-ROW(MATCHER!$A$5)+1&gt;T511),0),0),""))</f>
        <v/>
      </c>
    </row>
    <row r="512" spans="1:32" ht="26">
      <c r="A512" s="42">
        <v>46466</v>
      </c>
      <c r="B512" s="43" t="s">
        <v>85</v>
      </c>
      <c r="C512" s="43" t="s">
        <v>86</v>
      </c>
      <c r="D512" s="44">
        <v>0.35416666666666702</v>
      </c>
      <c r="E512" s="44">
        <v>0.375</v>
      </c>
      <c r="F512" s="45" t="str">
        <f>IF(R512="","",HOUR(INDEX(MATCHER!$C$5:$C$504,R512))&amp;":"&amp;IF(MINUTE(INDEX(MATCHER!$C$5:$C$504,R512))&lt;10,"0","")&amp;MINUTE(INDEX(MATCHER!$C$5:$C$504,R512))&amp;" "&amp;INDEX(MATCHER!$H$5:$H$504,R512)&amp;" – "&amp;INDEX(MATCHER!$I$5:$I$504,R512))&amp;IF(S512="",""," | "&amp;HOUR(INDEX(MATCHER!$C$5:$C$504,S512))&amp;":"&amp;IF(MINUTE(INDEX(MATCHER!$C$5:$C$504,S512))&lt;10,"0","")&amp;MINUTE(INDEX(MATCHER!$C$5:$C$504,S512))&amp;" "&amp;INDEX(MATCHER!$H$5:$H$504,S512)&amp;" – "&amp;INDEX(MATCHER!$I$5:$I$504,S512))&amp;IF(T512="",""," | "&amp;HOUR(INDEX(MATCHER!$C$5:$C$504,T512))&amp;":"&amp;IF(MINUTE(INDEX(MATCHER!$C$5:$C$504,T512))&lt;10,"0","")&amp;MINUTE(INDEX(MATCHER!$C$5:$C$504,T512))&amp;" "&amp;INDEX(MATCHER!$H$5:$H$504,T512)&amp;" – "&amp;INDEX(MATCHER!$I$5:$I$504,T512))&amp;IF(AF512="",""," | "&amp;HOUR(INDEX(MATCHER!$C$5:$C$504,AF512))&amp;":"&amp;IF(MINUTE(INDEX(MATCHER!$C$5:$C$504,AF512))&lt;10,"0","")&amp;MINUTE(INDEX(MATCHER!$C$5:$C$504,AF512))&amp;" "&amp;INDEX(MATCHER!$H$5:$H$504,AF512)&amp;" – "&amp;INDEX(MATCHER!$I$5:$I$504,AF512))</f>
        <v/>
      </c>
      <c r="G512" s="45" t="str">
        <f>MID(IF(R512="","",IF(OR(INDEX(MATCHER!$J$5:$J$504,R512)=""),""," / "&amp;INDEX(MATCHER!$J$5:$J$504,R512)))&amp;IF(S512="","",IF(OR(INDEX(MATCHER!$J$5:$J$504,S512)="",INDEX(MATCHER!$J$5:$J$504,S512)=IFERROR(INDEX(MATCHER!$J$5:$J$504,R512),"")),""," / "&amp;INDEX(MATCHER!$J$5:$J$504,S512)))&amp;IF(T512="","",IF(OR(INDEX(MATCHER!$J$5:$J$504,T512)="",INDEX(MATCHER!$J$5:$J$504,T512)=IFERROR(INDEX(MATCHER!$J$5:$J$504,R512),""),INDEX(MATCHER!$J$5:$J$504,T512)=IFERROR(INDEX(MATCHER!$J$5:$J$504,S512),"")),""," / "&amp;INDEX(MATCHER!$J$5:$J$504,T512)))&amp;IF(AF512="","",IF(OR(INDEX(MATCHER!$J$5:$J$504,AF512)="",INDEX(MATCHER!$J$5:$J$504,AF512)=IFERROR(INDEX(MATCHER!$J$5:$J$504,R512),""),INDEX(MATCHER!$J$5:$J$504,AF512)=IFERROR(INDEX(MATCHER!$J$5:$J$504,S512),""),INDEX(MATCHER!$J$5:$J$504,AF512)=IFERROR(INDEX(MATCHER!$J$5:$J$504,T512),"")),""," / "&amp;INDEX(MATCHER!$J$5:$J$504,AF512))),4,1000)</f>
        <v/>
      </c>
      <c r="H512" s="45" t="str">
        <f t="shared" ref="H512:H528" si="112">H511</f>
        <v>F13, F14</v>
      </c>
      <c r="I512" s="46" t="s">
        <v>90</v>
      </c>
      <c r="J512" s="47" t="s">
        <v>150</v>
      </c>
      <c r="K512" s="48"/>
      <c r="L512" s="49" t="s">
        <v>858</v>
      </c>
      <c r="M512" s="50" t="str">
        <f>IF(O512&lt;&gt;O511,MAX(1,MIN(AA512,ROUNDUP(SUMPRODUCT(($O$5:$O$546=O512)*($I$5:$I$546="Ja")*($E$5:$E$546-$D$5:$D$546))*24/REGLER!$B$8,0))),"")</f>
        <v/>
      </c>
      <c r="N512" s="50" t="str">
        <f t="shared" si="99"/>
        <v>Kontrollera lag</v>
      </c>
      <c r="O512" s="15" t="s">
        <v>164</v>
      </c>
      <c r="P512" s="16">
        <v>0.33333333333333298</v>
      </c>
      <c r="Q512" s="16">
        <v>0.69791666666666696</v>
      </c>
      <c r="R512" s="15" t="str">
        <f>IFERROR(MATCH(1,INDEX((MATCHER!$B$5:$B$504=A512)*(MATCHER!$D$5:$D$504=C512)*(MATCHER!$K$5:$K$504="Ja")*(MATCHER!$C$5:$C$504&lt;E512)*(MATCHER!$M$5:$M$504&gt;D512),0),0),"")</f>
        <v/>
      </c>
      <c r="S512" s="15" t="str">
        <f>IF(R512="","",IFERROR(MATCH(1,INDEX((MATCHER!$B$5:$B$504=A512)*(MATCHER!$D$5:$D$504=C512)*(MATCHER!$K$5:$K$504="Ja")*(MATCHER!$C$5:$C$504&lt;E512)*(MATCHER!$M$5:$M$504&gt;D512)*(ROW(MATCHER!$A$5:$A$504)-ROW(MATCHER!$A$5)+1&gt;R512),0),0),""))</f>
        <v/>
      </c>
      <c r="T512" s="15" t="str">
        <f>IF(S512="","",IFERROR(MATCH(1,INDEX((MATCHER!$B$5:$B$504=A512)*(MATCHER!$D$5:$D$504=C512)*(MATCHER!$K$5:$K$504="Ja")*(MATCHER!$C$5:$C$504&lt;E512)*(MATCHER!$M$5:$M$504&gt;D512)*(ROW(MATCHER!$A$5:$A$504)-ROW(MATCHER!$A$5)+1&gt;S512),0),0),""))</f>
        <v/>
      </c>
      <c r="U512" s="15">
        <f t="shared" si="100"/>
        <v>1</v>
      </c>
      <c r="V512" s="15">
        <f>IF(OR(I512&lt;&gt;"Ja",J512=""),"",COUNTIFS($O$5:O512,O512,$U$5:U512,1))</f>
        <v>2</v>
      </c>
      <c r="W512" s="15" t="str">
        <f t="shared" si="101"/>
        <v>2027-03-20 | Ulriksdalshallen|2</v>
      </c>
      <c r="X512" s="16">
        <f t="shared" si="102"/>
        <v>0.375</v>
      </c>
      <c r="Y512" s="15">
        <f>IF(OR(I512&lt;&gt;"Ja",J512=""),0,IF(COUNTIFS($O$5:O512,O512,$I$5:I512,"Ja",$J$5:J512,"&lt;&gt;")=1,1,0))</f>
        <v>0</v>
      </c>
      <c r="Z512" s="15">
        <f>IF(OR(I512&lt;&gt;"Ja",J512=""),0,IF(COUNTIFS(O512:$O$546,O512,I512:$I$546,"Ja",J512:$J$546,"&lt;&gt;")=1,1,0))</f>
        <v>0</v>
      </c>
      <c r="AA512" s="15">
        <f t="shared" ref="AA512:AA528" si="113">AA511</f>
        <v>2</v>
      </c>
      <c r="AB512" s="15">
        <f>IF(U512&lt;&gt;1,"",COUNTIF($U$5:U512,1))</f>
        <v>97</v>
      </c>
      <c r="AC512" s="15" t="str">
        <f t="shared" si="103"/>
        <v>2027-03-20 | Ulriksdalshallen|2</v>
      </c>
      <c r="AD512" s="15" t="str">
        <f t="shared" si="104"/>
        <v>Vanligt café</v>
      </c>
      <c r="AE512" s="15">
        <f t="shared" si="105"/>
        <v>0.49999999999999156</v>
      </c>
      <c r="AF512" t="str">
        <f>IF(T512="","",IFERROR(MATCH(1,INDEX((MATCHER!$B$5:$B$504=A512)*(MATCHER!$D$5:$D$504=C512)*(MATCHER!$K$5:$K$504="Ja")*(MATCHER!$C$5:$C$504&lt;E512)*(MATCHER!$M$5:$M$504&gt;D512)*(ROW(MATCHER!$A$5:$A$504)-ROW(MATCHER!$A$5)+1&gt;T512),0),0),""))</f>
        <v/>
      </c>
    </row>
    <row r="513" spans="1:32" ht="26">
      <c r="A513" s="42">
        <v>46466</v>
      </c>
      <c r="B513" s="43" t="s">
        <v>85</v>
      </c>
      <c r="C513" s="43" t="s">
        <v>86</v>
      </c>
      <c r="D513" s="44">
        <v>0.375</v>
      </c>
      <c r="E513" s="44">
        <v>0.39583333333333298</v>
      </c>
      <c r="F513" s="45" t="str">
        <f>IF(R513="","",HOUR(INDEX(MATCHER!$C$5:$C$504,R513))&amp;":"&amp;IF(MINUTE(INDEX(MATCHER!$C$5:$C$504,R513))&lt;10,"0","")&amp;MINUTE(INDEX(MATCHER!$C$5:$C$504,R513))&amp;" "&amp;INDEX(MATCHER!$H$5:$H$504,R513)&amp;" – "&amp;INDEX(MATCHER!$I$5:$I$504,R513))&amp;IF(S513="",""," | "&amp;HOUR(INDEX(MATCHER!$C$5:$C$504,S513))&amp;":"&amp;IF(MINUTE(INDEX(MATCHER!$C$5:$C$504,S513))&lt;10,"0","")&amp;MINUTE(INDEX(MATCHER!$C$5:$C$504,S513))&amp;" "&amp;INDEX(MATCHER!$H$5:$H$504,S513)&amp;" – "&amp;INDEX(MATCHER!$I$5:$I$504,S513))&amp;IF(T513="",""," | "&amp;HOUR(INDEX(MATCHER!$C$5:$C$504,T513))&amp;":"&amp;IF(MINUTE(INDEX(MATCHER!$C$5:$C$504,T513))&lt;10,"0","")&amp;MINUTE(INDEX(MATCHER!$C$5:$C$504,T513))&amp;" "&amp;INDEX(MATCHER!$H$5:$H$504,T513)&amp;" – "&amp;INDEX(MATCHER!$I$5:$I$504,T513))&amp;IF(AF513="",""," | "&amp;HOUR(INDEX(MATCHER!$C$5:$C$504,AF513))&amp;":"&amp;IF(MINUTE(INDEX(MATCHER!$C$5:$C$504,AF513))&lt;10,"0","")&amp;MINUTE(INDEX(MATCHER!$C$5:$C$504,AF513))&amp;" "&amp;INDEX(MATCHER!$H$5:$H$504,AF513)&amp;" – "&amp;INDEX(MATCHER!$I$5:$I$504,AF513))</f>
        <v>9:00 HF Öst – HF Öst 2</v>
      </c>
      <c r="G513" s="45" t="str">
        <f>MID(IF(R513="","",IF(OR(INDEX(MATCHER!$J$5:$J$504,R513)=""),""," / "&amp;INDEX(MATCHER!$J$5:$J$504,R513)))&amp;IF(S513="","",IF(OR(INDEX(MATCHER!$J$5:$J$504,S513)="",INDEX(MATCHER!$J$5:$J$504,S513)=IFERROR(INDEX(MATCHER!$J$5:$J$504,R513),"")),""," / "&amp;INDEX(MATCHER!$J$5:$J$504,S513)))&amp;IF(T513="","",IF(OR(INDEX(MATCHER!$J$5:$J$504,T513)="",INDEX(MATCHER!$J$5:$J$504,T513)=IFERROR(INDEX(MATCHER!$J$5:$J$504,R513),""),INDEX(MATCHER!$J$5:$J$504,T513)=IFERROR(INDEX(MATCHER!$J$5:$J$504,S513),"")),""," / "&amp;INDEX(MATCHER!$J$5:$J$504,T513)))&amp;IF(AF513="","",IF(OR(INDEX(MATCHER!$J$5:$J$504,AF513)="",INDEX(MATCHER!$J$5:$J$504,AF513)=IFERROR(INDEX(MATCHER!$J$5:$J$504,R513),""),INDEX(MATCHER!$J$5:$J$504,AF513)=IFERROR(INDEX(MATCHER!$J$5:$J$504,S513),""),INDEX(MATCHER!$J$5:$J$504,AF513)=IFERROR(INDEX(MATCHER!$J$5:$J$504,T513),"")),""," / "&amp;INDEX(MATCHER!$J$5:$J$504,AF513))),4,1000)</f>
        <v/>
      </c>
      <c r="H513" s="45" t="str">
        <f t="shared" si="112"/>
        <v>F13, F14</v>
      </c>
      <c r="I513" s="46" t="s">
        <v>90</v>
      </c>
      <c r="J513" s="47" t="s">
        <v>111</v>
      </c>
      <c r="K513" s="48"/>
      <c r="L513" s="157" t="s">
        <v>858</v>
      </c>
      <c r="M513" s="50" t="str">
        <f>IF(O513&lt;&gt;O512,MAX(1,MIN(AA513,ROUNDUP(SUMPRODUCT(($O$5:$O$546=O513)*($I$5:$I$546="Ja")*($E$5:$E$546-$D$5:$D$546))*24/REGLER!$B$8,0))),"")</f>
        <v/>
      </c>
      <c r="N513" s="50" t="str">
        <f t="shared" si="99"/>
        <v>Kontrollera lag</v>
      </c>
      <c r="O513" s="15" t="s">
        <v>164</v>
      </c>
      <c r="P513" s="16">
        <v>0.33333333333333298</v>
      </c>
      <c r="Q513" s="16">
        <v>0.69791666666666696</v>
      </c>
      <c r="R513" s="15">
        <f>IFERROR(MATCH(1,INDEX((MATCHER!$B$5:$B$504=A513)*(MATCHER!$D$5:$D$504=C513)*(MATCHER!$K$5:$K$504="Ja")*(MATCHER!$C$5:$C$504&lt;E513)*(MATCHER!$M$5:$M$504&gt;D513),0),0),"")</f>
        <v>185</v>
      </c>
      <c r="S513" s="15" t="str">
        <f>IF(R513="","",IFERROR(MATCH(1,INDEX((MATCHER!$B$5:$B$504=A513)*(MATCHER!$D$5:$D$504=C513)*(MATCHER!$K$5:$K$504="Ja")*(MATCHER!$C$5:$C$504&lt;E513)*(MATCHER!$M$5:$M$504&gt;D513)*(ROW(MATCHER!$A$5:$A$504)-ROW(MATCHER!$A$5)+1&gt;R513),0),0),""))</f>
        <v/>
      </c>
      <c r="T513" s="15" t="str">
        <f>IF(S513="","",IFERROR(MATCH(1,INDEX((MATCHER!$B$5:$B$504=A513)*(MATCHER!$D$5:$D$504=C513)*(MATCHER!$K$5:$K$504="Ja")*(MATCHER!$C$5:$C$504&lt;E513)*(MATCHER!$M$5:$M$504&gt;D513)*(ROW(MATCHER!$A$5:$A$504)-ROW(MATCHER!$A$5)+1&gt;S513),0),0),""))</f>
        <v/>
      </c>
      <c r="U513" s="15">
        <f t="shared" si="100"/>
        <v>1</v>
      </c>
      <c r="V513" s="15">
        <f>IF(OR(I513&lt;&gt;"Ja",J513=""),"",COUNTIFS($O$5:O513,O513,$U$5:U513,1))</f>
        <v>3</v>
      </c>
      <c r="W513" s="15" t="str">
        <f t="shared" si="101"/>
        <v>2027-03-20 | Ulriksdalshallen|3</v>
      </c>
      <c r="X513" s="16">
        <f t="shared" si="102"/>
        <v>0.39583333333333298</v>
      </c>
      <c r="Y513" s="15">
        <f>IF(OR(I513&lt;&gt;"Ja",J513=""),0,IF(COUNTIFS($O$5:O513,O513,$I$5:I513,"Ja",$J$5:J513,"&lt;&gt;")=1,1,0))</f>
        <v>0</v>
      </c>
      <c r="Z513" s="15">
        <f>IF(OR(I513&lt;&gt;"Ja",J513=""),0,IF(COUNTIFS(O513:$O$546,O513,I513:$I$546,"Ja",J513:$J$546,"&lt;&gt;")=1,1,0))</f>
        <v>0</v>
      </c>
      <c r="AA513" s="15">
        <f t="shared" si="113"/>
        <v>2</v>
      </c>
      <c r="AB513" s="15">
        <f>IF(U513&lt;&gt;1,"",COUNTIF($U$5:U513,1))</f>
        <v>98</v>
      </c>
      <c r="AC513" s="15" t="str">
        <f t="shared" si="103"/>
        <v>2027-03-20 | Ulriksdalshallen|3</v>
      </c>
      <c r="AD513" s="15" t="str">
        <f t="shared" si="104"/>
        <v>Vanligt café</v>
      </c>
      <c r="AE513" s="15">
        <f t="shared" si="105"/>
        <v>0.49999999999999156</v>
      </c>
      <c r="AF513" t="str">
        <f>IF(T513="","",IFERROR(MATCH(1,INDEX((MATCHER!$B$5:$B$504=A513)*(MATCHER!$D$5:$D$504=C513)*(MATCHER!$K$5:$K$504="Ja")*(MATCHER!$C$5:$C$504&lt;E513)*(MATCHER!$M$5:$M$504&gt;D513)*(ROW(MATCHER!$A$5:$A$504)-ROW(MATCHER!$A$5)+1&gt;T513),0),0),""))</f>
        <v/>
      </c>
    </row>
    <row r="514" spans="1:32" ht="26">
      <c r="A514" s="42">
        <v>46466</v>
      </c>
      <c r="B514" s="43" t="s">
        <v>85</v>
      </c>
      <c r="C514" s="43" t="s">
        <v>86</v>
      </c>
      <c r="D514" s="44">
        <v>0.39583333333333298</v>
      </c>
      <c r="E514" s="44">
        <v>0.41666666666666702</v>
      </c>
      <c r="F514" s="45" t="str">
        <f>IF(R514="","",HOUR(INDEX(MATCHER!$C$5:$C$504,R514))&amp;":"&amp;IF(MINUTE(INDEX(MATCHER!$C$5:$C$504,R514))&lt;10,"0","")&amp;MINUTE(INDEX(MATCHER!$C$5:$C$504,R514))&amp;" "&amp;INDEX(MATCHER!$H$5:$H$504,R514)&amp;" – "&amp;INDEX(MATCHER!$I$5:$I$504,R514))&amp;IF(S514="",""," | "&amp;HOUR(INDEX(MATCHER!$C$5:$C$504,S514))&amp;":"&amp;IF(MINUTE(INDEX(MATCHER!$C$5:$C$504,S514))&lt;10,"0","")&amp;MINUTE(INDEX(MATCHER!$C$5:$C$504,S514))&amp;" "&amp;INDEX(MATCHER!$H$5:$H$504,S514)&amp;" – "&amp;INDEX(MATCHER!$I$5:$I$504,S514))&amp;IF(T514="",""," | "&amp;HOUR(INDEX(MATCHER!$C$5:$C$504,T514))&amp;":"&amp;IF(MINUTE(INDEX(MATCHER!$C$5:$C$504,T514))&lt;10,"0","")&amp;MINUTE(INDEX(MATCHER!$C$5:$C$504,T514))&amp;" "&amp;INDEX(MATCHER!$H$5:$H$504,T514)&amp;" – "&amp;INDEX(MATCHER!$I$5:$I$504,T514))&amp;IF(AF514="",""," | "&amp;HOUR(INDEX(MATCHER!$C$5:$C$504,AF514))&amp;":"&amp;IF(MINUTE(INDEX(MATCHER!$C$5:$C$504,AF514))&lt;10,"0","")&amp;MINUTE(INDEX(MATCHER!$C$5:$C$504,AF514))&amp;" "&amp;INDEX(MATCHER!$H$5:$H$504,AF514)&amp;" – "&amp;INDEX(MATCHER!$I$5:$I$504,AF514))</f>
        <v>9:00 HF Öst – HF Öst 2</v>
      </c>
      <c r="G514" s="45" t="str">
        <f>MID(IF(R514="","",IF(OR(INDEX(MATCHER!$J$5:$J$504,R514)=""),""," / "&amp;INDEX(MATCHER!$J$5:$J$504,R514)))&amp;IF(S514="","",IF(OR(INDEX(MATCHER!$J$5:$J$504,S514)="",INDEX(MATCHER!$J$5:$J$504,S514)=IFERROR(INDEX(MATCHER!$J$5:$J$504,R514),"")),""," / "&amp;INDEX(MATCHER!$J$5:$J$504,S514)))&amp;IF(T514="","",IF(OR(INDEX(MATCHER!$J$5:$J$504,T514)="",INDEX(MATCHER!$J$5:$J$504,T514)=IFERROR(INDEX(MATCHER!$J$5:$J$504,R514),""),INDEX(MATCHER!$J$5:$J$504,T514)=IFERROR(INDEX(MATCHER!$J$5:$J$504,S514),"")),""," / "&amp;INDEX(MATCHER!$J$5:$J$504,T514)))&amp;IF(AF514="","",IF(OR(INDEX(MATCHER!$J$5:$J$504,AF514)="",INDEX(MATCHER!$J$5:$J$504,AF514)=IFERROR(INDEX(MATCHER!$J$5:$J$504,R514),""),INDEX(MATCHER!$J$5:$J$504,AF514)=IFERROR(INDEX(MATCHER!$J$5:$J$504,S514),""),INDEX(MATCHER!$J$5:$J$504,AF514)=IFERROR(INDEX(MATCHER!$J$5:$J$504,T514),"")),""," / "&amp;INDEX(MATCHER!$J$5:$J$504,AF514))),4,1000)</f>
        <v/>
      </c>
      <c r="H514" s="45" t="str">
        <f t="shared" si="112"/>
        <v>F13, F14</v>
      </c>
      <c r="I514" s="46" t="s">
        <v>90</v>
      </c>
      <c r="J514" s="47" t="s">
        <v>135</v>
      </c>
      <c r="K514" s="48"/>
      <c r="L514" s="49" t="s">
        <v>858</v>
      </c>
      <c r="M514" s="50" t="str">
        <f>IF(O514&lt;&gt;O513,MAX(1,MIN(AA514,ROUNDUP(SUMPRODUCT(($O$5:$O$546=O514)*($I$5:$I$546="Ja")*($E$5:$E$546-$D$5:$D$546))*24/REGLER!$B$8,0))),"")</f>
        <v/>
      </c>
      <c r="N514" s="50" t="str">
        <f t="shared" si="99"/>
        <v>Kontrollera lag</v>
      </c>
      <c r="O514" s="15" t="s">
        <v>164</v>
      </c>
      <c r="P514" s="16">
        <v>0.33333333333333298</v>
      </c>
      <c r="Q514" s="16">
        <v>0.69791666666666696</v>
      </c>
      <c r="R514" s="15">
        <f>IFERROR(MATCH(1,INDEX((MATCHER!$B$5:$B$504=A514)*(MATCHER!$D$5:$D$504=C514)*(MATCHER!$K$5:$K$504="Ja")*(MATCHER!$C$5:$C$504&lt;E514)*(MATCHER!$M$5:$M$504&gt;D514),0),0),"")</f>
        <v>185</v>
      </c>
      <c r="S514" s="15" t="str">
        <f>IF(R514="","",IFERROR(MATCH(1,INDEX((MATCHER!$B$5:$B$504=A514)*(MATCHER!$D$5:$D$504=C514)*(MATCHER!$K$5:$K$504="Ja")*(MATCHER!$C$5:$C$504&lt;E514)*(MATCHER!$M$5:$M$504&gt;D514)*(ROW(MATCHER!$A$5:$A$504)-ROW(MATCHER!$A$5)+1&gt;R514),0),0),""))</f>
        <v/>
      </c>
      <c r="T514" s="15" t="str">
        <f>IF(S514="","",IFERROR(MATCH(1,INDEX((MATCHER!$B$5:$B$504=A514)*(MATCHER!$D$5:$D$504=C514)*(MATCHER!$K$5:$K$504="Ja")*(MATCHER!$C$5:$C$504&lt;E514)*(MATCHER!$M$5:$M$504&gt;D514)*(ROW(MATCHER!$A$5:$A$504)-ROW(MATCHER!$A$5)+1&gt;S514),0),0),""))</f>
        <v/>
      </c>
      <c r="U514" s="15">
        <f t="shared" si="100"/>
        <v>1</v>
      </c>
      <c r="V514" s="15">
        <f>IF(OR(I514&lt;&gt;"Ja",J514=""),"",COUNTIFS($O$5:O514,O514,$U$5:U514,1))</f>
        <v>4</v>
      </c>
      <c r="W514" s="15" t="str">
        <f t="shared" si="101"/>
        <v>2027-03-20 | Ulriksdalshallen|4</v>
      </c>
      <c r="X514" s="16">
        <f t="shared" si="102"/>
        <v>0.41666666666666702</v>
      </c>
      <c r="Y514" s="15">
        <f>IF(OR(I514&lt;&gt;"Ja",J514=""),0,IF(COUNTIFS($O$5:O514,O514,$I$5:I514,"Ja",$J$5:J514,"&lt;&gt;")=1,1,0))</f>
        <v>0</v>
      </c>
      <c r="Z514" s="15">
        <f>IF(OR(I514&lt;&gt;"Ja",J514=""),0,IF(COUNTIFS(O514:$O$546,O514,I514:$I$546,"Ja",J514:$J$546,"&lt;&gt;")=1,1,0))</f>
        <v>0</v>
      </c>
      <c r="AA514" s="15">
        <f t="shared" si="113"/>
        <v>2</v>
      </c>
      <c r="AB514" s="15">
        <f>IF(U514&lt;&gt;1,"",COUNTIF($U$5:U514,1))</f>
        <v>99</v>
      </c>
      <c r="AC514" s="15" t="str">
        <f t="shared" si="103"/>
        <v>2027-03-20 | Ulriksdalshallen|4</v>
      </c>
      <c r="AD514" s="15" t="str">
        <f t="shared" si="104"/>
        <v>Vanligt café</v>
      </c>
      <c r="AE514" s="15">
        <f t="shared" si="105"/>
        <v>0.50000000000001688</v>
      </c>
      <c r="AF514" t="str">
        <f>IF(T514="","",IFERROR(MATCH(1,INDEX((MATCHER!$B$5:$B$504=A514)*(MATCHER!$D$5:$D$504=C514)*(MATCHER!$K$5:$K$504="Ja")*(MATCHER!$C$5:$C$504&lt;E514)*(MATCHER!$M$5:$M$504&gt;D514)*(ROW(MATCHER!$A$5:$A$504)-ROW(MATCHER!$A$5)+1&gt;T514),0),0),""))</f>
        <v/>
      </c>
    </row>
    <row r="515" spans="1:32" ht="26">
      <c r="A515" s="42">
        <v>46466</v>
      </c>
      <c r="B515" s="43" t="s">
        <v>85</v>
      </c>
      <c r="C515" s="43" t="s">
        <v>86</v>
      </c>
      <c r="D515" s="44">
        <v>0.41666666666666702</v>
      </c>
      <c r="E515" s="44">
        <v>0.4375</v>
      </c>
      <c r="F515" s="45" t="str">
        <f>IF(R515="","",HOUR(INDEX(MATCHER!$C$5:$C$504,R515))&amp;":"&amp;IF(MINUTE(INDEX(MATCHER!$C$5:$C$504,R515))&lt;10,"0","")&amp;MINUTE(INDEX(MATCHER!$C$5:$C$504,R515))&amp;" "&amp;INDEX(MATCHER!$H$5:$H$504,R515)&amp;" – "&amp;INDEX(MATCHER!$I$5:$I$504,R515))&amp;IF(S515="",""," | "&amp;HOUR(INDEX(MATCHER!$C$5:$C$504,S515))&amp;":"&amp;IF(MINUTE(INDEX(MATCHER!$C$5:$C$504,S515))&lt;10,"0","")&amp;MINUTE(INDEX(MATCHER!$C$5:$C$504,S515))&amp;" "&amp;INDEX(MATCHER!$H$5:$H$504,S515)&amp;" – "&amp;INDEX(MATCHER!$I$5:$I$504,S515))&amp;IF(T515="",""," | "&amp;HOUR(INDEX(MATCHER!$C$5:$C$504,T515))&amp;":"&amp;IF(MINUTE(INDEX(MATCHER!$C$5:$C$504,T515))&lt;10,"0","")&amp;MINUTE(INDEX(MATCHER!$C$5:$C$504,T515))&amp;" "&amp;INDEX(MATCHER!$H$5:$H$504,T515)&amp;" – "&amp;INDEX(MATCHER!$I$5:$I$504,T515))&amp;IF(AF515="",""," | "&amp;HOUR(INDEX(MATCHER!$C$5:$C$504,AF515))&amp;":"&amp;IF(MINUTE(INDEX(MATCHER!$C$5:$C$504,AF515))&lt;10,"0","")&amp;MINUTE(INDEX(MATCHER!$C$5:$C$504,AF515))&amp;" "&amp;INDEX(MATCHER!$H$5:$H$504,AF515)&amp;" – "&amp;INDEX(MATCHER!$I$5:$I$504,AF515))</f>
        <v>9:00 HF Öst – HF Öst 2</v>
      </c>
      <c r="G515" s="45" t="str">
        <f>MID(IF(R515="","",IF(OR(INDEX(MATCHER!$J$5:$J$504,R515)=""),""," / "&amp;INDEX(MATCHER!$J$5:$J$504,R515)))&amp;IF(S515="","",IF(OR(INDEX(MATCHER!$J$5:$J$504,S515)="",INDEX(MATCHER!$J$5:$J$504,S515)=IFERROR(INDEX(MATCHER!$J$5:$J$504,R515),"")),""," / "&amp;INDEX(MATCHER!$J$5:$J$504,S515)))&amp;IF(T515="","",IF(OR(INDEX(MATCHER!$J$5:$J$504,T515)="",INDEX(MATCHER!$J$5:$J$504,T515)=IFERROR(INDEX(MATCHER!$J$5:$J$504,R515),""),INDEX(MATCHER!$J$5:$J$504,T515)=IFERROR(INDEX(MATCHER!$J$5:$J$504,S515),"")),""," / "&amp;INDEX(MATCHER!$J$5:$J$504,T515)))&amp;IF(AF515="","",IF(OR(INDEX(MATCHER!$J$5:$J$504,AF515)="",INDEX(MATCHER!$J$5:$J$504,AF515)=IFERROR(INDEX(MATCHER!$J$5:$J$504,R515),""),INDEX(MATCHER!$J$5:$J$504,AF515)=IFERROR(INDEX(MATCHER!$J$5:$J$504,S515),""),INDEX(MATCHER!$J$5:$J$504,AF515)=IFERROR(INDEX(MATCHER!$J$5:$J$504,T515),"")),""," / "&amp;INDEX(MATCHER!$J$5:$J$504,AF515))),4,1000)</f>
        <v/>
      </c>
      <c r="H515" s="45" t="str">
        <f t="shared" si="112"/>
        <v>F13, F14</v>
      </c>
      <c r="I515" s="46" t="s">
        <v>90</v>
      </c>
      <c r="J515" s="47" t="s">
        <v>150</v>
      </c>
      <c r="K515" s="48"/>
      <c r="L515" s="49" t="s">
        <v>858</v>
      </c>
      <c r="M515" s="50" t="str">
        <f>IF(O515&lt;&gt;O514,MAX(1,MIN(AA515,ROUNDUP(SUMPRODUCT(($O$5:$O$546=O515)*($I$5:$I$546="Ja")*($E$5:$E$546-$D$5:$D$546))*24/REGLER!$B$8,0))),"")</f>
        <v/>
      </c>
      <c r="N515" s="50" t="str">
        <f t="shared" si="99"/>
        <v>Kontrollera lag</v>
      </c>
      <c r="O515" s="15" t="s">
        <v>164</v>
      </c>
      <c r="P515" s="16">
        <v>0.33333333333333298</v>
      </c>
      <c r="Q515" s="16">
        <v>0.69791666666666696</v>
      </c>
      <c r="R515" s="15">
        <f>IFERROR(MATCH(1,INDEX((MATCHER!$B$5:$B$504=A515)*(MATCHER!$D$5:$D$504=C515)*(MATCHER!$K$5:$K$504="Ja")*(MATCHER!$C$5:$C$504&lt;E515)*(MATCHER!$M$5:$M$504&gt;D515),0),0),"")</f>
        <v>185</v>
      </c>
      <c r="S515" s="15" t="str">
        <f>IF(R515="","",IFERROR(MATCH(1,INDEX((MATCHER!$B$5:$B$504=A515)*(MATCHER!$D$5:$D$504=C515)*(MATCHER!$K$5:$K$504="Ja")*(MATCHER!$C$5:$C$504&lt;E515)*(MATCHER!$M$5:$M$504&gt;D515)*(ROW(MATCHER!$A$5:$A$504)-ROW(MATCHER!$A$5)+1&gt;R515),0),0),""))</f>
        <v/>
      </c>
      <c r="T515" s="15" t="str">
        <f>IF(S515="","",IFERROR(MATCH(1,INDEX((MATCHER!$B$5:$B$504=A515)*(MATCHER!$D$5:$D$504=C515)*(MATCHER!$K$5:$K$504="Ja")*(MATCHER!$C$5:$C$504&lt;E515)*(MATCHER!$M$5:$M$504&gt;D515)*(ROW(MATCHER!$A$5:$A$504)-ROW(MATCHER!$A$5)+1&gt;S515),0),0),""))</f>
        <v/>
      </c>
      <c r="U515" s="15">
        <f t="shared" si="100"/>
        <v>1</v>
      </c>
      <c r="V515" s="15">
        <f>IF(OR(I515&lt;&gt;"Ja",J515=""),"",COUNTIFS($O$5:O515,O515,$U$5:U515,1))</f>
        <v>5</v>
      </c>
      <c r="W515" s="15" t="str">
        <f t="shared" si="101"/>
        <v>2027-03-20 | Ulriksdalshallen|5</v>
      </c>
      <c r="X515" s="16">
        <f t="shared" si="102"/>
        <v>0.4375</v>
      </c>
      <c r="Y515" s="15">
        <f>IF(OR(I515&lt;&gt;"Ja",J515=""),0,IF(COUNTIFS($O$5:O515,O515,$I$5:I515,"Ja",$J$5:J515,"&lt;&gt;")=1,1,0))</f>
        <v>0</v>
      </c>
      <c r="Z515" s="15">
        <f>IF(OR(I515&lt;&gt;"Ja",J515=""),0,IF(COUNTIFS(O515:$O$546,O515,I515:$I$546,"Ja",J515:$J$546,"&lt;&gt;")=1,1,0))</f>
        <v>0</v>
      </c>
      <c r="AA515" s="15">
        <f t="shared" si="113"/>
        <v>2</v>
      </c>
      <c r="AB515" s="15">
        <f>IF(U515&lt;&gt;1,"",COUNTIF($U$5:U515,1))</f>
        <v>100</v>
      </c>
      <c r="AC515" s="15" t="str">
        <f t="shared" si="103"/>
        <v>2027-03-20 | Ulriksdalshallen|5</v>
      </c>
      <c r="AD515" s="15" t="str">
        <f t="shared" si="104"/>
        <v>Vanligt café</v>
      </c>
      <c r="AE515" s="15">
        <f t="shared" si="105"/>
        <v>0.49999999999999156</v>
      </c>
      <c r="AF515" t="str">
        <f>IF(T515="","",IFERROR(MATCH(1,INDEX((MATCHER!$B$5:$B$504=A515)*(MATCHER!$D$5:$D$504=C515)*(MATCHER!$K$5:$K$504="Ja")*(MATCHER!$C$5:$C$504&lt;E515)*(MATCHER!$M$5:$M$504&gt;D515)*(ROW(MATCHER!$A$5:$A$504)-ROW(MATCHER!$A$5)+1&gt;T515),0),0),""))</f>
        <v/>
      </c>
    </row>
    <row r="516" spans="1:32" ht="26">
      <c r="A516" s="42">
        <v>46466</v>
      </c>
      <c r="B516" s="43" t="s">
        <v>85</v>
      </c>
      <c r="C516" s="43" t="s">
        <v>86</v>
      </c>
      <c r="D516" s="44">
        <v>0.4375</v>
      </c>
      <c r="E516" s="44">
        <v>0.45833333333333298</v>
      </c>
      <c r="F516" s="45" t="str">
        <f>IF(R516="","",HOUR(INDEX(MATCHER!$C$5:$C$504,R516))&amp;":"&amp;IF(MINUTE(INDEX(MATCHER!$C$5:$C$504,R516))&lt;10,"0","")&amp;MINUTE(INDEX(MATCHER!$C$5:$C$504,R516))&amp;" "&amp;INDEX(MATCHER!$H$5:$H$504,R516)&amp;" – "&amp;INDEX(MATCHER!$I$5:$I$504,R516))&amp;IF(S516="",""," | "&amp;HOUR(INDEX(MATCHER!$C$5:$C$504,S516))&amp;":"&amp;IF(MINUTE(INDEX(MATCHER!$C$5:$C$504,S516))&lt;10,"0","")&amp;MINUTE(INDEX(MATCHER!$C$5:$C$504,S516))&amp;" "&amp;INDEX(MATCHER!$H$5:$H$504,S516)&amp;" – "&amp;INDEX(MATCHER!$I$5:$I$504,S516))&amp;IF(T516="",""," | "&amp;HOUR(INDEX(MATCHER!$C$5:$C$504,T516))&amp;":"&amp;IF(MINUTE(INDEX(MATCHER!$C$5:$C$504,T516))&lt;10,"0","")&amp;MINUTE(INDEX(MATCHER!$C$5:$C$504,T516))&amp;" "&amp;INDEX(MATCHER!$H$5:$H$504,T516)&amp;" – "&amp;INDEX(MATCHER!$I$5:$I$504,T516))&amp;IF(AF516="",""," | "&amp;HOUR(INDEX(MATCHER!$C$5:$C$504,AF516))&amp;":"&amp;IF(MINUTE(INDEX(MATCHER!$C$5:$C$504,AF516))&lt;10,"0","")&amp;MINUTE(INDEX(MATCHER!$C$5:$C$504,AF516))&amp;" "&amp;INDEX(MATCHER!$H$5:$H$504,AF516)&amp;" – "&amp;INDEX(MATCHER!$I$5:$I$504,AF516))</f>
        <v>9:00 HF Öst – HF Öst 2</v>
      </c>
      <c r="G516" s="45" t="str">
        <f>MID(IF(R516="","",IF(OR(INDEX(MATCHER!$J$5:$J$504,R516)=""),""," / "&amp;INDEX(MATCHER!$J$5:$J$504,R516)))&amp;IF(S516="","",IF(OR(INDEX(MATCHER!$J$5:$J$504,S516)="",INDEX(MATCHER!$J$5:$J$504,S516)=IFERROR(INDEX(MATCHER!$J$5:$J$504,R516),"")),""," / "&amp;INDEX(MATCHER!$J$5:$J$504,S516)))&amp;IF(T516="","",IF(OR(INDEX(MATCHER!$J$5:$J$504,T516)="",INDEX(MATCHER!$J$5:$J$504,T516)=IFERROR(INDEX(MATCHER!$J$5:$J$504,R516),""),INDEX(MATCHER!$J$5:$J$504,T516)=IFERROR(INDEX(MATCHER!$J$5:$J$504,S516),"")),""," / "&amp;INDEX(MATCHER!$J$5:$J$504,T516)))&amp;IF(AF516="","",IF(OR(INDEX(MATCHER!$J$5:$J$504,AF516)="",INDEX(MATCHER!$J$5:$J$504,AF516)=IFERROR(INDEX(MATCHER!$J$5:$J$504,R516),""),INDEX(MATCHER!$J$5:$J$504,AF516)=IFERROR(INDEX(MATCHER!$J$5:$J$504,S516),""),INDEX(MATCHER!$J$5:$J$504,AF516)=IFERROR(INDEX(MATCHER!$J$5:$J$504,T516),"")),""," / "&amp;INDEX(MATCHER!$J$5:$J$504,AF516))),4,1000)</f>
        <v/>
      </c>
      <c r="H516" s="45" t="str">
        <f t="shared" si="112"/>
        <v>F13, F14</v>
      </c>
      <c r="I516" s="46" t="s">
        <v>90</v>
      </c>
      <c r="J516" s="47" t="s">
        <v>111</v>
      </c>
      <c r="K516" s="48"/>
      <c r="L516" s="157" t="s">
        <v>858</v>
      </c>
      <c r="M516" s="50" t="str">
        <f>IF(O516&lt;&gt;O515,MAX(1,MIN(AA516,ROUNDUP(SUMPRODUCT(($O$5:$O$546=O516)*($I$5:$I$546="Ja")*($E$5:$E$546-$D$5:$D$546))*24/REGLER!$B$8,0))),"")</f>
        <v/>
      </c>
      <c r="N516" s="50" t="str">
        <f t="shared" si="99"/>
        <v>Kontrollera lag</v>
      </c>
      <c r="O516" s="15" t="s">
        <v>164</v>
      </c>
      <c r="P516" s="16">
        <v>0.33333333333333298</v>
      </c>
      <c r="Q516" s="16">
        <v>0.69791666666666696</v>
      </c>
      <c r="R516" s="15">
        <f>IFERROR(MATCH(1,INDEX((MATCHER!$B$5:$B$504=A516)*(MATCHER!$D$5:$D$504=C516)*(MATCHER!$K$5:$K$504="Ja")*(MATCHER!$C$5:$C$504&lt;E516)*(MATCHER!$M$5:$M$504&gt;D516),0),0),"")</f>
        <v>185</v>
      </c>
      <c r="S516" s="15" t="str">
        <f>IF(R516="","",IFERROR(MATCH(1,INDEX((MATCHER!$B$5:$B$504=A516)*(MATCHER!$D$5:$D$504=C516)*(MATCHER!$K$5:$K$504="Ja")*(MATCHER!$C$5:$C$504&lt;E516)*(MATCHER!$M$5:$M$504&gt;D516)*(ROW(MATCHER!$A$5:$A$504)-ROW(MATCHER!$A$5)+1&gt;R516),0),0),""))</f>
        <v/>
      </c>
      <c r="T516" s="15" t="str">
        <f>IF(S516="","",IFERROR(MATCH(1,INDEX((MATCHER!$B$5:$B$504=A516)*(MATCHER!$D$5:$D$504=C516)*(MATCHER!$K$5:$K$504="Ja")*(MATCHER!$C$5:$C$504&lt;E516)*(MATCHER!$M$5:$M$504&gt;D516)*(ROW(MATCHER!$A$5:$A$504)-ROW(MATCHER!$A$5)+1&gt;S516),0),0),""))</f>
        <v/>
      </c>
      <c r="U516" s="15">
        <f t="shared" si="100"/>
        <v>1</v>
      </c>
      <c r="V516" s="15">
        <f>IF(OR(I516&lt;&gt;"Ja",J516=""),"",COUNTIFS($O$5:O516,O516,$U$5:U516,1))</f>
        <v>6</v>
      </c>
      <c r="W516" s="15" t="str">
        <f t="shared" si="101"/>
        <v>2027-03-20 | Ulriksdalshallen|6</v>
      </c>
      <c r="X516" s="16">
        <f t="shared" si="102"/>
        <v>0.45833333333333298</v>
      </c>
      <c r="Y516" s="15">
        <f>IF(OR(I516&lt;&gt;"Ja",J516=""),0,IF(COUNTIFS($O$5:O516,O516,$I$5:I516,"Ja",$J$5:J516,"&lt;&gt;")=1,1,0))</f>
        <v>0</v>
      </c>
      <c r="Z516" s="15">
        <f>IF(OR(I516&lt;&gt;"Ja",J516=""),0,IF(COUNTIFS(O516:$O$546,O516,I516:$I$546,"Ja",J516:$J$546,"&lt;&gt;")=1,1,0))</f>
        <v>0</v>
      </c>
      <c r="AA516" s="15">
        <f t="shared" si="113"/>
        <v>2</v>
      </c>
      <c r="AB516" s="15">
        <f>IF(U516&lt;&gt;1,"",COUNTIF($U$5:U516,1))</f>
        <v>101</v>
      </c>
      <c r="AC516" s="15" t="str">
        <f t="shared" si="103"/>
        <v>2027-03-20 | Ulriksdalshallen|6</v>
      </c>
      <c r="AD516" s="15" t="str">
        <f t="shared" si="104"/>
        <v>Vanligt café</v>
      </c>
      <c r="AE516" s="15">
        <f t="shared" si="105"/>
        <v>0.49999999999999156</v>
      </c>
      <c r="AF516" t="str">
        <f>IF(T516="","",IFERROR(MATCH(1,INDEX((MATCHER!$B$5:$B$504=A516)*(MATCHER!$D$5:$D$504=C516)*(MATCHER!$K$5:$K$504="Ja")*(MATCHER!$C$5:$C$504&lt;E516)*(MATCHER!$M$5:$M$504&gt;D516)*(ROW(MATCHER!$A$5:$A$504)-ROW(MATCHER!$A$5)+1&gt;T516),0),0),""))</f>
        <v/>
      </c>
    </row>
    <row r="517" spans="1:32" ht="26">
      <c r="A517" s="42">
        <v>46466</v>
      </c>
      <c r="B517" s="43" t="s">
        <v>85</v>
      </c>
      <c r="C517" s="43" t="s">
        <v>86</v>
      </c>
      <c r="D517" s="44">
        <v>0.45833333333333298</v>
      </c>
      <c r="E517" s="44">
        <v>0.47916666666666702</v>
      </c>
      <c r="F517" s="45" t="str">
        <f>IF(R517="","",HOUR(INDEX(MATCHER!$C$5:$C$504,R517))&amp;":"&amp;IF(MINUTE(INDEX(MATCHER!$C$5:$C$504,R517))&lt;10,"0","")&amp;MINUTE(INDEX(MATCHER!$C$5:$C$504,R517))&amp;" "&amp;INDEX(MATCHER!$H$5:$H$504,R517)&amp;" – "&amp;INDEX(MATCHER!$I$5:$I$504,R517))&amp;IF(S517="",""," | "&amp;HOUR(INDEX(MATCHER!$C$5:$C$504,S517))&amp;":"&amp;IF(MINUTE(INDEX(MATCHER!$C$5:$C$504,S517))&lt;10,"0","")&amp;MINUTE(INDEX(MATCHER!$C$5:$C$504,S517))&amp;" "&amp;INDEX(MATCHER!$H$5:$H$504,S517)&amp;" – "&amp;INDEX(MATCHER!$I$5:$I$504,S517))&amp;IF(T517="",""," | "&amp;HOUR(INDEX(MATCHER!$C$5:$C$504,T517))&amp;":"&amp;IF(MINUTE(INDEX(MATCHER!$C$5:$C$504,T517))&lt;10,"0","")&amp;MINUTE(INDEX(MATCHER!$C$5:$C$504,T517))&amp;" "&amp;INDEX(MATCHER!$H$5:$H$504,T517)&amp;" – "&amp;INDEX(MATCHER!$I$5:$I$504,T517))&amp;IF(AF517="",""," | "&amp;HOUR(INDEX(MATCHER!$C$5:$C$504,AF517))&amp;":"&amp;IF(MINUTE(INDEX(MATCHER!$C$5:$C$504,AF517))&lt;10,"0","")&amp;MINUTE(INDEX(MATCHER!$C$5:$C$504,AF517))&amp;" "&amp;INDEX(MATCHER!$H$5:$H$504,AF517)&amp;" – "&amp;INDEX(MATCHER!$I$5:$I$504,AF517))</f>
        <v>9:00 HF Öst – HF Öst 2</v>
      </c>
      <c r="G517" s="45" t="str">
        <f>MID(IF(R517="","",IF(OR(INDEX(MATCHER!$J$5:$J$504,R517)=""),""," / "&amp;INDEX(MATCHER!$J$5:$J$504,R517)))&amp;IF(S517="","",IF(OR(INDEX(MATCHER!$J$5:$J$504,S517)="",INDEX(MATCHER!$J$5:$J$504,S517)=IFERROR(INDEX(MATCHER!$J$5:$J$504,R517),"")),""," / "&amp;INDEX(MATCHER!$J$5:$J$504,S517)))&amp;IF(T517="","",IF(OR(INDEX(MATCHER!$J$5:$J$504,T517)="",INDEX(MATCHER!$J$5:$J$504,T517)=IFERROR(INDEX(MATCHER!$J$5:$J$504,R517),""),INDEX(MATCHER!$J$5:$J$504,T517)=IFERROR(INDEX(MATCHER!$J$5:$J$504,S517),"")),""," / "&amp;INDEX(MATCHER!$J$5:$J$504,T517)))&amp;IF(AF517="","",IF(OR(INDEX(MATCHER!$J$5:$J$504,AF517)="",INDEX(MATCHER!$J$5:$J$504,AF517)=IFERROR(INDEX(MATCHER!$J$5:$J$504,R517),""),INDEX(MATCHER!$J$5:$J$504,AF517)=IFERROR(INDEX(MATCHER!$J$5:$J$504,S517),""),INDEX(MATCHER!$J$5:$J$504,AF517)=IFERROR(INDEX(MATCHER!$J$5:$J$504,T517),"")),""," / "&amp;INDEX(MATCHER!$J$5:$J$504,AF517))),4,1000)</f>
        <v/>
      </c>
      <c r="H517" s="45" t="str">
        <f t="shared" si="112"/>
        <v>F13, F14</v>
      </c>
      <c r="I517" s="46" t="s">
        <v>90</v>
      </c>
      <c r="J517" s="47" t="s">
        <v>135</v>
      </c>
      <c r="K517" s="48"/>
      <c r="L517" s="49" t="s">
        <v>858</v>
      </c>
      <c r="M517" s="50" t="str">
        <f>IF(O517&lt;&gt;O516,MAX(1,MIN(AA517,ROUNDUP(SUMPRODUCT(($O$5:$O$546=O517)*($I$5:$I$546="Ja")*($E$5:$E$546-$D$5:$D$546))*24/REGLER!$B$8,0))),"")</f>
        <v/>
      </c>
      <c r="N517" s="50" t="str">
        <f t="shared" ref="N517:N546" si="114">IF(I517="Nej",IF(J517="","Ej öppet","Ta bort lag"),IF(J517="","Ej tilldelad",IF(ISNUMBER(SEARCH(", "&amp;J517&amp;", ",", "&amp;H517&amp;", ")),"Klar","Kontrollera lag")))</f>
        <v>Kontrollera lag</v>
      </c>
      <c r="O517" s="15" t="s">
        <v>164</v>
      </c>
      <c r="P517" s="16">
        <v>0.33333333333333298</v>
      </c>
      <c r="Q517" s="16">
        <v>0.69791666666666696</v>
      </c>
      <c r="R517" s="15">
        <f>IFERROR(MATCH(1,INDEX((MATCHER!$B$5:$B$504=A517)*(MATCHER!$D$5:$D$504=C517)*(MATCHER!$K$5:$K$504="Ja")*(MATCHER!$C$5:$C$504&lt;E517)*(MATCHER!$M$5:$M$504&gt;D517),0),0),"")</f>
        <v>185</v>
      </c>
      <c r="S517" s="15" t="str">
        <f>IF(R517="","",IFERROR(MATCH(1,INDEX((MATCHER!$B$5:$B$504=A517)*(MATCHER!$D$5:$D$504=C517)*(MATCHER!$K$5:$K$504="Ja")*(MATCHER!$C$5:$C$504&lt;E517)*(MATCHER!$M$5:$M$504&gt;D517)*(ROW(MATCHER!$A$5:$A$504)-ROW(MATCHER!$A$5)+1&gt;R517),0),0),""))</f>
        <v/>
      </c>
      <c r="T517" s="15" t="str">
        <f>IF(S517="","",IFERROR(MATCH(1,INDEX((MATCHER!$B$5:$B$504=A517)*(MATCHER!$D$5:$D$504=C517)*(MATCHER!$K$5:$K$504="Ja")*(MATCHER!$C$5:$C$504&lt;E517)*(MATCHER!$M$5:$M$504&gt;D517)*(ROW(MATCHER!$A$5:$A$504)-ROW(MATCHER!$A$5)+1&gt;S517),0),0),""))</f>
        <v/>
      </c>
      <c r="U517" s="15">
        <f t="shared" ref="U517:U546" si="115">IF(OR(I517&lt;&gt;"Ja",J517=""),"",IF(OR(O517&lt;&gt;O516,I516&lt;&gt;"Ja",J517&lt;&gt;J516,D517&lt;&gt;E516),1,0))</f>
        <v>1</v>
      </c>
      <c r="V517" s="15">
        <f>IF(OR(I517&lt;&gt;"Ja",J517=""),"",COUNTIFS($O$5:O517,O517,$U$5:U517,1))</f>
        <v>7</v>
      </c>
      <c r="W517" s="15" t="str">
        <f t="shared" ref="W517:W546" si="116">IF(V517="","",O517&amp;"|"&amp;V517)</f>
        <v>2027-03-20 | Ulriksdalshallen|7</v>
      </c>
      <c r="X517" s="16">
        <f t="shared" ref="X517:X542" si="117">IF(OR(I517&lt;&gt;"Ja",J517=""),"",IF(OR(O517&lt;&gt;O518,I518&lt;&gt;"Ja",J517&lt;&gt;J518,E517&lt;&gt;D518),E517,""))</f>
        <v>0.47916666666666702</v>
      </c>
      <c r="Y517" s="15">
        <f>IF(OR(I517&lt;&gt;"Ja",J517=""),0,IF(COUNTIFS($O$5:O517,O517,$I$5:I517,"Ja",$J$5:J517,"&lt;&gt;")=1,1,0))</f>
        <v>0</v>
      </c>
      <c r="Z517" s="15">
        <f>IF(OR(I517&lt;&gt;"Ja",J517=""),0,IF(COUNTIFS(O517:$O$546,O517,I517:$I$546,"Ja",J517:$J$546,"&lt;&gt;")=1,1,0))</f>
        <v>0</v>
      </c>
      <c r="AA517" s="15">
        <f t="shared" si="113"/>
        <v>2</v>
      </c>
      <c r="AB517" s="15">
        <f>IF(U517&lt;&gt;1,"",COUNTIF($U$5:U517,1))</f>
        <v>102</v>
      </c>
      <c r="AC517" s="15" t="str">
        <f t="shared" ref="AC517:AC542" si="118">IF(X517="","",W517)</f>
        <v>2027-03-20 | Ulriksdalshallen|7</v>
      </c>
      <c r="AD517" s="15" t="str">
        <f t="shared" ref="AD517:AD542" si="119">IF(O517="","",INDEX($K$5:$K$546,MATCH(O517,$O$5:$O$546,0)))</f>
        <v>Vanligt café</v>
      </c>
      <c r="AE517" s="15">
        <f t="shared" ref="AE517:AE542" si="120">IF(U517&lt;&gt;1,"",(SUMIF($W$5:$W$546,W517,$X$5:$X$546)-D517)*24)</f>
        <v>0.50000000000001688</v>
      </c>
      <c r="AF517" t="str">
        <f>IF(T517="","",IFERROR(MATCH(1,INDEX((MATCHER!$B$5:$B$504=A517)*(MATCHER!$D$5:$D$504=C517)*(MATCHER!$K$5:$K$504="Ja")*(MATCHER!$C$5:$C$504&lt;E517)*(MATCHER!$M$5:$M$504&gt;D517)*(ROW(MATCHER!$A$5:$A$504)-ROW(MATCHER!$A$5)+1&gt;T517),0),0),""))</f>
        <v/>
      </c>
    </row>
    <row r="518" spans="1:32" ht="26">
      <c r="A518" s="42">
        <v>46466</v>
      </c>
      <c r="B518" s="43" t="s">
        <v>85</v>
      </c>
      <c r="C518" s="43" t="s">
        <v>86</v>
      </c>
      <c r="D518" s="44">
        <v>0.47916666666666702</v>
      </c>
      <c r="E518" s="44">
        <v>0.5</v>
      </c>
      <c r="F518" s="45" t="str">
        <f>IF(R518="","",HOUR(INDEX(MATCHER!$C$5:$C$504,R518))&amp;":"&amp;IF(MINUTE(INDEX(MATCHER!$C$5:$C$504,R518))&lt;10,"0","")&amp;MINUTE(INDEX(MATCHER!$C$5:$C$504,R518))&amp;" "&amp;INDEX(MATCHER!$H$5:$H$504,R518)&amp;" – "&amp;INDEX(MATCHER!$I$5:$I$504,R518))&amp;IF(S518="",""," | "&amp;HOUR(INDEX(MATCHER!$C$5:$C$504,S518))&amp;":"&amp;IF(MINUTE(INDEX(MATCHER!$C$5:$C$504,S518))&lt;10,"0","")&amp;MINUTE(INDEX(MATCHER!$C$5:$C$504,S518))&amp;" "&amp;INDEX(MATCHER!$H$5:$H$504,S518)&amp;" – "&amp;INDEX(MATCHER!$I$5:$I$504,S518))&amp;IF(T518="",""," | "&amp;HOUR(INDEX(MATCHER!$C$5:$C$504,T518))&amp;":"&amp;IF(MINUTE(INDEX(MATCHER!$C$5:$C$504,T518))&lt;10,"0","")&amp;MINUTE(INDEX(MATCHER!$C$5:$C$504,T518))&amp;" "&amp;INDEX(MATCHER!$H$5:$H$504,T518)&amp;" – "&amp;INDEX(MATCHER!$I$5:$I$504,T518))&amp;IF(AF518="",""," | "&amp;HOUR(INDEX(MATCHER!$C$5:$C$504,AF518))&amp;":"&amp;IF(MINUTE(INDEX(MATCHER!$C$5:$C$504,AF518))&lt;10,"0","")&amp;MINUTE(INDEX(MATCHER!$C$5:$C$504,AF518))&amp;" "&amp;INDEX(MATCHER!$H$5:$H$504,AF518)&amp;" – "&amp;INDEX(MATCHER!$I$5:$I$504,AF518))</f>
        <v>9:00 HF Öst – HF Öst 2</v>
      </c>
      <c r="G518" s="45" t="str">
        <f>MID(IF(R518="","",IF(OR(INDEX(MATCHER!$J$5:$J$504,R518)=""),""," / "&amp;INDEX(MATCHER!$J$5:$J$504,R518)))&amp;IF(S518="","",IF(OR(INDEX(MATCHER!$J$5:$J$504,S518)="",INDEX(MATCHER!$J$5:$J$504,S518)=IFERROR(INDEX(MATCHER!$J$5:$J$504,R518),"")),""," / "&amp;INDEX(MATCHER!$J$5:$J$504,S518)))&amp;IF(T518="","",IF(OR(INDEX(MATCHER!$J$5:$J$504,T518)="",INDEX(MATCHER!$J$5:$J$504,T518)=IFERROR(INDEX(MATCHER!$J$5:$J$504,R518),""),INDEX(MATCHER!$J$5:$J$504,T518)=IFERROR(INDEX(MATCHER!$J$5:$J$504,S518),"")),""," / "&amp;INDEX(MATCHER!$J$5:$J$504,T518)))&amp;IF(AF518="","",IF(OR(INDEX(MATCHER!$J$5:$J$504,AF518)="",INDEX(MATCHER!$J$5:$J$504,AF518)=IFERROR(INDEX(MATCHER!$J$5:$J$504,R518),""),INDEX(MATCHER!$J$5:$J$504,AF518)=IFERROR(INDEX(MATCHER!$J$5:$J$504,S518),""),INDEX(MATCHER!$J$5:$J$504,AF518)=IFERROR(INDEX(MATCHER!$J$5:$J$504,T518),"")),""," / "&amp;INDEX(MATCHER!$J$5:$J$504,AF518))),4,1000)</f>
        <v/>
      </c>
      <c r="H518" s="45" t="str">
        <f t="shared" si="112"/>
        <v>F13, F14</v>
      </c>
      <c r="I518" s="46" t="s">
        <v>90</v>
      </c>
      <c r="J518" s="47" t="s">
        <v>150</v>
      </c>
      <c r="K518" s="48"/>
      <c r="L518" s="49" t="s">
        <v>858</v>
      </c>
      <c r="M518" s="50" t="str">
        <f>IF(O518&lt;&gt;O517,MAX(1,MIN(AA518,ROUNDUP(SUMPRODUCT(($O$5:$O$546=O518)*($I$5:$I$546="Ja")*($E$5:$E$546-$D$5:$D$546))*24/REGLER!$B$8,0))),"")</f>
        <v/>
      </c>
      <c r="N518" s="50" t="str">
        <f t="shared" si="114"/>
        <v>Kontrollera lag</v>
      </c>
      <c r="O518" s="15" t="s">
        <v>164</v>
      </c>
      <c r="P518" s="16">
        <v>0.33333333333333298</v>
      </c>
      <c r="Q518" s="16">
        <v>0.69791666666666696</v>
      </c>
      <c r="R518" s="15">
        <f>IFERROR(MATCH(1,INDEX((MATCHER!$B$5:$B$504=A518)*(MATCHER!$D$5:$D$504=C518)*(MATCHER!$K$5:$K$504="Ja")*(MATCHER!$C$5:$C$504&lt;E518)*(MATCHER!$M$5:$M$504&gt;D518),0),0),"")</f>
        <v>185</v>
      </c>
      <c r="S518" s="15" t="str">
        <f>IF(R518="","",IFERROR(MATCH(1,INDEX((MATCHER!$B$5:$B$504=A518)*(MATCHER!$D$5:$D$504=C518)*(MATCHER!$K$5:$K$504="Ja")*(MATCHER!$C$5:$C$504&lt;E518)*(MATCHER!$M$5:$M$504&gt;D518)*(ROW(MATCHER!$A$5:$A$504)-ROW(MATCHER!$A$5)+1&gt;R518),0),0),""))</f>
        <v/>
      </c>
      <c r="T518" s="15" t="str">
        <f>IF(S518="","",IFERROR(MATCH(1,INDEX((MATCHER!$B$5:$B$504=A518)*(MATCHER!$D$5:$D$504=C518)*(MATCHER!$K$5:$K$504="Ja")*(MATCHER!$C$5:$C$504&lt;E518)*(MATCHER!$M$5:$M$504&gt;D518)*(ROW(MATCHER!$A$5:$A$504)-ROW(MATCHER!$A$5)+1&gt;S518),0),0),""))</f>
        <v/>
      </c>
      <c r="U518" s="15">
        <f t="shared" si="115"/>
        <v>1</v>
      </c>
      <c r="V518" s="15">
        <f>IF(OR(I518&lt;&gt;"Ja",J518=""),"",COUNTIFS($O$5:O518,O518,$U$5:U518,1))</f>
        <v>8</v>
      </c>
      <c r="W518" s="15" t="str">
        <f t="shared" si="116"/>
        <v>2027-03-20 | Ulriksdalshallen|8</v>
      </c>
      <c r="X518" s="16">
        <f t="shared" si="117"/>
        <v>0.5</v>
      </c>
      <c r="Y518" s="15">
        <f>IF(OR(I518&lt;&gt;"Ja",J518=""),0,IF(COUNTIFS($O$5:O518,O518,$I$5:I518,"Ja",$J$5:J518,"&lt;&gt;")=1,1,0))</f>
        <v>0</v>
      </c>
      <c r="Z518" s="15">
        <f>IF(OR(I518&lt;&gt;"Ja",J518=""),0,IF(COUNTIFS(O518:$O$546,O518,I518:$I$546,"Ja",J518:$J$546,"&lt;&gt;")=1,1,0))</f>
        <v>0</v>
      </c>
      <c r="AA518" s="15">
        <f t="shared" si="113"/>
        <v>2</v>
      </c>
      <c r="AB518" s="15">
        <f>IF(U518&lt;&gt;1,"",COUNTIF($U$5:U518,1))</f>
        <v>103</v>
      </c>
      <c r="AC518" s="15" t="str">
        <f t="shared" si="118"/>
        <v>2027-03-20 | Ulriksdalshallen|8</v>
      </c>
      <c r="AD518" s="15" t="str">
        <f t="shared" si="119"/>
        <v>Vanligt café</v>
      </c>
      <c r="AE518" s="15">
        <f t="shared" si="120"/>
        <v>0.49999999999999156</v>
      </c>
      <c r="AF518" t="str">
        <f>IF(T518="","",IFERROR(MATCH(1,INDEX((MATCHER!$B$5:$B$504=A518)*(MATCHER!$D$5:$D$504=C518)*(MATCHER!$K$5:$K$504="Ja")*(MATCHER!$C$5:$C$504&lt;E518)*(MATCHER!$M$5:$M$504&gt;D518)*(ROW(MATCHER!$A$5:$A$504)-ROW(MATCHER!$A$5)+1&gt;T518),0),0),""))</f>
        <v/>
      </c>
    </row>
    <row r="519" spans="1:32" ht="26">
      <c r="A519" s="42">
        <v>46466</v>
      </c>
      <c r="B519" s="43" t="s">
        <v>85</v>
      </c>
      <c r="C519" s="43" t="s">
        <v>86</v>
      </c>
      <c r="D519" s="44">
        <v>0.5</v>
      </c>
      <c r="E519" s="44">
        <v>0.52083333333333304</v>
      </c>
      <c r="F519" s="45" t="str">
        <f>IF(R519="","",HOUR(INDEX(MATCHER!$C$5:$C$504,R519))&amp;":"&amp;IF(MINUTE(INDEX(MATCHER!$C$5:$C$504,R519))&lt;10,"0","")&amp;MINUTE(INDEX(MATCHER!$C$5:$C$504,R519))&amp;" "&amp;INDEX(MATCHER!$H$5:$H$504,R519)&amp;" – "&amp;INDEX(MATCHER!$I$5:$I$504,R519))&amp;IF(S519="",""," | "&amp;HOUR(INDEX(MATCHER!$C$5:$C$504,S519))&amp;":"&amp;IF(MINUTE(INDEX(MATCHER!$C$5:$C$504,S519))&lt;10,"0","")&amp;MINUTE(INDEX(MATCHER!$C$5:$C$504,S519))&amp;" "&amp;INDEX(MATCHER!$H$5:$H$504,S519)&amp;" – "&amp;INDEX(MATCHER!$I$5:$I$504,S519))&amp;IF(T519="",""," | "&amp;HOUR(INDEX(MATCHER!$C$5:$C$504,T519))&amp;":"&amp;IF(MINUTE(INDEX(MATCHER!$C$5:$C$504,T519))&lt;10,"0","")&amp;MINUTE(INDEX(MATCHER!$C$5:$C$504,T519))&amp;" "&amp;INDEX(MATCHER!$H$5:$H$504,T519)&amp;" – "&amp;INDEX(MATCHER!$I$5:$I$504,T519))&amp;IF(AF519="",""," | "&amp;HOUR(INDEX(MATCHER!$C$5:$C$504,AF519))&amp;":"&amp;IF(MINUTE(INDEX(MATCHER!$C$5:$C$504,AF519))&lt;10,"0","")&amp;MINUTE(INDEX(MATCHER!$C$5:$C$504,AF519))&amp;" "&amp;INDEX(MATCHER!$H$5:$H$504,AF519)&amp;" – "&amp;INDEX(MATCHER!$I$5:$I$504,AF519))</f>
        <v/>
      </c>
      <c r="G519" s="45" t="str">
        <f>MID(IF(R519="","",IF(OR(INDEX(MATCHER!$J$5:$J$504,R519)=""),""," / "&amp;INDEX(MATCHER!$J$5:$J$504,R519)))&amp;IF(S519="","",IF(OR(INDEX(MATCHER!$J$5:$J$504,S519)="",INDEX(MATCHER!$J$5:$J$504,S519)=IFERROR(INDEX(MATCHER!$J$5:$J$504,R519),"")),""," / "&amp;INDEX(MATCHER!$J$5:$J$504,S519)))&amp;IF(T519="","",IF(OR(INDEX(MATCHER!$J$5:$J$504,T519)="",INDEX(MATCHER!$J$5:$J$504,T519)=IFERROR(INDEX(MATCHER!$J$5:$J$504,R519),""),INDEX(MATCHER!$J$5:$J$504,T519)=IFERROR(INDEX(MATCHER!$J$5:$J$504,S519),"")),""," / "&amp;INDEX(MATCHER!$J$5:$J$504,T519)))&amp;IF(AF519="","",IF(OR(INDEX(MATCHER!$J$5:$J$504,AF519)="",INDEX(MATCHER!$J$5:$J$504,AF519)=IFERROR(INDEX(MATCHER!$J$5:$J$504,R519),""),INDEX(MATCHER!$J$5:$J$504,AF519)=IFERROR(INDEX(MATCHER!$J$5:$J$504,S519),""),INDEX(MATCHER!$J$5:$J$504,AF519)=IFERROR(INDEX(MATCHER!$J$5:$J$504,T519),"")),""," / "&amp;INDEX(MATCHER!$J$5:$J$504,AF519))),4,1000)</f>
        <v/>
      </c>
      <c r="H519" s="45" t="str">
        <f t="shared" si="112"/>
        <v>F13, F14</v>
      </c>
      <c r="I519" s="46" t="s">
        <v>90</v>
      </c>
      <c r="J519" s="47" t="s">
        <v>111</v>
      </c>
      <c r="K519" s="48"/>
      <c r="L519" s="157" t="s">
        <v>858</v>
      </c>
      <c r="M519" s="50" t="str">
        <f>IF(O519&lt;&gt;O518,MAX(1,MIN(AA519,ROUNDUP(SUMPRODUCT(($O$5:$O$546=O519)*($I$5:$I$546="Ja")*($E$5:$E$546-$D$5:$D$546))*24/REGLER!$B$8,0))),"")</f>
        <v/>
      </c>
      <c r="N519" s="50" t="str">
        <f t="shared" si="114"/>
        <v>Kontrollera lag</v>
      </c>
      <c r="O519" s="15" t="s">
        <v>164</v>
      </c>
      <c r="P519" s="16">
        <v>0.33333333333333298</v>
      </c>
      <c r="Q519" s="16">
        <v>0.69791666666666696</v>
      </c>
      <c r="R519" s="15" t="str">
        <f>IFERROR(MATCH(1,INDEX((MATCHER!$B$5:$B$504=A519)*(MATCHER!$D$5:$D$504=C519)*(MATCHER!$K$5:$K$504="Ja")*(MATCHER!$C$5:$C$504&lt;E519)*(MATCHER!$M$5:$M$504&gt;D519),0),0),"")</f>
        <v/>
      </c>
      <c r="S519" s="15" t="str">
        <f>IF(R519="","",IFERROR(MATCH(1,INDEX((MATCHER!$B$5:$B$504=A519)*(MATCHER!$D$5:$D$504=C519)*(MATCHER!$K$5:$K$504="Ja")*(MATCHER!$C$5:$C$504&lt;E519)*(MATCHER!$M$5:$M$504&gt;D519)*(ROW(MATCHER!$A$5:$A$504)-ROW(MATCHER!$A$5)+1&gt;R519),0),0),""))</f>
        <v/>
      </c>
      <c r="T519" s="15" t="str">
        <f>IF(S519="","",IFERROR(MATCH(1,INDEX((MATCHER!$B$5:$B$504=A519)*(MATCHER!$D$5:$D$504=C519)*(MATCHER!$K$5:$K$504="Ja")*(MATCHER!$C$5:$C$504&lt;E519)*(MATCHER!$M$5:$M$504&gt;D519)*(ROW(MATCHER!$A$5:$A$504)-ROW(MATCHER!$A$5)+1&gt;S519),0),0),""))</f>
        <v/>
      </c>
      <c r="U519" s="15">
        <f t="shared" si="115"/>
        <v>1</v>
      </c>
      <c r="V519" s="15">
        <f>IF(OR(I519&lt;&gt;"Ja",J519=""),"",COUNTIFS($O$5:O519,O519,$U$5:U519,1))</f>
        <v>9</v>
      </c>
      <c r="W519" s="15" t="str">
        <f t="shared" si="116"/>
        <v>2027-03-20 | Ulriksdalshallen|9</v>
      </c>
      <c r="X519" s="16">
        <f t="shared" si="117"/>
        <v>0.52083333333333304</v>
      </c>
      <c r="Y519" s="15">
        <f>IF(OR(I519&lt;&gt;"Ja",J519=""),0,IF(COUNTIFS($O$5:O519,O519,$I$5:I519,"Ja",$J$5:J519,"&lt;&gt;")=1,1,0))</f>
        <v>0</v>
      </c>
      <c r="Z519" s="15">
        <f>IF(OR(I519&lt;&gt;"Ja",J519=""),0,IF(COUNTIFS(O519:$O$546,O519,I519:$I$546,"Ja",J519:$J$546,"&lt;&gt;")=1,1,0))</f>
        <v>0</v>
      </c>
      <c r="AA519" s="15">
        <f t="shared" si="113"/>
        <v>2</v>
      </c>
      <c r="AB519" s="15">
        <f>IF(U519&lt;&gt;1,"",COUNTIF($U$5:U519,1))</f>
        <v>104</v>
      </c>
      <c r="AC519" s="15" t="str">
        <f t="shared" si="118"/>
        <v>2027-03-20 | Ulriksdalshallen|9</v>
      </c>
      <c r="AD519" s="15" t="str">
        <f t="shared" si="119"/>
        <v>Vanligt café</v>
      </c>
      <c r="AE519" s="15">
        <f t="shared" si="120"/>
        <v>0.49999999999999289</v>
      </c>
      <c r="AF519" t="str">
        <f>IF(T519="","",IFERROR(MATCH(1,INDEX((MATCHER!$B$5:$B$504=A519)*(MATCHER!$D$5:$D$504=C519)*(MATCHER!$K$5:$K$504="Ja")*(MATCHER!$C$5:$C$504&lt;E519)*(MATCHER!$M$5:$M$504&gt;D519)*(ROW(MATCHER!$A$5:$A$504)-ROW(MATCHER!$A$5)+1&gt;T519),0),0),""))</f>
        <v/>
      </c>
    </row>
    <row r="520" spans="1:32" ht="26">
      <c r="A520" s="42">
        <v>46466</v>
      </c>
      <c r="B520" s="43" t="s">
        <v>85</v>
      </c>
      <c r="C520" s="43" t="s">
        <v>86</v>
      </c>
      <c r="D520" s="44">
        <v>0.52083333333333304</v>
      </c>
      <c r="E520" s="44">
        <v>0.54166666666666696</v>
      </c>
      <c r="F520" s="45" t="str">
        <f>IF(R520="","",HOUR(INDEX(MATCHER!$C$5:$C$504,R520))&amp;":"&amp;IF(MINUTE(INDEX(MATCHER!$C$5:$C$504,R520))&lt;10,"0","")&amp;MINUTE(INDEX(MATCHER!$C$5:$C$504,R520))&amp;" "&amp;INDEX(MATCHER!$H$5:$H$504,R520)&amp;" – "&amp;INDEX(MATCHER!$I$5:$I$504,R520))&amp;IF(S520="",""," | "&amp;HOUR(INDEX(MATCHER!$C$5:$C$504,S520))&amp;":"&amp;IF(MINUTE(INDEX(MATCHER!$C$5:$C$504,S520))&lt;10,"0","")&amp;MINUTE(INDEX(MATCHER!$C$5:$C$504,S520))&amp;" "&amp;INDEX(MATCHER!$H$5:$H$504,S520)&amp;" – "&amp;INDEX(MATCHER!$I$5:$I$504,S520))&amp;IF(T520="",""," | "&amp;HOUR(INDEX(MATCHER!$C$5:$C$504,T520))&amp;":"&amp;IF(MINUTE(INDEX(MATCHER!$C$5:$C$504,T520))&lt;10,"0","")&amp;MINUTE(INDEX(MATCHER!$C$5:$C$504,T520))&amp;" "&amp;INDEX(MATCHER!$H$5:$H$504,T520)&amp;" – "&amp;INDEX(MATCHER!$I$5:$I$504,T520))&amp;IF(AF520="",""," | "&amp;HOUR(INDEX(MATCHER!$C$5:$C$504,AF520))&amp;":"&amp;IF(MINUTE(INDEX(MATCHER!$C$5:$C$504,AF520))&lt;10,"0","")&amp;MINUTE(INDEX(MATCHER!$C$5:$C$504,AF520))&amp;" "&amp;INDEX(MATCHER!$H$5:$H$504,AF520)&amp;" – "&amp;INDEX(MATCHER!$I$5:$I$504,AF520))</f>
        <v/>
      </c>
      <c r="G520" s="45" t="str">
        <f>MID(IF(R520="","",IF(OR(INDEX(MATCHER!$J$5:$J$504,R520)=""),""," / "&amp;INDEX(MATCHER!$J$5:$J$504,R520)))&amp;IF(S520="","",IF(OR(INDEX(MATCHER!$J$5:$J$504,S520)="",INDEX(MATCHER!$J$5:$J$504,S520)=IFERROR(INDEX(MATCHER!$J$5:$J$504,R520),"")),""," / "&amp;INDEX(MATCHER!$J$5:$J$504,S520)))&amp;IF(T520="","",IF(OR(INDEX(MATCHER!$J$5:$J$504,T520)="",INDEX(MATCHER!$J$5:$J$504,T520)=IFERROR(INDEX(MATCHER!$J$5:$J$504,R520),""),INDEX(MATCHER!$J$5:$J$504,T520)=IFERROR(INDEX(MATCHER!$J$5:$J$504,S520),"")),""," / "&amp;INDEX(MATCHER!$J$5:$J$504,T520)))&amp;IF(AF520="","",IF(OR(INDEX(MATCHER!$J$5:$J$504,AF520)="",INDEX(MATCHER!$J$5:$J$504,AF520)=IFERROR(INDEX(MATCHER!$J$5:$J$504,R520),""),INDEX(MATCHER!$J$5:$J$504,AF520)=IFERROR(INDEX(MATCHER!$J$5:$J$504,S520),""),INDEX(MATCHER!$J$5:$J$504,AF520)=IFERROR(INDEX(MATCHER!$J$5:$J$504,T520),"")),""," / "&amp;INDEX(MATCHER!$J$5:$J$504,AF520))),4,1000)</f>
        <v/>
      </c>
      <c r="H520" s="45" t="str">
        <f t="shared" si="112"/>
        <v>F13, F14</v>
      </c>
      <c r="I520" s="46" t="s">
        <v>90</v>
      </c>
      <c r="J520" s="47" t="s">
        <v>97</v>
      </c>
      <c r="K520" s="48"/>
      <c r="L520" s="49"/>
      <c r="M520" s="50" t="str">
        <f>IF(O520&lt;&gt;O519,MAX(1,MIN(AA520,ROUNDUP(SUMPRODUCT(($O$5:$O$546=O520)*($I$5:$I$546="Ja")*($E$5:$E$546-$D$5:$D$546))*24/REGLER!$B$8,0))),"")</f>
        <v/>
      </c>
      <c r="N520" s="50" t="str">
        <f t="shared" si="114"/>
        <v>Klar</v>
      </c>
      <c r="O520" s="15" t="s">
        <v>164</v>
      </c>
      <c r="P520" s="16">
        <v>0.33333333333333298</v>
      </c>
      <c r="Q520" s="16">
        <v>0.69791666666666696</v>
      </c>
      <c r="R520" s="15" t="str">
        <f>IFERROR(MATCH(1,INDEX((MATCHER!$B$5:$B$504=A520)*(MATCHER!$D$5:$D$504=C520)*(MATCHER!$K$5:$K$504="Ja")*(MATCHER!$C$5:$C$504&lt;E520)*(MATCHER!$M$5:$M$504&gt;D520),0),0),"")</f>
        <v/>
      </c>
      <c r="S520" s="15" t="str">
        <f>IF(R520="","",IFERROR(MATCH(1,INDEX((MATCHER!$B$5:$B$504=A520)*(MATCHER!$D$5:$D$504=C520)*(MATCHER!$K$5:$K$504="Ja")*(MATCHER!$C$5:$C$504&lt;E520)*(MATCHER!$M$5:$M$504&gt;D520)*(ROW(MATCHER!$A$5:$A$504)-ROW(MATCHER!$A$5)+1&gt;R520),0),0),""))</f>
        <v/>
      </c>
      <c r="T520" s="15" t="str">
        <f>IF(S520="","",IFERROR(MATCH(1,INDEX((MATCHER!$B$5:$B$504=A520)*(MATCHER!$D$5:$D$504=C520)*(MATCHER!$K$5:$K$504="Ja")*(MATCHER!$C$5:$C$504&lt;E520)*(MATCHER!$M$5:$M$504&gt;D520)*(ROW(MATCHER!$A$5:$A$504)-ROW(MATCHER!$A$5)+1&gt;S520),0),0),""))</f>
        <v/>
      </c>
      <c r="U520" s="15">
        <f t="shared" si="115"/>
        <v>1</v>
      </c>
      <c r="V520" s="15">
        <f>IF(OR(I520&lt;&gt;"Ja",J520=""),"",COUNTIFS($O$5:O520,O520,$U$5:U520,1))</f>
        <v>10</v>
      </c>
      <c r="W520" s="15" t="str">
        <f t="shared" si="116"/>
        <v>2027-03-20 | Ulriksdalshallen|10</v>
      </c>
      <c r="X520" s="16" t="str">
        <f t="shared" si="117"/>
        <v/>
      </c>
      <c r="Y520" s="15">
        <f>IF(OR(I520&lt;&gt;"Ja",J520=""),0,IF(COUNTIFS($O$5:O520,O520,$I$5:I520,"Ja",$J$5:J520,"&lt;&gt;")=1,1,0))</f>
        <v>0</v>
      </c>
      <c r="Z520" s="15">
        <f>IF(OR(I520&lt;&gt;"Ja",J520=""),0,IF(COUNTIFS(O520:$O$546,O520,I520:$I$546,"Ja",J520:$J$546,"&lt;&gt;")=1,1,0))</f>
        <v>0</v>
      </c>
      <c r="AA520" s="15">
        <f t="shared" si="113"/>
        <v>2</v>
      </c>
      <c r="AB520" s="15">
        <f>IF(U520&lt;&gt;1,"",COUNTIF($U$5:U520,1))</f>
        <v>105</v>
      </c>
      <c r="AC520" s="15" t="str">
        <f t="shared" si="118"/>
        <v/>
      </c>
      <c r="AD520" s="15" t="str">
        <f t="shared" si="119"/>
        <v>Vanligt café</v>
      </c>
      <c r="AE520" s="15">
        <f t="shared" si="120"/>
        <v>2.5000000000000071</v>
      </c>
      <c r="AF520" t="str">
        <f>IF(T520="","",IFERROR(MATCH(1,INDEX((MATCHER!$B$5:$B$504=A520)*(MATCHER!$D$5:$D$504=C520)*(MATCHER!$K$5:$K$504="Ja")*(MATCHER!$C$5:$C$504&lt;E520)*(MATCHER!$M$5:$M$504&gt;D520)*(ROW(MATCHER!$A$5:$A$504)-ROW(MATCHER!$A$5)+1&gt;T520),0),0),""))</f>
        <v/>
      </c>
    </row>
    <row r="521" spans="1:32" ht="26">
      <c r="A521" s="42">
        <v>46466</v>
      </c>
      <c r="B521" s="43" t="s">
        <v>85</v>
      </c>
      <c r="C521" s="43" t="s">
        <v>86</v>
      </c>
      <c r="D521" s="44">
        <v>0.54166666666666696</v>
      </c>
      <c r="E521" s="44">
        <v>0.5625</v>
      </c>
      <c r="F521" s="45" t="str">
        <f>IF(R521="","",HOUR(INDEX(MATCHER!$C$5:$C$504,R521))&amp;":"&amp;IF(MINUTE(INDEX(MATCHER!$C$5:$C$504,R521))&lt;10,"0","")&amp;MINUTE(INDEX(MATCHER!$C$5:$C$504,R521))&amp;" "&amp;INDEX(MATCHER!$H$5:$H$504,R521)&amp;" – "&amp;INDEX(MATCHER!$I$5:$I$504,R521))&amp;IF(S521="",""," | "&amp;HOUR(INDEX(MATCHER!$C$5:$C$504,S521))&amp;":"&amp;IF(MINUTE(INDEX(MATCHER!$C$5:$C$504,S521))&lt;10,"0","")&amp;MINUTE(INDEX(MATCHER!$C$5:$C$504,S521))&amp;" "&amp;INDEX(MATCHER!$H$5:$H$504,S521)&amp;" – "&amp;INDEX(MATCHER!$I$5:$I$504,S521))&amp;IF(T521="",""," | "&amp;HOUR(INDEX(MATCHER!$C$5:$C$504,T521))&amp;":"&amp;IF(MINUTE(INDEX(MATCHER!$C$5:$C$504,T521))&lt;10,"0","")&amp;MINUTE(INDEX(MATCHER!$C$5:$C$504,T521))&amp;" "&amp;INDEX(MATCHER!$H$5:$H$504,T521)&amp;" – "&amp;INDEX(MATCHER!$I$5:$I$504,T521))&amp;IF(AF521="",""," | "&amp;HOUR(INDEX(MATCHER!$C$5:$C$504,AF521))&amp;":"&amp;IF(MINUTE(INDEX(MATCHER!$C$5:$C$504,AF521))&lt;10,"0","")&amp;MINUTE(INDEX(MATCHER!$C$5:$C$504,AF521))&amp;" "&amp;INDEX(MATCHER!$H$5:$H$504,AF521)&amp;" – "&amp;INDEX(MATCHER!$I$5:$I$504,AF521))</f>
        <v>13:20 AIK – Skuru IK 2</v>
      </c>
      <c r="G521" s="45" t="str">
        <f>MID(IF(R521="","",IF(OR(INDEX(MATCHER!$J$5:$J$504,R521)=""),""," / "&amp;INDEX(MATCHER!$J$5:$J$504,R521)))&amp;IF(S521="","",IF(OR(INDEX(MATCHER!$J$5:$J$504,S521)="",INDEX(MATCHER!$J$5:$J$504,S521)=IFERROR(INDEX(MATCHER!$J$5:$J$504,R521),"")),""," / "&amp;INDEX(MATCHER!$J$5:$J$504,S521)))&amp;IF(T521="","",IF(OR(INDEX(MATCHER!$J$5:$J$504,T521)="",INDEX(MATCHER!$J$5:$J$504,T521)=IFERROR(INDEX(MATCHER!$J$5:$J$504,R521),""),INDEX(MATCHER!$J$5:$J$504,T521)=IFERROR(INDEX(MATCHER!$J$5:$J$504,S521),"")),""," / "&amp;INDEX(MATCHER!$J$5:$J$504,T521)))&amp;IF(AF521="","",IF(OR(INDEX(MATCHER!$J$5:$J$504,AF521)="",INDEX(MATCHER!$J$5:$J$504,AF521)=IFERROR(INDEX(MATCHER!$J$5:$J$504,R521),""),INDEX(MATCHER!$J$5:$J$504,AF521)=IFERROR(INDEX(MATCHER!$J$5:$J$504,S521),""),INDEX(MATCHER!$J$5:$J$504,AF521)=IFERROR(INDEX(MATCHER!$J$5:$J$504,T521),"")),""," / "&amp;INDEX(MATCHER!$J$5:$J$504,AF521))),4,1000)</f>
        <v>F13</v>
      </c>
      <c r="H521" s="45" t="str">
        <f t="shared" si="112"/>
        <v>F13, F14</v>
      </c>
      <c r="I521" s="46" t="s">
        <v>90</v>
      </c>
      <c r="J521" s="47" t="s">
        <v>97</v>
      </c>
      <c r="K521" s="48"/>
      <c r="L521" s="49"/>
      <c r="M521" s="50" t="str">
        <f>IF(O521&lt;&gt;O520,MAX(1,MIN(AA521,ROUNDUP(SUMPRODUCT(($O$5:$O$546=O521)*($I$5:$I$546="Ja")*($E$5:$E$546-$D$5:$D$546))*24/REGLER!$B$8,0))),"")</f>
        <v/>
      </c>
      <c r="N521" s="50" t="str">
        <f t="shared" si="114"/>
        <v>Klar</v>
      </c>
      <c r="O521" s="15" t="s">
        <v>164</v>
      </c>
      <c r="P521" s="16">
        <v>0.33333333333333298</v>
      </c>
      <c r="Q521" s="16">
        <v>0.69791666666666696</v>
      </c>
      <c r="R521" s="15">
        <f>IFERROR(MATCH(1,INDEX((MATCHER!$B$5:$B$504=A521)*(MATCHER!$D$5:$D$504=C521)*(MATCHER!$K$5:$K$504="Ja")*(MATCHER!$C$5:$C$504&lt;E521)*(MATCHER!$M$5:$M$504&gt;D521),0),0),"")</f>
        <v>186</v>
      </c>
      <c r="S521" s="15" t="str">
        <f>IF(R521="","",IFERROR(MATCH(1,INDEX((MATCHER!$B$5:$B$504=A521)*(MATCHER!$D$5:$D$504=C521)*(MATCHER!$K$5:$K$504="Ja")*(MATCHER!$C$5:$C$504&lt;E521)*(MATCHER!$M$5:$M$504&gt;D521)*(ROW(MATCHER!$A$5:$A$504)-ROW(MATCHER!$A$5)+1&gt;R521),0),0),""))</f>
        <v/>
      </c>
      <c r="T521" s="15" t="str">
        <f>IF(S521="","",IFERROR(MATCH(1,INDEX((MATCHER!$B$5:$B$504=A521)*(MATCHER!$D$5:$D$504=C521)*(MATCHER!$K$5:$K$504="Ja")*(MATCHER!$C$5:$C$504&lt;E521)*(MATCHER!$M$5:$M$504&gt;D521)*(ROW(MATCHER!$A$5:$A$504)-ROW(MATCHER!$A$5)+1&gt;S521),0),0),""))</f>
        <v/>
      </c>
      <c r="U521" s="15">
        <f t="shared" si="115"/>
        <v>0</v>
      </c>
      <c r="V521" s="15">
        <f>IF(OR(I521&lt;&gt;"Ja",J521=""),"",COUNTIFS($O$5:O521,O521,$U$5:U521,1))</f>
        <v>10</v>
      </c>
      <c r="W521" s="15" t="str">
        <f t="shared" si="116"/>
        <v>2027-03-20 | Ulriksdalshallen|10</v>
      </c>
      <c r="X521" s="16" t="str">
        <f t="shared" si="117"/>
        <v/>
      </c>
      <c r="Y521" s="15">
        <f>IF(OR(I521&lt;&gt;"Ja",J521=""),0,IF(COUNTIFS($O$5:O521,O521,$I$5:I521,"Ja",$J$5:J521,"&lt;&gt;")=1,1,0))</f>
        <v>0</v>
      </c>
      <c r="Z521" s="15">
        <f>IF(OR(I521&lt;&gt;"Ja",J521=""),0,IF(COUNTIFS(O521:$O$546,O521,I521:$I$546,"Ja",J521:$J$546,"&lt;&gt;")=1,1,0))</f>
        <v>0</v>
      </c>
      <c r="AA521" s="15">
        <f t="shared" si="113"/>
        <v>2</v>
      </c>
      <c r="AB521" s="15" t="str">
        <f>IF(U521&lt;&gt;1,"",COUNTIF($U$5:U521,1))</f>
        <v/>
      </c>
      <c r="AC521" s="15" t="str">
        <f t="shared" si="118"/>
        <v/>
      </c>
      <c r="AD521" s="15" t="str">
        <f t="shared" si="119"/>
        <v>Vanligt café</v>
      </c>
      <c r="AE521" s="15" t="str">
        <f t="shared" si="120"/>
        <v/>
      </c>
      <c r="AF521" t="str">
        <f>IF(T521="","",IFERROR(MATCH(1,INDEX((MATCHER!$B$5:$B$504=A521)*(MATCHER!$D$5:$D$504=C521)*(MATCHER!$K$5:$K$504="Ja")*(MATCHER!$C$5:$C$504&lt;E521)*(MATCHER!$M$5:$M$504&gt;D521)*(ROW(MATCHER!$A$5:$A$504)-ROW(MATCHER!$A$5)+1&gt;T521),0),0),""))</f>
        <v/>
      </c>
    </row>
    <row r="522" spans="1:32" ht="26">
      <c r="A522" s="42">
        <v>46466</v>
      </c>
      <c r="B522" s="43" t="s">
        <v>85</v>
      </c>
      <c r="C522" s="43" t="s">
        <v>86</v>
      </c>
      <c r="D522" s="44">
        <v>0.5625</v>
      </c>
      <c r="E522" s="44">
        <v>0.58333333333333304</v>
      </c>
      <c r="F522" s="45" t="str">
        <f>IF(R522="","",HOUR(INDEX(MATCHER!$C$5:$C$504,R522))&amp;":"&amp;IF(MINUTE(INDEX(MATCHER!$C$5:$C$504,R522))&lt;10,"0","")&amp;MINUTE(INDEX(MATCHER!$C$5:$C$504,R522))&amp;" "&amp;INDEX(MATCHER!$H$5:$H$504,R522)&amp;" – "&amp;INDEX(MATCHER!$I$5:$I$504,R522))&amp;IF(S522="",""," | "&amp;HOUR(INDEX(MATCHER!$C$5:$C$504,S522))&amp;":"&amp;IF(MINUTE(INDEX(MATCHER!$C$5:$C$504,S522))&lt;10,"0","")&amp;MINUTE(INDEX(MATCHER!$C$5:$C$504,S522))&amp;" "&amp;INDEX(MATCHER!$H$5:$H$504,S522)&amp;" – "&amp;INDEX(MATCHER!$I$5:$I$504,S522))&amp;IF(T522="",""," | "&amp;HOUR(INDEX(MATCHER!$C$5:$C$504,T522))&amp;":"&amp;IF(MINUTE(INDEX(MATCHER!$C$5:$C$504,T522))&lt;10,"0","")&amp;MINUTE(INDEX(MATCHER!$C$5:$C$504,T522))&amp;" "&amp;INDEX(MATCHER!$H$5:$H$504,T522)&amp;" – "&amp;INDEX(MATCHER!$I$5:$I$504,T522))&amp;IF(AF522="",""," | "&amp;HOUR(INDEX(MATCHER!$C$5:$C$504,AF522))&amp;":"&amp;IF(MINUTE(INDEX(MATCHER!$C$5:$C$504,AF522))&lt;10,"0","")&amp;MINUTE(INDEX(MATCHER!$C$5:$C$504,AF522))&amp;" "&amp;INDEX(MATCHER!$H$5:$H$504,AF522)&amp;" – "&amp;INDEX(MATCHER!$I$5:$I$504,AF522))</f>
        <v>13:20 AIK – Skuru IK 2</v>
      </c>
      <c r="G522" s="45" t="str">
        <f>MID(IF(R522="","",IF(OR(INDEX(MATCHER!$J$5:$J$504,R522)=""),""," / "&amp;INDEX(MATCHER!$J$5:$J$504,R522)))&amp;IF(S522="","",IF(OR(INDEX(MATCHER!$J$5:$J$504,S522)="",INDEX(MATCHER!$J$5:$J$504,S522)=IFERROR(INDEX(MATCHER!$J$5:$J$504,R522),"")),""," / "&amp;INDEX(MATCHER!$J$5:$J$504,S522)))&amp;IF(T522="","",IF(OR(INDEX(MATCHER!$J$5:$J$504,T522)="",INDEX(MATCHER!$J$5:$J$504,T522)=IFERROR(INDEX(MATCHER!$J$5:$J$504,R522),""),INDEX(MATCHER!$J$5:$J$504,T522)=IFERROR(INDEX(MATCHER!$J$5:$J$504,S522),"")),""," / "&amp;INDEX(MATCHER!$J$5:$J$504,T522)))&amp;IF(AF522="","",IF(OR(INDEX(MATCHER!$J$5:$J$504,AF522)="",INDEX(MATCHER!$J$5:$J$504,AF522)=IFERROR(INDEX(MATCHER!$J$5:$J$504,R522),""),INDEX(MATCHER!$J$5:$J$504,AF522)=IFERROR(INDEX(MATCHER!$J$5:$J$504,S522),""),INDEX(MATCHER!$J$5:$J$504,AF522)=IFERROR(INDEX(MATCHER!$J$5:$J$504,T522),"")),""," / "&amp;INDEX(MATCHER!$J$5:$J$504,AF522))),4,1000)</f>
        <v>F13</v>
      </c>
      <c r="H522" s="45" t="str">
        <f t="shared" si="112"/>
        <v>F13, F14</v>
      </c>
      <c r="I522" s="46" t="s">
        <v>90</v>
      </c>
      <c r="J522" s="47" t="s">
        <v>97</v>
      </c>
      <c r="K522" s="48"/>
      <c r="L522" s="49"/>
      <c r="M522" s="50" t="str">
        <f>IF(O522&lt;&gt;O521,MAX(1,MIN(AA522,ROUNDUP(SUMPRODUCT(($O$5:$O$546=O522)*($I$5:$I$546="Ja")*($E$5:$E$546-$D$5:$D$546))*24/REGLER!$B$8,0))),"")</f>
        <v/>
      </c>
      <c r="N522" s="50" t="str">
        <f t="shared" si="114"/>
        <v>Klar</v>
      </c>
      <c r="O522" s="15" t="s">
        <v>164</v>
      </c>
      <c r="P522" s="16">
        <v>0.33333333333333298</v>
      </c>
      <c r="Q522" s="16">
        <v>0.69791666666666696</v>
      </c>
      <c r="R522" s="15">
        <f>IFERROR(MATCH(1,INDEX((MATCHER!$B$5:$B$504=A522)*(MATCHER!$D$5:$D$504=C522)*(MATCHER!$K$5:$K$504="Ja")*(MATCHER!$C$5:$C$504&lt;E522)*(MATCHER!$M$5:$M$504&gt;D522),0),0),"")</f>
        <v>186</v>
      </c>
      <c r="S522" s="15" t="str">
        <f>IF(R522="","",IFERROR(MATCH(1,INDEX((MATCHER!$B$5:$B$504=A522)*(MATCHER!$D$5:$D$504=C522)*(MATCHER!$K$5:$K$504="Ja")*(MATCHER!$C$5:$C$504&lt;E522)*(MATCHER!$M$5:$M$504&gt;D522)*(ROW(MATCHER!$A$5:$A$504)-ROW(MATCHER!$A$5)+1&gt;R522),0),0),""))</f>
        <v/>
      </c>
      <c r="T522" s="15" t="str">
        <f>IF(S522="","",IFERROR(MATCH(1,INDEX((MATCHER!$B$5:$B$504=A522)*(MATCHER!$D$5:$D$504=C522)*(MATCHER!$K$5:$K$504="Ja")*(MATCHER!$C$5:$C$504&lt;E522)*(MATCHER!$M$5:$M$504&gt;D522)*(ROW(MATCHER!$A$5:$A$504)-ROW(MATCHER!$A$5)+1&gt;S522),0),0),""))</f>
        <v/>
      </c>
      <c r="U522" s="15">
        <f t="shared" si="115"/>
        <v>0</v>
      </c>
      <c r="V522" s="15">
        <f>IF(OR(I522&lt;&gt;"Ja",J522=""),"",COUNTIFS($O$5:O522,O522,$U$5:U522,1))</f>
        <v>10</v>
      </c>
      <c r="W522" s="15" t="str">
        <f t="shared" si="116"/>
        <v>2027-03-20 | Ulriksdalshallen|10</v>
      </c>
      <c r="X522" s="16" t="str">
        <f t="shared" si="117"/>
        <v/>
      </c>
      <c r="Y522" s="15">
        <f>IF(OR(I522&lt;&gt;"Ja",J522=""),0,IF(COUNTIFS($O$5:O522,O522,$I$5:I522,"Ja",$J$5:J522,"&lt;&gt;")=1,1,0))</f>
        <v>0</v>
      </c>
      <c r="Z522" s="15">
        <f>IF(OR(I522&lt;&gt;"Ja",J522=""),0,IF(COUNTIFS(O522:$O$546,O522,I522:$I$546,"Ja",J522:$J$546,"&lt;&gt;")=1,1,0))</f>
        <v>0</v>
      </c>
      <c r="AA522" s="15">
        <f t="shared" si="113"/>
        <v>2</v>
      </c>
      <c r="AB522" s="15" t="str">
        <f>IF(U522&lt;&gt;1,"",COUNTIF($U$5:U522,1))</f>
        <v/>
      </c>
      <c r="AC522" s="15" t="str">
        <f t="shared" si="118"/>
        <v/>
      </c>
      <c r="AD522" s="15" t="str">
        <f t="shared" si="119"/>
        <v>Vanligt café</v>
      </c>
      <c r="AE522" s="15" t="str">
        <f t="shared" si="120"/>
        <v/>
      </c>
      <c r="AF522" t="str">
        <f>IF(T522="","",IFERROR(MATCH(1,INDEX((MATCHER!$B$5:$B$504=A522)*(MATCHER!$D$5:$D$504=C522)*(MATCHER!$K$5:$K$504="Ja")*(MATCHER!$C$5:$C$504&lt;E522)*(MATCHER!$M$5:$M$504&gt;D522)*(ROW(MATCHER!$A$5:$A$504)-ROW(MATCHER!$A$5)+1&gt;T522),0),0),""))</f>
        <v/>
      </c>
    </row>
    <row r="523" spans="1:32" ht="26">
      <c r="A523" s="42">
        <v>46466</v>
      </c>
      <c r="B523" s="43" t="s">
        <v>85</v>
      </c>
      <c r="C523" s="43" t="s">
        <v>86</v>
      </c>
      <c r="D523" s="44">
        <v>0.58333333333333304</v>
      </c>
      <c r="E523" s="44">
        <v>0.60416666666666696</v>
      </c>
      <c r="F523" s="45" t="str">
        <f>IF(R523="","",HOUR(INDEX(MATCHER!$C$5:$C$504,R523))&amp;":"&amp;IF(MINUTE(INDEX(MATCHER!$C$5:$C$504,R523))&lt;10,"0","")&amp;MINUTE(INDEX(MATCHER!$C$5:$C$504,R523))&amp;" "&amp;INDEX(MATCHER!$H$5:$H$504,R523)&amp;" – "&amp;INDEX(MATCHER!$I$5:$I$504,R523))&amp;IF(S523="",""," | "&amp;HOUR(INDEX(MATCHER!$C$5:$C$504,S523))&amp;":"&amp;IF(MINUTE(INDEX(MATCHER!$C$5:$C$504,S523))&lt;10,"0","")&amp;MINUTE(INDEX(MATCHER!$C$5:$C$504,S523))&amp;" "&amp;INDEX(MATCHER!$H$5:$H$504,S523)&amp;" – "&amp;INDEX(MATCHER!$I$5:$I$504,S523))&amp;IF(T523="",""," | "&amp;HOUR(INDEX(MATCHER!$C$5:$C$504,T523))&amp;":"&amp;IF(MINUTE(INDEX(MATCHER!$C$5:$C$504,T523))&lt;10,"0","")&amp;MINUTE(INDEX(MATCHER!$C$5:$C$504,T523))&amp;" "&amp;INDEX(MATCHER!$H$5:$H$504,T523)&amp;" – "&amp;INDEX(MATCHER!$I$5:$I$504,T523))&amp;IF(AF523="",""," | "&amp;HOUR(INDEX(MATCHER!$C$5:$C$504,AF523))&amp;":"&amp;IF(MINUTE(INDEX(MATCHER!$C$5:$C$504,AF523))&lt;10,"0","")&amp;MINUTE(INDEX(MATCHER!$C$5:$C$504,AF523))&amp;" "&amp;INDEX(MATCHER!$H$5:$H$504,AF523)&amp;" – "&amp;INDEX(MATCHER!$I$5:$I$504,AF523))</f>
        <v>13:20 AIK – Skuru IK 2</v>
      </c>
      <c r="G523" s="45" t="str">
        <f>MID(IF(R523="","",IF(OR(INDEX(MATCHER!$J$5:$J$504,R523)=""),""," / "&amp;INDEX(MATCHER!$J$5:$J$504,R523)))&amp;IF(S523="","",IF(OR(INDEX(MATCHER!$J$5:$J$504,S523)="",INDEX(MATCHER!$J$5:$J$504,S523)=IFERROR(INDEX(MATCHER!$J$5:$J$504,R523),"")),""," / "&amp;INDEX(MATCHER!$J$5:$J$504,S523)))&amp;IF(T523="","",IF(OR(INDEX(MATCHER!$J$5:$J$504,T523)="",INDEX(MATCHER!$J$5:$J$504,T523)=IFERROR(INDEX(MATCHER!$J$5:$J$504,R523),""),INDEX(MATCHER!$J$5:$J$504,T523)=IFERROR(INDEX(MATCHER!$J$5:$J$504,S523),"")),""," / "&amp;INDEX(MATCHER!$J$5:$J$504,T523)))&amp;IF(AF523="","",IF(OR(INDEX(MATCHER!$J$5:$J$504,AF523)="",INDEX(MATCHER!$J$5:$J$504,AF523)=IFERROR(INDEX(MATCHER!$J$5:$J$504,R523),""),INDEX(MATCHER!$J$5:$J$504,AF523)=IFERROR(INDEX(MATCHER!$J$5:$J$504,S523),""),INDEX(MATCHER!$J$5:$J$504,AF523)=IFERROR(INDEX(MATCHER!$J$5:$J$504,T523),"")),""," / "&amp;INDEX(MATCHER!$J$5:$J$504,AF523))),4,1000)</f>
        <v>F13</v>
      </c>
      <c r="H523" s="45" t="str">
        <f t="shared" si="112"/>
        <v>F13, F14</v>
      </c>
      <c r="I523" s="46" t="s">
        <v>90</v>
      </c>
      <c r="J523" s="47" t="s">
        <v>97</v>
      </c>
      <c r="K523" s="48"/>
      <c r="L523" s="49"/>
      <c r="M523" s="50" t="str">
        <f>IF(O523&lt;&gt;O522,MAX(1,MIN(AA523,ROUNDUP(SUMPRODUCT(($O$5:$O$546=O523)*($I$5:$I$546="Ja")*($E$5:$E$546-$D$5:$D$546))*24/REGLER!$B$8,0))),"")</f>
        <v/>
      </c>
      <c r="N523" s="50" t="str">
        <f t="shared" si="114"/>
        <v>Klar</v>
      </c>
      <c r="O523" s="15" t="s">
        <v>164</v>
      </c>
      <c r="P523" s="16">
        <v>0.33333333333333298</v>
      </c>
      <c r="Q523" s="16">
        <v>0.69791666666666696</v>
      </c>
      <c r="R523" s="15">
        <f>IFERROR(MATCH(1,INDEX((MATCHER!$B$5:$B$504=A523)*(MATCHER!$D$5:$D$504=C523)*(MATCHER!$K$5:$K$504="Ja")*(MATCHER!$C$5:$C$504&lt;E523)*(MATCHER!$M$5:$M$504&gt;D523),0),0),"")</f>
        <v>186</v>
      </c>
      <c r="S523" s="15" t="str">
        <f>IF(R523="","",IFERROR(MATCH(1,INDEX((MATCHER!$B$5:$B$504=A523)*(MATCHER!$D$5:$D$504=C523)*(MATCHER!$K$5:$K$504="Ja")*(MATCHER!$C$5:$C$504&lt;E523)*(MATCHER!$M$5:$M$504&gt;D523)*(ROW(MATCHER!$A$5:$A$504)-ROW(MATCHER!$A$5)+1&gt;R523),0),0),""))</f>
        <v/>
      </c>
      <c r="T523" s="15" t="str">
        <f>IF(S523="","",IFERROR(MATCH(1,INDEX((MATCHER!$B$5:$B$504=A523)*(MATCHER!$D$5:$D$504=C523)*(MATCHER!$K$5:$K$504="Ja")*(MATCHER!$C$5:$C$504&lt;E523)*(MATCHER!$M$5:$M$504&gt;D523)*(ROW(MATCHER!$A$5:$A$504)-ROW(MATCHER!$A$5)+1&gt;S523),0),0),""))</f>
        <v/>
      </c>
      <c r="U523" s="15">
        <f t="shared" si="115"/>
        <v>0</v>
      </c>
      <c r="V523" s="15">
        <f>IF(OR(I523&lt;&gt;"Ja",J523=""),"",COUNTIFS($O$5:O523,O523,$U$5:U523,1))</f>
        <v>10</v>
      </c>
      <c r="W523" s="15" t="str">
        <f t="shared" si="116"/>
        <v>2027-03-20 | Ulriksdalshallen|10</v>
      </c>
      <c r="X523" s="16" t="str">
        <f t="shared" si="117"/>
        <v/>
      </c>
      <c r="Y523" s="15">
        <f>IF(OR(I523&lt;&gt;"Ja",J523=""),0,IF(COUNTIFS($O$5:O523,O523,$I$5:I523,"Ja",$J$5:J523,"&lt;&gt;")=1,1,0))</f>
        <v>0</v>
      </c>
      <c r="Z523" s="15">
        <f>IF(OR(I523&lt;&gt;"Ja",J523=""),0,IF(COUNTIFS(O523:$O$546,O523,I523:$I$546,"Ja",J523:$J$546,"&lt;&gt;")=1,1,0))</f>
        <v>0</v>
      </c>
      <c r="AA523" s="15">
        <f t="shared" si="113"/>
        <v>2</v>
      </c>
      <c r="AB523" s="15" t="str">
        <f>IF(U523&lt;&gt;1,"",COUNTIF($U$5:U523,1))</f>
        <v/>
      </c>
      <c r="AC523" s="15" t="str">
        <f t="shared" si="118"/>
        <v/>
      </c>
      <c r="AD523" s="15" t="str">
        <f t="shared" si="119"/>
        <v>Vanligt café</v>
      </c>
      <c r="AE523" s="15" t="str">
        <f t="shared" si="120"/>
        <v/>
      </c>
      <c r="AF523" t="str">
        <f>IF(T523="","",IFERROR(MATCH(1,INDEX((MATCHER!$B$5:$B$504=A523)*(MATCHER!$D$5:$D$504=C523)*(MATCHER!$K$5:$K$504="Ja")*(MATCHER!$C$5:$C$504&lt;E523)*(MATCHER!$M$5:$M$504&gt;D523)*(ROW(MATCHER!$A$5:$A$504)-ROW(MATCHER!$A$5)+1&gt;T523),0),0),""))</f>
        <v/>
      </c>
    </row>
    <row r="524" spans="1:32" ht="26">
      <c r="A524" s="42">
        <v>46466</v>
      </c>
      <c r="B524" s="43" t="s">
        <v>85</v>
      </c>
      <c r="C524" s="43" t="s">
        <v>86</v>
      </c>
      <c r="D524" s="44">
        <v>0.60416666666666696</v>
      </c>
      <c r="E524" s="44">
        <v>0.625</v>
      </c>
      <c r="F524" s="45" t="str">
        <f>IF(R524="","",HOUR(INDEX(MATCHER!$C$5:$C$504,R524))&amp;":"&amp;IF(MINUTE(INDEX(MATCHER!$C$5:$C$504,R524))&lt;10,"0","")&amp;MINUTE(INDEX(MATCHER!$C$5:$C$504,R524))&amp;" "&amp;INDEX(MATCHER!$H$5:$H$504,R524)&amp;" – "&amp;INDEX(MATCHER!$I$5:$I$504,R524))&amp;IF(S524="",""," | "&amp;HOUR(INDEX(MATCHER!$C$5:$C$504,S524))&amp;":"&amp;IF(MINUTE(INDEX(MATCHER!$C$5:$C$504,S524))&lt;10,"0","")&amp;MINUTE(INDEX(MATCHER!$C$5:$C$504,S524))&amp;" "&amp;INDEX(MATCHER!$H$5:$H$504,S524)&amp;" – "&amp;INDEX(MATCHER!$I$5:$I$504,S524))&amp;IF(T524="",""," | "&amp;HOUR(INDEX(MATCHER!$C$5:$C$504,T524))&amp;":"&amp;IF(MINUTE(INDEX(MATCHER!$C$5:$C$504,T524))&lt;10,"0","")&amp;MINUTE(INDEX(MATCHER!$C$5:$C$504,T524))&amp;" "&amp;INDEX(MATCHER!$H$5:$H$504,T524)&amp;" – "&amp;INDEX(MATCHER!$I$5:$I$504,T524))&amp;IF(AF524="",""," | "&amp;HOUR(INDEX(MATCHER!$C$5:$C$504,AF524))&amp;":"&amp;IF(MINUTE(INDEX(MATCHER!$C$5:$C$504,AF524))&lt;10,"0","")&amp;MINUTE(INDEX(MATCHER!$C$5:$C$504,AF524))&amp;" "&amp;INDEX(MATCHER!$H$5:$H$504,AF524)&amp;" – "&amp;INDEX(MATCHER!$I$5:$I$504,AF524))</f>
        <v>14:30 AIK 2 – HK Ceres Norrtälje</v>
      </c>
      <c r="G524" s="45" t="str">
        <f>MID(IF(R524="","",IF(OR(INDEX(MATCHER!$J$5:$J$504,R524)=""),""," / "&amp;INDEX(MATCHER!$J$5:$J$504,R524)))&amp;IF(S524="","",IF(OR(INDEX(MATCHER!$J$5:$J$504,S524)="",INDEX(MATCHER!$J$5:$J$504,S524)=IFERROR(INDEX(MATCHER!$J$5:$J$504,R524),"")),""," / "&amp;INDEX(MATCHER!$J$5:$J$504,S524)))&amp;IF(T524="","",IF(OR(INDEX(MATCHER!$J$5:$J$504,T524)="",INDEX(MATCHER!$J$5:$J$504,T524)=IFERROR(INDEX(MATCHER!$J$5:$J$504,R524),""),INDEX(MATCHER!$J$5:$J$504,T524)=IFERROR(INDEX(MATCHER!$J$5:$J$504,S524),"")),""," / "&amp;INDEX(MATCHER!$J$5:$J$504,T524)))&amp;IF(AF524="","",IF(OR(INDEX(MATCHER!$J$5:$J$504,AF524)="",INDEX(MATCHER!$J$5:$J$504,AF524)=IFERROR(INDEX(MATCHER!$J$5:$J$504,R524),""),INDEX(MATCHER!$J$5:$J$504,AF524)=IFERROR(INDEX(MATCHER!$J$5:$J$504,S524),""),INDEX(MATCHER!$J$5:$J$504,AF524)=IFERROR(INDEX(MATCHER!$J$5:$J$504,T524),"")),""," / "&amp;INDEX(MATCHER!$J$5:$J$504,AF524))),4,1000)</f>
        <v>F13 2</v>
      </c>
      <c r="H524" s="45" t="str">
        <f t="shared" si="112"/>
        <v>F13, F14</v>
      </c>
      <c r="I524" s="46" t="s">
        <v>90</v>
      </c>
      <c r="J524" s="47" t="s">
        <v>97</v>
      </c>
      <c r="K524" s="48"/>
      <c r="L524" s="49"/>
      <c r="M524" s="50" t="str">
        <f>IF(O524&lt;&gt;O523,MAX(1,MIN(AA524,ROUNDUP(SUMPRODUCT(($O$5:$O$546=O524)*($I$5:$I$546="Ja")*($E$5:$E$546-$D$5:$D$546))*24/REGLER!$B$8,0))),"")</f>
        <v/>
      </c>
      <c r="N524" s="50" t="str">
        <f t="shared" si="114"/>
        <v>Klar</v>
      </c>
      <c r="O524" s="15" t="s">
        <v>164</v>
      </c>
      <c r="P524" s="16">
        <v>0.33333333333333298</v>
      </c>
      <c r="Q524" s="16">
        <v>0.69791666666666696</v>
      </c>
      <c r="R524" s="15">
        <f>IFERROR(MATCH(1,INDEX((MATCHER!$B$5:$B$504=A524)*(MATCHER!$D$5:$D$504=C524)*(MATCHER!$K$5:$K$504="Ja")*(MATCHER!$C$5:$C$504&lt;E524)*(MATCHER!$M$5:$M$504&gt;D524),0),0),"")</f>
        <v>187</v>
      </c>
      <c r="S524" s="15" t="str">
        <f>IF(R524="","",IFERROR(MATCH(1,INDEX((MATCHER!$B$5:$B$504=A524)*(MATCHER!$D$5:$D$504=C524)*(MATCHER!$K$5:$K$504="Ja")*(MATCHER!$C$5:$C$504&lt;E524)*(MATCHER!$M$5:$M$504&gt;D524)*(ROW(MATCHER!$A$5:$A$504)-ROW(MATCHER!$A$5)+1&gt;R524),0),0),""))</f>
        <v/>
      </c>
      <c r="T524" s="15" t="str">
        <f>IF(S524="","",IFERROR(MATCH(1,INDEX((MATCHER!$B$5:$B$504=A524)*(MATCHER!$D$5:$D$504=C524)*(MATCHER!$K$5:$K$504="Ja")*(MATCHER!$C$5:$C$504&lt;E524)*(MATCHER!$M$5:$M$504&gt;D524)*(ROW(MATCHER!$A$5:$A$504)-ROW(MATCHER!$A$5)+1&gt;S524),0),0),""))</f>
        <v/>
      </c>
      <c r="U524" s="15">
        <f t="shared" si="115"/>
        <v>0</v>
      </c>
      <c r="V524" s="15">
        <f>IF(OR(I524&lt;&gt;"Ja",J524=""),"",COUNTIFS($O$5:O524,O524,$U$5:U524,1))</f>
        <v>10</v>
      </c>
      <c r="W524" s="15" t="str">
        <f t="shared" si="116"/>
        <v>2027-03-20 | Ulriksdalshallen|10</v>
      </c>
      <c r="X524" s="16">
        <f t="shared" si="117"/>
        <v>0.625</v>
      </c>
      <c r="Y524" s="15">
        <f>IF(OR(I524&lt;&gt;"Ja",J524=""),0,IF(COUNTIFS($O$5:O524,O524,$I$5:I524,"Ja",$J$5:J524,"&lt;&gt;")=1,1,0))</f>
        <v>0</v>
      </c>
      <c r="Z524" s="15">
        <f>IF(OR(I524&lt;&gt;"Ja",J524=""),0,IF(COUNTIFS(O524:$O$546,O524,I524:$I$546,"Ja",J524:$J$546,"&lt;&gt;")=1,1,0))</f>
        <v>0</v>
      </c>
      <c r="AA524" s="15">
        <f t="shared" si="113"/>
        <v>2</v>
      </c>
      <c r="AB524" s="15" t="str">
        <f>IF(U524&lt;&gt;1,"",COUNTIF($U$5:U524,1))</f>
        <v/>
      </c>
      <c r="AC524" s="15" t="str">
        <f t="shared" si="118"/>
        <v>2027-03-20 | Ulriksdalshallen|10</v>
      </c>
      <c r="AD524" s="15" t="str">
        <f t="shared" si="119"/>
        <v>Vanligt café</v>
      </c>
      <c r="AE524" s="15" t="str">
        <f t="shared" si="120"/>
        <v/>
      </c>
      <c r="AF524" t="str">
        <f>IF(T524="","",IFERROR(MATCH(1,INDEX((MATCHER!$B$5:$B$504=A524)*(MATCHER!$D$5:$D$504=C524)*(MATCHER!$K$5:$K$504="Ja")*(MATCHER!$C$5:$C$504&lt;E524)*(MATCHER!$M$5:$M$504&gt;D524)*(ROW(MATCHER!$A$5:$A$504)-ROW(MATCHER!$A$5)+1&gt;T524),0),0),""))</f>
        <v/>
      </c>
    </row>
    <row r="525" spans="1:32" ht="26">
      <c r="A525" s="42">
        <v>46466</v>
      </c>
      <c r="B525" s="43" t="s">
        <v>85</v>
      </c>
      <c r="C525" s="43" t="s">
        <v>86</v>
      </c>
      <c r="D525" s="44">
        <v>0.625</v>
      </c>
      <c r="E525" s="44">
        <v>0.64583333333333304</v>
      </c>
      <c r="F525" s="45" t="str">
        <f>IF(R525="","",HOUR(INDEX(MATCHER!$C$5:$C$504,R525))&amp;":"&amp;IF(MINUTE(INDEX(MATCHER!$C$5:$C$504,R525))&lt;10,"0","")&amp;MINUTE(INDEX(MATCHER!$C$5:$C$504,R525))&amp;" "&amp;INDEX(MATCHER!$H$5:$H$504,R525)&amp;" – "&amp;INDEX(MATCHER!$I$5:$I$504,R525))&amp;IF(S525="",""," | "&amp;HOUR(INDEX(MATCHER!$C$5:$C$504,S525))&amp;":"&amp;IF(MINUTE(INDEX(MATCHER!$C$5:$C$504,S525))&lt;10,"0","")&amp;MINUTE(INDEX(MATCHER!$C$5:$C$504,S525))&amp;" "&amp;INDEX(MATCHER!$H$5:$H$504,S525)&amp;" – "&amp;INDEX(MATCHER!$I$5:$I$504,S525))&amp;IF(T525="",""," | "&amp;HOUR(INDEX(MATCHER!$C$5:$C$504,T525))&amp;":"&amp;IF(MINUTE(INDEX(MATCHER!$C$5:$C$504,T525))&lt;10,"0","")&amp;MINUTE(INDEX(MATCHER!$C$5:$C$504,T525))&amp;" "&amp;INDEX(MATCHER!$H$5:$H$504,T525)&amp;" – "&amp;INDEX(MATCHER!$I$5:$I$504,T525))&amp;IF(AF525="",""," | "&amp;HOUR(INDEX(MATCHER!$C$5:$C$504,AF525))&amp;":"&amp;IF(MINUTE(INDEX(MATCHER!$C$5:$C$504,AF525))&lt;10,"0","")&amp;MINUTE(INDEX(MATCHER!$C$5:$C$504,AF525))&amp;" "&amp;INDEX(MATCHER!$H$5:$H$504,AF525)&amp;" – "&amp;INDEX(MATCHER!$I$5:$I$504,AF525))</f>
        <v>14:30 AIK 2 – HK Ceres Norrtälje</v>
      </c>
      <c r="G525" s="45" t="str">
        <f>MID(IF(R525="","",IF(OR(INDEX(MATCHER!$J$5:$J$504,R525)=""),""," / "&amp;INDEX(MATCHER!$J$5:$J$504,R525)))&amp;IF(S525="","",IF(OR(INDEX(MATCHER!$J$5:$J$504,S525)="",INDEX(MATCHER!$J$5:$J$504,S525)=IFERROR(INDEX(MATCHER!$J$5:$J$504,R525),"")),""," / "&amp;INDEX(MATCHER!$J$5:$J$504,S525)))&amp;IF(T525="","",IF(OR(INDEX(MATCHER!$J$5:$J$504,T525)="",INDEX(MATCHER!$J$5:$J$504,T525)=IFERROR(INDEX(MATCHER!$J$5:$J$504,R525),""),INDEX(MATCHER!$J$5:$J$504,T525)=IFERROR(INDEX(MATCHER!$J$5:$J$504,S525),"")),""," / "&amp;INDEX(MATCHER!$J$5:$J$504,T525)))&amp;IF(AF525="","",IF(OR(INDEX(MATCHER!$J$5:$J$504,AF525)="",INDEX(MATCHER!$J$5:$J$504,AF525)=IFERROR(INDEX(MATCHER!$J$5:$J$504,R525),""),INDEX(MATCHER!$J$5:$J$504,AF525)=IFERROR(INDEX(MATCHER!$J$5:$J$504,S525),""),INDEX(MATCHER!$J$5:$J$504,AF525)=IFERROR(INDEX(MATCHER!$J$5:$J$504,T525),"")),""," / "&amp;INDEX(MATCHER!$J$5:$J$504,AF525))),4,1000)</f>
        <v>F13 2</v>
      </c>
      <c r="H525" s="45" t="str">
        <f t="shared" si="112"/>
        <v>F13, F14</v>
      </c>
      <c r="I525" s="46" t="s">
        <v>90</v>
      </c>
      <c r="J525" s="47" t="s">
        <v>103</v>
      </c>
      <c r="K525" s="48"/>
      <c r="L525" s="49"/>
      <c r="M525" s="50" t="str">
        <f>IF(O525&lt;&gt;O524,MAX(1,MIN(AA525,ROUNDUP(SUMPRODUCT(($O$5:$O$546=O525)*($I$5:$I$546="Ja")*($E$5:$E$546-$D$5:$D$546))*24/REGLER!$B$8,0))),"")</f>
        <v/>
      </c>
      <c r="N525" s="50" t="str">
        <f t="shared" si="114"/>
        <v>Klar</v>
      </c>
      <c r="O525" s="15" t="s">
        <v>164</v>
      </c>
      <c r="P525" s="16">
        <v>0.33333333333333298</v>
      </c>
      <c r="Q525" s="16">
        <v>0.69791666666666696</v>
      </c>
      <c r="R525" s="15">
        <f>IFERROR(MATCH(1,INDEX((MATCHER!$B$5:$B$504=A525)*(MATCHER!$D$5:$D$504=C525)*(MATCHER!$K$5:$K$504="Ja")*(MATCHER!$C$5:$C$504&lt;E525)*(MATCHER!$M$5:$M$504&gt;D525),0),0),"")</f>
        <v>187</v>
      </c>
      <c r="S525" s="15" t="str">
        <f>IF(R525="","",IFERROR(MATCH(1,INDEX((MATCHER!$B$5:$B$504=A525)*(MATCHER!$D$5:$D$504=C525)*(MATCHER!$K$5:$K$504="Ja")*(MATCHER!$C$5:$C$504&lt;E525)*(MATCHER!$M$5:$M$504&gt;D525)*(ROW(MATCHER!$A$5:$A$504)-ROW(MATCHER!$A$5)+1&gt;R525),0),0),""))</f>
        <v/>
      </c>
      <c r="T525" s="15" t="str">
        <f>IF(S525="","",IFERROR(MATCH(1,INDEX((MATCHER!$B$5:$B$504=A525)*(MATCHER!$D$5:$D$504=C525)*(MATCHER!$K$5:$K$504="Ja")*(MATCHER!$C$5:$C$504&lt;E525)*(MATCHER!$M$5:$M$504&gt;D525)*(ROW(MATCHER!$A$5:$A$504)-ROW(MATCHER!$A$5)+1&gt;S525),0),0),""))</f>
        <v/>
      </c>
      <c r="U525" s="15">
        <f t="shared" si="115"/>
        <v>1</v>
      </c>
      <c r="V525" s="15">
        <f>IF(OR(I525&lt;&gt;"Ja",J525=""),"",COUNTIFS($O$5:O525,O525,$U$5:U525,1))</f>
        <v>11</v>
      </c>
      <c r="W525" s="15" t="str">
        <f t="shared" si="116"/>
        <v>2027-03-20 | Ulriksdalshallen|11</v>
      </c>
      <c r="X525" s="16" t="str">
        <f t="shared" si="117"/>
        <v/>
      </c>
      <c r="Y525" s="15">
        <f>IF(OR(I525&lt;&gt;"Ja",J525=""),0,IF(COUNTIFS($O$5:O525,O525,$I$5:I525,"Ja",$J$5:J525,"&lt;&gt;")=1,1,0))</f>
        <v>0</v>
      </c>
      <c r="Z525" s="15">
        <f>IF(OR(I525&lt;&gt;"Ja",J525=""),0,IF(COUNTIFS(O525:$O$546,O525,I525:$I$546,"Ja",J525:$J$546,"&lt;&gt;")=1,1,0))</f>
        <v>0</v>
      </c>
      <c r="AA525" s="15">
        <f t="shared" si="113"/>
        <v>2</v>
      </c>
      <c r="AB525" s="15">
        <f>IF(U525&lt;&gt;1,"",COUNTIF($U$5:U525,1))</f>
        <v>106</v>
      </c>
      <c r="AC525" s="15" t="str">
        <f t="shared" si="118"/>
        <v/>
      </c>
      <c r="AD525" s="15" t="str">
        <f t="shared" si="119"/>
        <v>Vanligt café</v>
      </c>
      <c r="AE525" s="15">
        <f t="shared" si="120"/>
        <v>1.7500000000000071</v>
      </c>
      <c r="AF525" t="str">
        <f>IF(T525="","",IFERROR(MATCH(1,INDEX((MATCHER!$B$5:$B$504=A525)*(MATCHER!$D$5:$D$504=C525)*(MATCHER!$K$5:$K$504="Ja")*(MATCHER!$C$5:$C$504&lt;E525)*(MATCHER!$M$5:$M$504&gt;D525)*(ROW(MATCHER!$A$5:$A$504)-ROW(MATCHER!$A$5)+1&gt;T525),0),0),""))</f>
        <v/>
      </c>
    </row>
    <row r="526" spans="1:32" ht="26">
      <c r="A526" s="42">
        <v>46466</v>
      </c>
      <c r="B526" s="43" t="s">
        <v>85</v>
      </c>
      <c r="C526" s="43" t="s">
        <v>86</v>
      </c>
      <c r="D526" s="44">
        <v>0.64583333333333304</v>
      </c>
      <c r="E526" s="44">
        <v>0.66666666666666696</v>
      </c>
      <c r="F526" s="45" t="str">
        <f>IF(R526="","",HOUR(INDEX(MATCHER!$C$5:$C$504,R526))&amp;":"&amp;IF(MINUTE(INDEX(MATCHER!$C$5:$C$504,R526))&lt;10,"0","")&amp;MINUTE(INDEX(MATCHER!$C$5:$C$504,R526))&amp;" "&amp;INDEX(MATCHER!$H$5:$H$504,R526)&amp;" – "&amp;INDEX(MATCHER!$I$5:$I$504,R526))&amp;IF(S526="",""," | "&amp;HOUR(INDEX(MATCHER!$C$5:$C$504,S526))&amp;":"&amp;IF(MINUTE(INDEX(MATCHER!$C$5:$C$504,S526))&lt;10,"0","")&amp;MINUTE(INDEX(MATCHER!$C$5:$C$504,S526))&amp;" "&amp;INDEX(MATCHER!$H$5:$H$504,S526)&amp;" – "&amp;INDEX(MATCHER!$I$5:$I$504,S526))&amp;IF(T526="",""," | "&amp;HOUR(INDEX(MATCHER!$C$5:$C$504,T526))&amp;":"&amp;IF(MINUTE(INDEX(MATCHER!$C$5:$C$504,T526))&lt;10,"0","")&amp;MINUTE(INDEX(MATCHER!$C$5:$C$504,T526))&amp;" "&amp;INDEX(MATCHER!$H$5:$H$504,T526)&amp;" – "&amp;INDEX(MATCHER!$I$5:$I$504,T526))&amp;IF(AF526="",""," | "&amp;HOUR(INDEX(MATCHER!$C$5:$C$504,AF526))&amp;":"&amp;IF(MINUTE(INDEX(MATCHER!$C$5:$C$504,AF526))&lt;10,"0","")&amp;MINUTE(INDEX(MATCHER!$C$5:$C$504,AF526))&amp;" "&amp;INDEX(MATCHER!$H$5:$H$504,AF526)&amp;" – "&amp;INDEX(MATCHER!$I$5:$I$504,AF526))</f>
        <v>15:40 AIK – Spånga HK 1</v>
      </c>
      <c r="G526" s="45" t="str">
        <f>MID(IF(R526="","",IF(OR(INDEX(MATCHER!$J$5:$J$504,R526)=""),""," / "&amp;INDEX(MATCHER!$J$5:$J$504,R526)))&amp;IF(S526="","",IF(OR(INDEX(MATCHER!$J$5:$J$504,S526)="",INDEX(MATCHER!$J$5:$J$504,S526)=IFERROR(INDEX(MATCHER!$J$5:$J$504,R526),"")),""," / "&amp;INDEX(MATCHER!$J$5:$J$504,S526)))&amp;IF(T526="","",IF(OR(INDEX(MATCHER!$J$5:$J$504,T526)="",INDEX(MATCHER!$J$5:$J$504,T526)=IFERROR(INDEX(MATCHER!$J$5:$J$504,R526),""),INDEX(MATCHER!$J$5:$J$504,T526)=IFERROR(INDEX(MATCHER!$J$5:$J$504,S526),"")),""," / "&amp;INDEX(MATCHER!$J$5:$J$504,T526)))&amp;IF(AF526="","",IF(OR(INDEX(MATCHER!$J$5:$J$504,AF526)="",INDEX(MATCHER!$J$5:$J$504,AF526)=IFERROR(INDEX(MATCHER!$J$5:$J$504,R526),""),INDEX(MATCHER!$J$5:$J$504,AF526)=IFERROR(INDEX(MATCHER!$J$5:$J$504,S526),""),INDEX(MATCHER!$J$5:$J$504,AF526)=IFERROR(INDEX(MATCHER!$J$5:$J$504,T526),"")),""," / "&amp;INDEX(MATCHER!$J$5:$J$504,AF526))),4,1000)</f>
        <v>F14</v>
      </c>
      <c r="H526" s="45" t="str">
        <f t="shared" si="112"/>
        <v>F13, F14</v>
      </c>
      <c r="I526" s="46" t="s">
        <v>90</v>
      </c>
      <c r="J526" s="47" t="s">
        <v>103</v>
      </c>
      <c r="K526" s="48"/>
      <c r="L526" s="49"/>
      <c r="M526" s="50" t="str">
        <f>IF(O526&lt;&gt;O525,MAX(1,MIN(AA526,ROUNDUP(SUMPRODUCT(($O$5:$O$546=O526)*($I$5:$I$546="Ja")*($E$5:$E$546-$D$5:$D$546))*24/REGLER!$B$8,0))),"")</f>
        <v/>
      </c>
      <c r="N526" s="50" t="str">
        <f t="shared" si="114"/>
        <v>Klar</v>
      </c>
      <c r="O526" s="15" t="s">
        <v>164</v>
      </c>
      <c r="P526" s="16">
        <v>0.33333333333333298</v>
      </c>
      <c r="Q526" s="16">
        <v>0.69791666666666696</v>
      </c>
      <c r="R526" s="15">
        <f>IFERROR(MATCH(1,INDEX((MATCHER!$B$5:$B$504=A526)*(MATCHER!$D$5:$D$504=C526)*(MATCHER!$K$5:$K$504="Ja")*(MATCHER!$C$5:$C$504&lt;E526)*(MATCHER!$M$5:$M$504&gt;D526),0),0),"")</f>
        <v>188</v>
      </c>
      <c r="S526" s="15" t="str">
        <f>IF(R526="","",IFERROR(MATCH(1,INDEX((MATCHER!$B$5:$B$504=A526)*(MATCHER!$D$5:$D$504=C526)*(MATCHER!$K$5:$K$504="Ja")*(MATCHER!$C$5:$C$504&lt;E526)*(MATCHER!$M$5:$M$504&gt;D526)*(ROW(MATCHER!$A$5:$A$504)-ROW(MATCHER!$A$5)+1&gt;R526),0),0),""))</f>
        <v/>
      </c>
      <c r="T526" s="15" t="str">
        <f>IF(S526="","",IFERROR(MATCH(1,INDEX((MATCHER!$B$5:$B$504=A526)*(MATCHER!$D$5:$D$504=C526)*(MATCHER!$K$5:$K$504="Ja")*(MATCHER!$C$5:$C$504&lt;E526)*(MATCHER!$M$5:$M$504&gt;D526)*(ROW(MATCHER!$A$5:$A$504)-ROW(MATCHER!$A$5)+1&gt;S526),0),0),""))</f>
        <v/>
      </c>
      <c r="U526" s="15">
        <f t="shared" si="115"/>
        <v>0</v>
      </c>
      <c r="V526" s="15">
        <f>IF(OR(I526&lt;&gt;"Ja",J526=""),"",COUNTIFS($O$5:O526,O526,$U$5:U526,1))</f>
        <v>11</v>
      </c>
      <c r="W526" s="15" t="str">
        <f t="shared" si="116"/>
        <v>2027-03-20 | Ulriksdalshallen|11</v>
      </c>
      <c r="X526" s="16" t="str">
        <f t="shared" si="117"/>
        <v/>
      </c>
      <c r="Y526" s="15">
        <f>IF(OR(I526&lt;&gt;"Ja",J526=""),0,IF(COUNTIFS($O$5:O526,O526,$I$5:I526,"Ja",$J$5:J526,"&lt;&gt;")=1,1,0))</f>
        <v>0</v>
      </c>
      <c r="Z526" s="15">
        <f>IF(OR(I526&lt;&gt;"Ja",J526=""),0,IF(COUNTIFS(O526:$O$546,O526,I526:$I$546,"Ja",J526:$J$546,"&lt;&gt;")=1,1,0))</f>
        <v>0</v>
      </c>
      <c r="AA526" s="15">
        <f t="shared" si="113"/>
        <v>2</v>
      </c>
      <c r="AB526" s="15" t="str">
        <f>IF(U526&lt;&gt;1,"",COUNTIF($U$5:U526,1))</f>
        <v/>
      </c>
      <c r="AC526" s="15" t="str">
        <f t="shared" si="118"/>
        <v/>
      </c>
      <c r="AD526" s="15" t="str">
        <f t="shared" si="119"/>
        <v>Vanligt café</v>
      </c>
      <c r="AE526" s="15" t="str">
        <f t="shared" si="120"/>
        <v/>
      </c>
      <c r="AF526" t="str">
        <f>IF(T526="","",IFERROR(MATCH(1,INDEX((MATCHER!$B$5:$B$504=A526)*(MATCHER!$D$5:$D$504=C526)*(MATCHER!$K$5:$K$504="Ja")*(MATCHER!$C$5:$C$504&lt;E526)*(MATCHER!$M$5:$M$504&gt;D526)*(ROW(MATCHER!$A$5:$A$504)-ROW(MATCHER!$A$5)+1&gt;T526),0),0),""))</f>
        <v/>
      </c>
    </row>
    <row r="527" spans="1:32" ht="26">
      <c r="A527" s="42">
        <v>46466</v>
      </c>
      <c r="B527" s="43" t="s">
        <v>85</v>
      </c>
      <c r="C527" s="43" t="s">
        <v>86</v>
      </c>
      <c r="D527" s="44">
        <v>0.66666666666666696</v>
      </c>
      <c r="E527" s="44">
        <v>0.6875</v>
      </c>
      <c r="F527" s="45" t="str">
        <f>IF(R527="","",HOUR(INDEX(MATCHER!$C$5:$C$504,R527))&amp;":"&amp;IF(MINUTE(INDEX(MATCHER!$C$5:$C$504,R527))&lt;10,"0","")&amp;MINUTE(INDEX(MATCHER!$C$5:$C$504,R527))&amp;" "&amp;INDEX(MATCHER!$H$5:$H$504,R527)&amp;" – "&amp;INDEX(MATCHER!$I$5:$I$504,R527))&amp;IF(S527="",""," | "&amp;HOUR(INDEX(MATCHER!$C$5:$C$504,S527))&amp;":"&amp;IF(MINUTE(INDEX(MATCHER!$C$5:$C$504,S527))&lt;10,"0","")&amp;MINUTE(INDEX(MATCHER!$C$5:$C$504,S527))&amp;" "&amp;INDEX(MATCHER!$H$5:$H$504,S527)&amp;" – "&amp;INDEX(MATCHER!$I$5:$I$504,S527))&amp;IF(T527="",""," | "&amp;HOUR(INDEX(MATCHER!$C$5:$C$504,T527))&amp;":"&amp;IF(MINUTE(INDEX(MATCHER!$C$5:$C$504,T527))&lt;10,"0","")&amp;MINUTE(INDEX(MATCHER!$C$5:$C$504,T527))&amp;" "&amp;INDEX(MATCHER!$H$5:$H$504,T527)&amp;" – "&amp;INDEX(MATCHER!$I$5:$I$504,T527))&amp;IF(AF527="",""," | "&amp;HOUR(INDEX(MATCHER!$C$5:$C$504,AF527))&amp;":"&amp;IF(MINUTE(INDEX(MATCHER!$C$5:$C$504,AF527))&lt;10,"0","")&amp;MINUTE(INDEX(MATCHER!$C$5:$C$504,AF527))&amp;" "&amp;INDEX(MATCHER!$H$5:$H$504,AF527)&amp;" – "&amp;INDEX(MATCHER!$I$5:$I$504,AF527))</f>
        <v>15:40 AIK – Spånga HK 1</v>
      </c>
      <c r="G527" s="45" t="str">
        <f>MID(IF(R527="","",IF(OR(INDEX(MATCHER!$J$5:$J$504,R527)=""),""," / "&amp;INDEX(MATCHER!$J$5:$J$504,R527)))&amp;IF(S527="","",IF(OR(INDEX(MATCHER!$J$5:$J$504,S527)="",INDEX(MATCHER!$J$5:$J$504,S527)=IFERROR(INDEX(MATCHER!$J$5:$J$504,R527),"")),""," / "&amp;INDEX(MATCHER!$J$5:$J$504,S527)))&amp;IF(T527="","",IF(OR(INDEX(MATCHER!$J$5:$J$504,T527)="",INDEX(MATCHER!$J$5:$J$504,T527)=IFERROR(INDEX(MATCHER!$J$5:$J$504,R527),""),INDEX(MATCHER!$J$5:$J$504,T527)=IFERROR(INDEX(MATCHER!$J$5:$J$504,S527),"")),""," / "&amp;INDEX(MATCHER!$J$5:$J$504,T527)))&amp;IF(AF527="","",IF(OR(INDEX(MATCHER!$J$5:$J$504,AF527)="",INDEX(MATCHER!$J$5:$J$504,AF527)=IFERROR(INDEX(MATCHER!$J$5:$J$504,R527),""),INDEX(MATCHER!$J$5:$J$504,AF527)=IFERROR(INDEX(MATCHER!$J$5:$J$504,S527),""),INDEX(MATCHER!$J$5:$J$504,AF527)=IFERROR(INDEX(MATCHER!$J$5:$J$504,T527),"")),""," / "&amp;INDEX(MATCHER!$J$5:$J$504,AF527))),4,1000)</f>
        <v>F14</v>
      </c>
      <c r="H527" s="45" t="str">
        <f t="shared" si="112"/>
        <v>F13, F14</v>
      </c>
      <c r="I527" s="46" t="s">
        <v>90</v>
      </c>
      <c r="J527" s="47" t="s">
        <v>103</v>
      </c>
      <c r="K527" s="48"/>
      <c r="L527" s="49"/>
      <c r="M527" s="50" t="str">
        <f>IF(O527&lt;&gt;O526,MAX(1,MIN(AA527,ROUNDUP(SUMPRODUCT(($O$5:$O$546=O527)*($I$5:$I$546="Ja")*($E$5:$E$546-$D$5:$D$546))*24/REGLER!$B$8,0))),"")</f>
        <v/>
      </c>
      <c r="N527" s="50" t="str">
        <f t="shared" si="114"/>
        <v>Klar</v>
      </c>
      <c r="O527" s="15" t="s">
        <v>164</v>
      </c>
      <c r="P527" s="16">
        <v>0.33333333333333298</v>
      </c>
      <c r="Q527" s="16">
        <v>0.69791666666666696</v>
      </c>
      <c r="R527" s="15">
        <f>IFERROR(MATCH(1,INDEX((MATCHER!$B$5:$B$504=A527)*(MATCHER!$D$5:$D$504=C527)*(MATCHER!$K$5:$K$504="Ja")*(MATCHER!$C$5:$C$504&lt;E527)*(MATCHER!$M$5:$M$504&gt;D527),0),0),"")</f>
        <v>188</v>
      </c>
      <c r="S527" s="15" t="str">
        <f>IF(R527="","",IFERROR(MATCH(1,INDEX((MATCHER!$B$5:$B$504=A527)*(MATCHER!$D$5:$D$504=C527)*(MATCHER!$K$5:$K$504="Ja")*(MATCHER!$C$5:$C$504&lt;E527)*(MATCHER!$M$5:$M$504&gt;D527)*(ROW(MATCHER!$A$5:$A$504)-ROW(MATCHER!$A$5)+1&gt;R527),0),0),""))</f>
        <v/>
      </c>
      <c r="T527" s="15" t="str">
        <f>IF(S527="","",IFERROR(MATCH(1,INDEX((MATCHER!$B$5:$B$504=A527)*(MATCHER!$D$5:$D$504=C527)*(MATCHER!$K$5:$K$504="Ja")*(MATCHER!$C$5:$C$504&lt;E527)*(MATCHER!$M$5:$M$504&gt;D527)*(ROW(MATCHER!$A$5:$A$504)-ROW(MATCHER!$A$5)+1&gt;S527),0),0),""))</f>
        <v/>
      </c>
      <c r="U527" s="15">
        <f t="shared" si="115"/>
        <v>0</v>
      </c>
      <c r="V527" s="15">
        <f>IF(OR(I527&lt;&gt;"Ja",J527=""),"",COUNTIFS($O$5:O527,O527,$U$5:U527,1))</f>
        <v>11</v>
      </c>
      <c r="W527" s="15" t="str">
        <f t="shared" si="116"/>
        <v>2027-03-20 | Ulriksdalshallen|11</v>
      </c>
      <c r="X527" s="16" t="str">
        <f t="shared" si="117"/>
        <v/>
      </c>
      <c r="Y527" s="15">
        <f>IF(OR(I527&lt;&gt;"Ja",J527=""),0,IF(COUNTIFS($O$5:O527,O527,$I$5:I527,"Ja",$J$5:J527,"&lt;&gt;")=1,1,0))</f>
        <v>0</v>
      </c>
      <c r="Z527" s="15">
        <f>IF(OR(I527&lt;&gt;"Ja",J527=""),0,IF(COUNTIFS(O527:$O$546,O527,I527:$I$546,"Ja",J527:$J$546,"&lt;&gt;")=1,1,0))</f>
        <v>0</v>
      </c>
      <c r="AA527" s="15">
        <f t="shared" si="113"/>
        <v>2</v>
      </c>
      <c r="AB527" s="15" t="str">
        <f>IF(U527&lt;&gt;1,"",COUNTIF($U$5:U527,1))</f>
        <v/>
      </c>
      <c r="AC527" s="15" t="str">
        <f t="shared" si="118"/>
        <v/>
      </c>
      <c r="AD527" s="15" t="str">
        <f t="shared" si="119"/>
        <v>Vanligt café</v>
      </c>
      <c r="AE527" s="15" t="str">
        <f t="shared" si="120"/>
        <v/>
      </c>
      <c r="AF527" t="str">
        <f>IF(T527="","",IFERROR(MATCH(1,INDEX((MATCHER!$B$5:$B$504=A527)*(MATCHER!$D$5:$D$504=C527)*(MATCHER!$K$5:$K$504="Ja")*(MATCHER!$C$5:$C$504&lt;E527)*(MATCHER!$M$5:$M$504&gt;D527)*(ROW(MATCHER!$A$5:$A$504)-ROW(MATCHER!$A$5)+1&gt;T527),0),0),""))</f>
        <v/>
      </c>
    </row>
    <row r="528" spans="1:32" ht="26.5" thickBot="1">
      <c r="A528" s="52">
        <v>46466</v>
      </c>
      <c r="B528" s="53" t="s">
        <v>85</v>
      </c>
      <c r="C528" s="53" t="s">
        <v>86</v>
      </c>
      <c r="D528" s="54">
        <v>0.6875</v>
      </c>
      <c r="E528" s="54">
        <v>0.69791666666666696</v>
      </c>
      <c r="F528" s="55" t="str">
        <f>IF(R528="","",HOUR(INDEX(MATCHER!$C$5:$C$504,R528))&amp;":"&amp;IF(MINUTE(INDEX(MATCHER!$C$5:$C$504,R528))&lt;10,"0","")&amp;MINUTE(INDEX(MATCHER!$C$5:$C$504,R528))&amp;" "&amp;INDEX(MATCHER!$H$5:$H$504,R528)&amp;" – "&amp;INDEX(MATCHER!$I$5:$I$504,R528))&amp;IF(S528="",""," | "&amp;HOUR(INDEX(MATCHER!$C$5:$C$504,S528))&amp;":"&amp;IF(MINUTE(INDEX(MATCHER!$C$5:$C$504,S528))&lt;10,"0","")&amp;MINUTE(INDEX(MATCHER!$C$5:$C$504,S528))&amp;" "&amp;INDEX(MATCHER!$H$5:$H$504,S528)&amp;" – "&amp;INDEX(MATCHER!$I$5:$I$504,S528))&amp;IF(T528="",""," | "&amp;HOUR(INDEX(MATCHER!$C$5:$C$504,T528))&amp;":"&amp;IF(MINUTE(INDEX(MATCHER!$C$5:$C$504,T528))&lt;10,"0","")&amp;MINUTE(INDEX(MATCHER!$C$5:$C$504,T528))&amp;" "&amp;INDEX(MATCHER!$H$5:$H$504,T528)&amp;" – "&amp;INDEX(MATCHER!$I$5:$I$504,T528))&amp;IF(AF528="",""," | "&amp;HOUR(INDEX(MATCHER!$C$5:$C$504,AF528))&amp;":"&amp;IF(MINUTE(INDEX(MATCHER!$C$5:$C$504,AF528))&lt;10,"0","")&amp;MINUTE(INDEX(MATCHER!$C$5:$C$504,AF528))&amp;" "&amp;INDEX(MATCHER!$H$5:$H$504,AF528)&amp;" – "&amp;INDEX(MATCHER!$I$5:$I$504,AF528))</f>
        <v/>
      </c>
      <c r="G528" s="55" t="str">
        <f>MID(IF(R528="","",IF(OR(INDEX(MATCHER!$J$5:$J$504,R528)=""),""," / "&amp;INDEX(MATCHER!$J$5:$J$504,R528)))&amp;IF(S528="","",IF(OR(INDEX(MATCHER!$J$5:$J$504,S528)="",INDEX(MATCHER!$J$5:$J$504,S528)=IFERROR(INDEX(MATCHER!$J$5:$J$504,R528),"")),""," / "&amp;INDEX(MATCHER!$J$5:$J$504,S528)))&amp;IF(T528="","",IF(OR(INDEX(MATCHER!$J$5:$J$504,T528)="",INDEX(MATCHER!$J$5:$J$504,T528)=IFERROR(INDEX(MATCHER!$J$5:$J$504,R528),""),INDEX(MATCHER!$J$5:$J$504,T528)=IFERROR(INDEX(MATCHER!$J$5:$J$504,S528),"")),""," / "&amp;INDEX(MATCHER!$J$5:$J$504,T528)))&amp;IF(AF528="","",IF(OR(INDEX(MATCHER!$J$5:$J$504,AF528)="",INDEX(MATCHER!$J$5:$J$504,AF528)=IFERROR(INDEX(MATCHER!$J$5:$J$504,R528),""),INDEX(MATCHER!$J$5:$J$504,AF528)=IFERROR(INDEX(MATCHER!$J$5:$J$504,S528),""),INDEX(MATCHER!$J$5:$J$504,AF528)=IFERROR(INDEX(MATCHER!$J$5:$J$504,T528),"")),""," / "&amp;INDEX(MATCHER!$J$5:$J$504,AF528))),4,1000)</f>
        <v/>
      </c>
      <c r="H528" s="55" t="str">
        <f t="shared" si="112"/>
        <v>F13, F14</v>
      </c>
      <c r="I528" s="56" t="s">
        <v>90</v>
      </c>
      <c r="J528" s="57" t="s">
        <v>103</v>
      </c>
      <c r="K528" s="58"/>
      <c r="L528" s="59"/>
      <c r="M528" s="60" t="str">
        <f>IF(O528&lt;&gt;O527,MAX(1,MIN(AA528,ROUNDUP(SUMPRODUCT(($O$5:$O$546=O528)*($I$5:$I$546="Ja")*($E$5:$E$546-$D$5:$D$546))*24/REGLER!$B$8,0))),"")</f>
        <v/>
      </c>
      <c r="N528" s="60" t="str">
        <f t="shared" si="114"/>
        <v>Klar</v>
      </c>
      <c r="O528" s="15" t="s">
        <v>164</v>
      </c>
      <c r="P528" s="16">
        <v>0.33333333333333298</v>
      </c>
      <c r="Q528" s="16">
        <v>0.69791666666666696</v>
      </c>
      <c r="R528" s="15" t="str">
        <f>IFERROR(MATCH(1,INDEX((MATCHER!$B$5:$B$504=A528)*(MATCHER!$D$5:$D$504=C528)*(MATCHER!$K$5:$K$504="Ja")*(MATCHER!$C$5:$C$504&lt;E528)*(MATCHER!$M$5:$M$504&gt;D528),0),0),"")</f>
        <v/>
      </c>
      <c r="S528" s="15" t="str">
        <f>IF(R528="","",IFERROR(MATCH(1,INDEX((MATCHER!$B$5:$B$504=A528)*(MATCHER!$D$5:$D$504=C528)*(MATCHER!$K$5:$K$504="Ja")*(MATCHER!$C$5:$C$504&lt;E528)*(MATCHER!$M$5:$M$504&gt;D528)*(ROW(MATCHER!$A$5:$A$504)-ROW(MATCHER!$A$5)+1&gt;R528),0),0),""))</f>
        <v/>
      </c>
      <c r="T528" s="15" t="str">
        <f>IF(S528="","",IFERROR(MATCH(1,INDEX((MATCHER!$B$5:$B$504=A528)*(MATCHER!$D$5:$D$504=C528)*(MATCHER!$K$5:$K$504="Ja")*(MATCHER!$C$5:$C$504&lt;E528)*(MATCHER!$M$5:$M$504&gt;D528)*(ROW(MATCHER!$A$5:$A$504)-ROW(MATCHER!$A$5)+1&gt;S528),0),0),""))</f>
        <v/>
      </c>
      <c r="U528" s="15">
        <f t="shared" si="115"/>
        <v>0</v>
      </c>
      <c r="V528" s="15">
        <f>IF(OR(I528&lt;&gt;"Ja",J528=""),"",COUNTIFS($O$5:O528,O528,$U$5:U528,1))</f>
        <v>11</v>
      </c>
      <c r="W528" s="15" t="str">
        <f t="shared" si="116"/>
        <v>2027-03-20 | Ulriksdalshallen|11</v>
      </c>
      <c r="X528" s="16">
        <f t="shared" si="117"/>
        <v>0.69791666666666696</v>
      </c>
      <c r="Y528" s="15">
        <f>IF(OR(I528&lt;&gt;"Ja",J528=""),0,IF(COUNTIFS($O$5:O528,O528,$I$5:I528,"Ja",$J$5:J528,"&lt;&gt;")=1,1,0))</f>
        <v>0</v>
      </c>
      <c r="Z528" s="15">
        <f>IF(OR(I528&lt;&gt;"Ja",J528=""),0,IF(COUNTIFS(O528:$O$546,O528,I528:$I$546,"Ja",J528:$J$546,"&lt;&gt;")=1,1,0))</f>
        <v>1</v>
      </c>
      <c r="AA528" s="15">
        <f t="shared" si="113"/>
        <v>2</v>
      </c>
      <c r="AB528" s="15" t="str">
        <f>IF(U528&lt;&gt;1,"",COUNTIF($U$5:U528,1))</f>
        <v/>
      </c>
      <c r="AC528" s="15" t="str">
        <f t="shared" si="118"/>
        <v>2027-03-20 | Ulriksdalshallen|11</v>
      </c>
      <c r="AD528" s="15" t="str">
        <f t="shared" si="119"/>
        <v>Vanligt café</v>
      </c>
      <c r="AE528" s="15" t="str">
        <f t="shared" si="120"/>
        <v/>
      </c>
      <c r="AF528" t="str">
        <f>IF(T528="","",IFERROR(MATCH(1,INDEX((MATCHER!$B$5:$B$504=A528)*(MATCHER!$D$5:$D$504=C528)*(MATCHER!$K$5:$K$504="Ja")*(MATCHER!$C$5:$C$504&lt;E528)*(MATCHER!$M$5:$M$504&gt;D528)*(ROW(MATCHER!$A$5:$A$504)-ROW(MATCHER!$A$5)+1&gt;T528),0),0),""))</f>
        <v/>
      </c>
    </row>
    <row r="529" spans="1:32" ht="13">
      <c r="A529" s="42">
        <v>46490</v>
      </c>
      <c r="B529" s="43" t="s">
        <v>104</v>
      </c>
      <c r="C529" s="43" t="s">
        <v>94</v>
      </c>
      <c r="D529" s="44">
        <v>0.83333333333333304</v>
      </c>
      <c r="E529" s="44">
        <v>0.85416666666666696</v>
      </c>
      <c r="F529" s="45" t="str">
        <f>IF(R529="","",HOUR(INDEX(MATCHER!$C$5:$C$504,R529))&amp;":"&amp;IF(MINUTE(INDEX(MATCHER!$C$5:$C$504,R529))&lt;10,"0","")&amp;MINUTE(INDEX(MATCHER!$C$5:$C$504,R529))&amp;" "&amp;INDEX(MATCHER!$H$5:$H$504,R529)&amp;" – "&amp;INDEX(MATCHER!$I$5:$I$504,R529))&amp;IF(S529="",""," | "&amp;HOUR(INDEX(MATCHER!$C$5:$C$504,S529))&amp;":"&amp;IF(MINUTE(INDEX(MATCHER!$C$5:$C$504,S529))&lt;10,"0","")&amp;MINUTE(INDEX(MATCHER!$C$5:$C$504,S529))&amp;" "&amp;INDEX(MATCHER!$H$5:$H$504,S529)&amp;" – "&amp;INDEX(MATCHER!$I$5:$I$504,S529))&amp;IF(T529="",""," | "&amp;HOUR(INDEX(MATCHER!$C$5:$C$504,T529))&amp;":"&amp;IF(MINUTE(INDEX(MATCHER!$C$5:$C$504,T529))&lt;10,"0","")&amp;MINUTE(INDEX(MATCHER!$C$5:$C$504,T529))&amp;" "&amp;INDEX(MATCHER!$H$5:$H$504,T529)&amp;" – "&amp;INDEX(MATCHER!$I$5:$I$504,T529))&amp;IF(AF529="",""," | "&amp;HOUR(INDEX(MATCHER!$C$5:$C$504,AF529))&amp;":"&amp;IF(MINUTE(INDEX(MATCHER!$C$5:$C$504,AF529))&lt;10,"0","")&amp;MINUTE(INDEX(MATCHER!$C$5:$C$504,AF529))&amp;" "&amp;INDEX(MATCHER!$H$5:$H$504,AF529)&amp;" – "&amp;INDEX(MATCHER!$I$5:$I$504,AF529))</f>
        <v/>
      </c>
      <c r="G529" s="45" t="str">
        <f>MID(IF(R529="","",IF(OR(INDEX(MATCHER!$J$5:$J$504,R529)=""),""," / "&amp;INDEX(MATCHER!$J$5:$J$504,R529)))&amp;IF(S529="","",IF(OR(INDEX(MATCHER!$J$5:$J$504,S529)="",INDEX(MATCHER!$J$5:$J$504,S529)=IFERROR(INDEX(MATCHER!$J$5:$J$504,R529),"")),""," / "&amp;INDEX(MATCHER!$J$5:$J$504,S529)))&amp;IF(T529="","",IF(OR(INDEX(MATCHER!$J$5:$J$504,T529)="",INDEX(MATCHER!$J$5:$J$504,T529)=IFERROR(INDEX(MATCHER!$J$5:$J$504,R529),""),INDEX(MATCHER!$J$5:$J$504,T529)=IFERROR(INDEX(MATCHER!$J$5:$J$504,S529),"")),""," / "&amp;INDEX(MATCHER!$J$5:$J$504,T529)))&amp;IF(AF529="","",IF(OR(INDEX(MATCHER!$J$5:$J$504,AF529)="",INDEX(MATCHER!$J$5:$J$504,AF529)=IFERROR(INDEX(MATCHER!$J$5:$J$504,R529),""),INDEX(MATCHER!$J$5:$J$504,AF529)=IFERROR(INDEX(MATCHER!$J$5:$J$504,S529),""),INDEX(MATCHER!$J$5:$J$504,AF529)=IFERROR(INDEX(MATCHER!$J$5:$J$504,T529),"")),""," / "&amp;INDEX(MATCHER!$J$5:$J$504,AF529))),4,1000)</f>
        <v/>
      </c>
      <c r="H529" s="45" t="str">
        <f>MID(IF(COUNTIFS(MATCHER!$B$5:$B$504,A529,MATCHER!$D$5:$D$504,C529,MATCHER!$J$5:$J$504,REGLER!$I$6,MATCHER!$K$5:$K$504,"Ja")+COUNTIFS(MATCHER!$B$5:$B$504,A529,MATCHER!$D$5:$D$504,C529,MATCHER!$J$5:$J$504,REGLER!$I$6&amp;" 2",MATCHER!$K$5:$K$504,"Ja")&gt;0,", "&amp;REGLER!$I$6,"")&amp;IF(COUNTIFS(MATCHER!$B$5:$B$504,A529,MATCHER!$D$5:$D$504,C529,MATCHER!$J$5:$J$504,REGLER!$I$7,MATCHER!$K$5:$K$504,"Ja")+COUNTIFS(MATCHER!$B$5:$B$504,A529,MATCHER!$D$5:$D$504,C529,MATCHER!$J$5:$J$504,REGLER!$I$7&amp;" 2",MATCHER!$K$5:$K$504,"Ja")&gt;0,", "&amp;REGLER!$I$7,"")&amp;IF(COUNTIFS(MATCHER!$B$5:$B$504,A529,MATCHER!$D$5:$D$504,C529,MATCHER!$J$5:$J$504,REGLER!$I$8,MATCHER!$K$5:$K$504,"Ja")+COUNTIFS(MATCHER!$B$5:$B$504,A529,MATCHER!$D$5:$D$504,C529,MATCHER!$J$5:$J$504,REGLER!$I$8&amp;" 2",MATCHER!$K$5:$K$504,"Ja")&gt;0,", "&amp;REGLER!$I$8,"")&amp;IF(COUNTIFS(MATCHER!$B$5:$B$504,A529,MATCHER!$D$5:$D$504,C529,MATCHER!$J$5:$J$504,REGLER!$I$9,MATCHER!$K$5:$K$504,"Ja")+COUNTIFS(MATCHER!$B$5:$B$504,A529,MATCHER!$D$5:$D$504,C529,MATCHER!$J$5:$J$504,REGLER!$I$9&amp;" 2",MATCHER!$K$5:$K$504,"Ja")&gt;0,", "&amp;REGLER!$I$9,"")&amp;IF(COUNTIFS(MATCHER!$B$5:$B$504,A529,MATCHER!$D$5:$D$504,C529,MATCHER!$J$5:$J$504,REGLER!$I$10,MATCHER!$K$5:$K$504,"Ja")+COUNTIFS(MATCHER!$B$5:$B$504,A529,MATCHER!$D$5:$D$504,C529,MATCHER!$J$5:$J$504,REGLER!$I$10&amp;" 2",MATCHER!$K$5:$K$504,"Ja")&gt;0,", "&amp;REGLER!$I$10,"")&amp;IF(COUNTIFS(MATCHER!$B$5:$B$504,A529,MATCHER!$D$5:$D$504,C529,MATCHER!$J$5:$J$504,REGLER!$I$11,MATCHER!$K$5:$K$504,"Ja")+COUNTIFS(MATCHER!$B$5:$B$504,A529,MATCHER!$D$5:$D$504,C529,MATCHER!$J$5:$J$504,REGLER!$I$11&amp;" 2",MATCHER!$K$5:$K$504,"Ja")&gt;0,", "&amp;REGLER!$I$11,"")&amp;IF(COUNTIFS(MATCHER!$B$5:$B$504,A529,MATCHER!$D$5:$D$504,C529,MATCHER!$J$5:$J$504,REGLER!$I$12,MATCHER!$K$5:$K$504,"Ja")+COUNTIFS(MATCHER!$B$5:$B$504,A529,MATCHER!$D$5:$D$504,C529,MATCHER!$J$5:$J$504,REGLER!$I$12&amp;" 2",MATCHER!$K$5:$K$504,"Ja")&gt;0,", "&amp;REGLER!$I$12,"")&amp;IF(COUNTIFS(MATCHER!$B$5:$B$504,A529,MATCHER!$D$5:$D$504,C529,MATCHER!$J$5:$J$504,REGLER!$I$13,MATCHER!$K$5:$K$504,"Ja")+COUNTIFS(MATCHER!$B$5:$B$504,A529,MATCHER!$D$5:$D$504,C529,MATCHER!$J$5:$J$504,REGLER!$I$13&amp;" 2",MATCHER!$K$5:$K$504,"Ja")&gt;0,", "&amp;REGLER!$I$13,"")&amp;IF(COUNTIFS(MATCHER!$B$5:$B$504,A529,MATCHER!$D$5:$D$504,C529,MATCHER!$J$5:$J$504,REGLER!$I$14,MATCHER!$K$5:$K$504,"Ja")+COUNTIFS(MATCHER!$B$5:$B$504,A529,MATCHER!$D$5:$D$504,C529,MATCHER!$J$5:$J$504,REGLER!$I$14&amp;" 2",MATCHER!$K$5:$K$504,"Ja")&gt;0,", "&amp;REGLER!$I$14,"")&amp;IF(COUNTIFS(MATCHER!$B$5:$B$504,A529,MATCHER!$D$5:$D$504,C529,MATCHER!$J$5:$J$504,REGLER!$I$15,MATCHER!$K$5:$K$504,"Ja")+COUNTIFS(MATCHER!$B$5:$B$504,A529,MATCHER!$D$5:$D$504,C529,MATCHER!$J$5:$J$504,REGLER!$I$15&amp;" 2",MATCHER!$K$5:$K$504,"Ja")&gt;0,", "&amp;REGLER!$I$15,"")&amp;IF(COUNTIFS(MATCHER!$B$5:$B$504,A529,MATCHER!$D$5:$D$504,C529,MATCHER!$J$5:$J$504,REGLER!$I$16,MATCHER!$K$5:$K$504,"Ja")+COUNTIFS(MATCHER!$B$5:$B$504,A529,MATCHER!$D$5:$D$504,C529,MATCHER!$J$5:$J$504,REGLER!$I$16&amp;" 2",MATCHER!$K$5:$K$504,"Ja")&gt;0,", "&amp;REGLER!$I$16,"")&amp;IF(COUNTIFS(MATCHER!$B$5:$B$504,A529,MATCHER!$D$5:$D$504,C529,MATCHER!$J$5:$J$504,REGLER!$I$17,MATCHER!$K$5:$K$504,"Ja")+COUNTIFS(MATCHER!$B$5:$B$504,A529,MATCHER!$D$5:$D$504,C529,MATCHER!$J$5:$J$504,REGLER!$I$17&amp;" 2",MATCHER!$K$5:$K$504,"Ja")&gt;0,", "&amp;REGLER!$I$17,"")&amp;IF(COUNTIFS(MATCHER!$B$5:$B$504,A529,MATCHER!$D$5:$D$504,C529,MATCHER!$J$5:$J$504,REGLER!$I$18,MATCHER!$K$5:$K$504,"Ja")+COUNTIFS(MATCHER!$B$5:$B$504,A529,MATCHER!$D$5:$D$504,C529,MATCHER!$J$5:$J$504,REGLER!$I$18&amp;" 2",MATCHER!$K$5:$K$504,"Ja")&gt;0,", "&amp;REGLER!$I$18,"")&amp;IF(COUNTIFS(MATCHER!$B$5:$B$504,A529,MATCHER!$D$5:$D$504,C529,MATCHER!$J$5:$J$504,REGLER!$I$19,MATCHER!$K$5:$K$504,"Ja")+COUNTIFS(MATCHER!$B$5:$B$504,A529,MATCHER!$D$5:$D$504,C529,MATCHER!$J$5:$J$504,REGLER!$I$19&amp;" 2",MATCHER!$K$5:$K$504,"Ja")&gt;0,", "&amp;REGLER!$I$19,"")&amp;IF(COUNTIFS(MATCHER!$B$5:$B$504,A529,MATCHER!$D$5:$D$504,C529,MATCHER!$J$5:$J$504,REGLER!$I$20,MATCHER!$K$5:$K$504,"Ja")+COUNTIFS(MATCHER!$B$5:$B$504,A529,MATCHER!$D$5:$D$504,C529,MATCHER!$J$5:$J$504,REGLER!$I$20&amp;" 2",MATCHER!$K$5:$K$504,"Ja")&gt;0,", "&amp;REGLER!$I$20,"")&amp;IF(COUNTIFS(MATCHER!$B$5:$B$504,A529,MATCHER!$D$5:$D$504,C529,MATCHER!$J$5:$J$504,REGLER!$I$21,MATCHER!$K$5:$K$504,"Ja")+COUNTIFS(MATCHER!$B$5:$B$504,A529,MATCHER!$D$5:$D$504,C529,MATCHER!$J$5:$J$504,REGLER!$I$21&amp;" 2",MATCHER!$K$5:$K$504,"Ja")&gt;0,", "&amp;REGLER!$I$21,"")&amp;IF(COUNTIFS(MATCHER!$B$5:$B$504,A529,MATCHER!$D$5:$D$504,C529,MATCHER!$J$5:$J$504,REGLER!$I$22,MATCHER!$K$5:$K$504,"Ja")+COUNTIFS(MATCHER!$B$5:$B$504,A529,MATCHER!$D$5:$D$504,C529,MATCHER!$J$5:$J$504,REGLER!$I$22&amp;" 2",MATCHER!$K$5:$K$504,"Ja")&gt;0,", "&amp;REGLER!$I$22,"")&amp;IF(COUNTIFS(MATCHER!$B$5:$B$504,A529,MATCHER!$D$5:$D$504,C529,MATCHER!$J$5:$J$504,REGLER!$I$23,MATCHER!$K$5:$K$504,"Ja")+COUNTIFS(MATCHER!$B$5:$B$504,A529,MATCHER!$D$5:$D$504,C529,MATCHER!$J$5:$J$504,REGLER!$I$23&amp;" 2",MATCHER!$K$5:$K$504,"Ja")&gt;0,", "&amp;REGLER!$I$23,"")&amp;IF(COUNTIFS(MATCHER!$B$5:$B$504,A529,MATCHER!$D$5:$D$504,C529,MATCHER!$J$5:$J$504,REGLER!$I$24,MATCHER!$K$5:$K$504,"Ja")+COUNTIFS(MATCHER!$B$5:$B$504,A529,MATCHER!$D$5:$D$504,C529,MATCHER!$J$5:$J$504,REGLER!$I$24&amp;" 2",MATCHER!$K$5:$K$504,"Ja")&gt;0,", "&amp;REGLER!$I$24,"")&amp;IF(COUNTIFS(MATCHER!$B$5:$B$504,A529,MATCHER!$D$5:$D$504,C529,MATCHER!$J$5:$J$504,REGLER!$I$25,MATCHER!$K$5:$K$504,"Ja")+COUNTIFS(MATCHER!$B$5:$B$504,A529,MATCHER!$D$5:$D$504,C529,MATCHER!$J$5:$J$504,REGLER!$I$25&amp;" 2",MATCHER!$K$5:$K$504,"Ja")&gt;0,", "&amp;REGLER!$I$25,"")&amp;IF(COUNTIFS(MATCHER!$B$5:$B$504,A529,MATCHER!$D$5:$D$504,C529,MATCHER!$J$5:$J$504,REGLER!$I$26,MATCHER!$K$5:$K$504,"Ja")+COUNTIFS(MATCHER!$B$5:$B$504,A529,MATCHER!$D$5:$D$504,C529,MATCHER!$J$5:$J$504,REGLER!$I$26&amp;" 2",MATCHER!$K$5:$K$504,"Ja")&gt;0,", "&amp;REGLER!$I$26,""),3,1000)</f>
        <v>F19</v>
      </c>
      <c r="I529" s="46" t="s">
        <v>90</v>
      </c>
      <c r="J529" s="47" t="s">
        <v>105</v>
      </c>
      <c r="K529" s="48" t="s">
        <v>98</v>
      </c>
      <c r="L529" s="49"/>
      <c r="M529" s="50">
        <f>IF(O529&lt;&gt;O528,MAX(1,MIN(AA529,ROUNDUP(SUMPRODUCT(($O$5:$O$546=O529)*($I$5:$I$546="Ja")*($E$5:$E$546-$D$5:$D$546))*24/REGLER!$B$8,0))),"")</f>
        <v>1</v>
      </c>
      <c r="N529" s="50" t="str">
        <f t="shared" si="114"/>
        <v>Klar</v>
      </c>
      <c r="O529" s="15" t="s">
        <v>165</v>
      </c>
      <c r="P529" s="16">
        <v>0.83333333333333304</v>
      </c>
      <c r="Q529" s="16">
        <v>0.91666666666666696</v>
      </c>
      <c r="R529" s="15" t="str">
        <f>IFERROR(MATCH(1,INDEX((MATCHER!$B$5:$B$504=A529)*(MATCHER!$D$5:$D$504=C529)*(MATCHER!$K$5:$K$504="Ja")*(MATCHER!$C$5:$C$504&lt;E529)*(MATCHER!$M$5:$M$504&gt;D529),0),0),"")</f>
        <v/>
      </c>
      <c r="S529" s="15" t="str">
        <f>IF(R529="","",IFERROR(MATCH(1,INDEX((MATCHER!$B$5:$B$504=A529)*(MATCHER!$D$5:$D$504=C529)*(MATCHER!$K$5:$K$504="Ja")*(MATCHER!$C$5:$C$504&lt;E529)*(MATCHER!$M$5:$M$504&gt;D529)*(ROW(MATCHER!$A$5:$A$504)-ROW(MATCHER!$A$5)+1&gt;R529),0),0),""))</f>
        <v/>
      </c>
      <c r="T529" s="15" t="str">
        <f>IF(S529="","",IFERROR(MATCH(1,INDEX((MATCHER!$B$5:$B$504=A529)*(MATCHER!$D$5:$D$504=C529)*(MATCHER!$K$5:$K$504="Ja")*(MATCHER!$C$5:$C$504&lt;E529)*(MATCHER!$M$5:$M$504&gt;D529)*(ROW(MATCHER!$A$5:$A$504)-ROW(MATCHER!$A$5)+1&gt;S529),0),0),""))</f>
        <v/>
      </c>
      <c r="U529" s="15">
        <f t="shared" si="115"/>
        <v>1</v>
      </c>
      <c r="V529" s="15">
        <f>IF(OR(I529&lt;&gt;"Ja",J529=""),"",COUNTIFS($O$5:O529,O529,$U$5:U529,1))</f>
        <v>1</v>
      </c>
      <c r="W529" s="15" t="str">
        <f t="shared" si="116"/>
        <v>2027-04-13 | Råsta Park|1</v>
      </c>
      <c r="X529" s="16" t="str">
        <f t="shared" si="117"/>
        <v/>
      </c>
      <c r="Y529" s="15">
        <f>IF(OR(I529&lt;&gt;"Ja",J529=""),0,IF(COUNTIFS($O$5:O529,O529,$I$5:I529,"Ja",$J$5:J529,"&lt;&gt;")=1,1,0))</f>
        <v>1</v>
      </c>
      <c r="Z529" s="15">
        <f>IF(OR(I529&lt;&gt;"Ja",J529=""),0,IF(COUNTIFS(O529:$O$546,O529,I529:$I$546,"Ja",J529:$J$546,"&lt;&gt;")=1,1,0))</f>
        <v>0</v>
      </c>
      <c r="AA529" s="15">
        <f>IF(COUNTIFS(MATCHER!$B$5:$B$504,A529,MATCHER!$D$5:$D$504,C529,MATCHER!$J$5:$J$504,REGLER!$I$6,MATCHER!$K$5:$K$504,"Ja")+COUNTIFS(MATCHER!$B$5:$B$504,A529,MATCHER!$D$5:$D$504,C529,MATCHER!$J$5:$J$504,REGLER!$I$6&amp;" 2",MATCHER!$K$5:$K$504,"Ja")&gt;0,1,0)+IF(COUNTIFS(MATCHER!$B$5:$B$504,A529,MATCHER!$D$5:$D$504,C529,MATCHER!$J$5:$J$504,REGLER!$I$7,MATCHER!$K$5:$K$504,"Ja")+COUNTIFS(MATCHER!$B$5:$B$504,A529,MATCHER!$D$5:$D$504,C529,MATCHER!$J$5:$J$504,REGLER!$I$7&amp;" 2",MATCHER!$K$5:$K$504,"Ja")&gt;0,1,0)+IF(COUNTIFS(MATCHER!$B$5:$B$504,A529,MATCHER!$D$5:$D$504,C529,MATCHER!$J$5:$J$504,REGLER!$I$8,MATCHER!$K$5:$K$504,"Ja")+COUNTIFS(MATCHER!$B$5:$B$504,A529,MATCHER!$D$5:$D$504,C529,MATCHER!$J$5:$J$504,REGLER!$I$8&amp;" 2",MATCHER!$K$5:$K$504,"Ja")&gt;0,1,0)+IF(COUNTIFS(MATCHER!$B$5:$B$504,A529,MATCHER!$D$5:$D$504,C529,MATCHER!$J$5:$J$504,REGLER!$I$9,MATCHER!$K$5:$K$504,"Ja")+COUNTIFS(MATCHER!$B$5:$B$504,A529,MATCHER!$D$5:$D$504,C529,MATCHER!$J$5:$J$504,REGLER!$I$9&amp;" 2",MATCHER!$K$5:$K$504,"Ja")&gt;0,1,0)+IF(COUNTIFS(MATCHER!$B$5:$B$504,A529,MATCHER!$D$5:$D$504,C529,MATCHER!$J$5:$J$504,REGLER!$I$10,MATCHER!$K$5:$K$504,"Ja")+COUNTIFS(MATCHER!$B$5:$B$504,A529,MATCHER!$D$5:$D$504,C529,MATCHER!$J$5:$J$504,REGLER!$I$10&amp;" 2",MATCHER!$K$5:$K$504,"Ja")&gt;0,1,0)+IF(COUNTIFS(MATCHER!$B$5:$B$504,A529,MATCHER!$D$5:$D$504,C529,MATCHER!$J$5:$J$504,REGLER!$I$11,MATCHER!$K$5:$K$504,"Ja")+COUNTIFS(MATCHER!$B$5:$B$504,A529,MATCHER!$D$5:$D$504,C529,MATCHER!$J$5:$J$504,REGLER!$I$11&amp;" 2",MATCHER!$K$5:$K$504,"Ja")&gt;0,1,0)+IF(COUNTIFS(MATCHER!$B$5:$B$504,A529,MATCHER!$D$5:$D$504,C529,MATCHER!$J$5:$J$504,REGLER!$I$12,MATCHER!$K$5:$K$504,"Ja")+COUNTIFS(MATCHER!$B$5:$B$504,A529,MATCHER!$D$5:$D$504,C529,MATCHER!$J$5:$J$504,REGLER!$I$12&amp;" 2",MATCHER!$K$5:$K$504,"Ja")&gt;0,1,0)+IF(COUNTIFS(MATCHER!$B$5:$B$504,A529,MATCHER!$D$5:$D$504,C529,MATCHER!$J$5:$J$504,REGLER!$I$13,MATCHER!$K$5:$K$504,"Ja")+COUNTIFS(MATCHER!$B$5:$B$504,A529,MATCHER!$D$5:$D$504,C529,MATCHER!$J$5:$J$504,REGLER!$I$13&amp;" 2",MATCHER!$K$5:$K$504,"Ja")&gt;0,1,0)+IF(COUNTIFS(MATCHER!$B$5:$B$504,A529,MATCHER!$D$5:$D$504,C529,MATCHER!$J$5:$J$504,REGLER!$I$14,MATCHER!$K$5:$K$504,"Ja")+COUNTIFS(MATCHER!$B$5:$B$504,A529,MATCHER!$D$5:$D$504,C529,MATCHER!$J$5:$J$504,REGLER!$I$14&amp;" 2",MATCHER!$K$5:$K$504,"Ja")&gt;0,1,0)+IF(COUNTIFS(MATCHER!$B$5:$B$504,A529,MATCHER!$D$5:$D$504,C529,MATCHER!$J$5:$J$504,REGLER!$I$15,MATCHER!$K$5:$K$504,"Ja")+COUNTIFS(MATCHER!$B$5:$B$504,A529,MATCHER!$D$5:$D$504,C529,MATCHER!$J$5:$J$504,REGLER!$I$15&amp;" 2",MATCHER!$K$5:$K$504,"Ja")&gt;0,1,0)+IF(COUNTIFS(MATCHER!$B$5:$B$504,A529,MATCHER!$D$5:$D$504,C529,MATCHER!$J$5:$J$504,REGLER!$I$16,MATCHER!$K$5:$K$504,"Ja")+COUNTIFS(MATCHER!$B$5:$B$504,A529,MATCHER!$D$5:$D$504,C529,MATCHER!$J$5:$J$504,REGLER!$I$16&amp;" 2",MATCHER!$K$5:$K$504,"Ja")&gt;0,1,0)+IF(COUNTIFS(MATCHER!$B$5:$B$504,A529,MATCHER!$D$5:$D$504,C529,MATCHER!$J$5:$J$504,REGLER!$I$17,MATCHER!$K$5:$K$504,"Ja")+COUNTIFS(MATCHER!$B$5:$B$504,A529,MATCHER!$D$5:$D$504,C529,MATCHER!$J$5:$J$504,REGLER!$I$17&amp;" 2",MATCHER!$K$5:$K$504,"Ja")&gt;0,1,0)+IF(COUNTIFS(MATCHER!$B$5:$B$504,A529,MATCHER!$D$5:$D$504,C529,MATCHER!$J$5:$J$504,REGLER!$I$18,MATCHER!$K$5:$K$504,"Ja")+COUNTIFS(MATCHER!$B$5:$B$504,A529,MATCHER!$D$5:$D$504,C529,MATCHER!$J$5:$J$504,REGLER!$I$18&amp;" 2",MATCHER!$K$5:$K$504,"Ja")&gt;0,1,0)+IF(COUNTIFS(MATCHER!$B$5:$B$504,A529,MATCHER!$D$5:$D$504,C529,MATCHER!$J$5:$J$504,REGLER!$I$19,MATCHER!$K$5:$K$504,"Ja")+COUNTIFS(MATCHER!$B$5:$B$504,A529,MATCHER!$D$5:$D$504,C529,MATCHER!$J$5:$J$504,REGLER!$I$19&amp;" 2",MATCHER!$K$5:$K$504,"Ja")&gt;0,1,0)+IF(COUNTIFS(MATCHER!$B$5:$B$504,A529,MATCHER!$D$5:$D$504,C529,MATCHER!$J$5:$J$504,REGLER!$I$20,MATCHER!$K$5:$K$504,"Ja")+COUNTIFS(MATCHER!$B$5:$B$504,A529,MATCHER!$D$5:$D$504,C529,MATCHER!$J$5:$J$504,REGLER!$I$20&amp;" 2",MATCHER!$K$5:$K$504,"Ja")&gt;0,1,0)+IF(COUNTIFS(MATCHER!$B$5:$B$504,A529,MATCHER!$D$5:$D$504,C529,MATCHER!$J$5:$J$504,REGLER!$I$21,MATCHER!$K$5:$K$504,"Ja")+COUNTIFS(MATCHER!$B$5:$B$504,A529,MATCHER!$D$5:$D$504,C529,MATCHER!$J$5:$J$504,REGLER!$I$21&amp;" 2",MATCHER!$K$5:$K$504,"Ja")&gt;0,1,0)+IF(COUNTIFS(MATCHER!$B$5:$B$504,A529,MATCHER!$D$5:$D$504,C529,MATCHER!$J$5:$J$504,REGLER!$I$22,MATCHER!$K$5:$K$504,"Ja")+COUNTIFS(MATCHER!$B$5:$B$504,A529,MATCHER!$D$5:$D$504,C529,MATCHER!$J$5:$J$504,REGLER!$I$22&amp;" 2",MATCHER!$K$5:$K$504,"Ja")&gt;0,1,0)+IF(COUNTIFS(MATCHER!$B$5:$B$504,A529,MATCHER!$D$5:$D$504,C529,MATCHER!$J$5:$J$504,REGLER!$I$23,MATCHER!$K$5:$K$504,"Ja")+COUNTIFS(MATCHER!$B$5:$B$504,A529,MATCHER!$D$5:$D$504,C529,MATCHER!$J$5:$J$504,REGLER!$I$23&amp;" 2",MATCHER!$K$5:$K$504,"Ja")&gt;0,1,0)+IF(COUNTIFS(MATCHER!$B$5:$B$504,A529,MATCHER!$D$5:$D$504,C529,MATCHER!$J$5:$J$504,REGLER!$I$24,MATCHER!$K$5:$K$504,"Ja")+COUNTIFS(MATCHER!$B$5:$B$504,A529,MATCHER!$D$5:$D$504,C529,MATCHER!$J$5:$J$504,REGLER!$I$24&amp;" 2",MATCHER!$K$5:$K$504,"Ja")&gt;0,1,0)+IF(COUNTIFS(MATCHER!$B$5:$B$504,A529,MATCHER!$D$5:$D$504,C529,MATCHER!$J$5:$J$504,REGLER!$I$25,MATCHER!$K$5:$K$504,"Ja")+COUNTIFS(MATCHER!$B$5:$B$504,A529,MATCHER!$D$5:$D$504,C529,MATCHER!$J$5:$J$504,REGLER!$I$25&amp;" 2",MATCHER!$K$5:$K$504,"Ja")&gt;0,1,0)+IF(COUNTIFS(MATCHER!$B$5:$B$504,A529,MATCHER!$D$5:$D$504,C529,MATCHER!$J$5:$J$504,REGLER!$I$26,MATCHER!$K$5:$K$504,"Ja")+COUNTIFS(MATCHER!$B$5:$B$504,A529,MATCHER!$D$5:$D$504,C529,MATCHER!$J$5:$J$504,REGLER!$I$26&amp;" 2",MATCHER!$K$5:$K$504,"Ja")&gt;0,1,0)</f>
        <v>1</v>
      </c>
      <c r="AB529" s="15">
        <f>IF(U529&lt;&gt;1,"",COUNTIF($U$5:U529,1))</f>
        <v>107</v>
      </c>
      <c r="AC529" s="15" t="str">
        <f t="shared" si="118"/>
        <v/>
      </c>
      <c r="AD529" s="15" t="str">
        <f t="shared" si="119"/>
        <v>Minicafé</v>
      </c>
      <c r="AE529" s="15">
        <f t="shared" si="120"/>
        <v>2.0000000000000142</v>
      </c>
      <c r="AF529" t="str">
        <f>IF(T529="","",IFERROR(MATCH(1,INDEX((MATCHER!$B$5:$B$504=A529)*(MATCHER!$D$5:$D$504=C529)*(MATCHER!$K$5:$K$504="Ja")*(MATCHER!$C$5:$C$504&lt;E529)*(MATCHER!$M$5:$M$504&gt;D529)*(ROW(MATCHER!$A$5:$A$504)-ROW(MATCHER!$A$5)+1&gt;T529),0),0),""))</f>
        <v/>
      </c>
    </row>
    <row r="530" spans="1:32" ht="13">
      <c r="A530" s="42">
        <v>46490</v>
      </c>
      <c r="B530" s="43" t="s">
        <v>104</v>
      </c>
      <c r="C530" s="43" t="s">
        <v>94</v>
      </c>
      <c r="D530" s="44">
        <v>0.85416666666666696</v>
      </c>
      <c r="E530" s="44">
        <v>0.875</v>
      </c>
      <c r="F530" s="45" t="str">
        <f>IF(R530="","",HOUR(INDEX(MATCHER!$C$5:$C$504,R530))&amp;":"&amp;IF(MINUTE(INDEX(MATCHER!$C$5:$C$504,R530))&lt;10,"0","")&amp;MINUTE(INDEX(MATCHER!$C$5:$C$504,R530))&amp;" "&amp;INDEX(MATCHER!$H$5:$H$504,R530)&amp;" – "&amp;INDEX(MATCHER!$I$5:$I$504,R530))&amp;IF(S530="",""," | "&amp;HOUR(INDEX(MATCHER!$C$5:$C$504,S530))&amp;":"&amp;IF(MINUTE(INDEX(MATCHER!$C$5:$C$504,S530))&lt;10,"0","")&amp;MINUTE(INDEX(MATCHER!$C$5:$C$504,S530))&amp;" "&amp;INDEX(MATCHER!$H$5:$H$504,S530)&amp;" – "&amp;INDEX(MATCHER!$I$5:$I$504,S530))&amp;IF(T530="",""," | "&amp;HOUR(INDEX(MATCHER!$C$5:$C$504,T530))&amp;":"&amp;IF(MINUTE(INDEX(MATCHER!$C$5:$C$504,T530))&lt;10,"0","")&amp;MINUTE(INDEX(MATCHER!$C$5:$C$504,T530))&amp;" "&amp;INDEX(MATCHER!$H$5:$H$504,T530)&amp;" – "&amp;INDEX(MATCHER!$I$5:$I$504,T530))&amp;IF(AF530="",""," | "&amp;HOUR(INDEX(MATCHER!$C$5:$C$504,AF530))&amp;":"&amp;IF(MINUTE(INDEX(MATCHER!$C$5:$C$504,AF530))&lt;10,"0","")&amp;MINUTE(INDEX(MATCHER!$C$5:$C$504,AF530))&amp;" "&amp;INDEX(MATCHER!$H$5:$H$504,AF530)&amp;" – "&amp;INDEX(MATCHER!$I$5:$I$504,AF530))</f>
        <v>20:45 AIK – Uppsala HK</v>
      </c>
      <c r="G530" s="45" t="str">
        <f>MID(IF(R530="","",IF(OR(INDEX(MATCHER!$J$5:$J$504,R530)=""),""," / "&amp;INDEX(MATCHER!$J$5:$J$504,R530)))&amp;IF(S530="","",IF(OR(INDEX(MATCHER!$J$5:$J$504,S530)="",INDEX(MATCHER!$J$5:$J$504,S530)=IFERROR(INDEX(MATCHER!$J$5:$J$504,R530),"")),""," / "&amp;INDEX(MATCHER!$J$5:$J$504,S530)))&amp;IF(T530="","",IF(OR(INDEX(MATCHER!$J$5:$J$504,T530)="",INDEX(MATCHER!$J$5:$J$504,T530)=IFERROR(INDEX(MATCHER!$J$5:$J$504,R530),""),INDEX(MATCHER!$J$5:$J$504,T530)=IFERROR(INDEX(MATCHER!$J$5:$J$504,S530),"")),""," / "&amp;INDEX(MATCHER!$J$5:$J$504,T530)))&amp;IF(AF530="","",IF(OR(INDEX(MATCHER!$J$5:$J$504,AF530)="",INDEX(MATCHER!$J$5:$J$504,AF530)=IFERROR(INDEX(MATCHER!$J$5:$J$504,R530),""),INDEX(MATCHER!$J$5:$J$504,AF530)=IFERROR(INDEX(MATCHER!$J$5:$J$504,S530),""),INDEX(MATCHER!$J$5:$J$504,AF530)=IFERROR(INDEX(MATCHER!$J$5:$J$504,T530),"")),""," / "&amp;INDEX(MATCHER!$J$5:$J$504,AF530))),4,1000)</f>
        <v>F19</v>
      </c>
      <c r="H530" s="45" t="str">
        <f>H529</f>
        <v>F19</v>
      </c>
      <c r="I530" s="46" t="s">
        <v>90</v>
      </c>
      <c r="J530" s="47" t="s">
        <v>105</v>
      </c>
      <c r="K530" s="48"/>
      <c r="L530" s="49"/>
      <c r="M530" s="50" t="str">
        <f>IF(O530&lt;&gt;O529,MAX(1,MIN(AA530,ROUNDUP(SUMPRODUCT(($O$5:$O$546=O530)*($I$5:$I$546="Ja")*($E$5:$E$546-$D$5:$D$546))*24/REGLER!$B$8,0))),"")</f>
        <v/>
      </c>
      <c r="N530" s="50" t="str">
        <f t="shared" si="114"/>
        <v>Klar</v>
      </c>
      <c r="O530" s="15" t="s">
        <v>165</v>
      </c>
      <c r="P530" s="16">
        <v>0.83333333333333304</v>
      </c>
      <c r="Q530" s="16">
        <v>0.91666666666666696</v>
      </c>
      <c r="R530" s="15">
        <f>IFERROR(MATCH(1,INDEX((MATCHER!$B$5:$B$504=A530)*(MATCHER!$D$5:$D$504=C530)*(MATCHER!$K$5:$K$504="Ja")*(MATCHER!$C$5:$C$504&lt;E530)*(MATCHER!$M$5:$M$504&gt;D530),0),0),"")</f>
        <v>189</v>
      </c>
      <c r="S530" s="15" t="str">
        <f>IF(R530="","",IFERROR(MATCH(1,INDEX((MATCHER!$B$5:$B$504=A530)*(MATCHER!$D$5:$D$504=C530)*(MATCHER!$K$5:$K$504="Ja")*(MATCHER!$C$5:$C$504&lt;E530)*(MATCHER!$M$5:$M$504&gt;D530)*(ROW(MATCHER!$A$5:$A$504)-ROW(MATCHER!$A$5)+1&gt;R530),0),0),""))</f>
        <v/>
      </c>
      <c r="T530" s="15" t="str">
        <f>IF(S530="","",IFERROR(MATCH(1,INDEX((MATCHER!$B$5:$B$504=A530)*(MATCHER!$D$5:$D$504=C530)*(MATCHER!$K$5:$K$504="Ja")*(MATCHER!$C$5:$C$504&lt;E530)*(MATCHER!$M$5:$M$504&gt;D530)*(ROW(MATCHER!$A$5:$A$504)-ROW(MATCHER!$A$5)+1&gt;S530),0),0),""))</f>
        <v/>
      </c>
      <c r="U530" s="15">
        <f t="shared" si="115"/>
        <v>0</v>
      </c>
      <c r="V530" s="15">
        <f>IF(OR(I530&lt;&gt;"Ja",J530=""),"",COUNTIFS($O$5:O530,O530,$U$5:U530,1))</f>
        <v>1</v>
      </c>
      <c r="W530" s="15" t="str">
        <f t="shared" si="116"/>
        <v>2027-04-13 | Råsta Park|1</v>
      </c>
      <c r="X530" s="16" t="str">
        <f t="shared" si="117"/>
        <v/>
      </c>
      <c r="Y530" s="15">
        <f>IF(OR(I530&lt;&gt;"Ja",J530=""),0,IF(COUNTIFS($O$5:O530,O530,$I$5:I530,"Ja",$J$5:J530,"&lt;&gt;")=1,1,0))</f>
        <v>0</v>
      </c>
      <c r="Z530" s="15">
        <f>IF(OR(I530&lt;&gt;"Ja",J530=""),0,IF(COUNTIFS(O530:$O$546,O530,I530:$I$546,"Ja",J530:$J$546,"&lt;&gt;")=1,1,0))</f>
        <v>0</v>
      </c>
      <c r="AA530" s="15">
        <f>AA529</f>
        <v>1</v>
      </c>
      <c r="AB530" s="15" t="str">
        <f>IF(U530&lt;&gt;1,"",COUNTIF($U$5:U530,1))</f>
        <v/>
      </c>
      <c r="AC530" s="15" t="str">
        <f t="shared" si="118"/>
        <v/>
      </c>
      <c r="AD530" s="15" t="str">
        <f t="shared" si="119"/>
        <v>Minicafé</v>
      </c>
      <c r="AE530" s="15" t="str">
        <f t="shared" si="120"/>
        <v/>
      </c>
      <c r="AF530" t="str">
        <f>IF(T530="","",IFERROR(MATCH(1,INDEX((MATCHER!$B$5:$B$504=A530)*(MATCHER!$D$5:$D$504=C530)*(MATCHER!$K$5:$K$504="Ja")*(MATCHER!$C$5:$C$504&lt;E530)*(MATCHER!$M$5:$M$504&gt;D530)*(ROW(MATCHER!$A$5:$A$504)-ROW(MATCHER!$A$5)+1&gt;T530),0),0),""))</f>
        <v/>
      </c>
    </row>
    <row r="531" spans="1:32" ht="13">
      <c r="A531" s="42">
        <v>46490</v>
      </c>
      <c r="B531" s="43" t="s">
        <v>104</v>
      </c>
      <c r="C531" s="43" t="s">
        <v>94</v>
      </c>
      <c r="D531" s="44">
        <v>0.875</v>
      </c>
      <c r="E531" s="44">
        <v>0.89583333333333304</v>
      </c>
      <c r="F531" s="45" t="str">
        <f>IF(R531="","",HOUR(INDEX(MATCHER!$C$5:$C$504,R531))&amp;":"&amp;IF(MINUTE(INDEX(MATCHER!$C$5:$C$504,R531))&lt;10,"0","")&amp;MINUTE(INDEX(MATCHER!$C$5:$C$504,R531))&amp;" "&amp;INDEX(MATCHER!$H$5:$H$504,R531)&amp;" – "&amp;INDEX(MATCHER!$I$5:$I$504,R531))&amp;IF(S531="",""," | "&amp;HOUR(INDEX(MATCHER!$C$5:$C$504,S531))&amp;":"&amp;IF(MINUTE(INDEX(MATCHER!$C$5:$C$504,S531))&lt;10,"0","")&amp;MINUTE(INDEX(MATCHER!$C$5:$C$504,S531))&amp;" "&amp;INDEX(MATCHER!$H$5:$H$504,S531)&amp;" – "&amp;INDEX(MATCHER!$I$5:$I$504,S531))&amp;IF(T531="",""," | "&amp;HOUR(INDEX(MATCHER!$C$5:$C$504,T531))&amp;":"&amp;IF(MINUTE(INDEX(MATCHER!$C$5:$C$504,T531))&lt;10,"0","")&amp;MINUTE(INDEX(MATCHER!$C$5:$C$504,T531))&amp;" "&amp;INDEX(MATCHER!$H$5:$H$504,T531)&amp;" – "&amp;INDEX(MATCHER!$I$5:$I$504,T531))&amp;IF(AF531="",""," | "&amp;HOUR(INDEX(MATCHER!$C$5:$C$504,AF531))&amp;":"&amp;IF(MINUTE(INDEX(MATCHER!$C$5:$C$504,AF531))&lt;10,"0","")&amp;MINUTE(INDEX(MATCHER!$C$5:$C$504,AF531))&amp;" "&amp;INDEX(MATCHER!$H$5:$H$504,AF531)&amp;" – "&amp;INDEX(MATCHER!$I$5:$I$504,AF531))</f>
        <v>20:45 AIK – Uppsala HK</v>
      </c>
      <c r="G531" s="45" t="str">
        <f>MID(IF(R531="","",IF(OR(INDEX(MATCHER!$J$5:$J$504,R531)=""),""," / "&amp;INDEX(MATCHER!$J$5:$J$504,R531)))&amp;IF(S531="","",IF(OR(INDEX(MATCHER!$J$5:$J$504,S531)="",INDEX(MATCHER!$J$5:$J$504,S531)=IFERROR(INDEX(MATCHER!$J$5:$J$504,R531),"")),""," / "&amp;INDEX(MATCHER!$J$5:$J$504,S531)))&amp;IF(T531="","",IF(OR(INDEX(MATCHER!$J$5:$J$504,T531)="",INDEX(MATCHER!$J$5:$J$504,T531)=IFERROR(INDEX(MATCHER!$J$5:$J$504,R531),""),INDEX(MATCHER!$J$5:$J$504,T531)=IFERROR(INDEX(MATCHER!$J$5:$J$504,S531),"")),""," / "&amp;INDEX(MATCHER!$J$5:$J$504,T531)))&amp;IF(AF531="","",IF(OR(INDEX(MATCHER!$J$5:$J$504,AF531)="",INDEX(MATCHER!$J$5:$J$504,AF531)=IFERROR(INDEX(MATCHER!$J$5:$J$504,R531),""),INDEX(MATCHER!$J$5:$J$504,AF531)=IFERROR(INDEX(MATCHER!$J$5:$J$504,S531),""),INDEX(MATCHER!$J$5:$J$504,AF531)=IFERROR(INDEX(MATCHER!$J$5:$J$504,T531),"")),""," / "&amp;INDEX(MATCHER!$J$5:$J$504,AF531))),4,1000)</f>
        <v>F19</v>
      </c>
      <c r="H531" s="45" t="str">
        <f>H530</f>
        <v>F19</v>
      </c>
      <c r="I531" s="46" t="s">
        <v>90</v>
      </c>
      <c r="J531" s="47" t="s">
        <v>105</v>
      </c>
      <c r="K531" s="48"/>
      <c r="L531" s="49"/>
      <c r="M531" s="50" t="str">
        <f>IF(O531&lt;&gt;O530,MAX(1,MIN(AA531,ROUNDUP(SUMPRODUCT(($O$5:$O$546=O531)*($I$5:$I$546="Ja")*($E$5:$E$546-$D$5:$D$546))*24/REGLER!$B$8,0))),"")</f>
        <v/>
      </c>
      <c r="N531" s="50" t="str">
        <f t="shared" si="114"/>
        <v>Klar</v>
      </c>
      <c r="O531" s="15" t="s">
        <v>165</v>
      </c>
      <c r="P531" s="16">
        <v>0.83333333333333304</v>
      </c>
      <c r="Q531" s="16">
        <v>0.91666666666666696</v>
      </c>
      <c r="R531" s="15">
        <f>IFERROR(MATCH(1,INDEX((MATCHER!$B$5:$B$504=A531)*(MATCHER!$D$5:$D$504=C531)*(MATCHER!$K$5:$K$504="Ja")*(MATCHER!$C$5:$C$504&lt;E531)*(MATCHER!$M$5:$M$504&gt;D531),0),0),"")</f>
        <v>189</v>
      </c>
      <c r="S531" s="15" t="str">
        <f>IF(R531="","",IFERROR(MATCH(1,INDEX((MATCHER!$B$5:$B$504=A531)*(MATCHER!$D$5:$D$504=C531)*(MATCHER!$K$5:$K$504="Ja")*(MATCHER!$C$5:$C$504&lt;E531)*(MATCHER!$M$5:$M$504&gt;D531)*(ROW(MATCHER!$A$5:$A$504)-ROW(MATCHER!$A$5)+1&gt;R531),0),0),""))</f>
        <v/>
      </c>
      <c r="T531" s="15" t="str">
        <f>IF(S531="","",IFERROR(MATCH(1,INDEX((MATCHER!$B$5:$B$504=A531)*(MATCHER!$D$5:$D$504=C531)*(MATCHER!$K$5:$K$504="Ja")*(MATCHER!$C$5:$C$504&lt;E531)*(MATCHER!$M$5:$M$504&gt;D531)*(ROW(MATCHER!$A$5:$A$504)-ROW(MATCHER!$A$5)+1&gt;S531),0),0),""))</f>
        <v/>
      </c>
      <c r="U531" s="15">
        <f t="shared" si="115"/>
        <v>0</v>
      </c>
      <c r="V531" s="15">
        <f>IF(OR(I531&lt;&gt;"Ja",J531=""),"",COUNTIFS($O$5:O531,O531,$U$5:U531,1))</f>
        <v>1</v>
      </c>
      <c r="W531" s="15" t="str">
        <f t="shared" si="116"/>
        <v>2027-04-13 | Råsta Park|1</v>
      </c>
      <c r="X531" s="16" t="str">
        <f t="shared" si="117"/>
        <v/>
      </c>
      <c r="Y531" s="15">
        <f>IF(OR(I531&lt;&gt;"Ja",J531=""),0,IF(COUNTIFS($O$5:O531,O531,$I$5:I531,"Ja",$J$5:J531,"&lt;&gt;")=1,1,0))</f>
        <v>0</v>
      </c>
      <c r="Z531" s="15">
        <f>IF(OR(I531&lt;&gt;"Ja",J531=""),0,IF(COUNTIFS(O531:$O$546,O531,I531:$I$546,"Ja",J531:$J$546,"&lt;&gt;")=1,1,0))</f>
        <v>0</v>
      </c>
      <c r="AA531" s="15">
        <f>AA530</f>
        <v>1</v>
      </c>
      <c r="AB531" s="15" t="str">
        <f>IF(U531&lt;&gt;1,"",COUNTIF($U$5:U531,1))</f>
        <v/>
      </c>
      <c r="AC531" s="15" t="str">
        <f t="shared" si="118"/>
        <v/>
      </c>
      <c r="AD531" s="15" t="str">
        <f t="shared" si="119"/>
        <v>Minicafé</v>
      </c>
      <c r="AE531" s="15" t="str">
        <f t="shared" si="120"/>
        <v/>
      </c>
      <c r="AF531" t="str">
        <f>IF(T531="","",IFERROR(MATCH(1,INDEX((MATCHER!$B$5:$B$504=A531)*(MATCHER!$D$5:$D$504=C531)*(MATCHER!$K$5:$K$504="Ja")*(MATCHER!$C$5:$C$504&lt;E531)*(MATCHER!$M$5:$M$504&gt;D531)*(ROW(MATCHER!$A$5:$A$504)-ROW(MATCHER!$A$5)+1&gt;T531),0),0),""))</f>
        <v/>
      </c>
    </row>
    <row r="532" spans="1:32" ht="13.5" thickBot="1">
      <c r="A532" s="52">
        <v>46490</v>
      </c>
      <c r="B532" s="53" t="s">
        <v>104</v>
      </c>
      <c r="C532" s="53" t="s">
        <v>94</v>
      </c>
      <c r="D532" s="54">
        <v>0.89583333333333304</v>
      </c>
      <c r="E532" s="54">
        <v>0.91666666666666696</v>
      </c>
      <c r="F532" s="55" t="str">
        <f>IF(R532="","",HOUR(INDEX(MATCHER!$C$5:$C$504,R532))&amp;":"&amp;IF(MINUTE(INDEX(MATCHER!$C$5:$C$504,R532))&lt;10,"0","")&amp;MINUTE(INDEX(MATCHER!$C$5:$C$504,R532))&amp;" "&amp;INDEX(MATCHER!$H$5:$H$504,R532)&amp;" – "&amp;INDEX(MATCHER!$I$5:$I$504,R532))&amp;IF(S532="",""," | "&amp;HOUR(INDEX(MATCHER!$C$5:$C$504,S532))&amp;":"&amp;IF(MINUTE(INDEX(MATCHER!$C$5:$C$504,S532))&lt;10,"0","")&amp;MINUTE(INDEX(MATCHER!$C$5:$C$504,S532))&amp;" "&amp;INDEX(MATCHER!$H$5:$H$504,S532)&amp;" – "&amp;INDEX(MATCHER!$I$5:$I$504,S532))&amp;IF(T532="",""," | "&amp;HOUR(INDEX(MATCHER!$C$5:$C$504,T532))&amp;":"&amp;IF(MINUTE(INDEX(MATCHER!$C$5:$C$504,T532))&lt;10,"0","")&amp;MINUTE(INDEX(MATCHER!$C$5:$C$504,T532))&amp;" "&amp;INDEX(MATCHER!$H$5:$H$504,T532)&amp;" – "&amp;INDEX(MATCHER!$I$5:$I$504,T532))&amp;IF(AF532="",""," | "&amp;HOUR(INDEX(MATCHER!$C$5:$C$504,AF532))&amp;":"&amp;IF(MINUTE(INDEX(MATCHER!$C$5:$C$504,AF532))&lt;10,"0","")&amp;MINUTE(INDEX(MATCHER!$C$5:$C$504,AF532))&amp;" "&amp;INDEX(MATCHER!$H$5:$H$504,AF532)&amp;" – "&amp;INDEX(MATCHER!$I$5:$I$504,AF532))</f>
        <v>20:45 AIK – Uppsala HK</v>
      </c>
      <c r="G532" s="55" t="str">
        <f>MID(IF(R532="","",IF(OR(INDEX(MATCHER!$J$5:$J$504,R532)=""),""," / "&amp;INDEX(MATCHER!$J$5:$J$504,R532)))&amp;IF(S532="","",IF(OR(INDEX(MATCHER!$J$5:$J$504,S532)="",INDEX(MATCHER!$J$5:$J$504,S532)=IFERROR(INDEX(MATCHER!$J$5:$J$504,R532),"")),""," / "&amp;INDEX(MATCHER!$J$5:$J$504,S532)))&amp;IF(T532="","",IF(OR(INDEX(MATCHER!$J$5:$J$504,T532)="",INDEX(MATCHER!$J$5:$J$504,T532)=IFERROR(INDEX(MATCHER!$J$5:$J$504,R532),""),INDEX(MATCHER!$J$5:$J$504,T532)=IFERROR(INDEX(MATCHER!$J$5:$J$504,S532),"")),""," / "&amp;INDEX(MATCHER!$J$5:$J$504,T532)))&amp;IF(AF532="","",IF(OR(INDEX(MATCHER!$J$5:$J$504,AF532)="",INDEX(MATCHER!$J$5:$J$504,AF532)=IFERROR(INDEX(MATCHER!$J$5:$J$504,R532),""),INDEX(MATCHER!$J$5:$J$504,AF532)=IFERROR(INDEX(MATCHER!$J$5:$J$504,S532),""),INDEX(MATCHER!$J$5:$J$504,AF532)=IFERROR(INDEX(MATCHER!$J$5:$J$504,T532),"")),""," / "&amp;INDEX(MATCHER!$J$5:$J$504,AF532))),4,1000)</f>
        <v>F19</v>
      </c>
      <c r="H532" s="55" t="str">
        <f>H531</f>
        <v>F19</v>
      </c>
      <c r="I532" s="56" t="s">
        <v>90</v>
      </c>
      <c r="J532" s="57" t="s">
        <v>105</v>
      </c>
      <c r="K532" s="58"/>
      <c r="L532" s="59"/>
      <c r="M532" s="60" t="str">
        <f>IF(O532&lt;&gt;O531,MAX(1,MIN(AA532,ROUNDUP(SUMPRODUCT(($O$5:$O$546=O532)*($I$5:$I$546="Ja")*($E$5:$E$546-$D$5:$D$546))*24/REGLER!$B$8,0))),"")</f>
        <v/>
      </c>
      <c r="N532" s="60" t="str">
        <f t="shared" si="114"/>
        <v>Klar</v>
      </c>
      <c r="O532" s="15" t="s">
        <v>165</v>
      </c>
      <c r="P532" s="16">
        <v>0.83333333333333304</v>
      </c>
      <c r="Q532" s="16">
        <v>0.91666666666666696</v>
      </c>
      <c r="R532" s="15">
        <f>IFERROR(MATCH(1,INDEX((MATCHER!$B$5:$B$504=A532)*(MATCHER!$D$5:$D$504=C532)*(MATCHER!$K$5:$K$504="Ja")*(MATCHER!$C$5:$C$504&lt;E532)*(MATCHER!$M$5:$M$504&gt;D532),0),0),"")</f>
        <v>189</v>
      </c>
      <c r="S532" s="15" t="str">
        <f>IF(R532="","",IFERROR(MATCH(1,INDEX((MATCHER!$B$5:$B$504=A532)*(MATCHER!$D$5:$D$504=C532)*(MATCHER!$K$5:$K$504="Ja")*(MATCHER!$C$5:$C$504&lt;E532)*(MATCHER!$M$5:$M$504&gt;D532)*(ROW(MATCHER!$A$5:$A$504)-ROW(MATCHER!$A$5)+1&gt;R532),0),0),""))</f>
        <v/>
      </c>
      <c r="T532" s="15" t="str">
        <f>IF(S532="","",IFERROR(MATCH(1,INDEX((MATCHER!$B$5:$B$504=A532)*(MATCHER!$D$5:$D$504=C532)*(MATCHER!$K$5:$K$504="Ja")*(MATCHER!$C$5:$C$504&lt;E532)*(MATCHER!$M$5:$M$504&gt;D532)*(ROW(MATCHER!$A$5:$A$504)-ROW(MATCHER!$A$5)+1&gt;S532),0),0),""))</f>
        <v/>
      </c>
      <c r="U532" s="15">
        <f t="shared" si="115"/>
        <v>0</v>
      </c>
      <c r="V532" s="15">
        <f>IF(OR(I532&lt;&gt;"Ja",J532=""),"",COUNTIFS($O$5:O532,O532,$U$5:U532,1))</f>
        <v>1</v>
      </c>
      <c r="W532" s="15" t="str">
        <f t="shared" si="116"/>
        <v>2027-04-13 | Råsta Park|1</v>
      </c>
      <c r="X532" s="16">
        <f t="shared" si="117"/>
        <v>0.91666666666666696</v>
      </c>
      <c r="Y532" s="15">
        <f>IF(OR(I532&lt;&gt;"Ja",J532=""),0,IF(COUNTIFS($O$5:O532,O532,$I$5:I532,"Ja",$J$5:J532,"&lt;&gt;")=1,1,0))</f>
        <v>0</v>
      </c>
      <c r="Z532" s="15">
        <f>IF(OR(I532&lt;&gt;"Ja",J532=""),0,IF(COUNTIFS(O532:$O$546,O532,I532:$I$546,"Ja",J532:$J$546,"&lt;&gt;")=1,1,0))</f>
        <v>1</v>
      </c>
      <c r="AA532" s="15">
        <f>AA531</f>
        <v>1</v>
      </c>
      <c r="AB532" s="15" t="str">
        <f>IF(U532&lt;&gt;1,"",COUNTIF($U$5:U532,1))</f>
        <v/>
      </c>
      <c r="AC532" s="15" t="str">
        <f t="shared" si="118"/>
        <v>2027-04-13 | Råsta Park|1</v>
      </c>
      <c r="AD532" s="15" t="str">
        <f t="shared" si="119"/>
        <v>Minicafé</v>
      </c>
      <c r="AE532" s="15" t="str">
        <f t="shared" si="120"/>
        <v/>
      </c>
      <c r="AF532" t="str">
        <f>IF(T532="","",IFERROR(MATCH(1,INDEX((MATCHER!$B$5:$B$504=A532)*(MATCHER!$D$5:$D$504=C532)*(MATCHER!$K$5:$K$504="Ja")*(MATCHER!$C$5:$C$504&lt;E532)*(MATCHER!$M$5:$M$504&gt;D532)*(ROW(MATCHER!$A$5:$A$504)-ROW(MATCHER!$A$5)+1&gt;T532),0),0),""))</f>
        <v/>
      </c>
    </row>
    <row r="533" spans="1:32" ht="13">
      <c r="A533" s="42">
        <v>46494</v>
      </c>
      <c r="B533" s="43" t="s">
        <v>85</v>
      </c>
      <c r="C533" s="43" t="s">
        <v>94</v>
      </c>
      <c r="D533" s="44">
        <v>0.47916666666666702</v>
      </c>
      <c r="E533" s="44">
        <v>0.5</v>
      </c>
      <c r="F533" s="45" t="str">
        <f>IF(R533="","",HOUR(INDEX(MATCHER!$C$5:$C$504,R533))&amp;":"&amp;IF(MINUTE(INDEX(MATCHER!$C$5:$C$504,R533))&lt;10,"0","")&amp;MINUTE(INDEX(MATCHER!$C$5:$C$504,R533))&amp;" "&amp;INDEX(MATCHER!$H$5:$H$504,R533)&amp;" – "&amp;INDEX(MATCHER!$I$5:$I$504,R533))&amp;IF(S533="",""," | "&amp;HOUR(INDEX(MATCHER!$C$5:$C$504,S533))&amp;":"&amp;IF(MINUTE(INDEX(MATCHER!$C$5:$C$504,S533))&lt;10,"0","")&amp;MINUTE(INDEX(MATCHER!$C$5:$C$504,S533))&amp;" "&amp;INDEX(MATCHER!$H$5:$H$504,S533)&amp;" – "&amp;INDEX(MATCHER!$I$5:$I$504,S533))&amp;IF(T533="",""," | "&amp;HOUR(INDEX(MATCHER!$C$5:$C$504,T533))&amp;":"&amp;IF(MINUTE(INDEX(MATCHER!$C$5:$C$504,T533))&lt;10,"0","")&amp;MINUTE(INDEX(MATCHER!$C$5:$C$504,T533))&amp;" "&amp;INDEX(MATCHER!$H$5:$H$504,T533)&amp;" – "&amp;INDEX(MATCHER!$I$5:$I$504,T533))&amp;IF(AF533="",""," | "&amp;HOUR(INDEX(MATCHER!$C$5:$C$504,AF533))&amp;":"&amp;IF(MINUTE(INDEX(MATCHER!$C$5:$C$504,AF533))&lt;10,"0","")&amp;MINUTE(INDEX(MATCHER!$C$5:$C$504,AF533))&amp;" "&amp;INDEX(MATCHER!$H$5:$H$504,AF533)&amp;" – "&amp;INDEX(MATCHER!$I$5:$I$504,AF533))</f>
        <v/>
      </c>
      <c r="G533" s="45" t="str">
        <f>MID(IF(R533="","",IF(OR(INDEX(MATCHER!$J$5:$J$504,R533)=""),""," / "&amp;INDEX(MATCHER!$J$5:$J$504,R533)))&amp;IF(S533="","",IF(OR(INDEX(MATCHER!$J$5:$J$504,S533)="",INDEX(MATCHER!$J$5:$J$504,S533)=IFERROR(INDEX(MATCHER!$J$5:$J$504,R533),"")),""," / "&amp;INDEX(MATCHER!$J$5:$J$504,S533)))&amp;IF(T533="","",IF(OR(INDEX(MATCHER!$J$5:$J$504,T533)="",INDEX(MATCHER!$J$5:$J$504,T533)=IFERROR(INDEX(MATCHER!$J$5:$J$504,R533),""),INDEX(MATCHER!$J$5:$J$504,T533)=IFERROR(INDEX(MATCHER!$J$5:$J$504,S533),"")),""," / "&amp;INDEX(MATCHER!$J$5:$J$504,T533)))&amp;IF(AF533="","",IF(OR(INDEX(MATCHER!$J$5:$J$504,AF533)="",INDEX(MATCHER!$J$5:$J$504,AF533)=IFERROR(INDEX(MATCHER!$J$5:$J$504,R533),""),INDEX(MATCHER!$J$5:$J$504,AF533)=IFERROR(INDEX(MATCHER!$J$5:$J$504,S533),""),INDEX(MATCHER!$J$5:$J$504,AF533)=IFERROR(INDEX(MATCHER!$J$5:$J$504,T533),"")),""," / "&amp;INDEX(MATCHER!$J$5:$J$504,AF533))),4,1000)</f>
        <v/>
      </c>
      <c r="H533" s="45" t="str">
        <f>MID(IF(COUNTIFS(MATCHER!$B$5:$B$504,A533,MATCHER!$D$5:$D$504,C533,MATCHER!$J$5:$J$504,REGLER!$I$6,MATCHER!$K$5:$K$504,"Ja")+COUNTIFS(MATCHER!$B$5:$B$504,A533,MATCHER!$D$5:$D$504,C533,MATCHER!$J$5:$J$504,REGLER!$I$6&amp;" 2",MATCHER!$K$5:$K$504,"Ja")&gt;0,", "&amp;REGLER!$I$6,"")&amp;IF(COUNTIFS(MATCHER!$B$5:$B$504,A533,MATCHER!$D$5:$D$504,C533,MATCHER!$J$5:$J$504,REGLER!$I$7,MATCHER!$K$5:$K$504,"Ja")+COUNTIFS(MATCHER!$B$5:$B$504,A533,MATCHER!$D$5:$D$504,C533,MATCHER!$J$5:$J$504,REGLER!$I$7&amp;" 2",MATCHER!$K$5:$K$504,"Ja")&gt;0,", "&amp;REGLER!$I$7,"")&amp;IF(COUNTIFS(MATCHER!$B$5:$B$504,A533,MATCHER!$D$5:$D$504,C533,MATCHER!$J$5:$J$504,REGLER!$I$8,MATCHER!$K$5:$K$504,"Ja")+COUNTIFS(MATCHER!$B$5:$B$504,A533,MATCHER!$D$5:$D$504,C533,MATCHER!$J$5:$J$504,REGLER!$I$8&amp;" 2",MATCHER!$K$5:$K$504,"Ja")&gt;0,", "&amp;REGLER!$I$8,"")&amp;IF(COUNTIFS(MATCHER!$B$5:$B$504,A533,MATCHER!$D$5:$D$504,C533,MATCHER!$J$5:$J$504,REGLER!$I$9,MATCHER!$K$5:$K$504,"Ja")+COUNTIFS(MATCHER!$B$5:$B$504,A533,MATCHER!$D$5:$D$504,C533,MATCHER!$J$5:$J$504,REGLER!$I$9&amp;" 2",MATCHER!$K$5:$K$504,"Ja")&gt;0,", "&amp;REGLER!$I$9,"")&amp;IF(COUNTIFS(MATCHER!$B$5:$B$504,A533,MATCHER!$D$5:$D$504,C533,MATCHER!$J$5:$J$504,REGLER!$I$10,MATCHER!$K$5:$K$504,"Ja")+COUNTIFS(MATCHER!$B$5:$B$504,A533,MATCHER!$D$5:$D$504,C533,MATCHER!$J$5:$J$504,REGLER!$I$10&amp;" 2",MATCHER!$K$5:$K$504,"Ja")&gt;0,", "&amp;REGLER!$I$10,"")&amp;IF(COUNTIFS(MATCHER!$B$5:$B$504,A533,MATCHER!$D$5:$D$504,C533,MATCHER!$J$5:$J$504,REGLER!$I$11,MATCHER!$K$5:$K$504,"Ja")+COUNTIFS(MATCHER!$B$5:$B$504,A533,MATCHER!$D$5:$D$504,C533,MATCHER!$J$5:$J$504,REGLER!$I$11&amp;" 2",MATCHER!$K$5:$K$504,"Ja")&gt;0,", "&amp;REGLER!$I$11,"")&amp;IF(COUNTIFS(MATCHER!$B$5:$B$504,A533,MATCHER!$D$5:$D$504,C533,MATCHER!$J$5:$J$504,REGLER!$I$12,MATCHER!$K$5:$K$504,"Ja")+COUNTIFS(MATCHER!$B$5:$B$504,A533,MATCHER!$D$5:$D$504,C533,MATCHER!$J$5:$J$504,REGLER!$I$12&amp;" 2",MATCHER!$K$5:$K$504,"Ja")&gt;0,", "&amp;REGLER!$I$12,"")&amp;IF(COUNTIFS(MATCHER!$B$5:$B$504,A533,MATCHER!$D$5:$D$504,C533,MATCHER!$J$5:$J$504,REGLER!$I$13,MATCHER!$K$5:$K$504,"Ja")+COUNTIFS(MATCHER!$B$5:$B$504,A533,MATCHER!$D$5:$D$504,C533,MATCHER!$J$5:$J$504,REGLER!$I$13&amp;" 2",MATCHER!$K$5:$K$504,"Ja")&gt;0,", "&amp;REGLER!$I$13,"")&amp;IF(COUNTIFS(MATCHER!$B$5:$B$504,A533,MATCHER!$D$5:$D$504,C533,MATCHER!$J$5:$J$504,REGLER!$I$14,MATCHER!$K$5:$K$504,"Ja")+COUNTIFS(MATCHER!$B$5:$B$504,A533,MATCHER!$D$5:$D$504,C533,MATCHER!$J$5:$J$504,REGLER!$I$14&amp;" 2",MATCHER!$K$5:$K$504,"Ja")&gt;0,", "&amp;REGLER!$I$14,"")&amp;IF(COUNTIFS(MATCHER!$B$5:$B$504,A533,MATCHER!$D$5:$D$504,C533,MATCHER!$J$5:$J$504,REGLER!$I$15,MATCHER!$K$5:$K$504,"Ja")+COUNTIFS(MATCHER!$B$5:$B$504,A533,MATCHER!$D$5:$D$504,C533,MATCHER!$J$5:$J$504,REGLER!$I$15&amp;" 2",MATCHER!$K$5:$K$504,"Ja")&gt;0,", "&amp;REGLER!$I$15,"")&amp;IF(COUNTIFS(MATCHER!$B$5:$B$504,A533,MATCHER!$D$5:$D$504,C533,MATCHER!$J$5:$J$504,REGLER!$I$16,MATCHER!$K$5:$K$504,"Ja")+COUNTIFS(MATCHER!$B$5:$B$504,A533,MATCHER!$D$5:$D$504,C533,MATCHER!$J$5:$J$504,REGLER!$I$16&amp;" 2",MATCHER!$K$5:$K$504,"Ja")&gt;0,", "&amp;REGLER!$I$16,"")&amp;IF(COUNTIFS(MATCHER!$B$5:$B$504,A533,MATCHER!$D$5:$D$504,C533,MATCHER!$J$5:$J$504,REGLER!$I$17,MATCHER!$K$5:$K$504,"Ja")+COUNTIFS(MATCHER!$B$5:$B$504,A533,MATCHER!$D$5:$D$504,C533,MATCHER!$J$5:$J$504,REGLER!$I$17&amp;" 2",MATCHER!$K$5:$K$504,"Ja")&gt;0,", "&amp;REGLER!$I$17,"")&amp;IF(COUNTIFS(MATCHER!$B$5:$B$504,A533,MATCHER!$D$5:$D$504,C533,MATCHER!$J$5:$J$504,REGLER!$I$18,MATCHER!$K$5:$K$504,"Ja")+COUNTIFS(MATCHER!$B$5:$B$504,A533,MATCHER!$D$5:$D$504,C533,MATCHER!$J$5:$J$504,REGLER!$I$18&amp;" 2",MATCHER!$K$5:$K$504,"Ja")&gt;0,", "&amp;REGLER!$I$18,"")&amp;IF(COUNTIFS(MATCHER!$B$5:$B$504,A533,MATCHER!$D$5:$D$504,C533,MATCHER!$J$5:$J$504,REGLER!$I$19,MATCHER!$K$5:$K$504,"Ja")+COUNTIFS(MATCHER!$B$5:$B$504,A533,MATCHER!$D$5:$D$504,C533,MATCHER!$J$5:$J$504,REGLER!$I$19&amp;" 2",MATCHER!$K$5:$K$504,"Ja")&gt;0,", "&amp;REGLER!$I$19,"")&amp;IF(COUNTIFS(MATCHER!$B$5:$B$504,A533,MATCHER!$D$5:$D$504,C533,MATCHER!$J$5:$J$504,REGLER!$I$20,MATCHER!$K$5:$K$504,"Ja")+COUNTIFS(MATCHER!$B$5:$B$504,A533,MATCHER!$D$5:$D$504,C533,MATCHER!$J$5:$J$504,REGLER!$I$20&amp;" 2",MATCHER!$K$5:$K$504,"Ja")&gt;0,", "&amp;REGLER!$I$20,"")&amp;IF(COUNTIFS(MATCHER!$B$5:$B$504,A533,MATCHER!$D$5:$D$504,C533,MATCHER!$J$5:$J$504,REGLER!$I$21,MATCHER!$K$5:$K$504,"Ja")+COUNTIFS(MATCHER!$B$5:$B$504,A533,MATCHER!$D$5:$D$504,C533,MATCHER!$J$5:$J$504,REGLER!$I$21&amp;" 2",MATCHER!$K$5:$K$504,"Ja")&gt;0,", "&amp;REGLER!$I$21,"")&amp;IF(COUNTIFS(MATCHER!$B$5:$B$504,A533,MATCHER!$D$5:$D$504,C533,MATCHER!$J$5:$J$504,REGLER!$I$22,MATCHER!$K$5:$K$504,"Ja")+COUNTIFS(MATCHER!$B$5:$B$504,A533,MATCHER!$D$5:$D$504,C533,MATCHER!$J$5:$J$504,REGLER!$I$22&amp;" 2",MATCHER!$K$5:$K$504,"Ja")&gt;0,", "&amp;REGLER!$I$22,"")&amp;IF(COUNTIFS(MATCHER!$B$5:$B$504,A533,MATCHER!$D$5:$D$504,C533,MATCHER!$J$5:$J$504,REGLER!$I$23,MATCHER!$K$5:$K$504,"Ja")+COUNTIFS(MATCHER!$B$5:$B$504,A533,MATCHER!$D$5:$D$504,C533,MATCHER!$J$5:$J$504,REGLER!$I$23&amp;" 2",MATCHER!$K$5:$K$504,"Ja")&gt;0,", "&amp;REGLER!$I$23,"")&amp;IF(COUNTIFS(MATCHER!$B$5:$B$504,A533,MATCHER!$D$5:$D$504,C533,MATCHER!$J$5:$J$504,REGLER!$I$24,MATCHER!$K$5:$K$504,"Ja")+COUNTIFS(MATCHER!$B$5:$B$504,A533,MATCHER!$D$5:$D$504,C533,MATCHER!$J$5:$J$504,REGLER!$I$24&amp;" 2",MATCHER!$K$5:$K$504,"Ja")&gt;0,", "&amp;REGLER!$I$24,"")&amp;IF(COUNTIFS(MATCHER!$B$5:$B$504,A533,MATCHER!$D$5:$D$504,C533,MATCHER!$J$5:$J$504,REGLER!$I$25,MATCHER!$K$5:$K$504,"Ja")+COUNTIFS(MATCHER!$B$5:$B$504,A533,MATCHER!$D$5:$D$504,C533,MATCHER!$J$5:$J$504,REGLER!$I$25&amp;" 2",MATCHER!$K$5:$K$504,"Ja")&gt;0,", "&amp;REGLER!$I$25,"")&amp;IF(COUNTIFS(MATCHER!$B$5:$B$504,A533,MATCHER!$D$5:$D$504,C533,MATCHER!$J$5:$J$504,REGLER!$I$26,MATCHER!$K$5:$K$504,"Ja")+COUNTIFS(MATCHER!$B$5:$B$504,A533,MATCHER!$D$5:$D$504,C533,MATCHER!$J$5:$J$504,REGLER!$I$26&amp;" 2",MATCHER!$K$5:$K$504,"Ja")&gt;0,", "&amp;REGLER!$I$26,""),3,1000)</f>
        <v>F16, P16</v>
      </c>
      <c r="I533" s="46" t="s">
        <v>90</v>
      </c>
      <c r="J533" s="47" t="s">
        <v>100</v>
      </c>
      <c r="K533" s="48" t="s">
        <v>88</v>
      </c>
      <c r="L533" s="49"/>
      <c r="M533" s="50">
        <f>IF(O533&lt;&gt;O532,MAX(1,MIN(AA533,ROUNDUP(SUMPRODUCT(($O$5:$O$546=O533)*($I$5:$I$546="Ja")*($E$5:$E$546-$D$5:$D$546))*24/REGLER!$B$8,0))),"")</f>
        <v>2</v>
      </c>
      <c r="N533" s="50" t="str">
        <f t="shared" si="114"/>
        <v>Klar</v>
      </c>
      <c r="O533" s="15" t="s">
        <v>166</v>
      </c>
      <c r="P533" s="16">
        <v>0.47916666666666702</v>
      </c>
      <c r="Q533" s="16">
        <v>0.625</v>
      </c>
      <c r="R533" s="15" t="str">
        <f>IFERROR(MATCH(1,INDEX((MATCHER!$B$5:$B$504=A533)*(MATCHER!$D$5:$D$504=C533)*(MATCHER!$K$5:$K$504="Ja")*(MATCHER!$C$5:$C$504&lt;E533)*(MATCHER!$M$5:$M$504&gt;D533),0),0),"")</f>
        <v/>
      </c>
      <c r="S533" s="15" t="str">
        <f>IF(R533="","",IFERROR(MATCH(1,INDEX((MATCHER!$B$5:$B$504=A533)*(MATCHER!$D$5:$D$504=C533)*(MATCHER!$K$5:$K$504="Ja")*(MATCHER!$C$5:$C$504&lt;E533)*(MATCHER!$M$5:$M$504&gt;D533)*(ROW(MATCHER!$A$5:$A$504)-ROW(MATCHER!$A$5)+1&gt;R533),0),0),""))</f>
        <v/>
      </c>
      <c r="T533" s="15" t="str">
        <f>IF(S533="","",IFERROR(MATCH(1,INDEX((MATCHER!$B$5:$B$504=A533)*(MATCHER!$D$5:$D$504=C533)*(MATCHER!$K$5:$K$504="Ja")*(MATCHER!$C$5:$C$504&lt;E533)*(MATCHER!$M$5:$M$504&gt;D533)*(ROW(MATCHER!$A$5:$A$504)-ROW(MATCHER!$A$5)+1&gt;S533),0),0),""))</f>
        <v/>
      </c>
      <c r="U533" s="15">
        <f t="shared" si="115"/>
        <v>1</v>
      </c>
      <c r="V533" s="15">
        <f>IF(OR(I533&lt;&gt;"Ja",J533=""),"",COUNTIFS($O$5:O533,O533,$U$5:U533,1))</f>
        <v>1</v>
      </c>
      <c r="W533" s="15" t="str">
        <f t="shared" si="116"/>
        <v>2027-04-17 | Råsta Park|1</v>
      </c>
      <c r="X533" s="16" t="str">
        <f t="shared" si="117"/>
        <v/>
      </c>
      <c r="Y533" s="15">
        <f>IF(OR(I533&lt;&gt;"Ja",J533=""),0,IF(COUNTIFS($O$5:O533,O533,$I$5:I533,"Ja",$J$5:J533,"&lt;&gt;")=1,1,0))</f>
        <v>1</v>
      </c>
      <c r="Z533" s="15">
        <f>IF(OR(I533&lt;&gt;"Ja",J533=""),0,IF(COUNTIFS(O533:$O$546,O533,I533:$I$546,"Ja",J533:$J$546,"&lt;&gt;")=1,1,0))</f>
        <v>0</v>
      </c>
      <c r="AA533" s="15">
        <f>IF(COUNTIFS(MATCHER!$B$5:$B$504,A533,MATCHER!$D$5:$D$504,C533,MATCHER!$J$5:$J$504,REGLER!$I$6,MATCHER!$K$5:$K$504,"Ja")+COUNTIFS(MATCHER!$B$5:$B$504,A533,MATCHER!$D$5:$D$504,C533,MATCHER!$J$5:$J$504,REGLER!$I$6&amp;" 2",MATCHER!$K$5:$K$504,"Ja")&gt;0,1,0)+IF(COUNTIFS(MATCHER!$B$5:$B$504,A533,MATCHER!$D$5:$D$504,C533,MATCHER!$J$5:$J$504,REGLER!$I$7,MATCHER!$K$5:$K$504,"Ja")+COUNTIFS(MATCHER!$B$5:$B$504,A533,MATCHER!$D$5:$D$504,C533,MATCHER!$J$5:$J$504,REGLER!$I$7&amp;" 2",MATCHER!$K$5:$K$504,"Ja")&gt;0,1,0)+IF(COUNTIFS(MATCHER!$B$5:$B$504,A533,MATCHER!$D$5:$D$504,C533,MATCHER!$J$5:$J$504,REGLER!$I$8,MATCHER!$K$5:$K$504,"Ja")+COUNTIFS(MATCHER!$B$5:$B$504,A533,MATCHER!$D$5:$D$504,C533,MATCHER!$J$5:$J$504,REGLER!$I$8&amp;" 2",MATCHER!$K$5:$K$504,"Ja")&gt;0,1,0)+IF(COUNTIFS(MATCHER!$B$5:$B$504,A533,MATCHER!$D$5:$D$504,C533,MATCHER!$J$5:$J$504,REGLER!$I$9,MATCHER!$K$5:$K$504,"Ja")+COUNTIFS(MATCHER!$B$5:$B$504,A533,MATCHER!$D$5:$D$504,C533,MATCHER!$J$5:$J$504,REGLER!$I$9&amp;" 2",MATCHER!$K$5:$K$504,"Ja")&gt;0,1,0)+IF(COUNTIFS(MATCHER!$B$5:$B$504,A533,MATCHER!$D$5:$D$504,C533,MATCHER!$J$5:$J$504,REGLER!$I$10,MATCHER!$K$5:$K$504,"Ja")+COUNTIFS(MATCHER!$B$5:$B$504,A533,MATCHER!$D$5:$D$504,C533,MATCHER!$J$5:$J$504,REGLER!$I$10&amp;" 2",MATCHER!$K$5:$K$504,"Ja")&gt;0,1,0)+IF(COUNTIFS(MATCHER!$B$5:$B$504,A533,MATCHER!$D$5:$D$504,C533,MATCHER!$J$5:$J$504,REGLER!$I$11,MATCHER!$K$5:$K$504,"Ja")+COUNTIFS(MATCHER!$B$5:$B$504,A533,MATCHER!$D$5:$D$504,C533,MATCHER!$J$5:$J$504,REGLER!$I$11&amp;" 2",MATCHER!$K$5:$K$504,"Ja")&gt;0,1,0)+IF(COUNTIFS(MATCHER!$B$5:$B$504,A533,MATCHER!$D$5:$D$504,C533,MATCHER!$J$5:$J$504,REGLER!$I$12,MATCHER!$K$5:$K$504,"Ja")+COUNTIFS(MATCHER!$B$5:$B$504,A533,MATCHER!$D$5:$D$504,C533,MATCHER!$J$5:$J$504,REGLER!$I$12&amp;" 2",MATCHER!$K$5:$K$504,"Ja")&gt;0,1,0)+IF(COUNTIFS(MATCHER!$B$5:$B$504,A533,MATCHER!$D$5:$D$504,C533,MATCHER!$J$5:$J$504,REGLER!$I$13,MATCHER!$K$5:$K$504,"Ja")+COUNTIFS(MATCHER!$B$5:$B$504,A533,MATCHER!$D$5:$D$504,C533,MATCHER!$J$5:$J$504,REGLER!$I$13&amp;" 2",MATCHER!$K$5:$K$504,"Ja")&gt;0,1,0)+IF(COUNTIFS(MATCHER!$B$5:$B$504,A533,MATCHER!$D$5:$D$504,C533,MATCHER!$J$5:$J$504,REGLER!$I$14,MATCHER!$K$5:$K$504,"Ja")+COUNTIFS(MATCHER!$B$5:$B$504,A533,MATCHER!$D$5:$D$504,C533,MATCHER!$J$5:$J$504,REGLER!$I$14&amp;" 2",MATCHER!$K$5:$K$504,"Ja")&gt;0,1,0)+IF(COUNTIFS(MATCHER!$B$5:$B$504,A533,MATCHER!$D$5:$D$504,C533,MATCHER!$J$5:$J$504,REGLER!$I$15,MATCHER!$K$5:$K$504,"Ja")+COUNTIFS(MATCHER!$B$5:$B$504,A533,MATCHER!$D$5:$D$504,C533,MATCHER!$J$5:$J$504,REGLER!$I$15&amp;" 2",MATCHER!$K$5:$K$504,"Ja")&gt;0,1,0)+IF(COUNTIFS(MATCHER!$B$5:$B$504,A533,MATCHER!$D$5:$D$504,C533,MATCHER!$J$5:$J$504,REGLER!$I$16,MATCHER!$K$5:$K$504,"Ja")+COUNTIFS(MATCHER!$B$5:$B$504,A533,MATCHER!$D$5:$D$504,C533,MATCHER!$J$5:$J$504,REGLER!$I$16&amp;" 2",MATCHER!$K$5:$K$504,"Ja")&gt;0,1,0)+IF(COUNTIFS(MATCHER!$B$5:$B$504,A533,MATCHER!$D$5:$D$504,C533,MATCHER!$J$5:$J$504,REGLER!$I$17,MATCHER!$K$5:$K$504,"Ja")+COUNTIFS(MATCHER!$B$5:$B$504,A533,MATCHER!$D$5:$D$504,C533,MATCHER!$J$5:$J$504,REGLER!$I$17&amp;" 2",MATCHER!$K$5:$K$504,"Ja")&gt;0,1,0)+IF(COUNTIFS(MATCHER!$B$5:$B$504,A533,MATCHER!$D$5:$D$504,C533,MATCHER!$J$5:$J$504,REGLER!$I$18,MATCHER!$K$5:$K$504,"Ja")+COUNTIFS(MATCHER!$B$5:$B$504,A533,MATCHER!$D$5:$D$504,C533,MATCHER!$J$5:$J$504,REGLER!$I$18&amp;" 2",MATCHER!$K$5:$K$504,"Ja")&gt;0,1,0)+IF(COUNTIFS(MATCHER!$B$5:$B$504,A533,MATCHER!$D$5:$D$504,C533,MATCHER!$J$5:$J$504,REGLER!$I$19,MATCHER!$K$5:$K$504,"Ja")+COUNTIFS(MATCHER!$B$5:$B$504,A533,MATCHER!$D$5:$D$504,C533,MATCHER!$J$5:$J$504,REGLER!$I$19&amp;" 2",MATCHER!$K$5:$K$504,"Ja")&gt;0,1,0)+IF(COUNTIFS(MATCHER!$B$5:$B$504,A533,MATCHER!$D$5:$D$504,C533,MATCHER!$J$5:$J$504,REGLER!$I$20,MATCHER!$K$5:$K$504,"Ja")+COUNTIFS(MATCHER!$B$5:$B$504,A533,MATCHER!$D$5:$D$504,C533,MATCHER!$J$5:$J$504,REGLER!$I$20&amp;" 2",MATCHER!$K$5:$K$504,"Ja")&gt;0,1,0)+IF(COUNTIFS(MATCHER!$B$5:$B$504,A533,MATCHER!$D$5:$D$504,C533,MATCHER!$J$5:$J$504,REGLER!$I$21,MATCHER!$K$5:$K$504,"Ja")+COUNTIFS(MATCHER!$B$5:$B$504,A533,MATCHER!$D$5:$D$504,C533,MATCHER!$J$5:$J$504,REGLER!$I$21&amp;" 2",MATCHER!$K$5:$K$504,"Ja")&gt;0,1,0)+IF(COUNTIFS(MATCHER!$B$5:$B$504,A533,MATCHER!$D$5:$D$504,C533,MATCHER!$J$5:$J$504,REGLER!$I$22,MATCHER!$K$5:$K$504,"Ja")+COUNTIFS(MATCHER!$B$5:$B$504,A533,MATCHER!$D$5:$D$504,C533,MATCHER!$J$5:$J$504,REGLER!$I$22&amp;" 2",MATCHER!$K$5:$K$504,"Ja")&gt;0,1,0)+IF(COUNTIFS(MATCHER!$B$5:$B$504,A533,MATCHER!$D$5:$D$504,C533,MATCHER!$J$5:$J$504,REGLER!$I$23,MATCHER!$K$5:$K$504,"Ja")+COUNTIFS(MATCHER!$B$5:$B$504,A533,MATCHER!$D$5:$D$504,C533,MATCHER!$J$5:$J$504,REGLER!$I$23&amp;" 2",MATCHER!$K$5:$K$504,"Ja")&gt;0,1,0)+IF(COUNTIFS(MATCHER!$B$5:$B$504,A533,MATCHER!$D$5:$D$504,C533,MATCHER!$J$5:$J$504,REGLER!$I$24,MATCHER!$K$5:$K$504,"Ja")+COUNTIFS(MATCHER!$B$5:$B$504,A533,MATCHER!$D$5:$D$504,C533,MATCHER!$J$5:$J$504,REGLER!$I$24&amp;" 2",MATCHER!$K$5:$K$504,"Ja")&gt;0,1,0)+IF(COUNTIFS(MATCHER!$B$5:$B$504,A533,MATCHER!$D$5:$D$504,C533,MATCHER!$J$5:$J$504,REGLER!$I$25,MATCHER!$K$5:$K$504,"Ja")+COUNTIFS(MATCHER!$B$5:$B$504,A533,MATCHER!$D$5:$D$504,C533,MATCHER!$J$5:$J$504,REGLER!$I$25&amp;" 2",MATCHER!$K$5:$K$504,"Ja")&gt;0,1,0)+IF(COUNTIFS(MATCHER!$B$5:$B$504,A533,MATCHER!$D$5:$D$504,C533,MATCHER!$J$5:$J$504,REGLER!$I$26,MATCHER!$K$5:$K$504,"Ja")+COUNTIFS(MATCHER!$B$5:$B$504,A533,MATCHER!$D$5:$D$504,C533,MATCHER!$J$5:$J$504,REGLER!$I$26&amp;" 2",MATCHER!$K$5:$K$504,"Ja")&gt;0,1,0)</f>
        <v>2</v>
      </c>
      <c r="AB533" s="15">
        <f>IF(U533&lt;&gt;1,"",COUNTIF($U$5:U533,1))</f>
        <v>108</v>
      </c>
      <c r="AC533" s="15" t="str">
        <f t="shared" si="118"/>
        <v/>
      </c>
      <c r="AD533" s="15" t="str">
        <f t="shared" si="119"/>
        <v>Vanligt café</v>
      </c>
      <c r="AE533" s="15">
        <f t="shared" si="120"/>
        <v>3.4999999999999916</v>
      </c>
      <c r="AF533" t="str">
        <f>IF(T533="","",IFERROR(MATCH(1,INDEX((MATCHER!$B$5:$B$504=A533)*(MATCHER!$D$5:$D$504=C533)*(MATCHER!$K$5:$K$504="Ja")*(MATCHER!$C$5:$C$504&lt;E533)*(MATCHER!$M$5:$M$504&gt;D533)*(ROW(MATCHER!$A$5:$A$504)-ROW(MATCHER!$A$5)+1&gt;T533),0),0),""))</f>
        <v/>
      </c>
    </row>
    <row r="534" spans="1:32" ht="13">
      <c r="A534" s="42">
        <v>46494</v>
      </c>
      <c r="B534" s="43" t="s">
        <v>85</v>
      </c>
      <c r="C534" s="43" t="s">
        <v>94</v>
      </c>
      <c r="D534" s="44">
        <v>0.5</v>
      </c>
      <c r="E534" s="44">
        <v>0.52083333333333304</v>
      </c>
      <c r="F534" s="45" t="str">
        <f>IF(R534="","",HOUR(INDEX(MATCHER!$C$5:$C$504,R534))&amp;":"&amp;IF(MINUTE(INDEX(MATCHER!$C$5:$C$504,R534))&lt;10,"0","")&amp;MINUTE(INDEX(MATCHER!$C$5:$C$504,R534))&amp;" "&amp;INDEX(MATCHER!$H$5:$H$504,R534)&amp;" – "&amp;INDEX(MATCHER!$I$5:$I$504,R534))&amp;IF(S534="",""," | "&amp;HOUR(INDEX(MATCHER!$C$5:$C$504,S534))&amp;":"&amp;IF(MINUTE(INDEX(MATCHER!$C$5:$C$504,S534))&lt;10,"0","")&amp;MINUTE(INDEX(MATCHER!$C$5:$C$504,S534))&amp;" "&amp;INDEX(MATCHER!$H$5:$H$504,S534)&amp;" – "&amp;INDEX(MATCHER!$I$5:$I$504,S534))&amp;IF(T534="",""," | "&amp;HOUR(INDEX(MATCHER!$C$5:$C$504,T534))&amp;":"&amp;IF(MINUTE(INDEX(MATCHER!$C$5:$C$504,T534))&lt;10,"0","")&amp;MINUTE(INDEX(MATCHER!$C$5:$C$504,T534))&amp;" "&amp;INDEX(MATCHER!$H$5:$H$504,T534)&amp;" – "&amp;INDEX(MATCHER!$I$5:$I$504,T534))&amp;IF(AF534="",""," | "&amp;HOUR(INDEX(MATCHER!$C$5:$C$504,AF534))&amp;":"&amp;IF(MINUTE(INDEX(MATCHER!$C$5:$C$504,AF534))&lt;10,"0","")&amp;MINUTE(INDEX(MATCHER!$C$5:$C$504,AF534))&amp;" "&amp;INDEX(MATCHER!$H$5:$H$504,AF534)&amp;" – "&amp;INDEX(MATCHER!$I$5:$I$504,AF534))</f>
        <v>12:20 AIK 2 – IK Bolton 4</v>
      </c>
      <c r="G534" s="45" t="str">
        <f>MID(IF(R534="","",IF(OR(INDEX(MATCHER!$J$5:$J$504,R534)=""),""," / "&amp;INDEX(MATCHER!$J$5:$J$504,R534)))&amp;IF(S534="","",IF(OR(INDEX(MATCHER!$J$5:$J$504,S534)="",INDEX(MATCHER!$J$5:$J$504,S534)=IFERROR(INDEX(MATCHER!$J$5:$J$504,R534),"")),""," / "&amp;INDEX(MATCHER!$J$5:$J$504,S534)))&amp;IF(T534="","",IF(OR(INDEX(MATCHER!$J$5:$J$504,T534)="",INDEX(MATCHER!$J$5:$J$504,T534)=IFERROR(INDEX(MATCHER!$J$5:$J$504,R534),""),INDEX(MATCHER!$J$5:$J$504,T534)=IFERROR(INDEX(MATCHER!$J$5:$J$504,S534),"")),""," / "&amp;INDEX(MATCHER!$J$5:$J$504,T534)))&amp;IF(AF534="","",IF(OR(INDEX(MATCHER!$J$5:$J$504,AF534)="",INDEX(MATCHER!$J$5:$J$504,AF534)=IFERROR(INDEX(MATCHER!$J$5:$J$504,R534),""),INDEX(MATCHER!$J$5:$J$504,AF534)=IFERROR(INDEX(MATCHER!$J$5:$J$504,S534),""),INDEX(MATCHER!$J$5:$J$504,AF534)=IFERROR(INDEX(MATCHER!$J$5:$J$504,T534),"")),""," / "&amp;INDEX(MATCHER!$J$5:$J$504,AF534))),4,1000)</f>
        <v>P16 2</v>
      </c>
      <c r="H534" s="45" t="str">
        <f t="shared" ref="H534:H539" si="121">H533</f>
        <v>F16, P16</v>
      </c>
      <c r="I534" s="46" t="s">
        <v>90</v>
      </c>
      <c r="J534" s="47" t="s">
        <v>100</v>
      </c>
      <c r="K534" s="48"/>
      <c r="L534" s="49"/>
      <c r="M534" s="50" t="str">
        <f>IF(O534&lt;&gt;O533,MAX(1,MIN(AA534,ROUNDUP(SUMPRODUCT(($O$5:$O$546=O534)*($I$5:$I$546="Ja")*($E$5:$E$546-$D$5:$D$546))*24/REGLER!$B$8,0))),"")</f>
        <v/>
      </c>
      <c r="N534" s="50" t="str">
        <f t="shared" si="114"/>
        <v>Klar</v>
      </c>
      <c r="O534" s="15" t="s">
        <v>166</v>
      </c>
      <c r="P534" s="16">
        <v>0.47916666666666702</v>
      </c>
      <c r="Q534" s="16">
        <v>0.625</v>
      </c>
      <c r="R534" s="15">
        <f>IFERROR(MATCH(1,INDEX((MATCHER!$B$5:$B$504=A534)*(MATCHER!$D$5:$D$504=C534)*(MATCHER!$K$5:$K$504="Ja")*(MATCHER!$C$5:$C$504&lt;E534)*(MATCHER!$M$5:$M$504&gt;D534),0),0),"")</f>
        <v>190</v>
      </c>
      <c r="S534" s="15" t="str">
        <f>IF(R534="","",IFERROR(MATCH(1,INDEX((MATCHER!$B$5:$B$504=A534)*(MATCHER!$D$5:$D$504=C534)*(MATCHER!$K$5:$K$504="Ja")*(MATCHER!$C$5:$C$504&lt;E534)*(MATCHER!$M$5:$M$504&gt;D534)*(ROW(MATCHER!$A$5:$A$504)-ROW(MATCHER!$A$5)+1&gt;R534),0),0),""))</f>
        <v/>
      </c>
      <c r="T534" s="15" t="str">
        <f>IF(S534="","",IFERROR(MATCH(1,INDEX((MATCHER!$B$5:$B$504=A534)*(MATCHER!$D$5:$D$504=C534)*(MATCHER!$K$5:$K$504="Ja")*(MATCHER!$C$5:$C$504&lt;E534)*(MATCHER!$M$5:$M$504&gt;D534)*(ROW(MATCHER!$A$5:$A$504)-ROW(MATCHER!$A$5)+1&gt;S534),0),0),""))</f>
        <v/>
      </c>
      <c r="U534" s="15">
        <f t="shared" si="115"/>
        <v>0</v>
      </c>
      <c r="V534" s="15">
        <f>IF(OR(I534&lt;&gt;"Ja",J534=""),"",COUNTIFS($O$5:O534,O534,$U$5:U534,1))</f>
        <v>1</v>
      </c>
      <c r="W534" s="15" t="str">
        <f t="shared" si="116"/>
        <v>2027-04-17 | Råsta Park|1</v>
      </c>
      <c r="X534" s="16" t="str">
        <f t="shared" si="117"/>
        <v/>
      </c>
      <c r="Y534" s="15">
        <f>IF(OR(I534&lt;&gt;"Ja",J534=""),0,IF(COUNTIFS($O$5:O534,O534,$I$5:I534,"Ja",$J$5:J534,"&lt;&gt;")=1,1,0))</f>
        <v>0</v>
      </c>
      <c r="Z534" s="15">
        <f>IF(OR(I534&lt;&gt;"Ja",J534=""),0,IF(COUNTIFS(O534:$O$546,O534,I534:$I$546,"Ja",J534:$J$546,"&lt;&gt;")=1,1,0))</f>
        <v>0</v>
      </c>
      <c r="AA534" s="15">
        <f t="shared" ref="AA534:AA539" si="122">AA533</f>
        <v>2</v>
      </c>
      <c r="AB534" s="15" t="str">
        <f>IF(U534&lt;&gt;1,"",COUNTIF($U$5:U534,1))</f>
        <v/>
      </c>
      <c r="AC534" s="15" t="str">
        <f t="shared" si="118"/>
        <v/>
      </c>
      <c r="AD534" s="15" t="str">
        <f t="shared" si="119"/>
        <v>Vanligt café</v>
      </c>
      <c r="AE534" s="15" t="str">
        <f t="shared" si="120"/>
        <v/>
      </c>
      <c r="AF534" t="str">
        <f>IF(T534="","",IFERROR(MATCH(1,INDEX((MATCHER!$B$5:$B$504=A534)*(MATCHER!$D$5:$D$504=C534)*(MATCHER!$K$5:$K$504="Ja")*(MATCHER!$C$5:$C$504&lt;E534)*(MATCHER!$M$5:$M$504&gt;D534)*(ROW(MATCHER!$A$5:$A$504)-ROW(MATCHER!$A$5)+1&gt;T534),0),0),""))</f>
        <v/>
      </c>
    </row>
    <row r="535" spans="1:32" ht="13">
      <c r="A535" s="42">
        <v>46494</v>
      </c>
      <c r="B535" s="43" t="s">
        <v>85</v>
      </c>
      <c r="C535" s="43" t="s">
        <v>94</v>
      </c>
      <c r="D535" s="44">
        <v>0.52083333333333304</v>
      </c>
      <c r="E535" s="44">
        <v>0.54166666666666696</v>
      </c>
      <c r="F535" s="45" t="str">
        <f>IF(R535="","",HOUR(INDEX(MATCHER!$C$5:$C$504,R535))&amp;":"&amp;IF(MINUTE(INDEX(MATCHER!$C$5:$C$504,R535))&lt;10,"0","")&amp;MINUTE(INDEX(MATCHER!$C$5:$C$504,R535))&amp;" "&amp;INDEX(MATCHER!$H$5:$H$504,R535)&amp;" – "&amp;INDEX(MATCHER!$I$5:$I$504,R535))&amp;IF(S535="",""," | "&amp;HOUR(INDEX(MATCHER!$C$5:$C$504,S535))&amp;":"&amp;IF(MINUTE(INDEX(MATCHER!$C$5:$C$504,S535))&lt;10,"0","")&amp;MINUTE(INDEX(MATCHER!$C$5:$C$504,S535))&amp;" "&amp;INDEX(MATCHER!$H$5:$H$504,S535)&amp;" – "&amp;INDEX(MATCHER!$I$5:$I$504,S535))&amp;IF(T535="",""," | "&amp;HOUR(INDEX(MATCHER!$C$5:$C$504,T535))&amp;":"&amp;IF(MINUTE(INDEX(MATCHER!$C$5:$C$504,T535))&lt;10,"0","")&amp;MINUTE(INDEX(MATCHER!$C$5:$C$504,T535))&amp;" "&amp;INDEX(MATCHER!$H$5:$H$504,T535)&amp;" – "&amp;INDEX(MATCHER!$I$5:$I$504,T535))&amp;IF(AF535="",""," | "&amp;HOUR(INDEX(MATCHER!$C$5:$C$504,AF535))&amp;":"&amp;IF(MINUTE(INDEX(MATCHER!$C$5:$C$504,AF535))&lt;10,"0","")&amp;MINUTE(INDEX(MATCHER!$C$5:$C$504,AF535))&amp;" "&amp;INDEX(MATCHER!$H$5:$H$504,AF535)&amp;" – "&amp;INDEX(MATCHER!$I$5:$I$504,AF535))</f>
        <v>12:20 AIK 2 – IK Bolton 4</v>
      </c>
      <c r="G535" s="45" t="str">
        <f>MID(IF(R535="","",IF(OR(INDEX(MATCHER!$J$5:$J$504,R535)=""),""," / "&amp;INDEX(MATCHER!$J$5:$J$504,R535)))&amp;IF(S535="","",IF(OR(INDEX(MATCHER!$J$5:$J$504,S535)="",INDEX(MATCHER!$J$5:$J$504,S535)=IFERROR(INDEX(MATCHER!$J$5:$J$504,R535),"")),""," / "&amp;INDEX(MATCHER!$J$5:$J$504,S535)))&amp;IF(T535="","",IF(OR(INDEX(MATCHER!$J$5:$J$504,T535)="",INDEX(MATCHER!$J$5:$J$504,T535)=IFERROR(INDEX(MATCHER!$J$5:$J$504,R535),""),INDEX(MATCHER!$J$5:$J$504,T535)=IFERROR(INDEX(MATCHER!$J$5:$J$504,S535),"")),""," / "&amp;INDEX(MATCHER!$J$5:$J$504,T535)))&amp;IF(AF535="","",IF(OR(INDEX(MATCHER!$J$5:$J$504,AF535)="",INDEX(MATCHER!$J$5:$J$504,AF535)=IFERROR(INDEX(MATCHER!$J$5:$J$504,R535),""),INDEX(MATCHER!$J$5:$J$504,AF535)=IFERROR(INDEX(MATCHER!$J$5:$J$504,S535),""),INDEX(MATCHER!$J$5:$J$504,AF535)=IFERROR(INDEX(MATCHER!$J$5:$J$504,T535),"")),""," / "&amp;INDEX(MATCHER!$J$5:$J$504,AF535))),4,1000)</f>
        <v>P16 2</v>
      </c>
      <c r="H535" s="45" t="str">
        <f t="shared" si="121"/>
        <v>F16, P16</v>
      </c>
      <c r="I535" s="46" t="s">
        <v>90</v>
      </c>
      <c r="J535" s="47" t="s">
        <v>100</v>
      </c>
      <c r="K535" s="48"/>
      <c r="L535" s="49"/>
      <c r="M535" s="50" t="str">
        <f>IF(O535&lt;&gt;O534,MAX(1,MIN(AA535,ROUNDUP(SUMPRODUCT(($O$5:$O$546=O535)*($I$5:$I$546="Ja")*($E$5:$E$546-$D$5:$D$546))*24/REGLER!$B$8,0))),"")</f>
        <v/>
      </c>
      <c r="N535" s="50" t="str">
        <f t="shared" si="114"/>
        <v>Klar</v>
      </c>
      <c r="O535" s="15" t="s">
        <v>166</v>
      </c>
      <c r="P535" s="16">
        <v>0.47916666666666702</v>
      </c>
      <c r="Q535" s="16">
        <v>0.625</v>
      </c>
      <c r="R535" s="15">
        <f>IFERROR(MATCH(1,INDEX((MATCHER!$B$5:$B$504=A535)*(MATCHER!$D$5:$D$504=C535)*(MATCHER!$K$5:$K$504="Ja")*(MATCHER!$C$5:$C$504&lt;E535)*(MATCHER!$M$5:$M$504&gt;D535),0),0),"")</f>
        <v>190</v>
      </c>
      <c r="S535" s="15" t="str">
        <f>IF(R535="","",IFERROR(MATCH(1,INDEX((MATCHER!$B$5:$B$504=A535)*(MATCHER!$D$5:$D$504=C535)*(MATCHER!$K$5:$K$504="Ja")*(MATCHER!$C$5:$C$504&lt;E535)*(MATCHER!$M$5:$M$504&gt;D535)*(ROW(MATCHER!$A$5:$A$504)-ROW(MATCHER!$A$5)+1&gt;R535),0),0),""))</f>
        <v/>
      </c>
      <c r="T535" s="15" t="str">
        <f>IF(S535="","",IFERROR(MATCH(1,INDEX((MATCHER!$B$5:$B$504=A535)*(MATCHER!$D$5:$D$504=C535)*(MATCHER!$K$5:$K$504="Ja")*(MATCHER!$C$5:$C$504&lt;E535)*(MATCHER!$M$5:$M$504&gt;D535)*(ROW(MATCHER!$A$5:$A$504)-ROW(MATCHER!$A$5)+1&gt;S535),0),0),""))</f>
        <v/>
      </c>
      <c r="U535" s="15">
        <f t="shared" si="115"/>
        <v>0</v>
      </c>
      <c r="V535" s="15">
        <f>IF(OR(I535&lt;&gt;"Ja",J535=""),"",COUNTIFS($O$5:O535,O535,$U$5:U535,1))</f>
        <v>1</v>
      </c>
      <c r="W535" s="15" t="str">
        <f t="shared" si="116"/>
        <v>2027-04-17 | Råsta Park|1</v>
      </c>
      <c r="X535" s="16" t="str">
        <f t="shared" si="117"/>
        <v/>
      </c>
      <c r="Y535" s="15">
        <f>IF(OR(I535&lt;&gt;"Ja",J535=""),0,IF(COUNTIFS($O$5:O535,O535,$I$5:I535,"Ja",$J$5:J535,"&lt;&gt;")=1,1,0))</f>
        <v>0</v>
      </c>
      <c r="Z535" s="15">
        <f>IF(OR(I535&lt;&gt;"Ja",J535=""),0,IF(COUNTIFS(O535:$O$546,O535,I535:$I$546,"Ja",J535:$J$546,"&lt;&gt;")=1,1,0))</f>
        <v>0</v>
      </c>
      <c r="AA535" s="15">
        <f t="shared" si="122"/>
        <v>2</v>
      </c>
      <c r="AB535" s="15" t="str">
        <f>IF(U535&lt;&gt;1,"",COUNTIF($U$5:U535,1))</f>
        <v/>
      </c>
      <c r="AC535" s="15" t="str">
        <f t="shared" si="118"/>
        <v/>
      </c>
      <c r="AD535" s="15" t="str">
        <f t="shared" si="119"/>
        <v>Vanligt café</v>
      </c>
      <c r="AE535" s="15" t="str">
        <f t="shared" si="120"/>
        <v/>
      </c>
      <c r="AF535" t="str">
        <f>IF(T535="","",IFERROR(MATCH(1,INDEX((MATCHER!$B$5:$B$504=A535)*(MATCHER!$D$5:$D$504=C535)*(MATCHER!$K$5:$K$504="Ja")*(MATCHER!$C$5:$C$504&lt;E535)*(MATCHER!$M$5:$M$504&gt;D535)*(ROW(MATCHER!$A$5:$A$504)-ROW(MATCHER!$A$5)+1&gt;T535),0),0),""))</f>
        <v/>
      </c>
    </row>
    <row r="536" spans="1:32" ht="13">
      <c r="A536" s="42">
        <v>46494</v>
      </c>
      <c r="B536" s="43" t="s">
        <v>85</v>
      </c>
      <c r="C536" s="43" t="s">
        <v>94</v>
      </c>
      <c r="D536" s="44">
        <v>0.54166666666666696</v>
      </c>
      <c r="E536" s="44">
        <v>0.5625</v>
      </c>
      <c r="F536" s="45" t="str">
        <f>IF(R536="","",HOUR(INDEX(MATCHER!$C$5:$C$504,R536))&amp;":"&amp;IF(MINUTE(INDEX(MATCHER!$C$5:$C$504,R536))&lt;10,"0","")&amp;MINUTE(INDEX(MATCHER!$C$5:$C$504,R536))&amp;" "&amp;INDEX(MATCHER!$H$5:$H$504,R536)&amp;" – "&amp;INDEX(MATCHER!$I$5:$I$504,R536))&amp;IF(S536="",""," | "&amp;HOUR(INDEX(MATCHER!$C$5:$C$504,S536))&amp;":"&amp;IF(MINUTE(INDEX(MATCHER!$C$5:$C$504,S536))&lt;10,"0","")&amp;MINUTE(INDEX(MATCHER!$C$5:$C$504,S536))&amp;" "&amp;INDEX(MATCHER!$H$5:$H$504,S536)&amp;" – "&amp;INDEX(MATCHER!$I$5:$I$504,S536))&amp;IF(T536="",""," | "&amp;HOUR(INDEX(MATCHER!$C$5:$C$504,T536))&amp;":"&amp;IF(MINUTE(INDEX(MATCHER!$C$5:$C$504,T536))&lt;10,"0","")&amp;MINUTE(INDEX(MATCHER!$C$5:$C$504,T536))&amp;" "&amp;INDEX(MATCHER!$H$5:$H$504,T536)&amp;" – "&amp;INDEX(MATCHER!$I$5:$I$504,T536))&amp;IF(AF536="",""," | "&amp;HOUR(INDEX(MATCHER!$C$5:$C$504,AF536))&amp;":"&amp;IF(MINUTE(INDEX(MATCHER!$C$5:$C$504,AF536))&lt;10,"0","")&amp;MINUTE(INDEX(MATCHER!$C$5:$C$504,AF536))&amp;" "&amp;INDEX(MATCHER!$H$5:$H$504,AF536)&amp;" – "&amp;INDEX(MATCHER!$I$5:$I$504,AF536))</f>
        <v>12:20 AIK 2 – IK Bolton 4</v>
      </c>
      <c r="G536" s="45" t="str">
        <f>MID(IF(R536="","",IF(OR(INDEX(MATCHER!$J$5:$J$504,R536)=""),""," / "&amp;INDEX(MATCHER!$J$5:$J$504,R536)))&amp;IF(S536="","",IF(OR(INDEX(MATCHER!$J$5:$J$504,S536)="",INDEX(MATCHER!$J$5:$J$504,S536)=IFERROR(INDEX(MATCHER!$J$5:$J$504,R536),"")),""," / "&amp;INDEX(MATCHER!$J$5:$J$504,S536)))&amp;IF(T536="","",IF(OR(INDEX(MATCHER!$J$5:$J$504,T536)="",INDEX(MATCHER!$J$5:$J$504,T536)=IFERROR(INDEX(MATCHER!$J$5:$J$504,R536),""),INDEX(MATCHER!$J$5:$J$504,T536)=IFERROR(INDEX(MATCHER!$J$5:$J$504,S536),"")),""," / "&amp;INDEX(MATCHER!$J$5:$J$504,T536)))&amp;IF(AF536="","",IF(OR(INDEX(MATCHER!$J$5:$J$504,AF536)="",INDEX(MATCHER!$J$5:$J$504,AF536)=IFERROR(INDEX(MATCHER!$J$5:$J$504,R536),""),INDEX(MATCHER!$J$5:$J$504,AF536)=IFERROR(INDEX(MATCHER!$J$5:$J$504,S536),""),INDEX(MATCHER!$J$5:$J$504,AF536)=IFERROR(INDEX(MATCHER!$J$5:$J$504,T536),"")),""," / "&amp;INDEX(MATCHER!$J$5:$J$504,AF536))),4,1000)</f>
        <v>P16 2</v>
      </c>
      <c r="H536" s="45" t="str">
        <f t="shared" si="121"/>
        <v>F16, P16</v>
      </c>
      <c r="I536" s="46" t="s">
        <v>90</v>
      </c>
      <c r="J536" s="47" t="s">
        <v>100</v>
      </c>
      <c r="K536" s="48"/>
      <c r="L536" s="49"/>
      <c r="M536" s="50" t="str">
        <f>IF(O536&lt;&gt;O535,MAX(1,MIN(AA536,ROUNDUP(SUMPRODUCT(($O$5:$O$546=O536)*($I$5:$I$546="Ja")*($E$5:$E$546-$D$5:$D$546))*24/REGLER!$B$8,0))),"")</f>
        <v/>
      </c>
      <c r="N536" s="50" t="str">
        <f t="shared" si="114"/>
        <v>Klar</v>
      </c>
      <c r="O536" s="15" t="s">
        <v>166</v>
      </c>
      <c r="P536" s="16">
        <v>0.47916666666666702</v>
      </c>
      <c r="Q536" s="16">
        <v>0.625</v>
      </c>
      <c r="R536" s="15">
        <f>IFERROR(MATCH(1,INDEX((MATCHER!$B$5:$B$504=A536)*(MATCHER!$D$5:$D$504=C536)*(MATCHER!$K$5:$K$504="Ja")*(MATCHER!$C$5:$C$504&lt;E536)*(MATCHER!$M$5:$M$504&gt;D536),0),0),"")</f>
        <v>190</v>
      </c>
      <c r="S536" s="15" t="str">
        <f>IF(R536="","",IFERROR(MATCH(1,INDEX((MATCHER!$B$5:$B$504=A536)*(MATCHER!$D$5:$D$504=C536)*(MATCHER!$K$5:$K$504="Ja")*(MATCHER!$C$5:$C$504&lt;E536)*(MATCHER!$M$5:$M$504&gt;D536)*(ROW(MATCHER!$A$5:$A$504)-ROW(MATCHER!$A$5)+1&gt;R536),0),0),""))</f>
        <v/>
      </c>
      <c r="T536" s="15" t="str">
        <f>IF(S536="","",IFERROR(MATCH(1,INDEX((MATCHER!$B$5:$B$504=A536)*(MATCHER!$D$5:$D$504=C536)*(MATCHER!$K$5:$K$504="Ja")*(MATCHER!$C$5:$C$504&lt;E536)*(MATCHER!$M$5:$M$504&gt;D536)*(ROW(MATCHER!$A$5:$A$504)-ROW(MATCHER!$A$5)+1&gt;S536),0),0),""))</f>
        <v/>
      </c>
      <c r="U536" s="15">
        <f t="shared" si="115"/>
        <v>0</v>
      </c>
      <c r="V536" s="15">
        <f>IF(OR(I536&lt;&gt;"Ja",J536=""),"",COUNTIFS($O$5:O536,O536,$U$5:U536,1))</f>
        <v>1</v>
      </c>
      <c r="W536" s="15" t="str">
        <f t="shared" si="116"/>
        <v>2027-04-17 | Råsta Park|1</v>
      </c>
      <c r="X536" s="16" t="str">
        <f t="shared" si="117"/>
        <v/>
      </c>
      <c r="Y536" s="15">
        <f>IF(OR(I536&lt;&gt;"Ja",J536=""),0,IF(COUNTIFS($O$5:O536,O536,$I$5:I536,"Ja",$J$5:J536,"&lt;&gt;")=1,1,0))</f>
        <v>0</v>
      </c>
      <c r="Z536" s="15">
        <f>IF(OR(I536&lt;&gt;"Ja",J536=""),0,IF(COUNTIFS(O536:$O$546,O536,I536:$I$546,"Ja",J536:$J$546,"&lt;&gt;")=1,1,0))</f>
        <v>0</v>
      </c>
      <c r="AA536" s="15">
        <f t="shared" si="122"/>
        <v>2</v>
      </c>
      <c r="AB536" s="15" t="str">
        <f>IF(U536&lt;&gt;1,"",COUNTIF($U$5:U536,1))</f>
        <v/>
      </c>
      <c r="AC536" s="15" t="str">
        <f t="shared" si="118"/>
        <v/>
      </c>
      <c r="AD536" s="15" t="str">
        <f t="shared" si="119"/>
        <v>Vanligt café</v>
      </c>
      <c r="AE536" s="15" t="str">
        <f t="shared" si="120"/>
        <v/>
      </c>
      <c r="AF536" t="str">
        <f>IF(T536="","",IFERROR(MATCH(1,INDEX((MATCHER!$B$5:$B$504=A536)*(MATCHER!$D$5:$D$504=C536)*(MATCHER!$K$5:$K$504="Ja")*(MATCHER!$C$5:$C$504&lt;E536)*(MATCHER!$M$5:$M$504&gt;D536)*(ROW(MATCHER!$A$5:$A$504)-ROW(MATCHER!$A$5)+1&gt;T536),0),0),""))</f>
        <v/>
      </c>
    </row>
    <row r="537" spans="1:32" ht="13">
      <c r="A537" s="42">
        <v>46494</v>
      </c>
      <c r="B537" s="43" t="s">
        <v>85</v>
      </c>
      <c r="C537" s="43" t="s">
        <v>94</v>
      </c>
      <c r="D537" s="44">
        <v>0.5625</v>
      </c>
      <c r="E537" s="44">
        <v>0.58333333333333304</v>
      </c>
      <c r="F537" s="45" t="str">
        <f>IF(R537="","",HOUR(INDEX(MATCHER!$C$5:$C$504,R537))&amp;":"&amp;IF(MINUTE(INDEX(MATCHER!$C$5:$C$504,R537))&lt;10,"0","")&amp;MINUTE(INDEX(MATCHER!$C$5:$C$504,R537))&amp;" "&amp;INDEX(MATCHER!$H$5:$H$504,R537)&amp;" – "&amp;INDEX(MATCHER!$I$5:$I$504,R537))&amp;IF(S537="",""," | "&amp;HOUR(INDEX(MATCHER!$C$5:$C$504,S537))&amp;":"&amp;IF(MINUTE(INDEX(MATCHER!$C$5:$C$504,S537))&lt;10,"0","")&amp;MINUTE(INDEX(MATCHER!$C$5:$C$504,S537))&amp;" "&amp;INDEX(MATCHER!$H$5:$H$504,S537)&amp;" – "&amp;INDEX(MATCHER!$I$5:$I$504,S537))&amp;IF(T537="",""," | "&amp;HOUR(INDEX(MATCHER!$C$5:$C$504,T537))&amp;":"&amp;IF(MINUTE(INDEX(MATCHER!$C$5:$C$504,T537))&lt;10,"0","")&amp;MINUTE(INDEX(MATCHER!$C$5:$C$504,T537))&amp;" "&amp;INDEX(MATCHER!$H$5:$H$504,T537)&amp;" – "&amp;INDEX(MATCHER!$I$5:$I$504,T537))&amp;IF(AF537="",""," | "&amp;HOUR(INDEX(MATCHER!$C$5:$C$504,AF537))&amp;":"&amp;IF(MINUTE(INDEX(MATCHER!$C$5:$C$504,AF537))&lt;10,"0","")&amp;MINUTE(INDEX(MATCHER!$C$5:$C$504,AF537))&amp;" "&amp;INDEX(MATCHER!$H$5:$H$504,AF537)&amp;" – "&amp;INDEX(MATCHER!$I$5:$I$504,AF537))</f>
        <v>13:40 AIK 2 – Lidingö SK 2</v>
      </c>
      <c r="G537" s="45" t="str">
        <f>MID(IF(R537="","",IF(OR(INDEX(MATCHER!$J$5:$J$504,R537)=""),""," / "&amp;INDEX(MATCHER!$J$5:$J$504,R537)))&amp;IF(S537="","",IF(OR(INDEX(MATCHER!$J$5:$J$504,S537)="",INDEX(MATCHER!$J$5:$J$504,S537)=IFERROR(INDEX(MATCHER!$J$5:$J$504,R537),"")),""," / "&amp;INDEX(MATCHER!$J$5:$J$504,S537)))&amp;IF(T537="","",IF(OR(INDEX(MATCHER!$J$5:$J$504,T537)="",INDEX(MATCHER!$J$5:$J$504,T537)=IFERROR(INDEX(MATCHER!$J$5:$J$504,R537),""),INDEX(MATCHER!$J$5:$J$504,T537)=IFERROR(INDEX(MATCHER!$J$5:$J$504,S537),"")),""," / "&amp;INDEX(MATCHER!$J$5:$J$504,T537)))&amp;IF(AF537="","",IF(OR(INDEX(MATCHER!$J$5:$J$504,AF537)="",INDEX(MATCHER!$J$5:$J$504,AF537)=IFERROR(INDEX(MATCHER!$J$5:$J$504,R537),""),INDEX(MATCHER!$J$5:$J$504,AF537)=IFERROR(INDEX(MATCHER!$J$5:$J$504,S537),""),INDEX(MATCHER!$J$5:$J$504,AF537)=IFERROR(INDEX(MATCHER!$J$5:$J$504,T537),"")),""," / "&amp;INDEX(MATCHER!$J$5:$J$504,AF537))),4,1000)</f>
        <v>F16 2</v>
      </c>
      <c r="H537" s="45" t="str">
        <f t="shared" si="121"/>
        <v>F16, P16</v>
      </c>
      <c r="I537" s="46" t="s">
        <v>90</v>
      </c>
      <c r="J537" s="47" t="s">
        <v>100</v>
      </c>
      <c r="K537" s="48"/>
      <c r="L537" s="49"/>
      <c r="M537" s="50" t="str">
        <f>IF(O537&lt;&gt;O536,MAX(1,MIN(AA537,ROUNDUP(SUMPRODUCT(($O$5:$O$546=O537)*($I$5:$I$546="Ja")*($E$5:$E$546-$D$5:$D$546))*24/REGLER!$B$8,0))),"")</f>
        <v/>
      </c>
      <c r="N537" s="50" t="str">
        <f t="shared" si="114"/>
        <v>Klar</v>
      </c>
      <c r="O537" s="15" t="s">
        <v>166</v>
      </c>
      <c r="P537" s="16">
        <v>0.47916666666666702</v>
      </c>
      <c r="Q537" s="16">
        <v>0.625</v>
      </c>
      <c r="R537" s="15">
        <f>IFERROR(MATCH(1,INDEX((MATCHER!$B$5:$B$504=A537)*(MATCHER!$D$5:$D$504=C537)*(MATCHER!$K$5:$K$504="Ja")*(MATCHER!$C$5:$C$504&lt;E537)*(MATCHER!$M$5:$M$504&gt;D537),0),0),"")</f>
        <v>191</v>
      </c>
      <c r="S537" s="15" t="str">
        <f>IF(R537="","",IFERROR(MATCH(1,INDEX((MATCHER!$B$5:$B$504=A537)*(MATCHER!$D$5:$D$504=C537)*(MATCHER!$K$5:$K$504="Ja")*(MATCHER!$C$5:$C$504&lt;E537)*(MATCHER!$M$5:$M$504&gt;D537)*(ROW(MATCHER!$A$5:$A$504)-ROW(MATCHER!$A$5)+1&gt;R537),0),0),""))</f>
        <v/>
      </c>
      <c r="T537" s="15" t="str">
        <f>IF(S537="","",IFERROR(MATCH(1,INDEX((MATCHER!$B$5:$B$504=A537)*(MATCHER!$D$5:$D$504=C537)*(MATCHER!$K$5:$K$504="Ja")*(MATCHER!$C$5:$C$504&lt;E537)*(MATCHER!$M$5:$M$504&gt;D537)*(ROW(MATCHER!$A$5:$A$504)-ROW(MATCHER!$A$5)+1&gt;S537),0),0),""))</f>
        <v/>
      </c>
      <c r="U537" s="15">
        <f t="shared" si="115"/>
        <v>0</v>
      </c>
      <c r="V537" s="15">
        <f>IF(OR(I537&lt;&gt;"Ja",J537=""),"",COUNTIFS($O$5:O537,O537,$U$5:U537,1))</f>
        <v>1</v>
      </c>
      <c r="W537" s="15" t="str">
        <f t="shared" si="116"/>
        <v>2027-04-17 | Råsta Park|1</v>
      </c>
      <c r="X537" s="16" t="str">
        <f t="shared" si="117"/>
        <v/>
      </c>
      <c r="Y537" s="15">
        <f>IF(OR(I537&lt;&gt;"Ja",J537=""),0,IF(COUNTIFS($O$5:O537,O537,$I$5:I537,"Ja",$J$5:J537,"&lt;&gt;")=1,1,0))</f>
        <v>0</v>
      </c>
      <c r="Z537" s="15">
        <f>IF(OR(I537&lt;&gt;"Ja",J537=""),0,IF(COUNTIFS(O537:$O$546,O537,I537:$I$546,"Ja",J537:$J$546,"&lt;&gt;")=1,1,0))</f>
        <v>0</v>
      </c>
      <c r="AA537" s="15">
        <f t="shared" si="122"/>
        <v>2</v>
      </c>
      <c r="AB537" s="15" t="str">
        <f>IF(U537&lt;&gt;1,"",COUNTIF($U$5:U537,1))</f>
        <v/>
      </c>
      <c r="AC537" s="15" t="str">
        <f t="shared" si="118"/>
        <v/>
      </c>
      <c r="AD537" s="15" t="str">
        <f t="shared" si="119"/>
        <v>Vanligt café</v>
      </c>
      <c r="AE537" s="15" t="str">
        <f t="shared" si="120"/>
        <v/>
      </c>
      <c r="AF537" t="str">
        <f>IF(T537="","",IFERROR(MATCH(1,INDEX((MATCHER!$B$5:$B$504=A537)*(MATCHER!$D$5:$D$504=C537)*(MATCHER!$K$5:$K$504="Ja")*(MATCHER!$C$5:$C$504&lt;E537)*(MATCHER!$M$5:$M$504&gt;D537)*(ROW(MATCHER!$A$5:$A$504)-ROW(MATCHER!$A$5)+1&gt;T537),0),0),""))</f>
        <v/>
      </c>
    </row>
    <row r="538" spans="1:32" ht="13">
      <c r="A538" s="42">
        <v>46494</v>
      </c>
      <c r="B538" s="43" t="s">
        <v>85</v>
      </c>
      <c r="C538" s="43" t="s">
        <v>94</v>
      </c>
      <c r="D538" s="44">
        <v>0.58333333333333304</v>
      </c>
      <c r="E538" s="44">
        <v>0.60416666666666696</v>
      </c>
      <c r="F538" s="45" t="str">
        <f>IF(R538="","",HOUR(INDEX(MATCHER!$C$5:$C$504,R538))&amp;":"&amp;IF(MINUTE(INDEX(MATCHER!$C$5:$C$504,R538))&lt;10,"0","")&amp;MINUTE(INDEX(MATCHER!$C$5:$C$504,R538))&amp;" "&amp;INDEX(MATCHER!$H$5:$H$504,R538)&amp;" – "&amp;INDEX(MATCHER!$I$5:$I$504,R538))&amp;IF(S538="",""," | "&amp;HOUR(INDEX(MATCHER!$C$5:$C$504,S538))&amp;":"&amp;IF(MINUTE(INDEX(MATCHER!$C$5:$C$504,S538))&lt;10,"0","")&amp;MINUTE(INDEX(MATCHER!$C$5:$C$504,S538))&amp;" "&amp;INDEX(MATCHER!$H$5:$H$504,S538)&amp;" – "&amp;INDEX(MATCHER!$I$5:$I$504,S538))&amp;IF(T538="",""," | "&amp;HOUR(INDEX(MATCHER!$C$5:$C$504,T538))&amp;":"&amp;IF(MINUTE(INDEX(MATCHER!$C$5:$C$504,T538))&lt;10,"0","")&amp;MINUTE(INDEX(MATCHER!$C$5:$C$504,T538))&amp;" "&amp;INDEX(MATCHER!$H$5:$H$504,T538)&amp;" – "&amp;INDEX(MATCHER!$I$5:$I$504,T538))&amp;IF(AF538="",""," | "&amp;HOUR(INDEX(MATCHER!$C$5:$C$504,AF538))&amp;":"&amp;IF(MINUTE(INDEX(MATCHER!$C$5:$C$504,AF538))&lt;10,"0","")&amp;MINUTE(INDEX(MATCHER!$C$5:$C$504,AF538))&amp;" "&amp;INDEX(MATCHER!$H$5:$H$504,AF538)&amp;" – "&amp;INDEX(MATCHER!$I$5:$I$504,AF538))</f>
        <v>13:40 AIK 2 – Lidingö SK 2</v>
      </c>
      <c r="G538" s="45" t="str">
        <f>MID(IF(R538="","",IF(OR(INDEX(MATCHER!$J$5:$J$504,R538)=""),""," / "&amp;INDEX(MATCHER!$J$5:$J$504,R538)))&amp;IF(S538="","",IF(OR(INDEX(MATCHER!$J$5:$J$504,S538)="",INDEX(MATCHER!$J$5:$J$504,S538)=IFERROR(INDEX(MATCHER!$J$5:$J$504,R538),"")),""," / "&amp;INDEX(MATCHER!$J$5:$J$504,S538)))&amp;IF(T538="","",IF(OR(INDEX(MATCHER!$J$5:$J$504,T538)="",INDEX(MATCHER!$J$5:$J$504,T538)=IFERROR(INDEX(MATCHER!$J$5:$J$504,R538),""),INDEX(MATCHER!$J$5:$J$504,T538)=IFERROR(INDEX(MATCHER!$J$5:$J$504,S538),"")),""," / "&amp;INDEX(MATCHER!$J$5:$J$504,T538)))&amp;IF(AF538="","",IF(OR(INDEX(MATCHER!$J$5:$J$504,AF538)="",INDEX(MATCHER!$J$5:$J$504,AF538)=IFERROR(INDEX(MATCHER!$J$5:$J$504,R538),""),INDEX(MATCHER!$J$5:$J$504,AF538)=IFERROR(INDEX(MATCHER!$J$5:$J$504,S538),""),INDEX(MATCHER!$J$5:$J$504,AF538)=IFERROR(INDEX(MATCHER!$J$5:$J$504,T538),"")),""," / "&amp;INDEX(MATCHER!$J$5:$J$504,AF538))),4,1000)</f>
        <v>F16 2</v>
      </c>
      <c r="H538" s="45" t="str">
        <f t="shared" si="121"/>
        <v>F16, P16</v>
      </c>
      <c r="I538" s="46" t="s">
        <v>90</v>
      </c>
      <c r="J538" s="47" t="s">
        <v>100</v>
      </c>
      <c r="K538" s="48"/>
      <c r="L538" s="49"/>
      <c r="M538" s="50" t="str">
        <f>IF(O538&lt;&gt;O537,MAX(1,MIN(AA538,ROUNDUP(SUMPRODUCT(($O$5:$O$546=O538)*($I$5:$I$546="Ja")*($E$5:$E$546-$D$5:$D$546))*24/REGLER!$B$8,0))),"")</f>
        <v/>
      </c>
      <c r="N538" s="50" t="str">
        <f t="shared" si="114"/>
        <v>Klar</v>
      </c>
      <c r="O538" s="15" t="s">
        <v>166</v>
      </c>
      <c r="P538" s="16">
        <v>0.47916666666666702</v>
      </c>
      <c r="Q538" s="16">
        <v>0.625</v>
      </c>
      <c r="R538" s="15">
        <f>IFERROR(MATCH(1,INDEX((MATCHER!$B$5:$B$504=A538)*(MATCHER!$D$5:$D$504=C538)*(MATCHER!$K$5:$K$504="Ja")*(MATCHER!$C$5:$C$504&lt;E538)*(MATCHER!$M$5:$M$504&gt;D538),0),0),"")</f>
        <v>191</v>
      </c>
      <c r="S538" s="15" t="str">
        <f>IF(R538="","",IFERROR(MATCH(1,INDEX((MATCHER!$B$5:$B$504=A538)*(MATCHER!$D$5:$D$504=C538)*(MATCHER!$K$5:$K$504="Ja")*(MATCHER!$C$5:$C$504&lt;E538)*(MATCHER!$M$5:$M$504&gt;D538)*(ROW(MATCHER!$A$5:$A$504)-ROW(MATCHER!$A$5)+1&gt;R538),0),0),""))</f>
        <v/>
      </c>
      <c r="T538" s="15" t="str">
        <f>IF(S538="","",IFERROR(MATCH(1,INDEX((MATCHER!$B$5:$B$504=A538)*(MATCHER!$D$5:$D$504=C538)*(MATCHER!$K$5:$K$504="Ja")*(MATCHER!$C$5:$C$504&lt;E538)*(MATCHER!$M$5:$M$504&gt;D538)*(ROW(MATCHER!$A$5:$A$504)-ROW(MATCHER!$A$5)+1&gt;S538),0),0),""))</f>
        <v/>
      </c>
      <c r="U538" s="15">
        <f t="shared" si="115"/>
        <v>0</v>
      </c>
      <c r="V538" s="15">
        <f>IF(OR(I538&lt;&gt;"Ja",J538=""),"",COUNTIFS($O$5:O538,O538,$U$5:U538,1))</f>
        <v>1</v>
      </c>
      <c r="W538" s="15" t="str">
        <f t="shared" si="116"/>
        <v>2027-04-17 | Råsta Park|1</v>
      </c>
      <c r="X538" s="16" t="str">
        <f t="shared" si="117"/>
        <v/>
      </c>
      <c r="Y538" s="15">
        <f>IF(OR(I538&lt;&gt;"Ja",J538=""),0,IF(COUNTIFS($O$5:O538,O538,$I$5:I538,"Ja",$J$5:J538,"&lt;&gt;")=1,1,0))</f>
        <v>0</v>
      </c>
      <c r="Z538" s="15">
        <f>IF(OR(I538&lt;&gt;"Ja",J538=""),0,IF(COUNTIFS(O538:$O$546,O538,I538:$I$546,"Ja",J538:$J$546,"&lt;&gt;")=1,1,0))</f>
        <v>0</v>
      </c>
      <c r="AA538" s="15">
        <f t="shared" si="122"/>
        <v>2</v>
      </c>
      <c r="AB538" s="15" t="str">
        <f>IF(U538&lt;&gt;1,"",COUNTIF($U$5:U538,1))</f>
        <v/>
      </c>
      <c r="AC538" s="15" t="str">
        <f t="shared" si="118"/>
        <v/>
      </c>
      <c r="AD538" s="15" t="str">
        <f t="shared" si="119"/>
        <v>Vanligt café</v>
      </c>
      <c r="AE538" s="15" t="str">
        <f t="shared" si="120"/>
        <v/>
      </c>
      <c r="AF538" t="str">
        <f>IF(T538="","",IFERROR(MATCH(1,INDEX((MATCHER!$B$5:$B$504=A538)*(MATCHER!$D$5:$D$504=C538)*(MATCHER!$K$5:$K$504="Ja")*(MATCHER!$C$5:$C$504&lt;E538)*(MATCHER!$M$5:$M$504&gt;D538)*(ROW(MATCHER!$A$5:$A$504)-ROW(MATCHER!$A$5)+1&gt;T538),0),0),""))</f>
        <v/>
      </c>
    </row>
    <row r="539" spans="1:32" s="136" customFormat="1" ht="13.5" thickBot="1">
      <c r="A539" s="148">
        <v>46494</v>
      </c>
      <c r="B539" s="149" t="s">
        <v>85</v>
      </c>
      <c r="C539" s="149" t="s">
        <v>94</v>
      </c>
      <c r="D539" s="150">
        <v>0.60416666666666696</v>
      </c>
      <c r="E539" s="150">
        <v>0.625</v>
      </c>
      <c r="F539" s="151" t="str">
        <f>IF(R539="","",HOUR(INDEX(MATCHER!$C$5:$C$504,R539))&amp;":"&amp;IF(MINUTE(INDEX(MATCHER!$C$5:$C$504,R539))&lt;10,"0","")&amp;MINUTE(INDEX(MATCHER!$C$5:$C$504,R539))&amp;" "&amp;INDEX(MATCHER!$H$5:$H$504,R539)&amp;" – "&amp;INDEX(MATCHER!$I$5:$I$504,R539))&amp;IF(S539="",""," | "&amp;HOUR(INDEX(MATCHER!$C$5:$C$504,S539))&amp;":"&amp;IF(MINUTE(INDEX(MATCHER!$C$5:$C$504,S539))&lt;10,"0","")&amp;MINUTE(INDEX(MATCHER!$C$5:$C$504,S539))&amp;" "&amp;INDEX(MATCHER!$H$5:$H$504,S539)&amp;" – "&amp;INDEX(MATCHER!$I$5:$I$504,S539))&amp;IF(T539="",""," | "&amp;HOUR(INDEX(MATCHER!$C$5:$C$504,T539))&amp;":"&amp;IF(MINUTE(INDEX(MATCHER!$C$5:$C$504,T539))&lt;10,"0","")&amp;MINUTE(INDEX(MATCHER!$C$5:$C$504,T539))&amp;" "&amp;INDEX(MATCHER!$H$5:$H$504,T539)&amp;" – "&amp;INDEX(MATCHER!$I$5:$I$504,T539))&amp;IF(AF539="",""," | "&amp;HOUR(INDEX(MATCHER!$C$5:$C$504,AF539))&amp;":"&amp;IF(MINUTE(INDEX(MATCHER!$C$5:$C$504,AF539))&lt;10,"0","")&amp;MINUTE(INDEX(MATCHER!$C$5:$C$504,AF539))&amp;" "&amp;INDEX(MATCHER!$H$5:$H$504,AF539)&amp;" – "&amp;INDEX(MATCHER!$I$5:$I$504,AF539))</f>
        <v>13:40 AIK 2 – Lidingö SK 2</v>
      </c>
      <c r="G539" s="151" t="str">
        <f>MID(IF(R539="","",IF(OR(INDEX(MATCHER!$J$5:$J$504,R539)=""),""," / "&amp;INDEX(MATCHER!$J$5:$J$504,R539)))&amp;IF(S539="","",IF(OR(INDEX(MATCHER!$J$5:$J$504,S539)="",INDEX(MATCHER!$J$5:$J$504,S539)=IFERROR(INDEX(MATCHER!$J$5:$J$504,R539),"")),""," / "&amp;INDEX(MATCHER!$J$5:$J$504,S539)))&amp;IF(T539="","",IF(OR(INDEX(MATCHER!$J$5:$J$504,T539)="",INDEX(MATCHER!$J$5:$J$504,T539)=IFERROR(INDEX(MATCHER!$J$5:$J$504,R539),""),INDEX(MATCHER!$J$5:$J$504,T539)=IFERROR(INDEX(MATCHER!$J$5:$J$504,S539),"")),""," / "&amp;INDEX(MATCHER!$J$5:$J$504,T539)))&amp;IF(AF539="","",IF(OR(INDEX(MATCHER!$J$5:$J$504,AF539)="",INDEX(MATCHER!$J$5:$J$504,AF539)=IFERROR(INDEX(MATCHER!$J$5:$J$504,R539),""),INDEX(MATCHER!$J$5:$J$504,AF539)=IFERROR(INDEX(MATCHER!$J$5:$J$504,S539),""),INDEX(MATCHER!$J$5:$J$504,AF539)=IFERROR(INDEX(MATCHER!$J$5:$J$504,T539),"")),""," / "&amp;INDEX(MATCHER!$J$5:$J$504,AF539))),4,1000)</f>
        <v>F16 2</v>
      </c>
      <c r="H539" s="151" t="str">
        <f t="shared" si="121"/>
        <v>F16, P16</v>
      </c>
      <c r="I539" s="152" t="s">
        <v>90</v>
      </c>
      <c r="J539" s="153" t="s">
        <v>100</v>
      </c>
      <c r="K539" s="154"/>
      <c r="L539" s="155"/>
      <c r="M539" s="156" t="str">
        <f>IF(O539&lt;&gt;O538,MAX(1,MIN(AA539,ROUNDUP(SUMPRODUCT(($O$5:$O$546=O539)*($I$5:$I$546="Ja")*($E$5:$E$546-$D$5:$D$546))*24/REGLER!$B$8,0))),"")</f>
        <v/>
      </c>
      <c r="N539" s="156" t="str">
        <f t="shared" si="114"/>
        <v>Klar</v>
      </c>
      <c r="O539" s="137" t="s">
        <v>166</v>
      </c>
      <c r="P539" s="16">
        <v>0.47916666666666702</v>
      </c>
      <c r="Q539" s="16">
        <v>0.625</v>
      </c>
      <c r="R539" s="137">
        <f>IFERROR(MATCH(1,INDEX((MATCHER!$B$5:$B$504=A539)*(MATCHER!$D$5:$D$504=C539)*(MATCHER!$K$5:$K$504="Ja")*(MATCHER!$C$5:$C$504&lt;E539)*(MATCHER!$M$5:$M$504&gt;D539),0),0),"")</f>
        <v>191</v>
      </c>
      <c r="S539" s="137" t="str">
        <f>IF(R539="","",IFERROR(MATCH(1,INDEX((MATCHER!$B$5:$B$504=A539)*(MATCHER!$D$5:$D$504=C539)*(MATCHER!$K$5:$K$504="Ja")*(MATCHER!$C$5:$C$504&lt;E539)*(MATCHER!$M$5:$M$504&gt;D539)*(ROW(MATCHER!$A$5:$A$504)-ROW(MATCHER!$A$5)+1&gt;R539),0),0),""))</f>
        <v/>
      </c>
      <c r="T539" s="137" t="str">
        <f>IF(S539="","",IFERROR(MATCH(1,INDEX((MATCHER!$B$5:$B$504=A539)*(MATCHER!$D$5:$D$504=C539)*(MATCHER!$K$5:$K$504="Ja")*(MATCHER!$C$5:$C$504&lt;E539)*(MATCHER!$M$5:$M$504&gt;D539)*(ROW(MATCHER!$A$5:$A$504)-ROW(MATCHER!$A$5)+1&gt;S539),0),0),""))</f>
        <v/>
      </c>
      <c r="U539" s="137">
        <f t="shared" si="115"/>
        <v>0</v>
      </c>
      <c r="V539" s="137">
        <f>IF(OR(I539&lt;&gt;"Ja",J539=""),"",COUNTIFS($O$5:O539,O539,$U$5:U539,1))</f>
        <v>1</v>
      </c>
      <c r="W539" s="137" t="str">
        <f t="shared" si="116"/>
        <v>2027-04-17 | Råsta Park|1</v>
      </c>
      <c r="X539" s="16">
        <f t="shared" si="117"/>
        <v>0.625</v>
      </c>
      <c r="Y539" s="137">
        <f>IF(OR(I539&lt;&gt;"Ja",J539=""),0,IF(COUNTIFS($O$5:O539,O539,$I$5:I539,"Ja",$J$5:J539,"&lt;&gt;")=1,1,0))</f>
        <v>0</v>
      </c>
      <c r="Z539" s="137">
        <f>IF(OR(I539&lt;&gt;"Ja",J539=""),0,IF(COUNTIFS(O539:$O$546,O539,I539:$I$546,"Ja",J539:$J$546,"&lt;&gt;")=1,1,0))</f>
        <v>1</v>
      </c>
      <c r="AA539" s="137">
        <f t="shared" si="122"/>
        <v>2</v>
      </c>
      <c r="AB539" s="137" t="str">
        <f>IF(U539&lt;&gt;1,"",COUNTIF($U$5:U539,1))</f>
        <v/>
      </c>
      <c r="AC539" s="137" t="str">
        <f t="shared" si="118"/>
        <v>2027-04-17 | Råsta Park|1</v>
      </c>
      <c r="AD539" s="137" t="str">
        <f t="shared" si="119"/>
        <v>Vanligt café</v>
      </c>
      <c r="AE539" s="137" t="str">
        <f t="shared" si="120"/>
        <v/>
      </c>
      <c r="AF539" s="136" t="str">
        <f>IF(T539="","",IFERROR(MATCH(1,INDEX((MATCHER!$B$5:$B$504=A539)*(MATCHER!$D$5:$D$504=C539)*(MATCHER!$K$5:$K$504="Ja")*(MATCHER!$C$5:$C$504&lt;E539)*(MATCHER!$M$5:$M$504&gt;D539)*(ROW(MATCHER!$A$5:$A$504)-ROW(MATCHER!$A$5)+1&gt;T539),0),0),""))</f>
        <v/>
      </c>
    </row>
    <row r="540" spans="1:32" s="136" customFormat="1" ht="26">
      <c r="A540" s="139">
        <v>46494</v>
      </c>
      <c r="B540" s="140" t="s">
        <v>85</v>
      </c>
      <c r="C540" s="140" t="s">
        <v>110</v>
      </c>
      <c r="D540" s="141">
        <v>0.39583333333333298</v>
      </c>
      <c r="E540" s="141">
        <v>0.41666666666666702</v>
      </c>
      <c r="F540" s="142" t="str">
        <f>IF(R540="","",HOUR(INDEX(MATCHER!$C$5:$C$504,R540))&amp;":"&amp;IF(MINUTE(INDEX(MATCHER!$C$5:$C$504,R540))&lt;10,"0","")&amp;MINUTE(INDEX(MATCHER!$C$5:$C$504,R540))&amp;" "&amp;INDEX(MATCHER!$H$5:$H$504,R540)&amp;" – "&amp;INDEX(MATCHER!$I$5:$I$504,R540))&amp;IF(S540="",""," | "&amp;HOUR(INDEX(MATCHER!$C$5:$C$504,S540))&amp;":"&amp;IF(MINUTE(INDEX(MATCHER!$C$5:$C$504,S540))&lt;10,"0","")&amp;MINUTE(INDEX(MATCHER!$C$5:$C$504,S540))&amp;" "&amp;INDEX(MATCHER!$H$5:$H$504,S540)&amp;" – "&amp;INDEX(MATCHER!$I$5:$I$504,S540))&amp;IF(T540="",""," | "&amp;HOUR(INDEX(MATCHER!$C$5:$C$504,T540))&amp;":"&amp;IF(MINUTE(INDEX(MATCHER!$C$5:$C$504,T540))&lt;10,"0","")&amp;MINUTE(INDEX(MATCHER!$C$5:$C$504,T540))&amp;" "&amp;INDEX(MATCHER!$H$5:$H$504,T540)&amp;" – "&amp;INDEX(MATCHER!$I$5:$I$504,T540))&amp;IF(AF540="",""," | "&amp;HOUR(INDEX(MATCHER!$C$5:$C$504,AF540))&amp;":"&amp;IF(MINUTE(INDEX(MATCHER!$C$5:$C$504,AF540))&lt;10,"0","")&amp;MINUTE(INDEX(MATCHER!$C$5:$C$504,AF540))&amp;" "&amp;INDEX(MATCHER!$H$5:$H$504,AF540)&amp;" – "&amp;INDEX(MATCHER!$I$5:$I$504,AF540))</f>
        <v/>
      </c>
      <c r="G540" s="142" t="str">
        <f>MID(IF(R540="","",IF(OR(INDEX(MATCHER!$J$5:$J$504,R540)=""),""," / "&amp;INDEX(MATCHER!$J$5:$J$504,R540)))&amp;IF(S540="","",IF(OR(INDEX(MATCHER!$J$5:$J$504,S540)="",INDEX(MATCHER!$J$5:$J$504,S540)=IFERROR(INDEX(MATCHER!$J$5:$J$504,R540),"")),""," / "&amp;INDEX(MATCHER!$J$5:$J$504,S540)))&amp;IF(T540="","",IF(OR(INDEX(MATCHER!$J$5:$J$504,T540)="",INDEX(MATCHER!$J$5:$J$504,T540)=IFERROR(INDEX(MATCHER!$J$5:$J$504,R540),""),INDEX(MATCHER!$J$5:$J$504,T540)=IFERROR(INDEX(MATCHER!$J$5:$J$504,S540),"")),""," / "&amp;INDEX(MATCHER!$J$5:$J$504,T540)))&amp;IF(AF540="","",IF(OR(INDEX(MATCHER!$J$5:$J$504,AF540)="",INDEX(MATCHER!$J$5:$J$504,AF540)=IFERROR(INDEX(MATCHER!$J$5:$J$504,R540),""),INDEX(MATCHER!$J$5:$J$504,AF540)=IFERROR(INDEX(MATCHER!$J$5:$J$504,S540),""),INDEX(MATCHER!$J$5:$J$504,AF540)=IFERROR(INDEX(MATCHER!$J$5:$J$504,T540),"")),""," / "&amp;INDEX(MATCHER!$J$5:$J$504,AF540))),4,1000)</f>
        <v/>
      </c>
      <c r="H540" s="142" t="str">
        <f>MID(IF(COUNTIFS(MATCHER!$B$5:$B$504,A540,MATCHER!$D$5:$D$504,C540,MATCHER!$J$5:$J$504,REGLER!$I$6,MATCHER!$K$5:$K$504,"Ja")+COUNTIFS(MATCHER!$B$5:$B$504,A540,MATCHER!$D$5:$D$504,C540,MATCHER!$J$5:$J$504,REGLER!$I$6&amp;" 2",MATCHER!$K$5:$K$504,"Ja")&gt;0,", "&amp;REGLER!$I$6,"")&amp;IF(COUNTIFS(MATCHER!$B$5:$B$504,A540,MATCHER!$D$5:$D$504,C540,MATCHER!$J$5:$J$504,REGLER!$I$7,MATCHER!$K$5:$K$504,"Ja")+COUNTIFS(MATCHER!$B$5:$B$504,A540,MATCHER!$D$5:$D$504,C540,MATCHER!$J$5:$J$504,REGLER!$I$7&amp;" 2",MATCHER!$K$5:$K$504,"Ja")&gt;0,", "&amp;REGLER!$I$7,"")&amp;IF(COUNTIFS(MATCHER!$B$5:$B$504,A540,MATCHER!$D$5:$D$504,C540,MATCHER!$J$5:$J$504,REGLER!$I$8,MATCHER!$K$5:$K$504,"Ja")+COUNTIFS(MATCHER!$B$5:$B$504,A540,MATCHER!$D$5:$D$504,C540,MATCHER!$J$5:$J$504,REGLER!$I$8&amp;" 2",MATCHER!$K$5:$K$504,"Ja")&gt;0,", "&amp;REGLER!$I$8,"")&amp;IF(COUNTIFS(MATCHER!$B$5:$B$504,A540,MATCHER!$D$5:$D$504,C540,MATCHER!$J$5:$J$504,REGLER!$I$9,MATCHER!$K$5:$K$504,"Ja")+COUNTIFS(MATCHER!$B$5:$B$504,A540,MATCHER!$D$5:$D$504,C540,MATCHER!$J$5:$J$504,REGLER!$I$9&amp;" 2",MATCHER!$K$5:$K$504,"Ja")&gt;0,", "&amp;REGLER!$I$9,"")&amp;IF(COUNTIFS(MATCHER!$B$5:$B$504,A540,MATCHER!$D$5:$D$504,C540,MATCHER!$J$5:$J$504,REGLER!$I$10,MATCHER!$K$5:$K$504,"Ja")+COUNTIFS(MATCHER!$B$5:$B$504,A540,MATCHER!$D$5:$D$504,C540,MATCHER!$J$5:$J$504,REGLER!$I$10&amp;" 2",MATCHER!$K$5:$K$504,"Ja")&gt;0,", "&amp;REGLER!$I$10,"")&amp;IF(COUNTIFS(MATCHER!$B$5:$B$504,A540,MATCHER!$D$5:$D$504,C540,MATCHER!$J$5:$J$504,REGLER!$I$11,MATCHER!$K$5:$K$504,"Ja")+COUNTIFS(MATCHER!$B$5:$B$504,A540,MATCHER!$D$5:$D$504,C540,MATCHER!$J$5:$J$504,REGLER!$I$11&amp;" 2",MATCHER!$K$5:$K$504,"Ja")&gt;0,", "&amp;REGLER!$I$11,"")&amp;IF(COUNTIFS(MATCHER!$B$5:$B$504,A540,MATCHER!$D$5:$D$504,C540,MATCHER!$J$5:$J$504,REGLER!$I$12,MATCHER!$K$5:$K$504,"Ja")+COUNTIFS(MATCHER!$B$5:$B$504,A540,MATCHER!$D$5:$D$504,C540,MATCHER!$J$5:$J$504,REGLER!$I$12&amp;" 2",MATCHER!$K$5:$K$504,"Ja")&gt;0,", "&amp;REGLER!$I$12,"")&amp;IF(COUNTIFS(MATCHER!$B$5:$B$504,A540,MATCHER!$D$5:$D$504,C540,MATCHER!$J$5:$J$504,REGLER!$I$13,MATCHER!$K$5:$K$504,"Ja")+COUNTIFS(MATCHER!$B$5:$B$504,A540,MATCHER!$D$5:$D$504,C540,MATCHER!$J$5:$J$504,REGLER!$I$13&amp;" 2",MATCHER!$K$5:$K$504,"Ja")&gt;0,", "&amp;REGLER!$I$13,"")&amp;IF(COUNTIFS(MATCHER!$B$5:$B$504,A540,MATCHER!$D$5:$D$504,C540,MATCHER!$J$5:$J$504,REGLER!$I$14,MATCHER!$K$5:$K$504,"Ja")+COUNTIFS(MATCHER!$B$5:$B$504,A540,MATCHER!$D$5:$D$504,C540,MATCHER!$J$5:$J$504,REGLER!$I$14&amp;" 2",MATCHER!$K$5:$K$504,"Ja")&gt;0,", "&amp;REGLER!$I$14,"")&amp;IF(COUNTIFS(MATCHER!$B$5:$B$504,A540,MATCHER!$D$5:$D$504,C540,MATCHER!$J$5:$J$504,REGLER!$I$15,MATCHER!$K$5:$K$504,"Ja")+COUNTIFS(MATCHER!$B$5:$B$504,A540,MATCHER!$D$5:$D$504,C540,MATCHER!$J$5:$J$504,REGLER!$I$15&amp;" 2",MATCHER!$K$5:$K$504,"Ja")&gt;0,", "&amp;REGLER!$I$15,"")&amp;IF(COUNTIFS(MATCHER!$B$5:$B$504,A540,MATCHER!$D$5:$D$504,C540,MATCHER!$J$5:$J$504,REGLER!$I$16,MATCHER!$K$5:$K$504,"Ja")+COUNTIFS(MATCHER!$B$5:$B$504,A540,MATCHER!$D$5:$D$504,C540,MATCHER!$J$5:$J$504,REGLER!$I$16&amp;" 2",MATCHER!$K$5:$K$504,"Ja")&gt;0,", "&amp;REGLER!$I$16,"")&amp;IF(COUNTIFS(MATCHER!$B$5:$B$504,A540,MATCHER!$D$5:$D$504,C540,MATCHER!$J$5:$J$504,REGLER!$I$17,MATCHER!$K$5:$K$504,"Ja")+COUNTIFS(MATCHER!$B$5:$B$504,A540,MATCHER!$D$5:$D$504,C540,MATCHER!$J$5:$J$504,REGLER!$I$17&amp;" 2",MATCHER!$K$5:$K$504,"Ja")&gt;0,", "&amp;REGLER!$I$17,"")&amp;IF(COUNTIFS(MATCHER!$B$5:$B$504,A540,MATCHER!$D$5:$D$504,C540,MATCHER!$J$5:$J$504,REGLER!$I$18,MATCHER!$K$5:$K$504,"Ja")+COUNTIFS(MATCHER!$B$5:$B$504,A540,MATCHER!$D$5:$D$504,C540,MATCHER!$J$5:$J$504,REGLER!$I$18&amp;" 2",MATCHER!$K$5:$K$504,"Ja")&gt;0,", "&amp;REGLER!$I$18,"")&amp;IF(COUNTIFS(MATCHER!$B$5:$B$504,A540,MATCHER!$D$5:$D$504,C540,MATCHER!$J$5:$J$504,REGLER!$I$19,MATCHER!$K$5:$K$504,"Ja")+COUNTIFS(MATCHER!$B$5:$B$504,A540,MATCHER!$D$5:$D$504,C540,MATCHER!$J$5:$J$504,REGLER!$I$19&amp;" 2",MATCHER!$K$5:$K$504,"Ja")&gt;0,", "&amp;REGLER!$I$19,"")&amp;IF(COUNTIFS(MATCHER!$B$5:$B$504,A540,MATCHER!$D$5:$D$504,C540,MATCHER!$J$5:$J$504,REGLER!$I$20,MATCHER!$K$5:$K$504,"Ja")+COUNTIFS(MATCHER!$B$5:$B$504,A540,MATCHER!$D$5:$D$504,C540,MATCHER!$J$5:$J$504,REGLER!$I$20&amp;" 2",MATCHER!$K$5:$K$504,"Ja")&gt;0,", "&amp;REGLER!$I$20,"")&amp;IF(COUNTIFS(MATCHER!$B$5:$B$504,A540,MATCHER!$D$5:$D$504,C540,MATCHER!$J$5:$J$504,REGLER!$I$21,MATCHER!$K$5:$K$504,"Ja")+COUNTIFS(MATCHER!$B$5:$B$504,A540,MATCHER!$D$5:$D$504,C540,MATCHER!$J$5:$J$504,REGLER!$I$21&amp;" 2",MATCHER!$K$5:$K$504,"Ja")&gt;0,", "&amp;REGLER!$I$21,"")&amp;IF(COUNTIFS(MATCHER!$B$5:$B$504,A540,MATCHER!$D$5:$D$504,C540,MATCHER!$J$5:$J$504,REGLER!$I$22,MATCHER!$K$5:$K$504,"Ja")+COUNTIFS(MATCHER!$B$5:$B$504,A540,MATCHER!$D$5:$D$504,C540,MATCHER!$J$5:$J$504,REGLER!$I$22&amp;" 2",MATCHER!$K$5:$K$504,"Ja")&gt;0,", "&amp;REGLER!$I$22,"")&amp;IF(COUNTIFS(MATCHER!$B$5:$B$504,A540,MATCHER!$D$5:$D$504,C540,MATCHER!$J$5:$J$504,REGLER!$I$23,MATCHER!$K$5:$K$504,"Ja")+COUNTIFS(MATCHER!$B$5:$B$504,A540,MATCHER!$D$5:$D$504,C540,MATCHER!$J$5:$J$504,REGLER!$I$23&amp;" 2",MATCHER!$K$5:$K$504,"Ja")&gt;0,", "&amp;REGLER!$I$23,"")&amp;IF(COUNTIFS(MATCHER!$B$5:$B$504,A540,MATCHER!$D$5:$D$504,C540,MATCHER!$J$5:$J$504,REGLER!$I$24,MATCHER!$K$5:$K$504,"Ja")+COUNTIFS(MATCHER!$B$5:$B$504,A540,MATCHER!$D$5:$D$504,C540,MATCHER!$J$5:$J$504,REGLER!$I$24&amp;" 2",MATCHER!$K$5:$K$504,"Ja")&gt;0,", "&amp;REGLER!$I$24,"")&amp;IF(COUNTIFS(MATCHER!$B$5:$B$504,A540,MATCHER!$D$5:$D$504,C540,MATCHER!$J$5:$J$504,REGLER!$I$25,MATCHER!$K$5:$K$504,"Ja")+COUNTIFS(MATCHER!$B$5:$B$504,A540,MATCHER!$D$5:$D$504,C540,MATCHER!$J$5:$J$504,REGLER!$I$25&amp;" 2",MATCHER!$K$5:$K$504,"Ja")&gt;0,", "&amp;REGLER!$I$25,"")&amp;IF(COUNTIFS(MATCHER!$B$5:$B$504,A540,MATCHER!$D$5:$D$504,C540,MATCHER!$J$5:$J$504,REGLER!$I$26,MATCHER!$K$5:$K$504,"Ja")+COUNTIFS(MATCHER!$B$5:$B$504,A540,MATCHER!$D$5:$D$504,C540,MATCHER!$J$5:$J$504,REGLER!$I$26&amp;" 2",MATCHER!$K$5:$K$504,"Ja")&gt;0,", "&amp;REGLER!$I$26,""),3,1000)</f>
        <v>F13</v>
      </c>
      <c r="I540" s="143" t="s">
        <v>90</v>
      </c>
      <c r="J540" s="144" t="s">
        <v>97</v>
      </c>
      <c r="K540" s="145" t="s">
        <v>88</v>
      </c>
      <c r="L540" s="146"/>
      <c r="M540" s="147">
        <f>IF(O540&lt;&gt;O539,MAX(1,MIN(AA540,ROUNDUP(SUMPRODUCT(($O$5:$O$546=O540)*($I$5:$I$546="Ja")*($E$5:$E$546-$D$5:$D$546))*24/REGLER!$B$8,0))),"")</f>
        <v>1</v>
      </c>
      <c r="N540" s="147" t="str">
        <f t="shared" si="114"/>
        <v>Klar</v>
      </c>
      <c r="O540" s="137" t="s">
        <v>167</v>
      </c>
      <c r="P540" s="16">
        <v>0.39583333333333298</v>
      </c>
      <c r="Q540" s="16">
        <v>0.54166666666666696</v>
      </c>
      <c r="R540" s="137" t="str">
        <f>IFERROR(MATCH(1,INDEX((MATCHER!$B$5:$B$504=A540)*(MATCHER!$D$5:$D$504=C540)*(MATCHER!$K$5:$K$504="Ja")*(MATCHER!$C$5:$C$504&lt;E540)*(MATCHER!$M$5:$M$504&gt;D540),0),0),"")</f>
        <v/>
      </c>
      <c r="S540" s="137" t="str">
        <f>IF(R540="","",IFERROR(MATCH(1,INDEX((MATCHER!$B$5:$B$504=A540)*(MATCHER!$D$5:$D$504=C540)*(MATCHER!$K$5:$K$504="Ja")*(MATCHER!$C$5:$C$504&lt;E540)*(MATCHER!$M$5:$M$504&gt;D540)*(ROW(MATCHER!$A$5:$A$504)-ROW(MATCHER!$A$5)+1&gt;R540),0),0),""))</f>
        <v/>
      </c>
      <c r="T540" s="137" t="str">
        <f>IF(S540="","",IFERROR(MATCH(1,INDEX((MATCHER!$B$5:$B$504=A540)*(MATCHER!$D$5:$D$504=C540)*(MATCHER!$K$5:$K$504="Ja")*(MATCHER!$C$5:$C$504&lt;E540)*(MATCHER!$M$5:$M$504&gt;D540)*(ROW(MATCHER!$A$5:$A$504)-ROW(MATCHER!$A$5)+1&gt;S540),0),0),""))</f>
        <v/>
      </c>
      <c r="U540" s="137">
        <f t="shared" si="115"/>
        <v>1</v>
      </c>
      <c r="V540" s="137">
        <f>IF(OR(I540&lt;&gt;"Ja",J540=""),"",COUNTIFS($O$5:O540,O540,$U$5:U540,1))</f>
        <v>1</v>
      </c>
      <c r="W540" s="137" t="str">
        <f t="shared" si="116"/>
        <v>2027-04-17 | Tallbackaskolan|1</v>
      </c>
      <c r="X540" s="16" t="str">
        <f t="shared" si="117"/>
        <v/>
      </c>
      <c r="Y540" s="137">
        <f>IF(OR(I540&lt;&gt;"Ja",J540=""),0,IF(COUNTIFS($O$5:O540,O540,$I$5:I540,"Ja",$J$5:J540,"&lt;&gt;")=1,1,0))</f>
        <v>1</v>
      </c>
      <c r="Z540" s="137">
        <f>IF(OR(I540&lt;&gt;"Ja",J540=""),0,IF(COUNTIFS(O540:$O$546,O540,I540:$I$546,"Ja",J540:$J$546,"&lt;&gt;")=1,1,0))</f>
        <v>0</v>
      </c>
      <c r="AA540" s="137">
        <f>IF(COUNTIFS(MATCHER!$B$5:$B$504,A540,MATCHER!$D$5:$D$504,C540,MATCHER!$J$5:$J$504,REGLER!$I$6,MATCHER!$K$5:$K$504,"Ja")+COUNTIFS(MATCHER!$B$5:$B$504,A540,MATCHER!$D$5:$D$504,C540,MATCHER!$J$5:$J$504,REGLER!$I$6&amp;" 2",MATCHER!$K$5:$K$504,"Ja")&gt;0,1,0)+IF(COUNTIFS(MATCHER!$B$5:$B$504,A540,MATCHER!$D$5:$D$504,C540,MATCHER!$J$5:$J$504,REGLER!$I$7,MATCHER!$K$5:$K$504,"Ja")+COUNTIFS(MATCHER!$B$5:$B$504,A540,MATCHER!$D$5:$D$504,C540,MATCHER!$J$5:$J$504,REGLER!$I$7&amp;" 2",MATCHER!$K$5:$K$504,"Ja")&gt;0,1,0)+IF(COUNTIFS(MATCHER!$B$5:$B$504,A540,MATCHER!$D$5:$D$504,C540,MATCHER!$J$5:$J$504,REGLER!$I$8,MATCHER!$K$5:$K$504,"Ja")+COUNTIFS(MATCHER!$B$5:$B$504,A540,MATCHER!$D$5:$D$504,C540,MATCHER!$J$5:$J$504,REGLER!$I$8&amp;" 2",MATCHER!$K$5:$K$504,"Ja")&gt;0,1,0)+IF(COUNTIFS(MATCHER!$B$5:$B$504,A540,MATCHER!$D$5:$D$504,C540,MATCHER!$J$5:$J$504,REGLER!$I$9,MATCHER!$K$5:$K$504,"Ja")+COUNTIFS(MATCHER!$B$5:$B$504,A540,MATCHER!$D$5:$D$504,C540,MATCHER!$J$5:$J$504,REGLER!$I$9&amp;" 2",MATCHER!$K$5:$K$504,"Ja")&gt;0,1,0)+IF(COUNTIFS(MATCHER!$B$5:$B$504,A540,MATCHER!$D$5:$D$504,C540,MATCHER!$J$5:$J$504,REGLER!$I$10,MATCHER!$K$5:$K$504,"Ja")+COUNTIFS(MATCHER!$B$5:$B$504,A540,MATCHER!$D$5:$D$504,C540,MATCHER!$J$5:$J$504,REGLER!$I$10&amp;" 2",MATCHER!$K$5:$K$504,"Ja")&gt;0,1,0)+IF(COUNTIFS(MATCHER!$B$5:$B$504,A540,MATCHER!$D$5:$D$504,C540,MATCHER!$J$5:$J$504,REGLER!$I$11,MATCHER!$K$5:$K$504,"Ja")+COUNTIFS(MATCHER!$B$5:$B$504,A540,MATCHER!$D$5:$D$504,C540,MATCHER!$J$5:$J$504,REGLER!$I$11&amp;" 2",MATCHER!$K$5:$K$504,"Ja")&gt;0,1,0)+IF(COUNTIFS(MATCHER!$B$5:$B$504,A540,MATCHER!$D$5:$D$504,C540,MATCHER!$J$5:$J$504,REGLER!$I$12,MATCHER!$K$5:$K$504,"Ja")+COUNTIFS(MATCHER!$B$5:$B$504,A540,MATCHER!$D$5:$D$504,C540,MATCHER!$J$5:$J$504,REGLER!$I$12&amp;" 2",MATCHER!$K$5:$K$504,"Ja")&gt;0,1,0)+IF(COUNTIFS(MATCHER!$B$5:$B$504,A540,MATCHER!$D$5:$D$504,C540,MATCHER!$J$5:$J$504,REGLER!$I$13,MATCHER!$K$5:$K$504,"Ja")+COUNTIFS(MATCHER!$B$5:$B$504,A540,MATCHER!$D$5:$D$504,C540,MATCHER!$J$5:$J$504,REGLER!$I$13&amp;" 2",MATCHER!$K$5:$K$504,"Ja")&gt;0,1,0)+IF(COUNTIFS(MATCHER!$B$5:$B$504,A540,MATCHER!$D$5:$D$504,C540,MATCHER!$J$5:$J$504,REGLER!$I$14,MATCHER!$K$5:$K$504,"Ja")+COUNTIFS(MATCHER!$B$5:$B$504,A540,MATCHER!$D$5:$D$504,C540,MATCHER!$J$5:$J$504,REGLER!$I$14&amp;" 2",MATCHER!$K$5:$K$504,"Ja")&gt;0,1,0)+IF(COUNTIFS(MATCHER!$B$5:$B$504,A540,MATCHER!$D$5:$D$504,C540,MATCHER!$J$5:$J$504,REGLER!$I$15,MATCHER!$K$5:$K$504,"Ja")+COUNTIFS(MATCHER!$B$5:$B$504,A540,MATCHER!$D$5:$D$504,C540,MATCHER!$J$5:$J$504,REGLER!$I$15&amp;" 2",MATCHER!$K$5:$K$504,"Ja")&gt;0,1,0)+IF(COUNTIFS(MATCHER!$B$5:$B$504,A540,MATCHER!$D$5:$D$504,C540,MATCHER!$J$5:$J$504,REGLER!$I$16,MATCHER!$K$5:$K$504,"Ja")+COUNTIFS(MATCHER!$B$5:$B$504,A540,MATCHER!$D$5:$D$504,C540,MATCHER!$J$5:$J$504,REGLER!$I$16&amp;" 2",MATCHER!$K$5:$K$504,"Ja")&gt;0,1,0)+IF(COUNTIFS(MATCHER!$B$5:$B$504,A540,MATCHER!$D$5:$D$504,C540,MATCHER!$J$5:$J$504,REGLER!$I$17,MATCHER!$K$5:$K$504,"Ja")+COUNTIFS(MATCHER!$B$5:$B$504,A540,MATCHER!$D$5:$D$504,C540,MATCHER!$J$5:$J$504,REGLER!$I$17&amp;" 2",MATCHER!$K$5:$K$504,"Ja")&gt;0,1,0)+IF(COUNTIFS(MATCHER!$B$5:$B$504,A540,MATCHER!$D$5:$D$504,C540,MATCHER!$J$5:$J$504,REGLER!$I$18,MATCHER!$K$5:$K$504,"Ja")+COUNTIFS(MATCHER!$B$5:$B$504,A540,MATCHER!$D$5:$D$504,C540,MATCHER!$J$5:$J$504,REGLER!$I$18&amp;" 2",MATCHER!$K$5:$K$504,"Ja")&gt;0,1,0)+IF(COUNTIFS(MATCHER!$B$5:$B$504,A540,MATCHER!$D$5:$D$504,C540,MATCHER!$J$5:$J$504,REGLER!$I$19,MATCHER!$K$5:$K$504,"Ja")+COUNTIFS(MATCHER!$B$5:$B$504,A540,MATCHER!$D$5:$D$504,C540,MATCHER!$J$5:$J$504,REGLER!$I$19&amp;" 2",MATCHER!$K$5:$K$504,"Ja")&gt;0,1,0)+IF(COUNTIFS(MATCHER!$B$5:$B$504,A540,MATCHER!$D$5:$D$504,C540,MATCHER!$J$5:$J$504,REGLER!$I$20,MATCHER!$K$5:$K$504,"Ja")+COUNTIFS(MATCHER!$B$5:$B$504,A540,MATCHER!$D$5:$D$504,C540,MATCHER!$J$5:$J$504,REGLER!$I$20&amp;" 2",MATCHER!$K$5:$K$504,"Ja")&gt;0,1,0)+IF(COUNTIFS(MATCHER!$B$5:$B$504,A540,MATCHER!$D$5:$D$504,C540,MATCHER!$J$5:$J$504,REGLER!$I$21,MATCHER!$K$5:$K$504,"Ja")+COUNTIFS(MATCHER!$B$5:$B$504,A540,MATCHER!$D$5:$D$504,C540,MATCHER!$J$5:$J$504,REGLER!$I$21&amp;" 2",MATCHER!$K$5:$K$504,"Ja")&gt;0,1,0)+IF(COUNTIFS(MATCHER!$B$5:$B$504,A540,MATCHER!$D$5:$D$504,C540,MATCHER!$J$5:$J$504,REGLER!$I$22,MATCHER!$K$5:$K$504,"Ja")+COUNTIFS(MATCHER!$B$5:$B$504,A540,MATCHER!$D$5:$D$504,C540,MATCHER!$J$5:$J$504,REGLER!$I$22&amp;" 2",MATCHER!$K$5:$K$504,"Ja")&gt;0,1,0)+IF(COUNTIFS(MATCHER!$B$5:$B$504,A540,MATCHER!$D$5:$D$504,C540,MATCHER!$J$5:$J$504,REGLER!$I$23,MATCHER!$K$5:$K$504,"Ja")+COUNTIFS(MATCHER!$B$5:$B$504,A540,MATCHER!$D$5:$D$504,C540,MATCHER!$J$5:$J$504,REGLER!$I$23&amp;" 2",MATCHER!$K$5:$K$504,"Ja")&gt;0,1,0)+IF(COUNTIFS(MATCHER!$B$5:$B$504,A540,MATCHER!$D$5:$D$504,C540,MATCHER!$J$5:$J$504,REGLER!$I$24,MATCHER!$K$5:$K$504,"Ja")+COUNTIFS(MATCHER!$B$5:$B$504,A540,MATCHER!$D$5:$D$504,C540,MATCHER!$J$5:$J$504,REGLER!$I$24&amp;" 2",MATCHER!$K$5:$K$504,"Ja")&gt;0,1,0)+IF(COUNTIFS(MATCHER!$B$5:$B$504,A540,MATCHER!$D$5:$D$504,C540,MATCHER!$J$5:$J$504,REGLER!$I$25,MATCHER!$K$5:$K$504,"Ja")+COUNTIFS(MATCHER!$B$5:$B$504,A540,MATCHER!$D$5:$D$504,C540,MATCHER!$J$5:$J$504,REGLER!$I$25&amp;" 2",MATCHER!$K$5:$K$504,"Ja")&gt;0,1,0)+IF(COUNTIFS(MATCHER!$B$5:$B$504,A540,MATCHER!$D$5:$D$504,C540,MATCHER!$J$5:$J$504,REGLER!$I$26,MATCHER!$K$5:$K$504,"Ja")+COUNTIFS(MATCHER!$B$5:$B$504,A540,MATCHER!$D$5:$D$504,C540,MATCHER!$J$5:$J$504,REGLER!$I$26&amp;" 2",MATCHER!$K$5:$K$504,"Ja")&gt;0,1,0)</f>
        <v>1</v>
      </c>
      <c r="AB540" s="137">
        <f>IF(U540&lt;&gt;1,"",COUNTIF($U$5:U540,1))</f>
        <v>109</v>
      </c>
      <c r="AC540" s="137" t="str">
        <f t="shared" si="118"/>
        <v/>
      </c>
      <c r="AD540" s="137" t="str">
        <f t="shared" si="119"/>
        <v>Vanligt café</v>
      </c>
      <c r="AE540" s="137">
        <f t="shared" si="120"/>
        <v>3.5000000000000155</v>
      </c>
      <c r="AF540" s="136" t="str">
        <f>IF(T540="","",IFERROR(MATCH(1,INDEX((MATCHER!$B$5:$B$504=A540)*(MATCHER!$D$5:$D$504=C540)*(MATCHER!$K$5:$K$504="Ja")*(MATCHER!$C$5:$C$504&lt;E540)*(MATCHER!$M$5:$M$504&gt;D540)*(ROW(MATCHER!$A$5:$A$504)-ROW(MATCHER!$A$5)+1&gt;T540),0),0),""))</f>
        <v/>
      </c>
    </row>
    <row r="541" spans="1:32" ht="26">
      <c r="A541" s="42">
        <v>46494</v>
      </c>
      <c r="B541" s="43" t="s">
        <v>85</v>
      </c>
      <c r="C541" s="43" t="s">
        <v>110</v>
      </c>
      <c r="D541" s="44">
        <v>0.41666666666666702</v>
      </c>
      <c r="E541" s="44">
        <v>0.4375</v>
      </c>
      <c r="F541" s="45" t="str">
        <f>IF(R541="","",HOUR(INDEX(MATCHER!$C$5:$C$504,R541))&amp;":"&amp;IF(MINUTE(INDEX(MATCHER!$C$5:$C$504,R541))&lt;10,"0","")&amp;MINUTE(INDEX(MATCHER!$C$5:$C$504,R541))&amp;" "&amp;INDEX(MATCHER!$H$5:$H$504,R541)&amp;" – "&amp;INDEX(MATCHER!$I$5:$I$504,R541))&amp;IF(S541="",""," | "&amp;HOUR(INDEX(MATCHER!$C$5:$C$504,S541))&amp;":"&amp;IF(MINUTE(INDEX(MATCHER!$C$5:$C$504,S541))&lt;10,"0","")&amp;MINUTE(INDEX(MATCHER!$C$5:$C$504,S541))&amp;" "&amp;INDEX(MATCHER!$H$5:$H$504,S541)&amp;" – "&amp;INDEX(MATCHER!$I$5:$I$504,S541))&amp;IF(T541="",""," | "&amp;HOUR(INDEX(MATCHER!$C$5:$C$504,T541))&amp;":"&amp;IF(MINUTE(INDEX(MATCHER!$C$5:$C$504,T541))&lt;10,"0","")&amp;MINUTE(INDEX(MATCHER!$C$5:$C$504,T541))&amp;" "&amp;INDEX(MATCHER!$H$5:$H$504,T541)&amp;" – "&amp;INDEX(MATCHER!$I$5:$I$504,T541))&amp;IF(AF541="",""," | "&amp;HOUR(INDEX(MATCHER!$C$5:$C$504,AF541))&amp;":"&amp;IF(MINUTE(INDEX(MATCHER!$C$5:$C$504,AF541))&lt;10,"0","")&amp;MINUTE(INDEX(MATCHER!$C$5:$C$504,AF541))&amp;" "&amp;INDEX(MATCHER!$H$5:$H$504,AF541)&amp;" – "&amp;INDEX(MATCHER!$I$5:$I$504,AF541))</f>
        <v>10:20 AIK 2 – Årsta AIK HF 1</v>
      </c>
      <c r="G541" s="45" t="str">
        <f>MID(IF(R541="","",IF(OR(INDEX(MATCHER!$J$5:$J$504,R541)=""),""," / "&amp;INDEX(MATCHER!$J$5:$J$504,R541)))&amp;IF(S541="","",IF(OR(INDEX(MATCHER!$J$5:$J$504,S541)="",INDEX(MATCHER!$J$5:$J$504,S541)=IFERROR(INDEX(MATCHER!$J$5:$J$504,R541),"")),""," / "&amp;INDEX(MATCHER!$J$5:$J$504,S541)))&amp;IF(T541="","",IF(OR(INDEX(MATCHER!$J$5:$J$504,T541)="",INDEX(MATCHER!$J$5:$J$504,T541)=IFERROR(INDEX(MATCHER!$J$5:$J$504,R541),""),INDEX(MATCHER!$J$5:$J$504,T541)=IFERROR(INDEX(MATCHER!$J$5:$J$504,S541),"")),""," / "&amp;INDEX(MATCHER!$J$5:$J$504,T541)))&amp;IF(AF541="","",IF(OR(INDEX(MATCHER!$J$5:$J$504,AF541)="",INDEX(MATCHER!$J$5:$J$504,AF541)=IFERROR(INDEX(MATCHER!$J$5:$J$504,R541),""),INDEX(MATCHER!$J$5:$J$504,AF541)=IFERROR(INDEX(MATCHER!$J$5:$J$504,S541),""),INDEX(MATCHER!$J$5:$J$504,AF541)=IFERROR(INDEX(MATCHER!$J$5:$J$504,T541),"")),""," / "&amp;INDEX(MATCHER!$J$5:$J$504,AF541))),4,1000)</f>
        <v>F13 2</v>
      </c>
      <c r="H541" s="45" t="str">
        <f t="shared" ref="H541:H546" si="123">H540</f>
        <v>F13</v>
      </c>
      <c r="I541" s="46" t="s">
        <v>90</v>
      </c>
      <c r="J541" s="47" t="s">
        <v>97</v>
      </c>
      <c r="K541" s="48"/>
      <c r="L541" s="49"/>
      <c r="M541" s="50" t="str">
        <f>IF(O541&lt;&gt;O540,MAX(1,MIN(AA541,ROUNDUP(SUMPRODUCT(($O$5:$O$546=O541)*($I$5:$I$546="Ja")*($E$5:$E$546-$D$5:$D$546))*24/REGLER!$B$8,0))),"")</f>
        <v/>
      </c>
      <c r="N541" s="50" t="str">
        <f t="shared" si="114"/>
        <v>Klar</v>
      </c>
      <c r="O541" s="15" t="s">
        <v>167</v>
      </c>
      <c r="P541" s="16">
        <v>0.39583333333333298</v>
      </c>
      <c r="Q541" s="16">
        <v>0.54166666666666696</v>
      </c>
      <c r="R541" s="15">
        <f>IFERROR(MATCH(1,INDEX((MATCHER!$B$5:$B$504=A541)*(MATCHER!$D$5:$D$504=C541)*(MATCHER!$K$5:$K$504="Ja")*(MATCHER!$C$5:$C$504&lt;E541)*(MATCHER!$M$5:$M$504&gt;D541),0),0),"")</f>
        <v>192</v>
      </c>
      <c r="S541" s="15" t="str">
        <f>IF(R541="","",IFERROR(MATCH(1,INDEX((MATCHER!$B$5:$B$504=A541)*(MATCHER!$D$5:$D$504=C541)*(MATCHER!$K$5:$K$504="Ja")*(MATCHER!$C$5:$C$504&lt;E541)*(MATCHER!$M$5:$M$504&gt;D541)*(ROW(MATCHER!$A$5:$A$504)-ROW(MATCHER!$A$5)+1&gt;R541),0),0),""))</f>
        <v/>
      </c>
      <c r="T541" s="15" t="str">
        <f>IF(S541="","",IFERROR(MATCH(1,INDEX((MATCHER!$B$5:$B$504=A541)*(MATCHER!$D$5:$D$504=C541)*(MATCHER!$K$5:$K$504="Ja")*(MATCHER!$C$5:$C$504&lt;E541)*(MATCHER!$M$5:$M$504&gt;D541)*(ROW(MATCHER!$A$5:$A$504)-ROW(MATCHER!$A$5)+1&gt;S541),0),0),""))</f>
        <v/>
      </c>
      <c r="U541" s="15">
        <f t="shared" si="115"/>
        <v>0</v>
      </c>
      <c r="V541" s="15">
        <f>IF(OR(I541&lt;&gt;"Ja",J541=""),"",COUNTIFS($O$5:O541,O541,$U$5:U541,1))</f>
        <v>1</v>
      </c>
      <c r="W541" s="15" t="str">
        <f t="shared" si="116"/>
        <v>2027-04-17 | Tallbackaskolan|1</v>
      </c>
      <c r="X541" s="16" t="str">
        <f t="shared" si="117"/>
        <v/>
      </c>
      <c r="Y541" s="15">
        <f>IF(OR(I541&lt;&gt;"Ja",J541=""),0,IF(COUNTIFS($O$5:O541,O541,$I$5:I541,"Ja",$J$5:J541,"&lt;&gt;")=1,1,0))</f>
        <v>0</v>
      </c>
      <c r="Z541" s="15">
        <f>IF(OR(I541&lt;&gt;"Ja",J541=""),0,IF(COUNTIFS(O541:$O$546,O541,I541:$I$546,"Ja",J541:$J$546,"&lt;&gt;")=1,1,0))</f>
        <v>0</v>
      </c>
      <c r="AA541" s="15">
        <f t="shared" ref="AA541:AA546" si="124">AA540</f>
        <v>1</v>
      </c>
      <c r="AB541" s="15" t="str">
        <f>IF(U541&lt;&gt;1,"",COUNTIF($U$5:U541,1))</f>
        <v/>
      </c>
      <c r="AC541" s="15" t="str">
        <f t="shared" si="118"/>
        <v/>
      </c>
      <c r="AD541" s="15" t="str">
        <f t="shared" si="119"/>
        <v>Vanligt café</v>
      </c>
      <c r="AE541" s="15" t="str">
        <f t="shared" si="120"/>
        <v/>
      </c>
      <c r="AF541" t="str">
        <f>IF(T541="","",IFERROR(MATCH(1,INDEX((MATCHER!$B$5:$B$504=A541)*(MATCHER!$D$5:$D$504=C541)*(MATCHER!$K$5:$K$504="Ja")*(MATCHER!$C$5:$C$504&lt;E541)*(MATCHER!$M$5:$M$504&gt;D541)*(ROW(MATCHER!$A$5:$A$504)-ROW(MATCHER!$A$5)+1&gt;T541),0),0),""))</f>
        <v/>
      </c>
    </row>
    <row r="542" spans="1:32" ht="26">
      <c r="A542" s="42">
        <v>46494</v>
      </c>
      <c r="B542" s="43" t="s">
        <v>85</v>
      </c>
      <c r="C542" s="43" t="s">
        <v>110</v>
      </c>
      <c r="D542" s="44">
        <v>0.4375</v>
      </c>
      <c r="E542" s="44">
        <v>0.45833333333333298</v>
      </c>
      <c r="F542" s="45" t="str">
        <f>IF(R542="","",HOUR(INDEX(MATCHER!$C$5:$C$504,R542))&amp;":"&amp;IF(MINUTE(INDEX(MATCHER!$C$5:$C$504,R542))&lt;10,"0","")&amp;MINUTE(INDEX(MATCHER!$C$5:$C$504,R542))&amp;" "&amp;INDEX(MATCHER!$H$5:$H$504,R542)&amp;" – "&amp;INDEX(MATCHER!$I$5:$I$504,R542))&amp;IF(S542="",""," | "&amp;HOUR(INDEX(MATCHER!$C$5:$C$504,S542))&amp;":"&amp;IF(MINUTE(INDEX(MATCHER!$C$5:$C$504,S542))&lt;10,"0","")&amp;MINUTE(INDEX(MATCHER!$C$5:$C$504,S542))&amp;" "&amp;INDEX(MATCHER!$H$5:$H$504,S542)&amp;" – "&amp;INDEX(MATCHER!$I$5:$I$504,S542))&amp;IF(T542="",""," | "&amp;HOUR(INDEX(MATCHER!$C$5:$C$504,T542))&amp;":"&amp;IF(MINUTE(INDEX(MATCHER!$C$5:$C$504,T542))&lt;10,"0","")&amp;MINUTE(INDEX(MATCHER!$C$5:$C$504,T542))&amp;" "&amp;INDEX(MATCHER!$H$5:$H$504,T542)&amp;" – "&amp;INDEX(MATCHER!$I$5:$I$504,T542))&amp;IF(AF542="",""," | "&amp;HOUR(INDEX(MATCHER!$C$5:$C$504,AF542))&amp;":"&amp;IF(MINUTE(INDEX(MATCHER!$C$5:$C$504,AF542))&lt;10,"0","")&amp;MINUTE(INDEX(MATCHER!$C$5:$C$504,AF542))&amp;" "&amp;INDEX(MATCHER!$H$5:$H$504,AF542)&amp;" – "&amp;INDEX(MATCHER!$I$5:$I$504,AF542))</f>
        <v>10:20 AIK 2 – Årsta AIK HF 1</v>
      </c>
      <c r="G542" s="45" t="str">
        <f>MID(IF(R542="","",IF(OR(INDEX(MATCHER!$J$5:$J$504,R542)=""),""," / "&amp;INDEX(MATCHER!$J$5:$J$504,R542)))&amp;IF(S542="","",IF(OR(INDEX(MATCHER!$J$5:$J$504,S542)="",INDEX(MATCHER!$J$5:$J$504,S542)=IFERROR(INDEX(MATCHER!$J$5:$J$504,R542),"")),""," / "&amp;INDEX(MATCHER!$J$5:$J$504,S542)))&amp;IF(T542="","",IF(OR(INDEX(MATCHER!$J$5:$J$504,T542)="",INDEX(MATCHER!$J$5:$J$504,T542)=IFERROR(INDEX(MATCHER!$J$5:$J$504,R542),""),INDEX(MATCHER!$J$5:$J$504,T542)=IFERROR(INDEX(MATCHER!$J$5:$J$504,S542),"")),""," / "&amp;INDEX(MATCHER!$J$5:$J$504,T542)))&amp;IF(AF542="","",IF(OR(INDEX(MATCHER!$J$5:$J$504,AF542)="",INDEX(MATCHER!$J$5:$J$504,AF542)=IFERROR(INDEX(MATCHER!$J$5:$J$504,R542),""),INDEX(MATCHER!$J$5:$J$504,AF542)=IFERROR(INDEX(MATCHER!$J$5:$J$504,S542),""),INDEX(MATCHER!$J$5:$J$504,AF542)=IFERROR(INDEX(MATCHER!$J$5:$J$504,T542),"")),""," / "&amp;INDEX(MATCHER!$J$5:$J$504,AF542))),4,1000)</f>
        <v>F13 2</v>
      </c>
      <c r="H542" s="45" t="str">
        <f t="shared" si="123"/>
        <v>F13</v>
      </c>
      <c r="I542" s="46" t="s">
        <v>90</v>
      </c>
      <c r="J542" s="47" t="s">
        <v>97</v>
      </c>
      <c r="K542" s="48"/>
      <c r="L542" s="49"/>
      <c r="M542" s="50" t="str">
        <f>IF(O542&lt;&gt;O541,MAX(1,MIN(AA542,ROUNDUP(SUMPRODUCT(($O$5:$O$546=O542)*($I$5:$I$546="Ja")*($E$5:$E$546-$D$5:$D$546))*24/REGLER!$B$8,0))),"")</f>
        <v/>
      </c>
      <c r="N542" s="50" t="str">
        <f t="shared" si="114"/>
        <v>Klar</v>
      </c>
      <c r="O542" s="15" t="s">
        <v>167</v>
      </c>
      <c r="P542" s="16">
        <v>0.39583333333333298</v>
      </c>
      <c r="Q542" s="16">
        <v>0.54166666666666696</v>
      </c>
      <c r="R542" s="15">
        <f>IFERROR(MATCH(1,INDEX((MATCHER!$B$5:$B$504=A542)*(MATCHER!$D$5:$D$504=C542)*(MATCHER!$K$5:$K$504="Ja")*(MATCHER!$C$5:$C$504&lt;E542)*(MATCHER!$M$5:$M$504&gt;D542),0),0),"")</f>
        <v>192</v>
      </c>
      <c r="S542" s="15" t="str">
        <f>IF(R542="","",IFERROR(MATCH(1,INDEX((MATCHER!$B$5:$B$504=A542)*(MATCHER!$D$5:$D$504=C542)*(MATCHER!$K$5:$K$504="Ja")*(MATCHER!$C$5:$C$504&lt;E542)*(MATCHER!$M$5:$M$504&gt;D542)*(ROW(MATCHER!$A$5:$A$504)-ROW(MATCHER!$A$5)+1&gt;R542),0),0),""))</f>
        <v/>
      </c>
      <c r="T542" s="15" t="str">
        <f>IF(S542="","",IFERROR(MATCH(1,INDEX((MATCHER!$B$5:$B$504=A542)*(MATCHER!$D$5:$D$504=C542)*(MATCHER!$K$5:$K$504="Ja")*(MATCHER!$C$5:$C$504&lt;E542)*(MATCHER!$M$5:$M$504&gt;D542)*(ROW(MATCHER!$A$5:$A$504)-ROW(MATCHER!$A$5)+1&gt;S542),0),0),""))</f>
        <v/>
      </c>
      <c r="U542" s="15">
        <f t="shared" si="115"/>
        <v>0</v>
      </c>
      <c r="V542" s="15">
        <f>IF(OR(I542&lt;&gt;"Ja",J542=""),"",COUNTIFS($O$5:O542,O542,$U$5:U542,1))</f>
        <v>1</v>
      </c>
      <c r="W542" s="15" t="str">
        <f t="shared" si="116"/>
        <v>2027-04-17 | Tallbackaskolan|1</v>
      </c>
      <c r="X542" s="16" t="str">
        <f t="shared" si="117"/>
        <v/>
      </c>
      <c r="Y542" s="15">
        <f>IF(OR(I542&lt;&gt;"Ja",J542=""),0,IF(COUNTIFS($O$5:O542,O542,$I$5:I542,"Ja",$J$5:J542,"&lt;&gt;")=1,1,0))</f>
        <v>0</v>
      </c>
      <c r="Z542" s="15">
        <f>IF(OR(I542&lt;&gt;"Ja",J542=""),0,IF(COUNTIFS(O542:$O$546,O542,I542:$I$546,"Ja",J542:$J$546,"&lt;&gt;")=1,1,0))</f>
        <v>0</v>
      </c>
      <c r="AA542" s="15">
        <f t="shared" si="124"/>
        <v>1</v>
      </c>
      <c r="AB542" s="15" t="str">
        <f>IF(U542&lt;&gt;1,"",COUNTIF($U$5:U542,1))</f>
        <v/>
      </c>
      <c r="AC542" s="15" t="str">
        <f t="shared" si="118"/>
        <v/>
      </c>
      <c r="AD542" s="15" t="str">
        <f t="shared" si="119"/>
        <v>Vanligt café</v>
      </c>
      <c r="AE542" s="15" t="str">
        <f t="shared" si="120"/>
        <v/>
      </c>
      <c r="AF542" t="str">
        <f>IF(T542="","",IFERROR(MATCH(1,INDEX((MATCHER!$B$5:$B$504=A542)*(MATCHER!$D$5:$D$504=C542)*(MATCHER!$K$5:$K$504="Ja")*(MATCHER!$C$5:$C$504&lt;E542)*(MATCHER!$M$5:$M$504&gt;D542)*(ROW(MATCHER!$A$5:$A$504)-ROW(MATCHER!$A$5)+1&gt;T542),0),0),""))</f>
        <v/>
      </c>
    </row>
    <row r="543" spans="1:32" ht="26">
      <c r="A543" s="42">
        <v>46494</v>
      </c>
      <c r="B543" s="43" t="s">
        <v>85</v>
      </c>
      <c r="C543" s="43" t="s">
        <v>110</v>
      </c>
      <c r="D543" s="44">
        <v>0.45833333333333298</v>
      </c>
      <c r="E543" s="44">
        <v>0.47916666666666702</v>
      </c>
      <c r="F543" s="45" t="str">
        <f>IF(R543="","",HOUR(INDEX(MATCHER!$C$5:$C$504,R543))&amp;":"&amp;IF(MINUTE(INDEX(MATCHER!$C$5:$C$504,R543))&lt;10,"0","")&amp;MINUTE(INDEX(MATCHER!$C$5:$C$504,R543))&amp;" "&amp;INDEX(MATCHER!$H$5:$H$504,R543)&amp;" – "&amp;INDEX(MATCHER!$I$5:$I$504,R543))&amp;IF(S543="",""," | "&amp;HOUR(INDEX(MATCHER!$C$5:$C$504,S543))&amp;":"&amp;IF(MINUTE(INDEX(MATCHER!$C$5:$C$504,S543))&lt;10,"0","")&amp;MINUTE(INDEX(MATCHER!$C$5:$C$504,S543))&amp;" "&amp;INDEX(MATCHER!$H$5:$H$504,S543)&amp;" – "&amp;INDEX(MATCHER!$I$5:$I$504,S543))&amp;IF(T543="",""," | "&amp;HOUR(INDEX(MATCHER!$C$5:$C$504,T543))&amp;":"&amp;IF(MINUTE(INDEX(MATCHER!$C$5:$C$504,T543))&lt;10,"0","")&amp;MINUTE(INDEX(MATCHER!$C$5:$C$504,T543))&amp;" "&amp;INDEX(MATCHER!$H$5:$H$504,T543)&amp;" – "&amp;INDEX(MATCHER!$I$5:$I$504,T543))&amp;IF(AF543="",""," | "&amp;HOUR(INDEX(MATCHER!$C$5:$C$504,AF543))&amp;":"&amp;IF(MINUTE(INDEX(MATCHER!$C$5:$C$504,AF543))&lt;10,"0","")&amp;MINUTE(INDEX(MATCHER!$C$5:$C$504,AF543))&amp;" "&amp;INDEX(MATCHER!$H$5:$H$504,AF543)&amp;" – "&amp;INDEX(MATCHER!$I$5:$I$504,AF543))</f>
        <v>10:20 AIK 2 – Årsta AIK HF 1</v>
      </c>
      <c r="G543" s="45" t="str">
        <f>MID(IF(R543="","",IF(OR(INDEX(MATCHER!$J$5:$J$504,R543)=""),""," / "&amp;INDEX(MATCHER!$J$5:$J$504,R543)))&amp;IF(S543="","",IF(OR(INDEX(MATCHER!$J$5:$J$504,S543)="",INDEX(MATCHER!$J$5:$J$504,S543)=IFERROR(INDEX(MATCHER!$J$5:$J$504,R543),"")),""," / "&amp;INDEX(MATCHER!$J$5:$J$504,S543)))&amp;IF(T543="","",IF(OR(INDEX(MATCHER!$J$5:$J$504,T543)="",INDEX(MATCHER!$J$5:$J$504,T543)=IFERROR(INDEX(MATCHER!$J$5:$J$504,R543),""),INDEX(MATCHER!$J$5:$J$504,T543)=IFERROR(INDEX(MATCHER!$J$5:$J$504,S543),"")),""," / "&amp;INDEX(MATCHER!$J$5:$J$504,T543)))&amp;IF(AF543="","",IF(OR(INDEX(MATCHER!$J$5:$J$504,AF543)="",INDEX(MATCHER!$J$5:$J$504,AF543)=IFERROR(INDEX(MATCHER!$J$5:$J$504,R543),""),INDEX(MATCHER!$J$5:$J$504,AF543)=IFERROR(INDEX(MATCHER!$J$5:$J$504,S543),""),INDEX(MATCHER!$J$5:$J$504,AF543)=IFERROR(INDEX(MATCHER!$J$5:$J$504,T543),"")),""," / "&amp;INDEX(MATCHER!$J$5:$J$504,AF543))),4,1000)</f>
        <v>F13 2</v>
      </c>
      <c r="H543" s="45" t="str">
        <f t="shared" si="123"/>
        <v>F13</v>
      </c>
      <c r="I543" s="46" t="s">
        <v>90</v>
      </c>
      <c r="J543" s="47" t="s">
        <v>97</v>
      </c>
      <c r="K543" s="48"/>
      <c r="L543" s="49"/>
      <c r="M543" s="50" t="str">
        <f>IF(O543&lt;&gt;O542,MAX(1,MIN(AA543,ROUNDUP(SUMPRODUCT(($O$5:$O$546=O543)*($I$5:$I$546="Ja")*($E$5:$E$546-$D$5:$D$546))*24/REGLER!$B$8,0))),"")</f>
        <v/>
      </c>
      <c r="N543" s="50" t="str">
        <f t="shared" si="114"/>
        <v>Klar</v>
      </c>
      <c r="O543" s="15" t="s">
        <v>167</v>
      </c>
      <c r="P543" s="16">
        <v>0.39583333333333298</v>
      </c>
      <c r="Q543" s="16">
        <v>0.54166666666666696</v>
      </c>
      <c r="R543" s="15">
        <f>IFERROR(MATCH(1,INDEX((MATCHER!$B$5:$B$504=A543)*(MATCHER!$D$5:$D$504=C543)*(MATCHER!$K$5:$K$504="Ja")*(MATCHER!$C$5:$C$504&lt;E543)*(MATCHER!$M$5:$M$504&gt;D543),0),0),"")</f>
        <v>192</v>
      </c>
      <c r="S543" s="15" t="str">
        <f>IF(R543="","",IFERROR(MATCH(1,INDEX((MATCHER!$B$5:$B$504=A543)*(MATCHER!$D$5:$D$504=C543)*(MATCHER!$K$5:$K$504="Ja")*(MATCHER!$C$5:$C$504&lt;E543)*(MATCHER!$M$5:$M$504&gt;D543)*(ROW(MATCHER!$A$5:$A$504)-ROW(MATCHER!$A$5)+1&gt;R543),0),0),""))</f>
        <v/>
      </c>
      <c r="T543" s="15" t="str">
        <f>IF(S543="","",IFERROR(MATCH(1,INDEX((MATCHER!$B$5:$B$504=A543)*(MATCHER!$D$5:$D$504=C543)*(MATCHER!$K$5:$K$504="Ja")*(MATCHER!$C$5:$C$504&lt;E543)*(MATCHER!$M$5:$M$504&gt;D543)*(ROW(MATCHER!$A$5:$A$504)-ROW(MATCHER!$A$5)+1&gt;S543),0),0),""))</f>
        <v/>
      </c>
      <c r="U543" s="15">
        <f t="shared" si="115"/>
        <v>0</v>
      </c>
      <c r="V543" s="15">
        <f>IF(OR(I543&lt;&gt;"Ja",J543=""),"",COUNTIFS($O$5:O543,O543,$U$5:U543,1))</f>
        <v>1</v>
      </c>
      <c r="W543" s="15" t="str">
        <f t="shared" si="116"/>
        <v>2027-04-17 | Tallbackaskolan|1</v>
      </c>
      <c r="X543" s="16" t="str">
        <f t="shared" ref="X543:X546" si="125">IF(OR(I543&lt;&gt;"Ja",J543=""),"",IF(OR(O543&lt;&gt;O544,I544&lt;&gt;"Ja",J543&lt;&gt;J544,E543&lt;&gt;D544),E543,""))</f>
        <v/>
      </c>
      <c r="Y543" s="137">
        <f>IF(OR(I543&lt;&gt;"Ja",J543=""),0,IF(COUNTIFS($O$5:O543,O543,$I$5:I543,"Ja",$J$5:J543,"&lt;&gt;")=1,1,0))</f>
        <v>0</v>
      </c>
      <c r="Z543" s="137">
        <f>IF(OR(I543&lt;&gt;"Ja",J543=""),0,IF(COUNTIFS(O543:$O$546,O543,I543:$I$546,"Ja",J543:$J$546,"&lt;&gt;")=1,1,0))</f>
        <v>0</v>
      </c>
      <c r="AA543" s="137">
        <f t="shared" si="124"/>
        <v>1</v>
      </c>
      <c r="AB543" s="137" t="str">
        <f>IF(U543&lt;&gt;1,"",COUNTIF($U$5:U543,1))</f>
        <v/>
      </c>
      <c r="AC543" s="137" t="str">
        <f t="shared" ref="AC543:AC546" si="126">IF(X543="","",W543)</f>
        <v/>
      </c>
      <c r="AD543" s="137" t="str">
        <f t="shared" ref="AD543:AD546" si="127">IF(O543="","",INDEX($K$5:$K$546,MATCH(O543,$O$5:$O$546,0)))</f>
        <v>Vanligt café</v>
      </c>
      <c r="AE543" s="137" t="str">
        <f t="shared" ref="AE543:AE546" si="128">IF(U543&lt;&gt;1,"",(SUMIF($W$5:$W$546,W543,$X$5:$X$546)-D543)*24)</f>
        <v/>
      </c>
      <c r="AF543" t="str">
        <f>IF(T543="","",IFERROR(MATCH(1,INDEX((MATCHER!$B$5:$B$504=A543)*(MATCHER!$D$5:$D$504=C543)*(MATCHER!$K$5:$K$504="Ja")*(MATCHER!$C$5:$C$504&lt;E543)*(MATCHER!$M$5:$M$504&gt;D543)*(ROW(MATCHER!$A$5:$A$504)-ROW(MATCHER!$A$5)+1&gt;T543),0),0),""))</f>
        <v/>
      </c>
    </row>
    <row r="544" spans="1:32" ht="26">
      <c r="A544" s="42">
        <v>46494</v>
      </c>
      <c r="B544" s="43" t="s">
        <v>85</v>
      </c>
      <c r="C544" s="43" t="s">
        <v>110</v>
      </c>
      <c r="D544" s="44">
        <v>0.47916666666666702</v>
      </c>
      <c r="E544" s="44">
        <v>0.5</v>
      </c>
      <c r="F544" s="45" t="str">
        <f>IF(R544="","",HOUR(INDEX(MATCHER!$C$5:$C$504,R544))&amp;":"&amp;IF(MINUTE(INDEX(MATCHER!$C$5:$C$504,R544))&lt;10,"0","")&amp;MINUTE(INDEX(MATCHER!$C$5:$C$504,R544))&amp;" "&amp;INDEX(MATCHER!$H$5:$H$504,R544)&amp;" – "&amp;INDEX(MATCHER!$I$5:$I$504,R544))&amp;IF(S544="",""," | "&amp;HOUR(INDEX(MATCHER!$C$5:$C$504,S544))&amp;":"&amp;IF(MINUTE(INDEX(MATCHER!$C$5:$C$504,S544))&lt;10,"0","")&amp;MINUTE(INDEX(MATCHER!$C$5:$C$504,S544))&amp;" "&amp;INDEX(MATCHER!$H$5:$H$504,S544)&amp;" – "&amp;INDEX(MATCHER!$I$5:$I$504,S544))&amp;IF(T544="",""," | "&amp;HOUR(INDEX(MATCHER!$C$5:$C$504,T544))&amp;":"&amp;IF(MINUTE(INDEX(MATCHER!$C$5:$C$504,T544))&lt;10,"0","")&amp;MINUTE(INDEX(MATCHER!$C$5:$C$504,T544))&amp;" "&amp;INDEX(MATCHER!$H$5:$H$504,T544)&amp;" – "&amp;INDEX(MATCHER!$I$5:$I$504,T544))&amp;IF(AF544="",""," | "&amp;HOUR(INDEX(MATCHER!$C$5:$C$504,AF544))&amp;":"&amp;IF(MINUTE(INDEX(MATCHER!$C$5:$C$504,AF544))&lt;10,"0","")&amp;MINUTE(INDEX(MATCHER!$C$5:$C$504,AF544))&amp;" "&amp;INDEX(MATCHER!$H$5:$H$504,AF544)&amp;" – "&amp;INDEX(MATCHER!$I$5:$I$504,AF544))</f>
        <v>11:45 AIK – Tyresö Handboll 1</v>
      </c>
      <c r="G544" s="45" t="str">
        <f>MID(IF(R544="","",IF(OR(INDEX(MATCHER!$J$5:$J$504,R544)=""),""," / "&amp;INDEX(MATCHER!$J$5:$J$504,R544)))&amp;IF(S544="","",IF(OR(INDEX(MATCHER!$J$5:$J$504,S544)="",INDEX(MATCHER!$J$5:$J$504,S544)=IFERROR(INDEX(MATCHER!$J$5:$J$504,R544),"")),""," / "&amp;INDEX(MATCHER!$J$5:$J$504,S544)))&amp;IF(T544="","",IF(OR(INDEX(MATCHER!$J$5:$J$504,T544)="",INDEX(MATCHER!$J$5:$J$504,T544)=IFERROR(INDEX(MATCHER!$J$5:$J$504,R544),""),INDEX(MATCHER!$J$5:$J$504,T544)=IFERROR(INDEX(MATCHER!$J$5:$J$504,S544),"")),""," / "&amp;INDEX(MATCHER!$J$5:$J$504,T544)))&amp;IF(AF544="","",IF(OR(INDEX(MATCHER!$J$5:$J$504,AF544)="",INDEX(MATCHER!$J$5:$J$504,AF544)=IFERROR(INDEX(MATCHER!$J$5:$J$504,R544),""),INDEX(MATCHER!$J$5:$J$504,AF544)=IFERROR(INDEX(MATCHER!$J$5:$J$504,S544),""),INDEX(MATCHER!$J$5:$J$504,AF544)=IFERROR(INDEX(MATCHER!$J$5:$J$504,T544),"")),""," / "&amp;INDEX(MATCHER!$J$5:$J$504,AF544))),4,1000)</f>
        <v>F13</v>
      </c>
      <c r="H544" s="45" t="str">
        <f t="shared" si="123"/>
        <v>F13</v>
      </c>
      <c r="I544" s="46" t="s">
        <v>90</v>
      </c>
      <c r="J544" s="47" t="s">
        <v>97</v>
      </c>
      <c r="K544" s="48"/>
      <c r="L544" s="49"/>
      <c r="M544" s="50" t="str">
        <f>IF(O544&lt;&gt;O543,MAX(1,MIN(AA544,ROUNDUP(SUMPRODUCT(($O$5:$O$546=O544)*($I$5:$I$546="Ja")*($E$5:$E$546-$D$5:$D$546))*24/REGLER!$B$8,0))),"")</f>
        <v/>
      </c>
      <c r="N544" s="50" t="str">
        <f t="shared" si="114"/>
        <v>Klar</v>
      </c>
      <c r="O544" s="15" t="s">
        <v>167</v>
      </c>
      <c r="P544" s="16">
        <v>0.39583333333333298</v>
      </c>
      <c r="Q544" s="16">
        <v>0.54166666666666696</v>
      </c>
      <c r="R544" s="15">
        <f>IFERROR(MATCH(1,INDEX((MATCHER!$B$5:$B$504=A544)*(MATCHER!$D$5:$D$504=C544)*(MATCHER!$K$5:$K$504="Ja")*(MATCHER!$C$5:$C$504&lt;E544)*(MATCHER!$M$5:$M$504&gt;D544),0),0),"")</f>
        <v>193</v>
      </c>
      <c r="S544" s="15" t="str">
        <f>IF(R544="","",IFERROR(MATCH(1,INDEX((MATCHER!$B$5:$B$504=A544)*(MATCHER!$D$5:$D$504=C544)*(MATCHER!$K$5:$K$504="Ja")*(MATCHER!$C$5:$C$504&lt;E544)*(MATCHER!$M$5:$M$504&gt;D544)*(ROW(MATCHER!$A$5:$A$504)-ROW(MATCHER!$A$5)+1&gt;R544),0),0),""))</f>
        <v/>
      </c>
      <c r="T544" s="15" t="str">
        <f>IF(S544="","",IFERROR(MATCH(1,INDEX((MATCHER!$B$5:$B$504=A544)*(MATCHER!$D$5:$D$504=C544)*(MATCHER!$K$5:$K$504="Ja")*(MATCHER!$C$5:$C$504&lt;E544)*(MATCHER!$M$5:$M$504&gt;D544)*(ROW(MATCHER!$A$5:$A$504)-ROW(MATCHER!$A$5)+1&gt;S544),0),0),""))</f>
        <v/>
      </c>
      <c r="U544" s="15">
        <f t="shared" si="115"/>
        <v>0</v>
      </c>
      <c r="V544" s="15">
        <f>IF(OR(I544&lt;&gt;"Ja",J544=""),"",COUNTIFS($O$5:O544,O544,$U$5:U544,1))</f>
        <v>1</v>
      </c>
      <c r="W544" s="15" t="str">
        <f t="shared" si="116"/>
        <v>2027-04-17 | Tallbackaskolan|1</v>
      </c>
      <c r="X544" s="16" t="str">
        <f t="shared" si="125"/>
        <v/>
      </c>
      <c r="Y544" s="137">
        <f>IF(OR(I544&lt;&gt;"Ja",J544=""),0,IF(COUNTIFS($O$5:O544,O544,$I$5:I544,"Ja",$J$5:J544,"&lt;&gt;")=1,1,0))</f>
        <v>0</v>
      </c>
      <c r="Z544" s="137">
        <f>IF(OR(I544&lt;&gt;"Ja",J544=""),0,IF(COUNTIFS(O544:$O$546,O544,I544:$I$546,"Ja",J544:$J$546,"&lt;&gt;")=1,1,0))</f>
        <v>0</v>
      </c>
      <c r="AA544" s="137">
        <f t="shared" si="124"/>
        <v>1</v>
      </c>
      <c r="AB544" s="137" t="str">
        <f>IF(U544&lt;&gt;1,"",COUNTIF($U$5:U544,1))</f>
        <v/>
      </c>
      <c r="AC544" s="137" t="str">
        <f t="shared" si="126"/>
        <v/>
      </c>
      <c r="AD544" s="137" t="str">
        <f t="shared" si="127"/>
        <v>Vanligt café</v>
      </c>
      <c r="AE544" s="137" t="str">
        <f t="shared" si="128"/>
        <v/>
      </c>
      <c r="AF544" t="str">
        <f>IF(T544="","",IFERROR(MATCH(1,INDEX((MATCHER!$B$5:$B$504=A544)*(MATCHER!$D$5:$D$504=C544)*(MATCHER!$K$5:$K$504="Ja")*(MATCHER!$C$5:$C$504&lt;E544)*(MATCHER!$M$5:$M$504&gt;D544)*(ROW(MATCHER!$A$5:$A$504)-ROW(MATCHER!$A$5)+1&gt;T544),0),0),""))</f>
        <v/>
      </c>
    </row>
    <row r="545" spans="1:32" ht="26">
      <c r="A545" s="42">
        <v>46494</v>
      </c>
      <c r="B545" s="43" t="s">
        <v>85</v>
      </c>
      <c r="C545" s="43" t="s">
        <v>110</v>
      </c>
      <c r="D545" s="44">
        <v>0.5</v>
      </c>
      <c r="E545" s="44">
        <v>0.52083333333333304</v>
      </c>
      <c r="F545" s="45" t="str">
        <f>IF(R545="","",HOUR(INDEX(MATCHER!$C$5:$C$504,R545))&amp;":"&amp;IF(MINUTE(INDEX(MATCHER!$C$5:$C$504,R545))&lt;10,"0","")&amp;MINUTE(INDEX(MATCHER!$C$5:$C$504,R545))&amp;" "&amp;INDEX(MATCHER!$H$5:$H$504,R545)&amp;" – "&amp;INDEX(MATCHER!$I$5:$I$504,R545))&amp;IF(S545="",""," | "&amp;HOUR(INDEX(MATCHER!$C$5:$C$504,S545))&amp;":"&amp;IF(MINUTE(INDEX(MATCHER!$C$5:$C$504,S545))&lt;10,"0","")&amp;MINUTE(INDEX(MATCHER!$C$5:$C$504,S545))&amp;" "&amp;INDEX(MATCHER!$H$5:$H$504,S545)&amp;" – "&amp;INDEX(MATCHER!$I$5:$I$504,S545))&amp;IF(T545="",""," | "&amp;HOUR(INDEX(MATCHER!$C$5:$C$504,T545))&amp;":"&amp;IF(MINUTE(INDEX(MATCHER!$C$5:$C$504,T545))&lt;10,"0","")&amp;MINUTE(INDEX(MATCHER!$C$5:$C$504,T545))&amp;" "&amp;INDEX(MATCHER!$H$5:$H$504,T545)&amp;" – "&amp;INDEX(MATCHER!$I$5:$I$504,T545))&amp;IF(AF545="",""," | "&amp;HOUR(INDEX(MATCHER!$C$5:$C$504,AF545))&amp;":"&amp;IF(MINUTE(INDEX(MATCHER!$C$5:$C$504,AF545))&lt;10,"0","")&amp;MINUTE(INDEX(MATCHER!$C$5:$C$504,AF545))&amp;" "&amp;INDEX(MATCHER!$H$5:$H$504,AF545)&amp;" – "&amp;INDEX(MATCHER!$I$5:$I$504,AF545))</f>
        <v>11:45 AIK – Tyresö Handboll 1</v>
      </c>
      <c r="G545" s="45" t="str">
        <f>MID(IF(R545="","",IF(OR(INDEX(MATCHER!$J$5:$J$504,R545)=""),""," / "&amp;INDEX(MATCHER!$J$5:$J$504,R545)))&amp;IF(S545="","",IF(OR(INDEX(MATCHER!$J$5:$J$504,S545)="",INDEX(MATCHER!$J$5:$J$504,S545)=IFERROR(INDEX(MATCHER!$J$5:$J$504,R545),"")),""," / "&amp;INDEX(MATCHER!$J$5:$J$504,S545)))&amp;IF(T545="","",IF(OR(INDEX(MATCHER!$J$5:$J$504,T545)="",INDEX(MATCHER!$J$5:$J$504,T545)=IFERROR(INDEX(MATCHER!$J$5:$J$504,R545),""),INDEX(MATCHER!$J$5:$J$504,T545)=IFERROR(INDEX(MATCHER!$J$5:$J$504,S545),"")),""," / "&amp;INDEX(MATCHER!$J$5:$J$504,T545)))&amp;IF(AF545="","",IF(OR(INDEX(MATCHER!$J$5:$J$504,AF545)="",INDEX(MATCHER!$J$5:$J$504,AF545)=IFERROR(INDEX(MATCHER!$J$5:$J$504,R545),""),INDEX(MATCHER!$J$5:$J$504,AF545)=IFERROR(INDEX(MATCHER!$J$5:$J$504,S545),""),INDEX(MATCHER!$J$5:$J$504,AF545)=IFERROR(INDEX(MATCHER!$J$5:$J$504,T545),"")),""," / "&amp;INDEX(MATCHER!$J$5:$J$504,AF545))),4,1000)</f>
        <v>F13</v>
      </c>
      <c r="H545" s="45" t="str">
        <f t="shared" si="123"/>
        <v>F13</v>
      </c>
      <c r="I545" s="46" t="s">
        <v>90</v>
      </c>
      <c r="J545" s="47" t="s">
        <v>97</v>
      </c>
      <c r="K545" s="48"/>
      <c r="L545" s="49"/>
      <c r="M545" s="50" t="str">
        <f>IF(O545&lt;&gt;O544,MAX(1,MIN(AA545,ROUNDUP(SUMPRODUCT(($O$5:$O$546=O545)*($I$5:$I$546="Ja")*($E$5:$E$546-$D$5:$D$546))*24/REGLER!$B$8,0))),"")</f>
        <v/>
      </c>
      <c r="N545" s="50" t="str">
        <f t="shared" si="114"/>
        <v>Klar</v>
      </c>
      <c r="O545" s="15" t="s">
        <v>167</v>
      </c>
      <c r="P545" s="16">
        <v>0.39583333333333298</v>
      </c>
      <c r="Q545" s="16">
        <v>0.54166666666666696</v>
      </c>
      <c r="R545" s="15">
        <f>IFERROR(MATCH(1,INDEX((MATCHER!$B$5:$B$504=A545)*(MATCHER!$D$5:$D$504=C545)*(MATCHER!$K$5:$K$504="Ja")*(MATCHER!$C$5:$C$504&lt;E545)*(MATCHER!$M$5:$M$504&gt;D545),0),0),"")</f>
        <v>193</v>
      </c>
      <c r="S545" s="15" t="str">
        <f>IF(R545="","",IFERROR(MATCH(1,INDEX((MATCHER!$B$5:$B$504=A545)*(MATCHER!$D$5:$D$504=C545)*(MATCHER!$K$5:$K$504="Ja")*(MATCHER!$C$5:$C$504&lt;E545)*(MATCHER!$M$5:$M$504&gt;D545)*(ROW(MATCHER!$A$5:$A$504)-ROW(MATCHER!$A$5)+1&gt;R545),0),0),""))</f>
        <v/>
      </c>
      <c r="T545" s="15" t="str">
        <f>IF(S545="","",IFERROR(MATCH(1,INDEX((MATCHER!$B$5:$B$504=A545)*(MATCHER!$D$5:$D$504=C545)*(MATCHER!$K$5:$K$504="Ja")*(MATCHER!$C$5:$C$504&lt;E545)*(MATCHER!$M$5:$M$504&gt;D545)*(ROW(MATCHER!$A$5:$A$504)-ROW(MATCHER!$A$5)+1&gt;S545),0),0),""))</f>
        <v/>
      </c>
      <c r="U545" s="15">
        <f t="shared" si="115"/>
        <v>0</v>
      </c>
      <c r="V545" s="15">
        <f>IF(OR(I545&lt;&gt;"Ja",J545=""),"",COUNTIFS($O$5:O545,O545,$U$5:U545,1))</f>
        <v>1</v>
      </c>
      <c r="W545" s="15" t="str">
        <f t="shared" si="116"/>
        <v>2027-04-17 | Tallbackaskolan|1</v>
      </c>
      <c r="X545" s="16" t="str">
        <f t="shared" si="125"/>
        <v/>
      </c>
      <c r="Y545" s="137">
        <f>IF(OR(I545&lt;&gt;"Ja",J545=""),0,IF(COUNTIFS($O$5:O545,O545,$I$5:I545,"Ja",$J$5:J545,"&lt;&gt;")=1,1,0))</f>
        <v>0</v>
      </c>
      <c r="Z545" s="137">
        <f>IF(OR(I545&lt;&gt;"Ja",J545=""),0,IF(COUNTIFS(O545:$O$546,O545,I545:$I$546,"Ja",J545:$J$546,"&lt;&gt;")=1,1,0))</f>
        <v>0</v>
      </c>
      <c r="AA545" s="137">
        <f t="shared" si="124"/>
        <v>1</v>
      </c>
      <c r="AB545" s="137" t="str">
        <f>IF(U545&lt;&gt;1,"",COUNTIF($U$5:U545,1))</f>
        <v/>
      </c>
      <c r="AC545" s="137" t="str">
        <f t="shared" si="126"/>
        <v/>
      </c>
      <c r="AD545" s="137" t="str">
        <f t="shared" si="127"/>
        <v>Vanligt café</v>
      </c>
      <c r="AE545" s="137" t="str">
        <f t="shared" si="128"/>
        <v/>
      </c>
      <c r="AF545" t="str">
        <f>IF(T545="","",IFERROR(MATCH(1,INDEX((MATCHER!$B$5:$B$504=A545)*(MATCHER!$D$5:$D$504=C545)*(MATCHER!$K$5:$K$504="Ja")*(MATCHER!$C$5:$C$504&lt;E545)*(MATCHER!$M$5:$M$504&gt;D545)*(ROW(MATCHER!$A$5:$A$504)-ROW(MATCHER!$A$5)+1&gt;T545),0),0),""))</f>
        <v/>
      </c>
    </row>
    <row r="546" spans="1:32" ht="26">
      <c r="A546" s="42">
        <v>46494</v>
      </c>
      <c r="B546" s="43" t="s">
        <v>85</v>
      </c>
      <c r="C546" s="43" t="s">
        <v>110</v>
      </c>
      <c r="D546" s="44">
        <v>0.52083333333333304</v>
      </c>
      <c r="E546" s="44">
        <v>0.54166666666666696</v>
      </c>
      <c r="F546" s="45" t="str">
        <f>IF(R546="","",HOUR(INDEX(MATCHER!$C$5:$C$504,R546))&amp;":"&amp;IF(MINUTE(INDEX(MATCHER!$C$5:$C$504,R546))&lt;10,"0","")&amp;MINUTE(INDEX(MATCHER!$C$5:$C$504,R546))&amp;" "&amp;INDEX(MATCHER!$H$5:$H$504,R546)&amp;" – "&amp;INDEX(MATCHER!$I$5:$I$504,R546))&amp;IF(S546="",""," | "&amp;HOUR(INDEX(MATCHER!$C$5:$C$504,S546))&amp;":"&amp;IF(MINUTE(INDEX(MATCHER!$C$5:$C$504,S546))&lt;10,"0","")&amp;MINUTE(INDEX(MATCHER!$C$5:$C$504,S546))&amp;" "&amp;INDEX(MATCHER!$H$5:$H$504,S546)&amp;" – "&amp;INDEX(MATCHER!$I$5:$I$504,S546))&amp;IF(T546="",""," | "&amp;HOUR(INDEX(MATCHER!$C$5:$C$504,T546))&amp;":"&amp;IF(MINUTE(INDEX(MATCHER!$C$5:$C$504,T546))&lt;10,"0","")&amp;MINUTE(INDEX(MATCHER!$C$5:$C$504,T546))&amp;" "&amp;INDEX(MATCHER!$H$5:$H$504,T546)&amp;" – "&amp;INDEX(MATCHER!$I$5:$I$504,T546))&amp;IF(AF546="",""," | "&amp;HOUR(INDEX(MATCHER!$C$5:$C$504,AF546))&amp;":"&amp;IF(MINUTE(INDEX(MATCHER!$C$5:$C$504,AF546))&lt;10,"0","")&amp;MINUTE(INDEX(MATCHER!$C$5:$C$504,AF546))&amp;" "&amp;INDEX(MATCHER!$H$5:$H$504,AF546)&amp;" – "&amp;INDEX(MATCHER!$I$5:$I$504,AF546))</f>
        <v/>
      </c>
      <c r="G546" s="45" t="str">
        <f>MID(IF(R546="","",IF(OR(INDEX(MATCHER!$J$5:$J$504,R546)=""),""," / "&amp;INDEX(MATCHER!$J$5:$J$504,R546)))&amp;IF(S546="","",IF(OR(INDEX(MATCHER!$J$5:$J$504,S546)="",INDEX(MATCHER!$J$5:$J$504,S546)=IFERROR(INDEX(MATCHER!$J$5:$J$504,R546),"")),""," / "&amp;INDEX(MATCHER!$J$5:$J$504,S546)))&amp;IF(T546="","",IF(OR(INDEX(MATCHER!$J$5:$J$504,T546)="",INDEX(MATCHER!$J$5:$J$504,T546)=IFERROR(INDEX(MATCHER!$J$5:$J$504,R546),""),INDEX(MATCHER!$J$5:$J$504,T546)=IFERROR(INDEX(MATCHER!$J$5:$J$504,S546),"")),""," / "&amp;INDEX(MATCHER!$J$5:$J$504,T546)))&amp;IF(AF546="","",IF(OR(INDEX(MATCHER!$J$5:$J$504,AF546)="",INDEX(MATCHER!$J$5:$J$504,AF546)=IFERROR(INDEX(MATCHER!$J$5:$J$504,R546),""),INDEX(MATCHER!$J$5:$J$504,AF546)=IFERROR(INDEX(MATCHER!$J$5:$J$504,S546),""),INDEX(MATCHER!$J$5:$J$504,AF546)=IFERROR(INDEX(MATCHER!$J$5:$J$504,T546),"")),""," / "&amp;INDEX(MATCHER!$J$5:$J$504,AF546))),4,1000)</f>
        <v/>
      </c>
      <c r="H546" s="45" t="str">
        <f t="shared" si="123"/>
        <v>F13</v>
      </c>
      <c r="I546" s="46" t="s">
        <v>90</v>
      </c>
      <c r="J546" s="47" t="s">
        <v>97</v>
      </c>
      <c r="K546" s="48"/>
      <c r="L546" s="49"/>
      <c r="M546" s="50" t="str">
        <f>IF(O546&lt;&gt;O545,MAX(1,MIN(AA546,ROUNDUP(SUMPRODUCT(($O$5:$O$546=O546)*($I$5:$I$546="Ja")*($E$5:$E$546-$D$5:$D$546))*24/REGLER!$B$8,0))),"")</f>
        <v/>
      </c>
      <c r="N546" s="50" t="str">
        <f t="shared" si="114"/>
        <v>Klar</v>
      </c>
      <c r="O546" s="15" t="s">
        <v>167</v>
      </c>
      <c r="P546" s="16">
        <v>0.39583333333333298</v>
      </c>
      <c r="Q546" s="16">
        <v>0.54166666666666696</v>
      </c>
      <c r="R546" s="15" t="str">
        <f>IFERROR(MATCH(1,INDEX((MATCHER!$B$5:$B$504=A546)*(MATCHER!$D$5:$D$504=C546)*(MATCHER!$K$5:$K$504="Ja")*(MATCHER!$C$5:$C$504&lt;E546)*(MATCHER!$M$5:$M$504&gt;D546),0),0),"")</f>
        <v/>
      </c>
      <c r="S546" s="15" t="str">
        <f>IF(R546="","",IFERROR(MATCH(1,INDEX((MATCHER!$B$5:$B$504=A546)*(MATCHER!$D$5:$D$504=C546)*(MATCHER!$K$5:$K$504="Ja")*(MATCHER!$C$5:$C$504&lt;E546)*(MATCHER!$M$5:$M$504&gt;D546)*(ROW(MATCHER!$A$5:$A$504)-ROW(MATCHER!$A$5)+1&gt;R546),0),0),""))</f>
        <v/>
      </c>
      <c r="T546" s="15" t="str">
        <f>IF(S546="","",IFERROR(MATCH(1,INDEX((MATCHER!$B$5:$B$504=A546)*(MATCHER!$D$5:$D$504=C546)*(MATCHER!$K$5:$K$504="Ja")*(MATCHER!$C$5:$C$504&lt;E546)*(MATCHER!$M$5:$M$504&gt;D546)*(ROW(MATCHER!$A$5:$A$504)-ROW(MATCHER!$A$5)+1&gt;S546),0),0),""))</f>
        <v/>
      </c>
      <c r="U546" s="15">
        <f t="shared" si="115"/>
        <v>0</v>
      </c>
      <c r="V546" s="15">
        <f>IF(OR(I546&lt;&gt;"Ja",J546=""),"",COUNTIFS($O$5:O546,O546,$U$5:U546,1))</f>
        <v>1</v>
      </c>
      <c r="W546" s="15" t="str">
        <f t="shared" si="116"/>
        <v>2027-04-17 | Tallbackaskolan|1</v>
      </c>
      <c r="X546" s="16">
        <f t="shared" si="125"/>
        <v>0.54166666666666696</v>
      </c>
      <c r="Y546" s="137">
        <f>IF(OR(I546&lt;&gt;"Ja",J546=""),0,IF(COUNTIFS($O$5:O546,O546,$I$5:I546,"Ja",$J$5:J546,"&lt;&gt;")=1,1,0))</f>
        <v>0</v>
      </c>
      <c r="Z546" s="137">
        <f>IF(OR(I546&lt;&gt;"Ja",J546=""),0,IF(COUNTIFS(O546:$O$546,O546,I546:$I$546,"Ja",J546:$J$546,"&lt;&gt;")=1,1,0))</f>
        <v>1</v>
      </c>
      <c r="AA546" s="137">
        <f t="shared" si="124"/>
        <v>1</v>
      </c>
      <c r="AB546" s="137" t="str">
        <f>IF(U546&lt;&gt;1,"",COUNTIF($U$5:U546,1))</f>
        <v/>
      </c>
      <c r="AC546" s="137" t="str">
        <f t="shared" si="126"/>
        <v>2027-04-17 | Tallbackaskolan|1</v>
      </c>
      <c r="AD546" s="137" t="str">
        <f t="shared" si="127"/>
        <v>Vanligt café</v>
      </c>
      <c r="AE546" s="137" t="str">
        <f t="shared" si="128"/>
        <v/>
      </c>
      <c r="AF546" t="str">
        <f>IF(T546="","",IFERROR(MATCH(1,INDEX((MATCHER!$B$5:$B$504=A546)*(MATCHER!$D$5:$D$504=C546)*(MATCHER!$K$5:$K$504="Ja")*(MATCHER!$C$5:$C$504&lt;E546)*(MATCHER!$M$5:$M$504&gt;D546)*(ROW(MATCHER!$A$5:$A$504)-ROW(MATCHER!$A$5)+1&gt;T546),0),0),""))</f>
        <v/>
      </c>
    </row>
  </sheetData>
  <mergeCells count="2">
    <mergeCell ref="A1:N1"/>
    <mergeCell ref="A2:N2"/>
  </mergeCells>
  <conditionalFormatting sqref="A5:N546">
    <cfRule type="expression" dxfId="20" priority="5">
      <formula>$I5="Nej"</formula>
    </cfRule>
    <cfRule type="expression" dxfId="19" priority="16">
      <formula>$I5="Nej"</formula>
    </cfRule>
  </conditionalFormatting>
  <conditionalFormatting sqref="N5:N546">
    <cfRule type="containsText" dxfId="18" priority="6" operator="containsText" text="Klar">
      <formula>NOT(ISERROR(SEARCH("Klar",N5)))</formula>
    </cfRule>
    <cfRule type="containsText" dxfId="17" priority="7" operator="containsText" text="Ej öppet">
      <formula>NOT(ISERROR(SEARCH("Ej öppet",N5)))</formula>
    </cfRule>
    <cfRule type="containsText" dxfId="16" priority="8" operator="containsText" text="Ej tilldelad">
      <formula>NOT(ISERROR(SEARCH("Ej tilldelad",N5)))</formula>
    </cfRule>
    <cfRule type="containsText" dxfId="15" priority="9" operator="containsText" text="Kontrollera lag">
      <formula>NOT(ISERROR(SEARCH("Kontrollera lag",N5)))</formula>
    </cfRule>
    <cfRule type="containsText" dxfId="14" priority="10" operator="containsText" text="Ta bort lag">
      <formula>NOT(ISERROR(SEARCH("Ta bort lag",N5)))</formula>
    </cfRule>
    <cfRule type="expression" dxfId="13" priority="17">
      <formula>$N5="Klar"</formula>
    </cfRule>
    <cfRule type="expression" dxfId="12" priority="18">
      <formula>$N5="Ej tilldelad"</formula>
    </cfRule>
    <cfRule type="expression" dxfId="11" priority="19">
      <formula>$N5="Kontrollera lag"</formula>
    </cfRule>
    <cfRule type="expression" dxfId="10" priority="20">
      <formula>$N5="Ta bort lag"</formula>
    </cfRule>
  </conditionalFormatting>
  <dataValidations count="2">
    <dataValidation type="list" sqref="I5:I546" xr:uid="{00000000-0002-0000-0300-000000000000}">
      <formula1>"Ja,Nej"</formula1>
      <formula2>0</formula2>
    </dataValidation>
    <dataValidation type="list" sqref="K5:K546" xr:uid="{00000000-0002-0000-0300-000001000000}">
      <formula1>"Vanligt café,Minicafé"</formula1>
      <formula2>0</formula2>
    </dataValidation>
  </dataValidation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300-000003000000}">
          <x14:formula1>
            <xm:f>REGLER!$I$6:$I$26</xm:f>
          </x14:formula1>
          <x14:formula2>
            <xm:f>0</xm:f>
          </x14:formula2>
          <xm:sqref>J5:J546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3D6"/>
  </sheetPr>
  <dimension ref="A1:Q511"/>
  <sheetViews>
    <sheetView showGridLines="0" zoomScaleNormal="100" workbookViewId="0">
      <selection sqref="A1:N1"/>
    </sheetView>
  </sheetViews>
  <sheetFormatPr defaultColWidth="8.54296875" defaultRowHeight="12.5"/>
  <cols>
    <col min="1" max="1" width="9.54296875" customWidth="1"/>
    <col min="2" max="2" width="13.453125" style="36" customWidth="1"/>
    <col min="3" max="3" width="10.1796875" style="36" customWidth="1"/>
    <col min="4" max="4" width="11.1796875" style="36" customWidth="1"/>
    <col min="5" max="5" width="11.54296875" style="36" customWidth="1"/>
    <col min="6" max="6" width="13.1796875" style="36" customWidth="1"/>
    <col min="7" max="7" width="7.81640625" style="36" customWidth="1"/>
    <col min="8" max="9" width="11.7265625" style="36" customWidth="1"/>
    <col min="10" max="10" width="8.54296875" style="36" customWidth="1"/>
    <col min="11" max="11" width="10.1796875" style="36" customWidth="1"/>
    <col min="12" max="12" width="12.453125" style="36" customWidth="1"/>
    <col min="13" max="13" width="13.81640625" style="36" customWidth="1"/>
    <col min="14" max="14" width="13.453125" customWidth="1"/>
    <col min="15" max="15" width="0.1796875" customWidth="1"/>
    <col min="16" max="16" width="1.54296875" customWidth="1"/>
    <col min="17" max="17" width="9.54296875" customWidth="1"/>
  </cols>
  <sheetData>
    <row r="1" spans="1:17" ht="22">
      <c r="A1" s="187" t="s">
        <v>168</v>
      </c>
      <c r="B1" s="187" t="s">
        <v>168</v>
      </c>
      <c r="C1" s="187" t="s">
        <v>168</v>
      </c>
      <c r="D1" s="187" t="s">
        <v>168</v>
      </c>
      <c r="E1" s="187" t="s">
        <v>168</v>
      </c>
      <c r="F1" s="187" t="s">
        <v>168</v>
      </c>
      <c r="G1" s="187" t="s">
        <v>168</v>
      </c>
      <c r="H1" s="187" t="s">
        <v>168</v>
      </c>
      <c r="I1" s="187" t="s">
        <v>168</v>
      </c>
      <c r="J1" s="187" t="s">
        <v>168</v>
      </c>
      <c r="K1" s="187" t="s">
        <v>168</v>
      </c>
      <c r="L1" s="187" t="s">
        <v>168</v>
      </c>
      <c r="M1" s="187" t="s">
        <v>168</v>
      </c>
      <c r="N1" s="187" t="s">
        <v>168</v>
      </c>
      <c r="O1" s="1"/>
      <c r="P1" s="1"/>
      <c r="Q1" s="1"/>
    </row>
    <row r="2" spans="1:17" ht="14.9" customHeight="1">
      <c r="A2" s="189" t="s">
        <v>169</v>
      </c>
      <c r="B2" s="189" t="s">
        <v>169</v>
      </c>
      <c r="C2" s="189" t="s">
        <v>169</v>
      </c>
      <c r="D2" s="189" t="s">
        <v>169</v>
      </c>
      <c r="E2" s="189" t="s">
        <v>169</v>
      </c>
      <c r="F2" s="189" t="s">
        <v>169</v>
      </c>
      <c r="G2" s="189" t="s">
        <v>169</v>
      </c>
      <c r="H2" s="189" t="s">
        <v>169</v>
      </c>
      <c r="I2" s="189" t="s">
        <v>169</v>
      </c>
      <c r="J2" s="189" t="s">
        <v>169</v>
      </c>
      <c r="K2" s="189" t="s">
        <v>169</v>
      </c>
      <c r="L2" s="189" t="s">
        <v>169</v>
      </c>
      <c r="M2" s="189" t="s">
        <v>169</v>
      </c>
      <c r="N2" s="189" t="s">
        <v>169</v>
      </c>
      <c r="O2" s="1"/>
      <c r="P2" s="1"/>
      <c r="Q2" s="1"/>
    </row>
    <row r="3" spans="1:17" ht="13">
      <c r="A3" s="1"/>
      <c r="B3" s="38"/>
      <c r="C3" s="38"/>
      <c r="D3" s="38"/>
      <c r="E3" s="38"/>
      <c r="F3" s="38"/>
      <c r="G3" s="38"/>
      <c r="H3" s="38"/>
      <c r="I3" s="38"/>
      <c r="J3" s="38"/>
      <c r="K3" s="38"/>
      <c r="L3" s="38"/>
      <c r="M3" s="38"/>
      <c r="N3" s="1"/>
      <c r="O3" s="1"/>
      <c r="P3" s="1"/>
      <c r="Q3" s="1"/>
    </row>
    <row r="4" spans="1:17" s="78" customFormat="1" ht="26">
      <c r="A4" s="76" t="s">
        <v>48</v>
      </c>
      <c r="B4" s="76" t="s">
        <v>170</v>
      </c>
      <c r="C4" s="76" t="s">
        <v>171</v>
      </c>
      <c r="D4" s="76" t="s">
        <v>24</v>
      </c>
      <c r="E4" s="76" t="s">
        <v>172</v>
      </c>
      <c r="F4" s="76" t="s">
        <v>173</v>
      </c>
      <c r="G4" s="76" t="s">
        <v>174</v>
      </c>
      <c r="H4" s="76" t="s">
        <v>175</v>
      </c>
      <c r="I4" s="76" t="s">
        <v>176</v>
      </c>
      <c r="J4" s="76" t="s">
        <v>177</v>
      </c>
      <c r="K4" s="76" t="s">
        <v>178</v>
      </c>
      <c r="L4" s="76" t="s">
        <v>179</v>
      </c>
      <c r="M4" s="76" t="s">
        <v>180</v>
      </c>
      <c r="N4" s="76" t="s">
        <v>42</v>
      </c>
      <c r="O4" s="77"/>
      <c r="P4" s="77" t="s">
        <v>67</v>
      </c>
      <c r="Q4" s="77" t="s">
        <v>48</v>
      </c>
    </row>
    <row r="5" spans="1:17" ht="13">
      <c r="A5" s="79" t="str">
        <f>REGLER!I6</f>
        <v>U8</v>
      </c>
      <c r="B5" s="80">
        <f t="shared" ref="B5:B29" si="0">IF(A5="","",COUNTIF($Q$5:$Q$504,A5))</f>
        <v>4</v>
      </c>
      <c r="C5" s="80">
        <f>IF(A5="","",COUNTIFS(MATCHER!$F$5:$F$504,A5,MATCHER!$K$5:$K$504,"Ja",MATCHER!$J$5:$J$504,"&lt;&gt;"))</f>
        <v>6</v>
      </c>
      <c r="D5" s="80">
        <f>IF(A5="","",SUMIFS(BEMANNINGSPLAN!$U$5:$U$546,BEMANNINGSPLAN!$J$5:$J$546,A5))</f>
        <v>4</v>
      </c>
      <c r="E5" s="80">
        <f>IF(A5="","",COUNTIFS(BEMANNINGSPLAN!$J$5:$J$546,A5,BEMANNINGSPLAN!$U$5:$U$546,1,BEMANNINGSPLAN!$AE$5:$AE$546,"&gt;0",BEMANNINGSPLAN!$AE$5:$AE$546,"&lt;=2"))</f>
        <v>0</v>
      </c>
      <c r="F5" s="81">
        <f>IF(A5="","",SUMIFS(BEMANNINGSPLAN!$AE$5:$AE$546,BEMANNINGSPLAN!$J$5:$J$546,A5,BEMANNINGSPLAN!$U$5:$U$546,1))</f>
        <v>16.000000000000036</v>
      </c>
      <c r="G5" s="81">
        <f t="shared" ref="G5:G29" si="1">IF(A5="","",IFERROR(F5/D5,0))</f>
        <v>4.0000000000000089</v>
      </c>
      <c r="H5" s="81">
        <f t="shared" ref="H5:H29" si="2">IF(A5="","",IFERROR(D5/B5,0))</f>
        <v>1</v>
      </c>
      <c r="I5" s="81">
        <f t="shared" ref="I5:I29" si="3">IF(A5="","",IFERROR(F5/B5,0))</f>
        <v>4.0000000000000089</v>
      </c>
      <c r="J5" s="81">
        <f t="shared" ref="J5:J29" si="4">IF(A5="","",IFERROR(D5/C5,0))</f>
        <v>0.66666666666666663</v>
      </c>
      <c r="K5" s="81">
        <f t="shared" ref="K5:K29" si="5">IF(A5="","",IFERROR(F5/C5,0))</f>
        <v>2.6666666666666727</v>
      </c>
      <c r="L5" s="80">
        <f>IF(A5="","",SUMIFS(BEMANNINGSPLAN!$Y$5:$Y$546,BEMANNINGSPLAN!$J$5:$J$546,A5))</f>
        <v>4</v>
      </c>
      <c r="M5" s="80">
        <f>IF(A5="","",SUMIFS(BEMANNINGSPLAN!$Z$5:$Z$546,BEMANNINGSPLAN!$J$5:$J$546,A5))</f>
        <v>0</v>
      </c>
      <c r="N5" s="82"/>
      <c r="O5" s="30"/>
      <c r="P5" s="30"/>
      <c r="Q5" s="30" t="str">
        <f>IF(OR(MATCHER!A5="",MATCHER!K5&lt;&gt;"Ja",AND(MATCHER!J5&lt;&gt;MATCHER!F5,LEFT(MATCHER!J5,LEN(MATCHER!F5)+1)&lt;&gt;MATCHER!F5&amp;" ",LEFT(MATCHER!E5,13)&lt;&gt;"Arrangörsskap")),"",IF(COUNTIFS(MATCHER!$B$5:B5,MATCHER!B5,MATCHER!$D$5:D5,MATCHER!D5,MATCHER!$F$5:F5,MATCHER!F5,MATCHER!$K$5:K5,"Ja",MATCHER!$J$5:J5,MATCHER!F5)+COUNTIFS(MATCHER!$B$5:B5,MATCHER!B5,MATCHER!$D$5:D5,MATCHER!D5,MATCHER!$F$5:F5,MATCHER!F5,MATCHER!$K$5:K5,"Ja",MATCHER!$J$5:J5,MATCHER!F5&amp;" *")+COUNTIFS(MATCHER!$B$5:B5,MATCHER!B5,MATCHER!$D$5:D5,MATCHER!D5,MATCHER!$F$5:F5,MATCHER!F5,MATCHER!$K$5:K5,"Ja",MATCHER!$E$5:E5,"Arrangörsskap*")=1,MATCHER!F5,""))</f>
        <v>F19</v>
      </c>
    </row>
    <row r="6" spans="1:17" ht="13">
      <c r="A6" s="83" t="str">
        <f>REGLER!I7</f>
        <v>F9</v>
      </c>
      <c r="B6" s="80">
        <f t="shared" si="0"/>
        <v>1</v>
      </c>
      <c r="C6" s="80">
        <f>IF(A6="","",COUNTIFS(MATCHER!$F$5:$F$504,A6,MATCHER!$K$5:$K$504,"Ja",MATCHER!$J$5:$J$504,"&lt;&gt;"))</f>
        <v>12</v>
      </c>
      <c r="D6" s="80">
        <f>IF(A6="","",SUMIFS(BEMANNINGSPLAN!$U$5:$U$546,BEMANNINGSPLAN!$J$5:$J$546,A6))</f>
        <v>16</v>
      </c>
      <c r="E6" s="80">
        <f>IF(A6="","",COUNTIFS(BEMANNINGSPLAN!$J$5:$J$546,A6,BEMANNINGSPLAN!$U$5:$U$546,1,BEMANNINGSPLAN!$AE$5:$AE$546,"&gt;0",BEMANNINGSPLAN!$AE$5:$AE$546,"&lt;=2"))</f>
        <v>15</v>
      </c>
      <c r="F6" s="81">
        <f>IF(A6="","",SUMIFS(BEMANNINGSPLAN!$AE$5:$AE$546,BEMANNINGSPLAN!$J$5:$J$546,A6,BEMANNINGSPLAN!$U$5:$U$546,1))</f>
        <v>11.500000000000121</v>
      </c>
      <c r="G6" s="81">
        <f t="shared" si="1"/>
        <v>0.71875000000000755</v>
      </c>
      <c r="H6" s="81">
        <f t="shared" si="2"/>
        <v>16</v>
      </c>
      <c r="I6" s="81">
        <f t="shared" si="3"/>
        <v>11.500000000000121</v>
      </c>
      <c r="J6" s="81">
        <f t="shared" si="4"/>
        <v>1.3333333333333333</v>
      </c>
      <c r="K6" s="81">
        <f t="shared" si="5"/>
        <v>0.95833333333334336</v>
      </c>
      <c r="L6" s="80">
        <f>IF(A6="","",SUMIFS(BEMANNINGSPLAN!$Y$5:$Y$546,BEMANNINGSPLAN!$J$5:$J$546,A6))</f>
        <v>4</v>
      </c>
      <c r="M6" s="80">
        <f>IF(A6="","",SUMIFS(BEMANNINGSPLAN!$Z$5:$Z$546,BEMANNINGSPLAN!$J$5:$J$546,A6))</f>
        <v>0</v>
      </c>
      <c r="N6" s="84"/>
      <c r="O6" s="30"/>
      <c r="P6" s="30"/>
      <c r="Q6" s="138" t="str">
        <f>IF(OR(MATCHER!A6="",MATCHER!K6&lt;&gt;"Ja",AND(MATCHER!J6&lt;&gt;MATCHER!F6,LEFT(MATCHER!J6,LEN(MATCHER!F6)+1)&lt;&gt;MATCHER!F6&amp;" ",LEFT(MATCHER!E6,13)&lt;&gt;"Arrangörsskap")),"",IF(COUNTIFS(MATCHER!$B$5:B6,MATCHER!B6,MATCHER!$D$5:D6,MATCHER!D6,MATCHER!$F$5:F6,MATCHER!F6,MATCHER!$K$5:K6,"Ja",MATCHER!$J$5:J6,MATCHER!F6)+COUNTIFS(MATCHER!$B$5:B6,MATCHER!B6,MATCHER!$D$5:D6,MATCHER!D6,MATCHER!$F$5:F6,MATCHER!F6,MATCHER!$K$5:K6,"Ja",MATCHER!$J$5:J6,MATCHER!F6&amp;" *")+COUNTIFS(MATCHER!$B$5:B6,MATCHER!B6,MATCHER!$D$5:D6,MATCHER!D6,MATCHER!$F$5:F6,MATCHER!F6,MATCHER!$K$5:K6,"Ja",MATCHER!$E$5:E6,"Arrangörsskap*")=1,MATCHER!F6,""))</f>
        <v/>
      </c>
    </row>
    <row r="7" spans="1:17" ht="13">
      <c r="A7" s="83" t="str">
        <f>REGLER!I8</f>
        <v>F10</v>
      </c>
      <c r="B7" s="80">
        <f t="shared" si="0"/>
        <v>2</v>
      </c>
      <c r="C7" s="80">
        <f>IF(A7="","",COUNTIFS(MATCHER!$F$5:$F$504,A7,MATCHER!$K$5:$K$504,"Ja",MATCHER!$J$5:$J$504,"&lt;&gt;"))</f>
        <v>10</v>
      </c>
      <c r="D7" s="80">
        <f>IF(A7="","",SUMIFS(BEMANNINGSPLAN!$U$5:$U$546,BEMANNINGSPLAN!$J$5:$J$546,A7))</f>
        <v>2</v>
      </c>
      <c r="E7" s="80">
        <f>IF(A7="","",COUNTIFS(BEMANNINGSPLAN!$J$5:$J$546,A7,BEMANNINGSPLAN!$U$5:$U$546,1,BEMANNINGSPLAN!$AE$5:$AE$546,"&gt;0",BEMANNINGSPLAN!$AE$5:$AE$546,"&lt;=2"))</f>
        <v>0</v>
      </c>
      <c r="F7" s="81">
        <f>IF(A7="","",SUMIFS(BEMANNINGSPLAN!$AE$5:$AE$546,BEMANNINGSPLAN!$J$5:$J$546,A7,BEMANNINGSPLAN!$U$5:$U$546,1))</f>
        <v>10.250000000000018</v>
      </c>
      <c r="G7" s="81">
        <f t="shared" si="1"/>
        <v>5.1250000000000089</v>
      </c>
      <c r="H7" s="81">
        <f t="shared" si="2"/>
        <v>1</v>
      </c>
      <c r="I7" s="81">
        <f t="shared" si="3"/>
        <v>5.1250000000000089</v>
      </c>
      <c r="J7" s="81">
        <f t="shared" si="4"/>
        <v>0.2</v>
      </c>
      <c r="K7" s="81">
        <f t="shared" si="5"/>
        <v>1.0250000000000017</v>
      </c>
      <c r="L7" s="80">
        <f>IF(A7="","",SUMIFS(BEMANNINGSPLAN!$Y$5:$Y$546,BEMANNINGSPLAN!$J$5:$J$546,A7))</f>
        <v>2</v>
      </c>
      <c r="M7" s="80">
        <f>IF(A7="","",SUMIFS(BEMANNINGSPLAN!$Z$5:$Z$546,BEMANNINGSPLAN!$J$5:$J$546,A7))</f>
        <v>0</v>
      </c>
      <c r="N7" s="84"/>
      <c r="O7" s="30"/>
      <c r="P7" s="30"/>
      <c r="Q7" s="138" t="str">
        <f>IF(OR(MATCHER!A7="",MATCHER!K7&lt;&gt;"Ja",AND(MATCHER!J7&lt;&gt;MATCHER!F7,LEFT(MATCHER!J7,LEN(MATCHER!F7)+1)&lt;&gt;MATCHER!F7&amp;" ",LEFT(MATCHER!E7,13)&lt;&gt;"Arrangörsskap")),"",IF(COUNTIFS(MATCHER!$B$5:B7,MATCHER!B7,MATCHER!$D$5:D7,MATCHER!D7,MATCHER!$F$5:F7,MATCHER!F7,MATCHER!$K$5:K7,"Ja",MATCHER!$J$5:J7,MATCHER!F7)+COUNTIFS(MATCHER!$B$5:B7,MATCHER!B7,MATCHER!$D$5:D7,MATCHER!D7,MATCHER!$F$5:F7,MATCHER!F7,MATCHER!$K$5:K7,"Ja",MATCHER!$J$5:J7,MATCHER!F7&amp;" *")+COUNTIFS(MATCHER!$B$5:B7,MATCHER!B7,MATCHER!$D$5:D7,MATCHER!D7,MATCHER!$F$5:F7,MATCHER!F7,MATCHER!$K$5:K7,"Ja",MATCHER!$E$5:E7,"Arrangörsskap*")=1,MATCHER!F7,""))</f>
        <v>F19</v>
      </c>
    </row>
    <row r="8" spans="1:17" ht="13">
      <c r="A8" s="83" t="str">
        <f>REGLER!I9</f>
        <v>F11</v>
      </c>
      <c r="B8" s="80">
        <f t="shared" si="0"/>
        <v>3</v>
      </c>
      <c r="C8" s="80">
        <f>IF(A8="","",COUNTIFS(MATCHER!$F$5:$F$504,A8,MATCHER!$K$5:$K$504,"Ja",MATCHER!$J$5:$J$504,"&lt;&gt;"))</f>
        <v>9</v>
      </c>
      <c r="D8" s="80">
        <f>IF(A8="","",SUMIFS(BEMANNINGSPLAN!$U$5:$U$546,BEMANNINGSPLAN!$J$5:$J$546,A8))</f>
        <v>3</v>
      </c>
      <c r="E8" s="80">
        <f>IF(A8="","",COUNTIFS(BEMANNINGSPLAN!$J$5:$J$546,A8,BEMANNINGSPLAN!$U$5:$U$546,1,BEMANNINGSPLAN!$AE$5:$AE$546,"&gt;0",BEMANNINGSPLAN!$AE$5:$AE$546,"&lt;=2"))</f>
        <v>0</v>
      </c>
      <c r="F8" s="81">
        <f>IF(A8="","",SUMIFS(BEMANNINGSPLAN!$AE$5:$AE$546,BEMANNINGSPLAN!$J$5:$J$546,A8,BEMANNINGSPLAN!$U$5:$U$546,1))</f>
        <v>11.500000000000036</v>
      </c>
      <c r="G8" s="81">
        <f t="shared" si="1"/>
        <v>3.833333333333345</v>
      </c>
      <c r="H8" s="81">
        <f t="shared" si="2"/>
        <v>1</v>
      </c>
      <c r="I8" s="81">
        <f t="shared" si="3"/>
        <v>3.833333333333345</v>
      </c>
      <c r="J8" s="81">
        <f t="shared" si="4"/>
        <v>0.33333333333333331</v>
      </c>
      <c r="K8" s="81">
        <f t="shared" si="5"/>
        <v>1.2777777777777817</v>
      </c>
      <c r="L8" s="80">
        <f>IF(A8="","",SUMIFS(BEMANNINGSPLAN!$Y$5:$Y$546,BEMANNINGSPLAN!$J$5:$J$546,A8))</f>
        <v>3</v>
      </c>
      <c r="M8" s="80">
        <f>IF(A8="","",SUMIFS(BEMANNINGSPLAN!$Z$5:$Z$546,BEMANNINGSPLAN!$J$5:$J$546,A8))</f>
        <v>1</v>
      </c>
      <c r="N8" s="84"/>
      <c r="O8" s="30"/>
      <c r="P8" s="30"/>
      <c r="Q8" s="138" t="str">
        <f>IF(OR(MATCHER!A8="",MATCHER!K8&lt;&gt;"Ja",AND(MATCHER!J8&lt;&gt;MATCHER!F8,LEFT(MATCHER!J8,LEN(MATCHER!F8)+1)&lt;&gt;MATCHER!F8&amp;" ",LEFT(MATCHER!E8,13)&lt;&gt;"Arrangörsskap")),"",IF(COUNTIFS(MATCHER!$B$5:B8,MATCHER!B8,MATCHER!$D$5:D8,MATCHER!D8,MATCHER!$F$5:F8,MATCHER!F8,MATCHER!$K$5:K8,"Ja",MATCHER!$J$5:J8,MATCHER!F8)+COUNTIFS(MATCHER!$B$5:B8,MATCHER!B8,MATCHER!$D$5:D8,MATCHER!D8,MATCHER!$F$5:F8,MATCHER!F8,MATCHER!$K$5:K8,"Ja",MATCHER!$J$5:J8,MATCHER!F8&amp;" *")+COUNTIFS(MATCHER!$B$5:B8,MATCHER!B8,MATCHER!$D$5:D8,MATCHER!D8,MATCHER!$F$5:F8,MATCHER!F8,MATCHER!$K$5:K8,"Ja",MATCHER!$E$5:E8,"Arrangörsskap*")=1,MATCHER!F8,""))</f>
        <v/>
      </c>
    </row>
    <row r="9" spans="1:17" ht="13">
      <c r="A9" s="83" t="str">
        <f>REGLER!I10</f>
        <v>F12</v>
      </c>
      <c r="B9" s="80">
        <f t="shared" si="0"/>
        <v>5</v>
      </c>
      <c r="C9" s="80">
        <f>IF(A9="","",COUNTIFS(MATCHER!$F$5:$F$504,A9,MATCHER!$K$5:$K$504,"Ja",MATCHER!$J$5:$J$504,"&lt;&gt;"))</f>
        <v>21</v>
      </c>
      <c r="D9" s="80">
        <f>IF(A9="","",SUMIFS(BEMANNINGSPLAN!$U$5:$U$546,BEMANNINGSPLAN!$J$5:$J$546,A9))</f>
        <v>5</v>
      </c>
      <c r="E9" s="80">
        <f>IF(A9="","",COUNTIFS(BEMANNINGSPLAN!$J$5:$J$546,A9,BEMANNINGSPLAN!$U$5:$U$546,1,BEMANNINGSPLAN!$AE$5:$AE$546,"&gt;0",BEMANNINGSPLAN!$AE$5:$AE$546,"&lt;=2"))</f>
        <v>0</v>
      </c>
      <c r="F9" s="81">
        <f>IF(A9="","",SUMIFS(BEMANNINGSPLAN!$AE$5:$AE$546,BEMANNINGSPLAN!$J$5:$J$546,A9,BEMANNINGSPLAN!$U$5:$U$546,1))</f>
        <v>22.750000000000032</v>
      </c>
      <c r="G9" s="81">
        <f t="shared" si="1"/>
        <v>4.550000000000006</v>
      </c>
      <c r="H9" s="81">
        <f t="shared" si="2"/>
        <v>1</v>
      </c>
      <c r="I9" s="81">
        <f t="shared" si="3"/>
        <v>4.550000000000006</v>
      </c>
      <c r="J9" s="81">
        <f t="shared" si="4"/>
        <v>0.23809523809523808</v>
      </c>
      <c r="K9" s="81">
        <f t="shared" si="5"/>
        <v>1.0833333333333348</v>
      </c>
      <c r="L9" s="80">
        <f>IF(A9="","",SUMIFS(BEMANNINGSPLAN!$Y$5:$Y$546,BEMANNINGSPLAN!$J$5:$J$546,A9))</f>
        <v>3</v>
      </c>
      <c r="M9" s="80">
        <f>IF(A9="","",SUMIFS(BEMANNINGSPLAN!$Z$5:$Z$546,BEMANNINGSPLAN!$J$5:$J$546,A9))</f>
        <v>1</v>
      </c>
      <c r="N9" s="84"/>
      <c r="O9" s="30"/>
      <c r="P9" s="30"/>
      <c r="Q9" s="138" t="str">
        <f>IF(OR(MATCHER!A9="",MATCHER!K9&lt;&gt;"Ja",AND(MATCHER!J9&lt;&gt;MATCHER!F9,LEFT(MATCHER!J9,LEN(MATCHER!F9)+1)&lt;&gt;MATCHER!F9&amp;" ",LEFT(MATCHER!E9,13)&lt;&gt;"Arrangörsskap")),"",IF(COUNTIFS(MATCHER!$B$5:B9,MATCHER!B9,MATCHER!$D$5:D9,MATCHER!D9,MATCHER!$F$5:F9,MATCHER!F9,MATCHER!$K$5:K9,"Ja",MATCHER!$J$5:J9,MATCHER!F9)+COUNTIFS(MATCHER!$B$5:B9,MATCHER!B9,MATCHER!$D$5:D9,MATCHER!D9,MATCHER!$F$5:F9,MATCHER!F9,MATCHER!$K$5:K9,"Ja",MATCHER!$J$5:J9,MATCHER!F9&amp;" *")+COUNTIFS(MATCHER!$B$5:B9,MATCHER!B9,MATCHER!$D$5:D9,MATCHER!D9,MATCHER!$F$5:F9,MATCHER!F9,MATCHER!$K$5:K9,"Ja",MATCHER!$E$5:E9,"Arrangörsskap*")=1,MATCHER!F9,""))</f>
        <v/>
      </c>
    </row>
    <row r="10" spans="1:17" ht="13">
      <c r="A10" s="83" t="str">
        <f>REGLER!I11</f>
        <v>F13</v>
      </c>
      <c r="B10" s="80">
        <f t="shared" si="0"/>
        <v>15</v>
      </c>
      <c r="C10" s="80">
        <f>IF(A10="","",COUNTIFS(MATCHER!$F$5:$F$504,A10,MATCHER!$K$5:$K$504,"Ja",MATCHER!$J$5:$J$504,"&lt;&gt;"))</f>
        <v>25</v>
      </c>
      <c r="D10" s="80">
        <f>IF(A10="","",SUMIFS(BEMANNINGSPLAN!$U$5:$U$546,BEMANNINGSPLAN!$J$5:$J$546,A10))</f>
        <v>13</v>
      </c>
      <c r="E10" s="80">
        <f>IF(A10="","",COUNTIFS(BEMANNINGSPLAN!$J$5:$J$546,A10,BEMANNINGSPLAN!$U$5:$U$546,1,BEMANNINGSPLAN!$AE$5:$AE$546,"&gt;0",BEMANNINGSPLAN!$AE$5:$AE$546,"&lt;=2"))</f>
        <v>2</v>
      </c>
      <c r="F10" s="81">
        <f>IF(A10="","",SUMIFS(BEMANNINGSPLAN!$AE$5:$AE$546,BEMANNINGSPLAN!$J$5:$J$546,A10,BEMANNINGSPLAN!$U$5:$U$546,1))</f>
        <v>36.000000000000071</v>
      </c>
      <c r="G10" s="81">
        <f t="shared" si="1"/>
        <v>2.7692307692307745</v>
      </c>
      <c r="H10" s="81">
        <f t="shared" si="2"/>
        <v>0.8666666666666667</v>
      </c>
      <c r="I10" s="81">
        <f t="shared" si="3"/>
        <v>2.4000000000000048</v>
      </c>
      <c r="J10" s="81">
        <f t="shared" si="4"/>
        <v>0.52</v>
      </c>
      <c r="K10" s="81">
        <f t="shared" si="5"/>
        <v>1.4400000000000028</v>
      </c>
      <c r="L10" s="80">
        <f>IF(A10="","",SUMIFS(BEMANNINGSPLAN!$Y$5:$Y$546,BEMANNINGSPLAN!$J$5:$J$546,A10))</f>
        <v>4</v>
      </c>
      <c r="M10" s="80">
        <f>IF(A10="","",SUMIFS(BEMANNINGSPLAN!$Z$5:$Z$546,BEMANNINGSPLAN!$J$5:$J$546,A10))</f>
        <v>12</v>
      </c>
      <c r="N10" s="84"/>
      <c r="O10" s="30"/>
      <c r="P10" s="30"/>
      <c r="Q10" s="138" t="str">
        <f>IF(OR(MATCHER!A10="",MATCHER!K10&lt;&gt;"Ja",AND(MATCHER!J10&lt;&gt;MATCHER!F10,LEFT(MATCHER!J10,LEN(MATCHER!F10)+1)&lt;&gt;MATCHER!F10&amp;" ",LEFT(MATCHER!E10,13)&lt;&gt;"Arrangörsskap")),"",IF(COUNTIFS(MATCHER!$B$5:B10,MATCHER!B10,MATCHER!$D$5:D10,MATCHER!D10,MATCHER!$F$5:F10,MATCHER!F10,MATCHER!$K$5:K10,"Ja",MATCHER!$J$5:J10,MATCHER!F10)+COUNTIFS(MATCHER!$B$5:B10,MATCHER!B10,MATCHER!$D$5:D10,MATCHER!D10,MATCHER!$F$5:F10,MATCHER!F10,MATCHER!$K$5:K10,"Ja",MATCHER!$J$5:J10,MATCHER!F10&amp;" *")+COUNTIFS(MATCHER!$B$5:B10,MATCHER!B10,MATCHER!$D$5:D10,MATCHER!D10,MATCHER!$F$5:F10,MATCHER!F10,MATCHER!$K$5:K10,"Ja",MATCHER!$E$5:E10,"Arrangörsskap*")=1,MATCHER!F10,""))</f>
        <v/>
      </c>
    </row>
    <row r="11" spans="1:17" ht="13">
      <c r="A11" s="83" t="str">
        <f>REGLER!I12</f>
        <v>F14</v>
      </c>
      <c r="B11" s="80">
        <f t="shared" si="0"/>
        <v>7</v>
      </c>
      <c r="C11" s="80">
        <f>IF(A11="","",COUNTIFS(MATCHER!$F$5:$F$504,A11,MATCHER!$K$5:$K$504,"Ja",MATCHER!$J$5:$J$504,"&lt;&gt;"))</f>
        <v>7</v>
      </c>
      <c r="D11" s="80">
        <f>IF(A11="","",SUMIFS(BEMANNINGSPLAN!$U$5:$U$546,BEMANNINGSPLAN!$J$5:$J$546,A11))</f>
        <v>5</v>
      </c>
      <c r="E11" s="80">
        <f>IF(A11="","",COUNTIFS(BEMANNINGSPLAN!$J$5:$J$546,A11,BEMANNINGSPLAN!$U$5:$U$546,1,BEMANNINGSPLAN!$AE$5:$AE$546,"&gt;0",BEMANNINGSPLAN!$AE$5:$AE$546,"&lt;=2"))</f>
        <v>2</v>
      </c>
      <c r="F11" s="81">
        <f>IF(A11="","",SUMIFS(BEMANNINGSPLAN!$AE$5:$AE$546,BEMANNINGSPLAN!$J$5:$J$546,A11,BEMANNINGSPLAN!$U$5:$U$546,1))</f>
        <v>10.750000000000032</v>
      </c>
      <c r="G11" s="81">
        <f t="shared" si="1"/>
        <v>2.1500000000000066</v>
      </c>
      <c r="H11" s="81">
        <f t="shared" si="2"/>
        <v>0.7142857142857143</v>
      </c>
      <c r="I11" s="81">
        <f t="shared" si="3"/>
        <v>1.5357142857142903</v>
      </c>
      <c r="J11" s="81">
        <f t="shared" si="4"/>
        <v>0.7142857142857143</v>
      </c>
      <c r="K11" s="81">
        <f t="shared" si="5"/>
        <v>1.5357142857142903</v>
      </c>
      <c r="L11" s="80">
        <f>IF(A11="","",SUMIFS(BEMANNINGSPLAN!$Y$5:$Y$546,BEMANNINGSPLAN!$J$5:$J$546,A11))</f>
        <v>1</v>
      </c>
      <c r="M11" s="80">
        <f>IF(A11="","",SUMIFS(BEMANNINGSPLAN!$Z$5:$Z$546,BEMANNINGSPLAN!$J$5:$J$546,A11))</f>
        <v>5</v>
      </c>
      <c r="N11" s="84"/>
      <c r="O11" s="30"/>
      <c r="P11" s="30"/>
      <c r="Q11" s="138" t="str">
        <f>IF(OR(MATCHER!A11="",MATCHER!K11&lt;&gt;"Ja",AND(MATCHER!J11&lt;&gt;MATCHER!F11,LEFT(MATCHER!J11,LEN(MATCHER!F11)+1)&lt;&gt;MATCHER!F11&amp;" ",LEFT(MATCHER!E11,13)&lt;&gt;"Arrangörsskap")),"",IF(COUNTIFS(MATCHER!$B$5:B11,MATCHER!B11,MATCHER!$D$5:D11,MATCHER!D11,MATCHER!$F$5:F11,MATCHER!F11,MATCHER!$K$5:K11,"Ja",MATCHER!$J$5:J11,MATCHER!F11)+COUNTIFS(MATCHER!$B$5:B11,MATCHER!B11,MATCHER!$D$5:D11,MATCHER!D11,MATCHER!$F$5:F11,MATCHER!F11,MATCHER!$K$5:K11,"Ja",MATCHER!$J$5:J11,MATCHER!F11&amp;" *")+COUNTIFS(MATCHER!$B$5:B11,MATCHER!B11,MATCHER!$D$5:D11,MATCHER!D11,MATCHER!$F$5:F11,MATCHER!F11,MATCHER!$K$5:K11,"Ja",MATCHER!$E$5:E11,"Arrangörsskap*")=1,MATCHER!F11,""))</f>
        <v/>
      </c>
    </row>
    <row r="12" spans="1:17" ht="13">
      <c r="A12" s="83" t="str">
        <f>REGLER!I13</f>
        <v>F16</v>
      </c>
      <c r="B12" s="80">
        <f t="shared" si="0"/>
        <v>7</v>
      </c>
      <c r="C12" s="80">
        <f>IF(A12="","",COUNTIFS(MATCHER!$F$5:$F$504,A12,MATCHER!$K$5:$K$504,"Ja",MATCHER!$J$5:$J$504,"&lt;&gt;"))</f>
        <v>7</v>
      </c>
      <c r="D12" s="80">
        <f>IF(A12="","",SUMIFS(BEMANNINGSPLAN!$U$5:$U$546,BEMANNINGSPLAN!$J$5:$J$546,A12))</f>
        <v>5</v>
      </c>
      <c r="E12" s="80">
        <f>IF(A12="","",COUNTIFS(BEMANNINGSPLAN!$J$5:$J$546,A12,BEMANNINGSPLAN!$U$5:$U$546,1,BEMANNINGSPLAN!$AE$5:$AE$546,"&gt;0",BEMANNINGSPLAN!$AE$5:$AE$546,"&lt;=2"))</f>
        <v>2</v>
      </c>
      <c r="F12" s="81">
        <f>IF(A12="","",SUMIFS(BEMANNINGSPLAN!$AE$5:$AE$546,BEMANNINGSPLAN!$J$5:$J$546,A12,BEMANNINGSPLAN!$U$5:$U$546,1))</f>
        <v>10.500000000000048</v>
      </c>
      <c r="G12" s="81">
        <f t="shared" si="1"/>
        <v>2.1000000000000094</v>
      </c>
      <c r="H12" s="81">
        <f t="shared" si="2"/>
        <v>0.7142857142857143</v>
      </c>
      <c r="I12" s="81">
        <f t="shared" si="3"/>
        <v>1.5000000000000069</v>
      </c>
      <c r="J12" s="81">
        <f t="shared" si="4"/>
        <v>0.7142857142857143</v>
      </c>
      <c r="K12" s="81">
        <f t="shared" si="5"/>
        <v>1.5000000000000069</v>
      </c>
      <c r="L12" s="80">
        <f>IF(A12="","",SUMIFS(BEMANNINGSPLAN!$Y$5:$Y$546,BEMANNINGSPLAN!$J$5:$J$546,A12))</f>
        <v>5</v>
      </c>
      <c r="M12" s="80">
        <f>IF(A12="","",SUMIFS(BEMANNINGSPLAN!$Z$5:$Z$546,BEMANNINGSPLAN!$J$5:$J$546,A12))</f>
        <v>5</v>
      </c>
      <c r="N12" s="84"/>
      <c r="O12" s="30"/>
      <c r="P12" s="30"/>
      <c r="Q12" s="138" t="str">
        <f>IF(OR(MATCHER!A12="",MATCHER!K12&lt;&gt;"Ja",AND(MATCHER!J12&lt;&gt;MATCHER!F12,LEFT(MATCHER!J12,LEN(MATCHER!F12)+1)&lt;&gt;MATCHER!F12&amp;" ",LEFT(MATCHER!E12,13)&lt;&gt;"Arrangörsskap")),"",IF(COUNTIFS(MATCHER!$B$5:B12,MATCHER!B12,MATCHER!$D$5:D12,MATCHER!D12,MATCHER!$F$5:F12,MATCHER!F12,MATCHER!$K$5:K12,"Ja",MATCHER!$J$5:J12,MATCHER!F12)+COUNTIFS(MATCHER!$B$5:B12,MATCHER!B12,MATCHER!$D$5:D12,MATCHER!D12,MATCHER!$F$5:F12,MATCHER!F12,MATCHER!$K$5:K12,"Ja",MATCHER!$J$5:J12,MATCHER!F12&amp;" *")+COUNTIFS(MATCHER!$B$5:B12,MATCHER!B12,MATCHER!$D$5:D12,MATCHER!D12,MATCHER!$F$5:F12,MATCHER!F12,MATCHER!$K$5:K12,"Ja",MATCHER!$E$5:E12,"Arrangörsskap*")=1,MATCHER!F12,""))</f>
        <v>F11</v>
      </c>
    </row>
    <row r="13" spans="1:17" ht="13">
      <c r="A13" s="83" t="str">
        <f>REGLER!I14</f>
        <v>F18</v>
      </c>
      <c r="B13" s="80">
        <f t="shared" si="0"/>
        <v>0</v>
      </c>
      <c r="C13" s="80">
        <f>IF(A13="","",COUNTIFS(MATCHER!$F$5:$F$504,A13,MATCHER!$K$5:$K$504,"Ja",MATCHER!$J$5:$J$504,"&lt;&gt;"))</f>
        <v>0</v>
      </c>
      <c r="D13" s="80">
        <f>IF(A13="","",SUMIFS(BEMANNINGSPLAN!$U$5:$U$546,BEMANNINGSPLAN!$J$5:$J$546,A13))</f>
        <v>0</v>
      </c>
      <c r="E13" s="80">
        <f>IF(A13="","",COUNTIFS(BEMANNINGSPLAN!$J$5:$J$546,A13,BEMANNINGSPLAN!$U$5:$U$546,1,BEMANNINGSPLAN!$AE$5:$AE$546,"&gt;0",BEMANNINGSPLAN!$AE$5:$AE$546,"&lt;=2"))</f>
        <v>0</v>
      </c>
      <c r="F13" s="81">
        <f>IF(A13="","",SUMIFS(BEMANNINGSPLAN!$AE$5:$AE$546,BEMANNINGSPLAN!$J$5:$J$546,A13,BEMANNINGSPLAN!$U$5:$U$546,1))</f>
        <v>0</v>
      </c>
      <c r="G13" s="81">
        <f t="shared" si="1"/>
        <v>0</v>
      </c>
      <c r="H13" s="81">
        <f t="shared" si="2"/>
        <v>0</v>
      </c>
      <c r="I13" s="81">
        <f t="shared" si="3"/>
        <v>0</v>
      </c>
      <c r="J13" s="81">
        <f t="shared" si="4"/>
        <v>0</v>
      </c>
      <c r="K13" s="81">
        <f t="shared" si="5"/>
        <v>0</v>
      </c>
      <c r="L13" s="80">
        <f>IF(A13="","",SUMIFS(BEMANNINGSPLAN!$Y$5:$Y$546,BEMANNINGSPLAN!$J$5:$J$546,A13))</f>
        <v>0</v>
      </c>
      <c r="M13" s="80">
        <f>IF(A13="","",SUMIFS(BEMANNINGSPLAN!$Z$5:$Z$546,BEMANNINGSPLAN!$J$5:$J$546,A13))</f>
        <v>0</v>
      </c>
      <c r="N13" s="84"/>
      <c r="O13" s="30"/>
      <c r="P13" s="30"/>
      <c r="Q13" s="138" t="str">
        <f>IF(OR(MATCHER!A13="",MATCHER!K13&lt;&gt;"Ja",AND(MATCHER!J13&lt;&gt;MATCHER!F13,LEFT(MATCHER!J13,LEN(MATCHER!F13)+1)&lt;&gt;MATCHER!F13&amp;" ",LEFT(MATCHER!E13,13)&lt;&gt;"Arrangörsskap")),"",IF(COUNTIFS(MATCHER!$B$5:B13,MATCHER!B13,MATCHER!$D$5:D13,MATCHER!D13,MATCHER!$F$5:F13,MATCHER!F13,MATCHER!$K$5:K13,"Ja",MATCHER!$J$5:J13,MATCHER!F13)+COUNTIFS(MATCHER!$B$5:B13,MATCHER!B13,MATCHER!$D$5:D13,MATCHER!D13,MATCHER!$F$5:F13,MATCHER!F13,MATCHER!$K$5:K13,"Ja",MATCHER!$J$5:J13,MATCHER!F13&amp;" *")+COUNTIFS(MATCHER!$B$5:B13,MATCHER!B13,MATCHER!$D$5:D13,MATCHER!D13,MATCHER!$F$5:F13,MATCHER!F13,MATCHER!$K$5:K13,"Ja",MATCHER!$E$5:E13,"Arrangörsskap*")=1,MATCHER!F13,""))</f>
        <v/>
      </c>
    </row>
    <row r="14" spans="1:17" ht="13">
      <c r="A14" s="83" t="str">
        <f>REGLER!I15</f>
        <v>F19</v>
      </c>
      <c r="B14" s="80">
        <f t="shared" si="0"/>
        <v>10</v>
      </c>
      <c r="C14" s="80">
        <f>IF(A14="","",COUNTIFS(MATCHER!$F$5:$F$504,A14,MATCHER!$K$5:$K$504,"Ja",MATCHER!$J$5:$J$504,"&lt;&gt;"))</f>
        <v>14</v>
      </c>
      <c r="D14" s="80">
        <f>IF(A14="","",SUMIFS(BEMANNINGSPLAN!$U$5:$U$546,BEMANNINGSPLAN!$J$5:$J$546,A14))</f>
        <v>10</v>
      </c>
      <c r="E14" s="80">
        <f>IF(A14="","",COUNTIFS(BEMANNINGSPLAN!$J$5:$J$546,A14,BEMANNINGSPLAN!$U$5:$U$546,1,BEMANNINGSPLAN!$AE$5:$AE$546,"&gt;0",BEMANNINGSPLAN!$AE$5:$AE$546,"&lt;=2"))</f>
        <v>0</v>
      </c>
      <c r="F14" s="81">
        <f>IF(A14="","",SUMIFS(BEMANNINGSPLAN!$AE$5:$AE$546,BEMANNINGSPLAN!$J$5:$J$546,A14,BEMANNINGSPLAN!$U$5:$U$546,1))</f>
        <v>27.500000000000099</v>
      </c>
      <c r="G14" s="81">
        <f t="shared" si="1"/>
        <v>2.7500000000000098</v>
      </c>
      <c r="H14" s="81">
        <f t="shared" si="2"/>
        <v>1</v>
      </c>
      <c r="I14" s="81">
        <f t="shared" si="3"/>
        <v>2.7500000000000098</v>
      </c>
      <c r="J14" s="81">
        <f t="shared" si="4"/>
        <v>0.7142857142857143</v>
      </c>
      <c r="K14" s="81">
        <f t="shared" si="5"/>
        <v>1.9642857142857213</v>
      </c>
      <c r="L14" s="80">
        <f>IF(A14="","",SUMIFS(BEMANNINGSPLAN!$Y$5:$Y$546,BEMANNINGSPLAN!$J$5:$J$546,A14))</f>
        <v>10</v>
      </c>
      <c r="M14" s="80">
        <f>IF(A14="","",SUMIFS(BEMANNINGSPLAN!$Z$5:$Z$546,BEMANNINGSPLAN!$J$5:$J$546,A14))</f>
        <v>10</v>
      </c>
      <c r="N14" s="84"/>
      <c r="O14" s="30"/>
      <c r="P14" s="30"/>
      <c r="Q14" s="138" t="str">
        <f>IF(OR(MATCHER!A14="",MATCHER!K14&lt;&gt;"Ja",AND(MATCHER!J14&lt;&gt;MATCHER!F14,LEFT(MATCHER!J14,LEN(MATCHER!F14)+1)&lt;&gt;MATCHER!F14&amp;" ",LEFT(MATCHER!E14,13)&lt;&gt;"Arrangörsskap")),"",IF(COUNTIFS(MATCHER!$B$5:B14,MATCHER!B14,MATCHER!$D$5:D14,MATCHER!D14,MATCHER!$F$5:F14,MATCHER!F14,MATCHER!$K$5:K14,"Ja",MATCHER!$J$5:J14,MATCHER!F14)+COUNTIFS(MATCHER!$B$5:B14,MATCHER!B14,MATCHER!$D$5:D14,MATCHER!D14,MATCHER!$F$5:F14,MATCHER!F14,MATCHER!$K$5:K14,"Ja",MATCHER!$J$5:J14,MATCHER!F14&amp;" *")+COUNTIFS(MATCHER!$B$5:B14,MATCHER!B14,MATCHER!$D$5:D14,MATCHER!D14,MATCHER!$F$5:F14,MATCHER!F14,MATCHER!$K$5:K14,"Ja",MATCHER!$E$5:E14,"Arrangörsskap*")=1,MATCHER!F14,""))</f>
        <v/>
      </c>
    </row>
    <row r="15" spans="1:17" ht="13">
      <c r="A15" s="83" t="str">
        <f>REGLER!I16</f>
        <v>P9</v>
      </c>
      <c r="B15" s="80">
        <f t="shared" si="0"/>
        <v>0</v>
      </c>
      <c r="C15" s="80">
        <f>IF(A15="","",COUNTIFS(MATCHER!$F$5:$F$504,A15,MATCHER!$K$5:$K$504,"Ja",MATCHER!$J$5:$J$504,"&lt;&gt;"))</f>
        <v>0</v>
      </c>
      <c r="D15" s="80">
        <f>IF(A15="","",SUMIFS(BEMANNINGSPLAN!$U$5:$U$546,BEMANNINGSPLAN!$J$5:$J$546,A15))</f>
        <v>15</v>
      </c>
      <c r="E15" s="80">
        <f>IF(A15="","",COUNTIFS(BEMANNINGSPLAN!$J$5:$J$546,A15,BEMANNINGSPLAN!$U$5:$U$546,1,BEMANNINGSPLAN!$AE$5:$AE$546,"&gt;0",BEMANNINGSPLAN!$AE$5:$AE$546,"&lt;=2"))</f>
        <v>15</v>
      </c>
      <c r="F15" s="81">
        <f>IF(A15="","",SUMIFS(BEMANNINGSPLAN!$AE$5:$AE$546,BEMANNINGSPLAN!$J$5:$J$546,A15,BEMANNINGSPLAN!$U$5:$U$546,1))</f>
        <v>7.5000000000000071</v>
      </c>
      <c r="G15" s="81">
        <f t="shared" si="1"/>
        <v>0.50000000000000044</v>
      </c>
      <c r="H15" s="81">
        <f t="shared" si="2"/>
        <v>0</v>
      </c>
      <c r="I15" s="81">
        <f t="shared" si="3"/>
        <v>0</v>
      </c>
      <c r="J15" s="81">
        <f t="shared" si="4"/>
        <v>0</v>
      </c>
      <c r="K15" s="81">
        <f t="shared" si="5"/>
        <v>0</v>
      </c>
      <c r="L15" s="80">
        <f>IF(A15="","",SUMIFS(BEMANNINGSPLAN!$Y$5:$Y$546,BEMANNINGSPLAN!$J$5:$J$546,A15))</f>
        <v>0</v>
      </c>
      <c r="M15" s="80">
        <f>IF(A15="","",SUMIFS(BEMANNINGSPLAN!$Z$5:$Z$546,BEMANNINGSPLAN!$J$5:$J$546,A15))</f>
        <v>1</v>
      </c>
      <c r="N15" s="84"/>
      <c r="O15" s="30"/>
      <c r="P15" s="30"/>
      <c r="Q15" s="138" t="str">
        <f>IF(OR(MATCHER!A15="",MATCHER!K15&lt;&gt;"Ja",AND(MATCHER!J15&lt;&gt;MATCHER!F15,LEFT(MATCHER!J15,LEN(MATCHER!F15)+1)&lt;&gt;MATCHER!F15&amp;" ",LEFT(MATCHER!E15,13)&lt;&gt;"Arrangörsskap")),"",IF(COUNTIFS(MATCHER!$B$5:B15,MATCHER!B15,MATCHER!$D$5:D15,MATCHER!D15,MATCHER!$F$5:F15,MATCHER!F15,MATCHER!$K$5:K15,"Ja",MATCHER!$J$5:J15,MATCHER!F15)+COUNTIFS(MATCHER!$B$5:B15,MATCHER!B15,MATCHER!$D$5:D15,MATCHER!D15,MATCHER!$F$5:F15,MATCHER!F15,MATCHER!$K$5:K15,"Ja",MATCHER!$J$5:J15,MATCHER!F15&amp;" *")+COUNTIFS(MATCHER!$B$5:B15,MATCHER!B15,MATCHER!$D$5:D15,MATCHER!D15,MATCHER!$F$5:F15,MATCHER!F15,MATCHER!$K$5:K15,"Ja",MATCHER!$E$5:E15,"Arrangörsskap*")=1,MATCHER!F15,""))</f>
        <v>F13</v>
      </c>
    </row>
    <row r="16" spans="1:17" ht="13">
      <c r="A16" s="83" t="str">
        <f>REGLER!I17</f>
        <v>P10</v>
      </c>
      <c r="B16" s="80">
        <f t="shared" si="0"/>
        <v>1</v>
      </c>
      <c r="C16" s="80">
        <f>IF(A16="","",COUNTIFS(MATCHER!$F$5:$F$504,A16,MATCHER!$K$5:$K$504,"Ja",MATCHER!$J$5:$J$504,"&lt;&gt;"))</f>
        <v>5</v>
      </c>
      <c r="D16" s="80">
        <f>IF(A16="","",SUMIFS(BEMANNINGSPLAN!$U$5:$U$546,BEMANNINGSPLAN!$J$5:$J$546,A16))</f>
        <v>15</v>
      </c>
      <c r="E16" s="80">
        <f>IF(A16="","",COUNTIFS(BEMANNINGSPLAN!$J$5:$J$546,A16,BEMANNINGSPLAN!$U$5:$U$546,1,BEMANNINGSPLAN!$AE$5:$AE$546,"&gt;0",BEMANNINGSPLAN!$AE$5:$AE$546,"&lt;=2"))</f>
        <v>14</v>
      </c>
      <c r="F16" s="81">
        <f>IF(A16="","",SUMIFS(BEMANNINGSPLAN!$AE$5:$AE$546,BEMANNINGSPLAN!$J$5:$J$546,A16,BEMANNINGSPLAN!$U$5:$U$546,1))</f>
        <v>11.749999999999899</v>
      </c>
      <c r="G16" s="81">
        <f t="shared" si="1"/>
        <v>0.78333333333332655</v>
      </c>
      <c r="H16" s="81">
        <f t="shared" si="2"/>
        <v>15</v>
      </c>
      <c r="I16" s="81">
        <f t="shared" si="3"/>
        <v>11.749999999999899</v>
      </c>
      <c r="J16" s="81">
        <f t="shared" si="4"/>
        <v>3</v>
      </c>
      <c r="K16" s="81">
        <f t="shared" si="5"/>
        <v>2.3499999999999797</v>
      </c>
      <c r="L16" s="80">
        <f>IF(A16="","",SUMIFS(BEMANNINGSPLAN!$Y$5:$Y$546,BEMANNINGSPLAN!$J$5:$J$546,A16))</f>
        <v>1</v>
      </c>
      <c r="M16" s="80">
        <f>IF(A16="","",SUMIFS(BEMANNINGSPLAN!$Z$5:$Z$546,BEMANNINGSPLAN!$J$5:$J$546,A16))</f>
        <v>1</v>
      </c>
      <c r="N16" s="84"/>
      <c r="O16" s="30"/>
      <c r="P16" s="30"/>
      <c r="Q16" s="138" t="str">
        <f>IF(OR(MATCHER!A16="",MATCHER!K16&lt;&gt;"Ja",AND(MATCHER!J16&lt;&gt;MATCHER!F16,LEFT(MATCHER!J16,LEN(MATCHER!F16)+1)&lt;&gt;MATCHER!F16&amp;" ",LEFT(MATCHER!E16,13)&lt;&gt;"Arrangörsskap")),"",IF(COUNTIFS(MATCHER!$B$5:B16,MATCHER!B16,MATCHER!$D$5:D16,MATCHER!D16,MATCHER!$F$5:F16,MATCHER!F16,MATCHER!$K$5:K16,"Ja",MATCHER!$J$5:J16,MATCHER!F16)+COUNTIFS(MATCHER!$B$5:B16,MATCHER!B16,MATCHER!$D$5:D16,MATCHER!D16,MATCHER!$F$5:F16,MATCHER!F16,MATCHER!$K$5:K16,"Ja",MATCHER!$J$5:J16,MATCHER!F16&amp;" *")+COUNTIFS(MATCHER!$B$5:B16,MATCHER!B16,MATCHER!$D$5:D16,MATCHER!D16,MATCHER!$F$5:F16,MATCHER!F16,MATCHER!$K$5:K16,"Ja",MATCHER!$E$5:E16,"Arrangörsskap*")=1,MATCHER!F16,""))</f>
        <v/>
      </c>
    </row>
    <row r="17" spans="1:17" ht="13">
      <c r="A17" s="83" t="str">
        <f>REGLER!I18</f>
        <v>P11</v>
      </c>
      <c r="B17" s="80">
        <f t="shared" si="0"/>
        <v>0</v>
      </c>
      <c r="C17" s="80">
        <f>IF(A17="","",COUNTIFS(MATCHER!$F$5:$F$504,A17,MATCHER!$K$5:$K$504,"Ja",MATCHER!$J$5:$J$504,"&lt;&gt;"))</f>
        <v>2</v>
      </c>
      <c r="D17" s="80">
        <f>IF(A17="","",SUMIFS(BEMANNINGSPLAN!$U$5:$U$546,BEMANNINGSPLAN!$J$5:$J$546,A17))</f>
        <v>0</v>
      </c>
      <c r="E17" s="80">
        <f>IF(A17="","",COUNTIFS(BEMANNINGSPLAN!$J$5:$J$546,A17,BEMANNINGSPLAN!$U$5:$U$546,1,BEMANNINGSPLAN!$AE$5:$AE$546,"&gt;0",BEMANNINGSPLAN!$AE$5:$AE$546,"&lt;=2"))</f>
        <v>0</v>
      </c>
      <c r="F17" s="81">
        <f>IF(A17="","",SUMIFS(BEMANNINGSPLAN!$AE$5:$AE$546,BEMANNINGSPLAN!$J$5:$J$546,A17,BEMANNINGSPLAN!$U$5:$U$546,1))</f>
        <v>0</v>
      </c>
      <c r="G17" s="81">
        <f t="shared" si="1"/>
        <v>0</v>
      </c>
      <c r="H17" s="81">
        <f t="shared" si="2"/>
        <v>0</v>
      </c>
      <c r="I17" s="81">
        <f t="shared" si="3"/>
        <v>0</v>
      </c>
      <c r="J17" s="81">
        <f t="shared" si="4"/>
        <v>0</v>
      </c>
      <c r="K17" s="81">
        <f t="shared" si="5"/>
        <v>0</v>
      </c>
      <c r="L17" s="80">
        <f>IF(A17="","",SUMIFS(BEMANNINGSPLAN!$Y$5:$Y$546,BEMANNINGSPLAN!$J$5:$J$546,A17))</f>
        <v>0</v>
      </c>
      <c r="M17" s="80">
        <f>IF(A17="","",SUMIFS(BEMANNINGSPLAN!$Z$5:$Z$546,BEMANNINGSPLAN!$J$5:$J$546,A17))</f>
        <v>0</v>
      </c>
      <c r="N17" s="84"/>
      <c r="O17" s="30"/>
      <c r="P17" s="30"/>
      <c r="Q17" s="138" t="str">
        <f>IF(OR(MATCHER!A17="",MATCHER!K17&lt;&gt;"Ja",AND(MATCHER!J17&lt;&gt;MATCHER!F17,LEFT(MATCHER!J17,LEN(MATCHER!F17)+1)&lt;&gt;MATCHER!F17&amp;" ",LEFT(MATCHER!E17,13)&lt;&gt;"Arrangörsskap")),"",IF(COUNTIFS(MATCHER!$B$5:B17,MATCHER!B17,MATCHER!$D$5:D17,MATCHER!D17,MATCHER!$F$5:F17,MATCHER!F17,MATCHER!$K$5:K17,"Ja",MATCHER!$J$5:J17,MATCHER!F17)+COUNTIFS(MATCHER!$B$5:B17,MATCHER!B17,MATCHER!$D$5:D17,MATCHER!D17,MATCHER!$F$5:F17,MATCHER!F17,MATCHER!$K$5:K17,"Ja",MATCHER!$J$5:J17,MATCHER!F17&amp;" *")+COUNTIFS(MATCHER!$B$5:B17,MATCHER!B17,MATCHER!$D$5:D17,MATCHER!D17,MATCHER!$F$5:F17,MATCHER!F17,MATCHER!$K$5:K17,"Ja",MATCHER!$E$5:E17,"Arrangörsskap*")=1,MATCHER!F17,""))</f>
        <v>P16</v>
      </c>
    </row>
    <row r="18" spans="1:17" ht="13">
      <c r="A18" s="83" t="str">
        <f>REGLER!I19</f>
        <v>P12</v>
      </c>
      <c r="B18" s="80">
        <f t="shared" si="0"/>
        <v>5</v>
      </c>
      <c r="C18" s="80">
        <f>IF(A18="","",COUNTIFS(MATCHER!$F$5:$F$504,A18,MATCHER!$K$5:$K$504,"Ja",MATCHER!$J$5:$J$504,"&lt;&gt;"))</f>
        <v>26</v>
      </c>
      <c r="D18" s="80">
        <f>IF(A18="","",SUMIFS(BEMANNINGSPLAN!$U$5:$U$546,BEMANNINGSPLAN!$J$5:$J$546,A18))</f>
        <v>8</v>
      </c>
      <c r="E18" s="80">
        <f>IF(A18="","",COUNTIFS(BEMANNINGSPLAN!$J$5:$J$546,A18,BEMANNINGSPLAN!$U$5:$U$546,1,BEMANNINGSPLAN!$AE$5:$AE$546,"&gt;0",BEMANNINGSPLAN!$AE$5:$AE$546,"&lt;=2"))</f>
        <v>2</v>
      </c>
      <c r="F18" s="81">
        <f>IF(A18="","",SUMIFS(BEMANNINGSPLAN!$AE$5:$AE$546,BEMANNINGSPLAN!$J$5:$J$546,A18,BEMANNINGSPLAN!$U$5:$U$546,1))</f>
        <v>34.750000000000014</v>
      </c>
      <c r="G18" s="81">
        <f t="shared" si="1"/>
        <v>4.3437500000000018</v>
      </c>
      <c r="H18" s="81">
        <f t="shared" si="2"/>
        <v>1.6</v>
      </c>
      <c r="I18" s="81">
        <f t="shared" si="3"/>
        <v>6.9500000000000028</v>
      </c>
      <c r="J18" s="81">
        <f t="shared" si="4"/>
        <v>0.30769230769230771</v>
      </c>
      <c r="K18" s="81">
        <f t="shared" si="5"/>
        <v>1.3365384615384621</v>
      </c>
      <c r="L18" s="80">
        <f>IF(A18="","",SUMIFS(BEMANNINGSPLAN!$Y$5:$Y$546,BEMANNINGSPLAN!$J$5:$J$546,A18))</f>
        <v>6</v>
      </c>
      <c r="M18" s="80">
        <f>IF(A18="","",SUMIFS(BEMANNINGSPLAN!$Z$5:$Z$546,BEMANNINGSPLAN!$J$5:$J$546,A18))</f>
        <v>7</v>
      </c>
      <c r="N18" s="84"/>
      <c r="O18" s="30"/>
      <c r="P18" s="30"/>
      <c r="Q18" s="138" t="str">
        <f>IF(OR(MATCHER!A18="",MATCHER!K18&lt;&gt;"Ja",AND(MATCHER!J18&lt;&gt;MATCHER!F18,LEFT(MATCHER!J18,LEN(MATCHER!F18)+1)&lt;&gt;MATCHER!F18&amp;" ",LEFT(MATCHER!E18,13)&lt;&gt;"Arrangörsskap")),"",IF(COUNTIFS(MATCHER!$B$5:B18,MATCHER!B18,MATCHER!$D$5:D18,MATCHER!D18,MATCHER!$F$5:F18,MATCHER!F18,MATCHER!$K$5:K18,"Ja",MATCHER!$J$5:J18,MATCHER!F18)+COUNTIFS(MATCHER!$B$5:B18,MATCHER!B18,MATCHER!$D$5:D18,MATCHER!D18,MATCHER!$F$5:F18,MATCHER!F18,MATCHER!$K$5:K18,"Ja",MATCHER!$J$5:J18,MATCHER!F18&amp;" *")+COUNTIFS(MATCHER!$B$5:B18,MATCHER!B18,MATCHER!$D$5:D18,MATCHER!D18,MATCHER!$F$5:F18,MATCHER!F18,MATCHER!$K$5:K18,"Ja",MATCHER!$E$5:E18,"Arrangörsskap*")=1,MATCHER!F18,""))</f>
        <v>F12</v>
      </c>
    </row>
    <row r="19" spans="1:17" ht="13">
      <c r="A19" s="83" t="str">
        <f>REGLER!I20</f>
        <v>P13</v>
      </c>
      <c r="B19" s="80">
        <f t="shared" si="0"/>
        <v>0</v>
      </c>
      <c r="C19" s="80">
        <f>IF(A19="","",COUNTIFS(MATCHER!$F$5:$F$504,A19,MATCHER!$K$5:$K$504,"Ja",MATCHER!$J$5:$J$504,"&lt;&gt;"))</f>
        <v>0</v>
      </c>
      <c r="D19" s="80">
        <f>IF(A19="","",SUMIFS(BEMANNINGSPLAN!$U$5:$U$546,BEMANNINGSPLAN!$J$5:$J$546,A19))</f>
        <v>0</v>
      </c>
      <c r="E19" s="80">
        <f>IF(A19="","",COUNTIFS(BEMANNINGSPLAN!$J$5:$J$546,A19,BEMANNINGSPLAN!$U$5:$U$546,1,BEMANNINGSPLAN!$AE$5:$AE$546,"&gt;0",BEMANNINGSPLAN!$AE$5:$AE$546,"&lt;=2"))</f>
        <v>0</v>
      </c>
      <c r="F19" s="81">
        <f>IF(A19="","",SUMIFS(BEMANNINGSPLAN!$AE$5:$AE$546,BEMANNINGSPLAN!$J$5:$J$546,A19,BEMANNINGSPLAN!$U$5:$U$546,1))</f>
        <v>0</v>
      </c>
      <c r="G19" s="81">
        <f t="shared" si="1"/>
        <v>0</v>
      </c>
      <c r="H19" s="81">
        <f t="shared" si="2"/>
        <v>0</v>
      </c>
      <c r="I19" s="81">
        <f t="shared" si="3"/>
        <v>0</v>
      </c>
      <c r="J19" s="81">
        <f t="shared" si="4"/>
        <v>0</v>
      </c>
      <c r="K19" s="81">
        <f t="shared" si="5"/>
        <v>0</v>
      </c>
      <c r="L19" s="80">
        <f>IF(A19="","",SUMIFS(BEMANNINGSPLAN!$Y$5:$Y$546,BEMANNINGSPLAN!$J$5:$J$546,A19))</f>
        <v>0</v>
      </c>
      <c r="M19" s="80">
        <f>IF(A19="","",SUMIFS(BEMANNINGSPLAN!$Z$5:$Z$546,BEMANNINGSPLAN!$J$5:$J$546,A19))</f>
        <v>0</v>
      </c>
      <c r="N19" s="84"/>
      <c r="O19" s="30"/>
      <c r="P19" s="30"/>
      <c r="Q19" s="138" t="str">
        <f>IF(OR(MATCHER!A19="",MATCHER!K19&lt;&gt;"Ja",AND(MATCHER!J19&lt;&gt;MATCHER!F19,LEFT(MATCHER!J19,LEN(MATCHER!F19)+1)&lt;&gt;MATCHER!F19&amp;" ",LEFT(MATCHER!E19,13)&lt;&gt;"Arrangörsskap")),"",IF(COUNTIFS(MATCHER!$B$5:B19,MATCHER!B19,MATCHER!$D$5:D19,MATCHER!D19,MATCHER!$F$5:F19,MATCHER!F19,MATCHER!$K$5:K19,"Ja",MATCHER!$J$5:J19,MATCHER!F19)+COUNTIFS(MATCHER!$B$5:B19,MATCHER!B19,MATCHER!$D$5:D19,MATCHER!D19,MATCHER!$F$5:F19,MATCHER!F19,MATCHER!$K$5:K19,"Ja",MATCHER!$J$5:J19,MATCHER!F19&amp;" *")+COUNTIFS(MATCHER!$B$5:B19,MATCHER!B19,MATCHER!$D$5:D19,MATCHER!D19,MATCHER!$F$5:F19,MATCHER!F19,MATCHER!$K$5:K19,"Ja",MATCHER!$E$5:E19,"Arrangörsskap*")=1,MATCHER!F19,""))</f>
        <v/>
      </c>
    </row>
    <row r="20" spans="1:17" ht="13">
      <c r="A20" s="83" t="str">
        <f>REGLER!I21</f>
        <v>P14</v>
      </c>
      <c r="B20" s="80">
        <f t="shared" si="0"/>
        <v>0</v>
      </c>
      <c r="C20" s="80">
        <f>IF(A20="","",COUNTIFS(MATCHER!$F$5:$F$504,A20,MATCHER!$K$5:$K$504,"Ja",MATCHER!$J$5:$J$504,"&lt;&gt;"))</f>
        <v>0</v>
      </c>
      <c r="D20" s="80">
        <f>IF(A20="","",SUMIFS(BEMANNINGSPLAN!$U$5:$U$546,BEMANNINGSPLAN!$J$5:$J$546,A20))</f>
        <v>0</v>
      </c>
      <c r="E20" s="80">
        <f>IF(A20="","",COUNTIFS(BEMANNINGSPLAN!$J$5:$J$546,A20,BEMANNINGSPLAN!$U$5:$U$546,1,BEMANNINGSPLAN!$AE$5:$AE$546,"&gt;0",BEMANNINGSPLAN!$AE$5:$AE$546,"&lt;=2"))</f>
        <v>0</v>
      </c>
      <c r="F20" s="81">
        <f>IF(A20="","",SUMIFS(BEMANNINGSPLAN!$AE$5:$AE$546,BEMANNINGSPLAN!$J$5:$J$546,A20,BEMANNINGSPLAN!$U$5:$U$546,1))</f>
        <v>0</v>
      </c>
      <c r="G20" s="81">
        <f t="shared" si="1"/>
        <v>0</v>
      </c>
      <c r="H20" s="81">
        <f t="shared" si="2"/>
        <v>0</v>
      </c>
      <c r="I20" s="81">
        <f t="shared" si="3"/>
        <v>0</v>
      </c>
      <c r="J20" s="81">
        <f t="shared" si="4"/>
        <v>0</v>
      </c>
      <c r="K20" s="81">
        <f t="shared" si="5"/>
        <v>0</v>
      </c>
      <c r="L20" s="80">
        <f>IF(A20="","",SUMIFS(BEMANNINGSPLAN!$Y$5:$Y$546,BEMANNINGSPLAN!$J$5:$J$546,A20))</f>
        <v>0</v>
      </c>
      <c r="M20" s="80">
        <f>IF(A20="","",SUMIFS(BEMANNINGSPLAN!$Z$5:$Z$546,BEMANNINGSPLAN!$J$5:$J$546,A20))</f>
        <v>0</v>
      </c>
      <c r="N20" s="84"/>
      <c r="O20" s="30"/>
      <c r="P20" s="30"/>
      <c r="Q20" s="138" t="str">
        <f>IF(OR(MATCHER!A20="",MATCHER!K20&lt;&gt;"Ja",AND(MATCHER!J20&lt;&gt;MATCHER!F20,LEFT(MATCHER!J20,LEN(MATCHER!F20)+1)&lt;&gt;MATCHER!F20&amp;" ",LEFT(MATCHER!E20,13)&lt;&gt;"Arrangörsskap")),"",IF(COUNTIFS(MATCHER!$B$5:B20,MATCHER!B20,MATCHER!$D$5:D20,MATCHER!D20,MATCHER!$F$5:F20,MATCHER!F20,MATCHER!$K$5:K20,"Ja",MATCHER!$J$5:J20,MATCHER!F20)+COUNTIFS(MATCHER!$B$5:B20,MATCHER!B20,MATCHER!$D$5:D20,MATCHER!D20,MATCHER!$F$5:F20,MATCHER!F20,MATCHER!$K$5:K20,"Ja",MATCHER!$J$5:J20,MATCHER!F20&amp;" *")+COUNTIFS(MATCHER!$B$5:B20,MATCHER!B20,MATCHER!$D$5:D20,MATCHER!D20,MATCHER!$F$5:F20,MATCHER!F20,MATCHER!$K$5:K20,"Ja",MATCHER!$E$5:E20,"Arrangörsskap*")=1,MATCHER!F20,""))</f>
        <v/>
      </c>
    </row>
    <row r="21" spans="1:17" ht="13">
      <c r="A21" s="83" t="str">
        <f>REGLER!I22</f>
        <v>P16</v>
      </c>
      <c r="B21" s="80">
        <f t="shared" si="0"/>
        <v>9</v>
      </c>
      <c r="C21" s="80">
        <f>IF(A21="","",COUNTIFS(MATCHER!$F$5:$F$504,A21,MATCHER!$K$5:$K$504,"Ja",MATCHER!$J$5:$J$504,"&lt;&gt;"))</f>
        <v>9</v>
      </c>
      <c r="D21" s="80">
        <f>IF(A21="","",SUMIFS(BEMANNINGSPLAN!$U$5:$U$546,BEMANNINGSPLAN!$J$5:$J$546,A21))</f>
        <v>8</v>
      </c>
      <c r="E21" s="80">
        <f>IF(A21="","",COUNTIFS(BEMANNINGSPLAN!$J$5:$J$546,A21,BEMANNINGSPLAN!$U$5:$U$546,1,BEMANNINGSPLAN!$AE$5:$AE$546,"&gt;0",BEMANNINGSPLAN!$AE$5:$AE$546,"&lt;=2"))</f>
        <v>6</v>
      </c>
      <c r="F21" s="81">
        <f>IF(A21="","",SUMIFS(BEMANNINGSPLAN!$AE$5:$AE$546,BEMANNINGSPLAN!$J$5:$J$546,A21,BEMANNINGSPLAN!$U$5:$U$546,1))</f>
        <v>15.499999999999989</v>
      </c>
      <c r="G21" s="81">
        <f t="shared" si="1"/>
        <v>1.9374999999999987</v>
      </c>
      <c r="H21" s="81">
        <f t="shared" si="2"/>
        <v>0.88888888888888884</v>
      </c>
      <c r="I21" s="81">
        <f t="shared" si="3"/>
        <v>1.722222222222221</v>
      </c>
      <c r="J21" s="81">
        <f t="shared" si="4"/>
        <v>0.88888888888888884</v>
      </c>
      <c r="K21" s="81">
        <f t="shared" si="5"/>
        <v>1.722222222222221</v>
      </c>
      <c r="L21" s="80">
        <f>IF(A21="","",SUMIFS(BEMANNINGSPLAN!$Y$5:$Y$546,BEMANNINGSPLAN!$J$5:$J$546,A21))</f>
        <v>8</v>
      </c>
      <c r="M21" s="80">
        <f>IF(A21="","",SUMIFS(BEMANNINGSPLAN!$Z$5:$Z$546,BEMANNINGSPLAN!$J$5:$J$546,A21))</f>
        <v>8</v>
      </c>
      <c r="N21" s="84"/>
      <c r="O21" s="30"/>
      <c r="P21" s="30"/>
      <c r="Q21" s="138" t="str">
        <f>IF(OR(MATCHER!A21="",MATCHER!K21&lt;&gt;"Ja",AND(MATCHER!J21&lt;&gt;MATCHER!F21,LEFT(MATCHER!J21,LEN(MATCHER!F21)+1)&lt;&gt;MATCHER!F21&amp;" ",LEFT(MATCHER!E21,13)&lt;&gt;"Arrangörsskap")),"",IF(COUNTIFS(MATCHER!$B$5:B21,MATCHER!B21,MATCHER!$D$5:D21,MATCHER!D21,MATCHER!$F$5:F21,MATCHER!F21,MATCHER!$K$5:K21,"Ja",MATCHER!$J$5:J21,MATCHER!F21)+COUNTIFS(MATCHER!$B$5:B21,MATCHER!B21,MATCHER!$D$5:D21,MATCHER!D21,MATCHER!$F$5:F21,MATCHER!F21,MATCHER!$K$5:K21,"Ja",MATCHER!$J$5:J21,MATCHER!F21&amp;" *")+COUNTIFS(MATCHER!$B$5:B21,MATCHER!B21,MATCHER!$D$5:D21,MATCHER!D21,MATCHER!$F$5:F21,MATCHER!F21,MATCHER!$K$5:K21,"Ja",MATCHER!$E$5:E21,"Arrangörsskap*")=1,MATCHER!F21,""))</f>
        <v>F14</v>
      </c>
    </row>
    <row r="22" spans="1:17" ht="13">
      <c r="A22" s="83" t="str">
        <f>REGLER!I23</f>
        <v>P18</v>
      </c>
      <c r="B22" s="80">
        <f t="shared" si="0"/>
        <v>0</v>
      </c>
      <c r="C22" s="80">
        <f>IF(A22="","",COUNTIFS(MATCHER!$F$5:$F$504,A22,MATCHER!$K$5:$K$504,"Ja",MATCHER!$J$5:$J$504,"&lt;&gt;"))</f>
        <v>0</v>
      </c>
      <c r="D22" s="80">
        <f>IF(A22="","",SUMIFS(BEMANNINGSPLAN!$U$5:$U$546,BEMANNINGSPLAN!$J$5:$J$546,A22))</f>
        <v>0</v>
      </c>
      <c r="E22" s="80">
        <f>IF(A22="","",COUNTIFS(BEMANNINGSPLAN!$J$5:$J$546,A22,BEMANNINGSPLAN!$U$5:$U$546,1,BEMANNINGSPLAN!$AE$5:$AE$546,"&gt;0",BEMANNINGSPLAN!$AE$5:$AE$546,"&lt;=2"))</f>
        <v>0</v>
      </c>
      <c r="F22" s="81">
        <f>IF(A22="","",SUMIFS(BEMANNINGSPLAN!$AE$5:$AE$546,BEMANNINGSPLAN!$J$5:$J$546,A22,BEMANNINGSPLAN!$U$5:$U$546,1))</f>
        <v>0</v>
      </c>
      <c r="G22" s="81">
        <f t="shared" si="1"/>
        <v>0</v>
      </c>
      <c r="H22" s="81">
        <f t="shared" si="2"/>
        <v>0</v>
      </c>
      <c r="I22" s="81">
        <f t="shared" si="3"/>
        <v>0</v>
      </c>
      <c r="J22" s="81">
        <f t="shared" si="4"/>
        <v>0</v>
      </c>
      <c r="K22" s="81">
        <f t="shared" si="5"/>
        <v>0</v>
      </c>
      <c r="L22" s="80">
        <f>IF(A22="","",SUMIFS(BEMANNINGSPLAN!$Y$5:$Y$546,BEMANNINGSPLAN!$J$5:$J$546,A22))</f>
        <v>0</v>
      </c>
      <c r="M22" s="80">
        <f>IF(A22="","",SUMIFS(BEMANNINGSPLAN!$Z$5:$Z$546,BEMANNINGSPLAN!$J$5:$J$546,A22))</f>
        <v>0</v>
      </c>
      <c r="N22" s="84"/>
      <c r="O22" s="30"/>
      <c r="P22" s="30"/>
      <c r="Q22" s="138" t="str">
        <f>IF(OR(MATCHER!A22="",MATCHER!K22&lt;&gt;"Ja",AND(MATCHER!J22&lt;&gt;MATCHER!F22,LEFT(MATCHER!J22,LEN(MATCHER!F22)+1)&lt;&gt;MATCHER!F22&amp;" ",LEFT(MATCHER!E22,13)&lt;&gt;"Arrangörsskap")),"",IF(COUNTIFS(MATCHER!$B$5:B22,MATCHER!B22,MATCHER!$D$5:D22,MATCHER!D22,MATCHER!$F$5:F22,MATCHER!F22,MATCHER!$K$5:K22,"Ja",MATCHER!$J$5:J22,MATCHER!F22)+COUNTIFS(MATCHER!$B$5:B22,MATCHER!B22,MATCHER!$D$5:D22,MATCHER!D22,MATCHER!$F$5:F22,MATCHER!F22,MATCHER!$K$5:K22,"Ja",MATCHER!$J$5:J22,MATCHER!F22&amp;" *")+COUNTIFS(MATCHER!$B$5:B22,MATCHER!B22,MATCHER!$D$5:D22,MATCHER!D22,MATCHER!$F$5:F22,MATCHER!F22,MATCHER!$K$5:K22,"Ja",MATCHER!$E$5:E22,"Arrangörsskap*")=1,MATCHER!F22,""))</f>
        <v/>
      </c>
    </row>
    <row r="23" spans="1:17" ht="13">
      <c r="A23" s="83" t="str">
        <f>REGLER!I24</f>
        <v>Dam</v>
      </c>
      <c r="B23" s="80">
        <f t="shared" si="0"/>
        <v>6</v>
      </c>
      <c r="C23" s="80">
        <f>IF(A23="","",COUNTIFS(MATCHER!$F$5:$F$504,A23,MATCHER!$K$5:$K$504,"Ja",MATCHER!$J$5:$J$504,"&lt;&gt;"))</f>
        <v>6</v>
      </c>
      <c r="D23" s="80">
        <f>IF(A23="","",SUMIFS(BEMANNINGSPLAN!$U$5:$U$546,BEMANNINGSPLAN!$J$5:$J$546,A23))</f>
        <v>0</v>
      </c>
      <c r="E23" s="80">
        <f>IF(A23="","",COUNTIFS(BEMANNINGSPLAN!$J$5:$J$546,A23,BEMANNINGSPLAN!$U$5:$U$546,1,BEMANNINGSPLAN!$AE$5:$AE$546,"&gt;0",BEMANNINGSPLAN!$AE$5:$AE$546,"&lt;=2"))</f>
        <v>0</v>
      </c>
      <c r="F23" s="81">
        <f>IF(A23="","",SUMIFS(BEMANNINGSPLAN!$AE$5:$AE$546,BEMANNINGSPLAN!$J$5:$J$546,A23,BEMANNINGSPLAN!$U$5:$U$546,1))</f>
        <v>0</v>
      </c>
      <c r="G23" s="81">
        <f t="shared" si="1"/>
        <v>0</v>
      </c>
      <c r="H23" s="81">
        <f t="shared" si="2"/>
        <v>0</v>
      </c>
      <c r="I23" s="81">
        <f t="shared" si="3"/>
        <v>0</v>
      </c>
      <c r="J23" s="81">
        <f t="shared" si="4"/>
        <v>0</v>
      </c>
      <c r="K23" s="81">
        <f t="shared" si="5"/>
        <v>0</v>
      </c>
      <c r="L23" s="80">
        <f>IF(A23="","",SUMIFS(BEMANNINGSPLAN!$Y$5:$Y$546,BEMANNINGSPLAN!$J$5:$J$546,A23))</f>
        <v>0</v>
      </c>
      <c r="M23" s="80">
        <f>IF(A23="","",SUMIFS(BEMANNINGSPLAN!$Z$5:$Z$546,BEMANNINGSPLAN!$J$5:$J$546,A23))</f>
        <v>0</v>
      </c>
      <c r="N23" s="84"/>
      <c r="O23" s="30"/>
      <c r="P23" s="30"/>
      <c r="Q23" s="138" t="str">
        <f>IF(OR(MATCHER!A23="",MATCHER!K23&lt;&gt;"Ja",AND(MATCHER!J23&lt;&gt;MATCHER!F23,LEFT(MATCHER!J23,LEN(MATCHER!F23)+1)&lt;&gt;MATCHER!F23&amp;" ",LEFT(MATCHER!E23,13)&lt;&gt;"Arrangörsskap")),"",IF(COUNTIFS(MATCHER!$B$5:B23,MATCHER!B23,MATCHER!$D$5:D23,MATCHER!D23,MATCHER!$F$5:F23,MATCHER!F23,MATCHER!$K$5:K23,"Ja",MATCHER!$J$5:J23,MATCHER!F23)+COUNTIFS(MATCHER!$B$5:B23,MATCHER!B23,MATCHER!$D$5:D23,MATCHER!D23,MATCHER!$F$5:F23,MATCHER!F23,MATCHER!$K$5:K23,"Ja",MATCHER!$J$5:J23,MATCHER!F23&amp;" *")+COUNTIFS(MATCHER!$B$5:B23,MATCHER!B23,MATCHER!$D$5:D23,MATCHER!D23,MATCHER!$F$5:F23,MATCHER!F23,MATCHER!$K$5:K23,"Ja",MATCHER!$E$5:E23,"Arrangörsskap*")=1,MATCHER!F23,""))</f>
        <v>F19</v>
      </c>
    </row>
    <row r="24" spans="1:17" ht="13">
      <c r="A24" s="83" t="str">
        <f>REGLER!I25</f>
        <v>Herr</v>
      </c>
      <c r="B24" s="80">
        <f t="shared" si="0"/>
        <v>5</v>
      </c>
      <c r="C24" s="80">
        <f>IF(A24="","",COUNTIFS(MATCHER!$F$5:$F$504,A24,MATCHER!$K$5:$K$504,"Ja",MATCHER!$J$5:$J$504,"&lt;&gt;"))</f>
        <v>5</v>
      </c>
      <c r="D24" s="80">
        <f>IF(A24="","",SUMIFS(BEMANNINGSPLAN!$U$5:$U$546,BEMANNINGSPLAN!$J$5:$J$546,A24))</f>
        <v>0</v>
      </c>
      <c r="E24" s="80">
        <f>IF(A24="","",COUNTIFS(BEMANNINGSPLAN!$J$5:$J$546,A24,BEMANNINGSPLAN!$U$5:$U$546,1,BEMANNINGSPLAN!$AE$5:$AE$546,"&gt;0",BEMANNINGSPLAN!$AE$5:$AE$546,"&lt;=2"))</f>
        <v>0</v>
      </c>
      <c r="F24" s="81">
        <f>IF(A24="","",SUMIFS(BEMANNINGSPLAN!$AE$5:$AE$546,BEMANNINGSPLAN!$J$5:$J$546,A24,BEMANNINGSPLAN!$U$5:$U$546,1))</f>
        <v>0</v>
      </c>
      <c r="G24" s="81">
        <f t="shared" si="1"/>
        <v>0</v>
      </c>
      <c r="H24" s="81">
        <f t="shared" si="2"/>
        <v>0</v>
      </c>
      <c r="I24" s="81">
        <f t="shared" si="3"/>
        <v>0</v>
      </c>
      <c r="J24" s="81">
        <f t="shared" si="4"/>
        <v>0</v>
      </c>
      <c r="K24" s="81">
        <f t="shared" si="5"/>
        <v>0</v>
      </c>
      <c r="L24" s="80">
        <f>IF(A24="","",SUMIFS(BEMANNINGSPLAN!$Y$5:$Y$546,BEMANNINGSPLAN!$J$5:$J$546,A24))</f>
        <v>0</v>
      </c>
      <c r="M24" s="80">
        <f>IF(A24="","",SUMIFS(BEMANNINGSPLAN!$Z$5:$Z$546,BEMANNINGSPLAN!$J$5:$J$546,A24))</f>
        <v>0</v>
      </c>
      <c r="N24" s="84"/>
      <c r="O24" s="30"/>
      <c r="P24" s="30"/>
      <c r="Q24" s="138" t="str">
        <f>IF(OR(MATCHER!A24="",MATCHER!K24&lt;&gt;"Ja",AND(MATCHER!J24&lt;&gt;MATCHER!F24,LEFT(MATCHER!J24,LEN(MATCHER!F24)+1)&lt;&gt;MATCHER!F24&amp;" ",LEFT(MATCHER!E24,13)&lt;&gt;"Arrangörsskap")),"",IF(COUNTIFS(MATCHER!$B$5:B24,MATCHER!B24,MATCHER!$D$5:D24,MATCHER!D24,MATCHER!$F$5:F24,MATCHER!F24,MATCHER!$K$5:K24,"Ja",MATCHER!$J$5:J24,MATCHER!F24)+COUNTIFS(MATCHER!$B$5:B24,MATCHER!B24,MATCHER!$D$5:D24,MATCHER!D24,MATCHER!$F$5:F24,MATCHER!F24,MATCHER!$K$5:K24,"Ja",MATCHER!$J$5:J24,MATCHER!F24&amp;" *")+COUNTIFS(MATCHER!$B$5:B24,MATCHER!B24,MATCHER!$D$5:D24,MATCHER!D24,MATCHER!$F$5:F24,MATCHER!F24,MATCHER!$K$5:K24,"Ja",MATCHER!$E$5:E24,"Arrangörsskap*")=1,MATCHER!F24,""))</f>
        <v>Herr</v>
      </c>
    </row>
    <row r="25" spans="1:17" ht="13">
      <c r="A25" s="83" t="str">
        <f>REGLER!I26</f>
        <v>Kontrollera</v>
      </c>
      <c r="B25" s="80">
        <f t="shared" si="0"/>
        <v>5</v>
      </c>
      <c r="C25" s="80">
        <f>IF(A25="","",COUNTIFS(MATCHER!$F$5:$F$504,A25,MATCHER!$K$5:$K$504,"Ja",MATCHER!$J$5:$J$504,"&lt;&gt;"))</f>
        <v>5</v>
      </c>
      <c r="D25" s="80">
        <f>IF(A25="","",SUMIFS(BEMANNINGSPLAN!$U$5:$U$546,BEMANNINGSPLAN!$J$5:$J$546,A25))</f>
        <v>0</v>
      </c>
      <c r="E25" s="80">
        <f>IF(A25="","",COUNTIFS(BEMANNINGSPLAN!$J$5:$J$546,A25,BEMANNINGSPLAN!$U$5:$U$546,1,BEMANNINGSPLAN!$AE$5:$AE$546,"&gt;0",BEMANNINGSPLAN!$AE$5:$AE$546,"&lt;=2"))</f>
        <v>0</v>
      </c>
      <c r="F25" s="81">
        <f>IF(A25="","",SUMIFS(BEMANNINGSPLAN!$AE$5:$AE$546,BEMANNINGSPLAN!$J$5:$J$546,A25,BEMANNINGSPLAN!$U$5:$U$546,1))</f>
        <v>0</v>
      </c>
      <c r="G25" s="81">
        <f t="shared" si="1"/>
        <v>0</v>
      </c>
      <c r="H25" s="81">
        <f t="shared" si="2"/>
        <v>0</v>
      </c>
      <c r="I25" s="81">
        <f t="shared" si="3"/>
        <v>0</v>
      </c>
      <c r="J25" s="81">
        <f t="shared" si="4"/>
        <v>0</v>
      </c>
      <c r="K25" s="81">
        <f t="shared" si="5"/>
        <v>0</v>
      </c>
      <c r="L25" s="80">
        <f>IF(A25="","",SUMIFS(BEMANNINGSPLAN!$Y$5:$Y$546,BEMANNINGSPLAN!$J$5:$J$546,A25))</f>
        <v>0</v>
      </c>
      <c r="M25" s="80">
        <f>IF(A25="","",SUMIFS(BEMANNINGSPLAN!$Z$5:$Z$546,BEMANNINGSPLAN!$J$5:$J$546,A25))</f>
        <v>0</v>
      </c>
      <c r="N25" s="84"/>
      <c r="O25" s="30"/>
      <c r="P25" s="30"/>
      <c r="Q25" s="138" t="str">
        <f>IF(OR(MATCHER!A25="",MATCHER!K25&lt;&gt;"Ja",AND(MATCHER!J25&lt;&gt;MATCHER!F25,LEFT(MATCHER!J25,LEN(MATCHER!F25)+1)&lt;&gt;MATCHER!F25&amp;" ",LEFT(MATCHER!E25,13)&lt;&gt;"Arrangörsskap")),"",IF(COUNTIFS(MATCHER!$B$5:B25,MATCHER!B25,MATCHER!$D$5:D25,MATCHER!D25,MATCHER!$F$5:F25,MATCHER!F25,MATCHER!$K$5:K25,"Ja",MATCHER!$J$5:J25,MATCHER!F25)+COUNTIFS(MATCHER!$B$5:B25,MATCHER!B25,MATCHER!$D$5:D25,MATCHER!D25,MATCHER!$F$5:F25,MATCHER!F25,MATCHER!$K$5:K25,"Ja",MATCHER!$J$5:J25,MATCHER!F25&amp;" *")+COUNTIFS(MATCHER!$B$5:B25,MATCHER!B25,MATCHER!$D$5:D25,MATCHER!D25,MATCHER!$F$5:F25,MATCHER!F25,MATCHER!$K$5:K25,"Ja",MATCHER!$E$5:E25,"Arrangörsskap*")=1,MATCHER!F25,""))</f>
        <v/>
      </c>
    </row>
    <row r="26" spans="1:17" ht="13">
      <c r="A26" s="85"/>
      <c r="B26" s="86" t="str">
        <f t="shared" si="0"/>
        <v/>
      </c>
      <c r="C26" s="86"/>
      <c r="D26" s="86"/>
      <c r="E26" s="86"/>
      <c r="F26" s="87"/>
      <c r="G26" s="87" t="str">
        <f t="shared" si="1"/>
        <v/>
      </c>
      <c r="H26" s="87" t="str">
        <f t="shared" si="2"/>
        <v/>
      </c>
      <c r="I26" s="87" t="str">
        <f t="shared" si="3"/>
        <v/>
      </c>
      <c r="J26" s="87" t="str">
        <f t="shared" si="4"/>
        <v/>
      </c>
      <c r="K26" s="87" t="str">
        <f t="shared" si="5"/>
        <v/>
      </c>
      <c r="L26" s="86"/>
      <c r="M26" s="86"/>
      <c r="N26" s="88"/>
      <c r="O26" s="30"/>
      <c r="P26" s="30"/>
      <c r="Q26" s="138" t="str">
        <f>IF(OR(MATCHER!A26="",MATCHER!K26&lt;&gt;"Ja",AND(MATCHER!J26&lt;&gt;MATCHER!F26,LEFT(MATCHER!J26,LEN(MATCHER!F26)+1)&lt;&gt;MATCHER!F26&amp;" ",LEFT(MATCHER!E26,13)&lt;&gt;"Arrangörsskap")),"",IF(COUNTIFS(MATCHER!$B$5:B26,MATCHER!B26,MATCHER!$D$5:D26,MATCHER!D26,MATCHER!$F$5:F26,MATCHER!F26,MATCHER!$K$5:K26,"Ja",MATCHER!$J$5:J26,MATCHER!F26)+COUNTIFS(MATCHER!$B$5:B26,MATCHER!B26,MATCHER!$D$5:D26,MATCHER!D26,MATCHER!$F$5:F26,MATCHER!F26,MATCHER!$K$5:K26,"Ja",MATCHER!$J$5:J26,MATCHER!F26&amp;" *")+COUNTIFS(MATCHER!$B$5:B26,MATCHER!B26,MATCHER!$D$5:D26,MATCHER!D26,MATCHER!$F$5:F26,MATCHER!F26,MATCHER!$K$5:K26,"Ja",MATCHER!$E$5:E26,"Arrangörsskap*")=1,MATCHER!F26,""))</f>
        <v/>
      </c>
    </row>
    <row r="27" spans="1:17" ht="13">
      <c r="A27" s="1"/>
      <c r="B27" s="38" t="str">
        <f t="shared" si="0"/>
        <v/>
      </c>
      <c r="C27" s="38"/>
      <c r="D27" s="38"/>
      <c r="E27" s="38"/>
      <c r="F27" s="38"/>
      <c r="G27" s="38" t="str">
        <f t="shared" si="1"/>
        <v/>
      </c>
      <c r="H27" s="38" t="str">
        <f t="shared" si="2"/>
        <v/>
      </c>
      <c r="I27" s="38" t="str">
        <f t="shared" si="3"/>
        <v/>
      </c>
      <c r="J27" s="38" t="str">
        <f t="shared" si="4"/>
        <v/>
      </c>
      <c r="K27" s="38" t="str">
        <f t="shared" si="5"/>
        <v/>
      </c>
      <c r="L27" s="38"/>
      <c r="M27" s="38"/>
      <c r="N27" s="1"/>
      <c r="O27" s="30"/>
      <c r="P27" s="30"/>
      <c r="Q27" s="138" t="str">
        <f>IF(OR(MATCHER!A27="",MATCHER!K27&lt;&gt;"Ja",AND(MATCHER!J27&lt;&gt;MATCHER!F27,LEFT(MATCHER!J27,LEN(MATCHER!F27)+1)&lt;&gt;MATCHER!F27&amp;" ",LEFT(MATCHER!E27,13)&lt;&gt;"Arrangörsskap")),"",IF(COUNTIFS(MATCHER!$B$5:B27,MATCHER!B27,MATCHER!$D$5:D27,MATCHER!D27,MATCHER!$F$5:F27,MATCHER!F27,MATCHER!$K$5:K27,"Ja",MATCHER!$J$5:J27,MATCHER!F27)+COUNTIFS(MATCHER!$B$5:B27,MATCHER!B27,MATCHER!$D$5:D27,MATCHER!D27,MATCHER!$F$5:F27,MATCHER!F27,MATCHER!$K$5:K27,"Ja",MATCHER!$J$5:J27,MATCHER!F27&amp;" *")+COUNTIFS(MATCHER!$B$5:B27,MATCHER!B27,MATCHER!$D$5:D27,MATCHER!D27,MATCHER!$F$5:F27,MATCHER!F27,MATCHER!$K$5:K27,"Ja",MATCHER!$E$5:E27,"Arrangörsskap*")=1,MATCHER!F27,""))</f>
        <v>F10</v>
      </c>
    </row>
    <row r="28" spans="1:17" ht="13">
      <c r="A28" s="1"/>
      <c r="B28" s="38" t="str">
        <f t="shared" si="0"/>
        <v/>
      </c>
      <c r="C28" s="38"/>
      <c r="D28" s="38"/>
      <c r="E28" s="38"/>
      <c r="F28" s="38"/>
      <c r="G28" s="38" t="str">
        <f t="shared" si="1"/>
        <v/>
      </c>
      <c r="H28" s="38" t="str">
        <f t="shared" si="2"/>
        <v/>
      </c>
      <c r="I28" s="38" t="str">
        <f t="shared" si="3"/>
        <v/>
      </c>
      <c r="J28" s="38" t="str">
        <f t="shared" si="4"/>
        <v/>
      </c>
      <c r="K28" s="38" t="str">
        <f t="shared" si="5"/>
        <v/>
      </c>
      <c r="L28" s="38"/>
      <c r="M28" s="38"/>
      <c r="N28" s="1"/>
      <c r="O28" s="30"/>
      <c r="P28" s="30"/>
      <c r="Q28" s="138" t="str">
        <f>IF(OR(MATCHER!A28="",MATCHER!K28&lt;&gt;"Ja",AND(MATCHER!J28&lt;&gt;MATCHER!F28,LEFT(MATCHER!J28,LEN(MATCHER!F28)+1)&lt;&gt;MATCHER!F28&amp;" ",LEFT(MATCHER!E28,13)&lt;&gt;"Arrangörsskap")),"",IF(COUNTIFS(MATCHER!$B$5:B28,MATCHER!B28,MATCHER!$D$5:D28,MATCHER!D28,MATCHER!$F$5:F28,MATCHER!F28,MATCHER!$K$5:K28,"Ja",MATCHER!$J$5:J28,MATCHER!F28)+COUNTIFS(MATCHER!$B$5:B28,MATCHER!B28,MATCHER!$D$5:D28,MATCHER!D28,MATCHER!$F$5:F28,MATCHER!F28,MATCHER!$K$5:K28,"Ja",MATCHER!$J$5:J28,MATCHER!F28&amp;" *")+COUNTIFS(MATCHER!$B$5:B28,MATCHER!B28,MATCHER!$D$5:D28,MATCHER!D28,MATCHER!$F$5:F28,MATCHER!F28,MATCHER!$K$5:K28,"Ja",MATCHER!$E$5:E28,"Arrangörsskap*")=1,MATCHER!F28,""))</f>
        <v/>
      </c>
    </row>
    <row r="29" spans="1:17" ht="13">
      <c r="A29" s="1"/>
      <c r="B29" s="38" t="str">
        <f t="shared" si="0"/>
        <v/>
      </c>
      <c r="C29" s="38"/>
      <c r="D29" s="38"/>
      <c r="E29" s="38"/>
      <c r="F29" s="38"/>
      <c r="G29" s="38" t="str">
        <f t="shared" si="1"/>
        <v/>
      </c>
      <c r="H29" s="38" t="str">
        <f t="shared" si="2"/>
        <v/>
      </c>
      <c r="I29" s="38" t="str">
        <f t="shared" si="3"/>
        <v/>
      </c>
      <c r="J29" s="38" t="str">
        <f t="shared" si="4"/>
        <v/>
      </c>
      <c r="K29" s="38" t="str">
        <f t="shared" si="5"/>
        <v/>
      </c>
      <c r="L29" s="38"/>
      <c r="M29" s="38"/>
      <c r="N29" s="1"/>
      <c r="O29" s="30"/>
      <c r="P29" s="30"/>
      <c r="Q29" s="138" t="str">
        <f>IF(OR(MATCHER!A29="",MATCHER!K29&lt;&gt;"Ja",AND(MATCHER!J29&lt;&gt;MATCHER!F29,LEFT(MATCHER!J29,LEN(MATCHER!F29)+1)&lt;&gt;MATCHER!F29&amp;" ",LEFT(MATCHER!E29,13)&lt;&gt;"Arrangörsskap")),"",IF(COUNTIFS(MATCHER!$B$5:B29,MATCHER!B29,MATCHER!$D$5:D29,MATCHER!D29,MATCHER!$F$5:F29,MATCHER!F29,MATCHER!$K$5:K29,"Ja",MATCHER!$J$5:J29,MATCHER!F29)+COUNTIFS(MATCHER!$B$5:B29,MATCHER!B29,MATCHER!$D$5:D29,MATCHER!D29,MATCHER!$F$5:F29,MATCHER!F29,MATCHER!$K$5:K29,"Ja",MATCHER!$J$5:J29,MATCHER!F29&amp;" *")+COUNTIFS(MATCHER!$B$5:B29,MATCHER!B29,MATCHER!$D$5:D29,MATCHER!D29,MATCHER!$F$5:F29,MATCHER!F29,MATCHER!$K$5:K29,"Ja",MATCHER!$E$5:E29,"Arrangörsskap*")=1,MATCHER!F29,""))</f>
        <v/>
      </c>
    </row>
    <row r="30" spans="1:17" ht="13">
      <c r="A30" s="1"/>
      <c r="B30" s="38"/>
      <c r="C30" s="38"/>
      <c r="D30" s="38"/>
      <c r="E30" s="38"/>
      <c r="F30" s="38"/>
      <c r="G30" s="38"/>
      <c r="H30" s="38"/>
      <c r="I30" s="38"/>
      <c r="J30" s="38"/>
      <c r="K30" s="38"/>
      <c r="L30" s="38"/>
      <c r="M30" s="38"/>
      <c r="N30" s="1"/>
      <c r="O30" s="30"/>
      <c r="P30" s="30"/>
      <c r="Q30" s="138" t="str">
        <f>IF(OR(MATCHER!A30="",MATCHER!K30&lt;&gt;"Ja",AND(MATCHER!J30&lt;&gt;MATCHER!F30,LEFT(MATCHER!J30,LEN(MATCHER!F30)+1)&lt;&gt;MATCHER!F30&amp;" ",LEFT(MATCHER!E30,13)&lt;&gt;"Arrangörsskap")),"",IF(COUNTIFS(MATCHER!$B$5:B30,MATCHER!B30,MATCHER!$D$5:D30,MATCHER!D30,MATCHER!$F$5:F30,MATCHER!F30,MATCHER!$K$5:K30,"Ja",MATCHER!$J$5:J30,MATCHER!F30)+COUNTIFS(MATCHER!$B$5:B30,MATCHER!B30,MATCHER!$D$5:D30,MATCHER!D30,MATCHER!$F$5:F30,MATCHER!F30,MATCHER!$K$5:K30,"Ja",MATCHER!$J$5:J30,MATCHER!F30&amp;" *")+COUNTIFS(MATCHER!$B$5:B30,MATCHER!B30,MATCHER!$D$5:D30,MATCHER!D30,MATCHER!$F$5:F30,MATCHER!F30,MATCHER!$K$5:K30,"Ja",MATCHER!$E$5:E30,"Arrangörsskap*")=1,MATCHER!F30,""))</f>
        <v/>
      </c>
    </row>
    <row r="31" spans="1:17" ht="13">
      <c r="A31" s="1"/>
      <c r="B31" s="38"/>
      <c r="C31" s="38"/>
      <c r="D31" s="38"/>
      <c r="E31" s="38"/>
      <c r="F31" s="38"/>
      <c r="G31" s="38"/>
      <c r="H31" s="38"/>
      <c r="I31" s="38"/>
      <c r="J31" s="38"/>
      <c r="K31" s="38"/>
      <c r="L31" s="38"/>
      <c r="M31" s="38"/>
      <c r="N31" s="1"/>
      <c r="O31" s="30"/>
      <c r="P31" s="30"/>
      <c r="Q31" s="138" t="str">
        <f>IF(OR(MATCHER!A31="",MATCHER!K31&lt;&gt;"Ja",AND(MATCHER!J31&lt;&gt;MATCHER!F31,LEFT(MATCHER!J31,LEN(MATCHER!F31)+1)&lt;&gt;MATCHER!F31&amp;" ",LEFT(MATCHER!E31,13)&lt;&gt;"Arrangörsskap")),"",IF(COUNTIFS(MATCHER!$B$5:B31,MATCHER!B31,MATCHER!$D$5:D31,MATCHER!D31,MATCHER!$F$5:F31,MATCHER!F31,MATCHER!$K$5:K31,"Ja",MATCHER!$J$5:J31,MATCHER!F31)+COUNTIFS(MATCHER!$B$5:B31,MATCHER!B31,MATCHER!$D$5:D31,MATCHER!D31,MATCHER!$F$5:F31,MATCHER!F31,MATCHER!$K$5:K31,"Ja",MATCHER!$J$5:J31,MATCHER!F31&amp;" *")+COUNTIFS(MATCHER!$B$5:B31,MATCHER!B31,MATCHER!$D$5:D31,MATCHER!D31,MATCHER!$F$5:F31,MATCHER!F31,MATCHER!$K$5:K31,"Ja",MATCHER!$E$5:E31,"Arrangörsskap*")=1,MATCHER!F31,""))</f>
        <v/>
      </c>
    </row>
    <row r="32" spans="1:17" ht="13">
      <c r="A32" s="1"/>
      <c r="B32" s="38"/>
      <c r="C32" s="38"/>
      <c r="D32" s="38"/>
      <c r="E32" s="38"/>
      <c r="F32" s="38"/>
      <c r="G32" s="38"/>
      <c r="H32" s="38"/>
      <c r="I32" s="38"/>
      <c r="J32" s="38"/>
      <c r="K32" s="38"/>
      <c r="L32" s="38"/>
      <c r="M32" s="38"/>
      <c r="N32" s="1"/>
      <c r="O32" s="30"/>
      <c r="P32" s="30"/>
      <c r="Q32" s="138" t="str">
        <f>IF(OR(MATCHER!A32="",MATCHER!K32&lt;&gt;"Ja",AND(MATCHER!J32&lt;&gt;MATCHER!F32,LEFT(MATCHER!J32,LEN(MATCHER!F32)+1)&lt;&gt;MATCHER!F32&amp;" ",LEFT(MATCHER!E32,13)&lt;&gt;"Arrangörsskap")),"",IF(COUNTIFS(MATCHER!$B$5:B32,MATCHER!B32,MATCHER!$D$5:D32,MATCHER!D32,MATCHER!$F$5:F32,MATCHER!F32,MATCHER!$K$5:K32,"Ja",MATCHER!$J$5:J32,MATCHER!F32)+COUNTIFS(MATCHER!$B$5:B32,MATCHER!B32,MATCHER!$D$5:D32,MATCHER!D32,MATCHER!$F$5:F32,MATCHER!F32,MATCHER!$K$5:K32,"Ja",MATCHER!$J$5:J32,MATCHER!F32&amp;" *")+COUNTIFS(MATCHER!$B$5:B32,MATCHER!B32,MATCHER!$D$5:D32,MATCHER!D32,MATCHER!$F$5:F32,MATCHER!F32,MATCHER!$K$5:K32,"Ja",MATCHER!$E$5:E32,"Arrangörsskap*")=1,MATCHER!F32,""))</f>
        <v>P16</v>
      </c>
    </row>
    <row r="33" spans="1:17" ht="13">
      <c r="A33" s="1"/>
      <c r="B33" s="38"/>
      <c r="C33" s="38"/>
      <c r="D33" s="38"/>
      <c r="E33" s="38"/>
      <c r="F33" s="38"/>
      <c r="G33" s="38"/>
      <c r="H33" s="38"/>
      <c r="I33" s="38"/>
      <c r="J33" s="38"/>
      <c r="K33" s="38"/>
      <c r="L33" s="38"/>
      <c r="M33" s="38"/>
      <c r="N33" s="1"/>
      <c r="O33" s="30"/>
      <c r="P33" s="30"/>
      <c r="Q33" s="138" t="str">
        <f>IF(OR(MATCHER!A33="",MATCHER!K33&lt;&gt;"Ja",AND(MATCHER!J33&lt;&gt;MATCHER!F33,LEFT(MATCHER!J33,LEN(MATCHER!F33)+1)&lt;&gt;MATCHER!F33&amp;" ",LEFT(MATCHER!E33,13)&lt;&gt;"Arrangörsskap")),"",IF(COUNTIFS(MATCHER!$B$5:B33,MATCHER!B33,MATCHER!$D$5:D33,MATCHER!D33,MATCHER!$F$5:F33,MATCHER!F33,MATCHER!$K$5:K33,"Ja",MATCHER!$J$5:J33,MATCHER!F33)+COUNTIFS(MATCHER!$B$5:B33,MATCHER!B33,MATCHER!$D$5:D33,MATCHER!D33,MATCHER!$F$5:F33,MATCHER!F33,MATCHER!$K$5:K33,"Ja",MATCHER!$J$5:J33,MATCHER!F33&amp;" *")+COUNTIFS(MATCHER!$B$5:B33,MATCHER!B33,MATCHER!$D$5:D33,MATCHER!D33,MATCHER!$F$5:F33,MATCHER!F33,MATCHER!$K$5:K33,"Ja",MATCHER!$E$5:E33,"Arrangörsskap*")=1,MATCHER!F33,""))</f>
        <v>Dam</v>
      </c>
    </row>
    <row r="34" spans="1:17" ht="13">
      <c r="A34" s="1"/>
      <c r="B34" s="38"/>
      <c r="C34" s="38"/>
      <c r="D34" s="38"/>
      <c r="E34" s="38"/>
      <c r="F34" s="38"/>
      <c r="G34" s="38"/>
      <c r="H34" s="38"/>
      <c r="I34" s="38"/>
      <c r="J34" s="38"/>
      <c r="K34" s="38"/>
      <c r="L34" s="38"/>
      <c r="M34" s="38"/>
      <c r="N34" s="1"/>
      <c r="O34" s="30"/>
      <c r="P34" s="30"/>
      <c r="Q34" s="138" t="str">
        <f>IF(OR(MATCHER!A34="",MATCHER!K34&lt;&gt;"Ja",AND(MATCHER!J34&lt;&gt;MATCHER!F34,LEFT(MATCHER!J34,LEN(MATCHER!F34)+1)&lt;&gt;MATCHER!F34&amp;" ",LEFT(MATCHER!E34,13)&lt;&gt;"Arrangörsskap")),"",IF(COUNTIFS(MATCHER!$B$5:B34,MATCHER!B34,MATCHER!$D$5:D34,MATCHER!D34,MATCHER!$F$5:F34,MATCHER!F34,MATCHER!$K$5:K34,"Ja",MATCHER!$J$5:J34,MATCHER!F34)+COUNTIFS(MATCHER!$B$5:B34,MATCHER!B34,MATCHER!$D$5:D34,MATCHER!D34,MATCHER!$F$5:F34,MATCHER!F34,MATCHER!$K$5:K34,"Ja",MATCHER!$J$5:J34,MATCHER!F34&amp;" *")+COUNTIFS(MATCHER!$B$5:B34,MATCHER!B34,MATCHER!$D$5:D34,MATCHER!D34,MATCHER!$F$5:F34,MATCHER!F34,MATCHER!$K$5:K34,"Ja",MATCHER!$E$5:E34,"Arrangörsskap*")=1,MATCHER!F34,""))</f>
        <v/>
      </c>
    </row>
    <row r="35" spans="1:17" ht="13">
      <c r="A35" s="1"/>
      <c r="B35" s="38"/>
      <c r="C35" s="38"/>
      <c r="D35" s="38"/>
      <c r="E35" s="38"/>
      <c r="F35" s="38"/>
      <c r="G35" s="38"/>
      <c r="H35" s="38"/>
      <c r="I35" s="38"/>
      <c r="J35" s="38"/>
      <c r="K35" s="38"/>
      <c r="L35" s="38"/>
      <c r="M35" s="38"/>
      <c r="N35" s="1"/>
      <c r="O35" s="30"/>
      <c r="P35" s="30"/>
      <c r="Q35" s="138" t="str">
        <f>IF(OR(MATCHER!A35="",MATCHER!K35&lt;&gt;"Ja",AND(MATCHER!J35&lt;&gt;MATCHER!F35,LEFT(MATCHER!J35,LEN(MATCHER!F35)+1)&lt;&gt;MATCHER!F35&amp;" ",LEFT(MATCHER!E35,13)&lt;&gt;"Arrangörsskap")),"",IF(COUNTIFS(MATCHER!$B$5:B35,MATCHER!B35,MATCHER!$D$5:D35,MATCHER!D35,MATCHER!$F$5:F35,MATCHER!F35,MATCHER!$K$5:K35,"Ja",MATCHER!$J$5:J35,MATCHER!F35)+COUNTIFS(MATCHER!$B$5:B35,MATCHER!B35,MATCHER!$D$5:D35,MATCHER!D35,MATCHER!$F$5:F35,MATCHER!F35,MATCHER!$K$5:K35,"Ja",MATCHER!$J$5:J35,MATCHER!F35&amp;" *")+COUNTIFS(MATCHER!$B$5:B35,MATCHER!B35,MATCHER!$D$5:D35,MATCHER!D35,MATCHER!$F$5:F35,MATCHER!F35,MATCHER!$K$5:K35,"Ja",MATCHER!$E$5:E35,"Arrangörsskap*")=1,MATCHER!F35,""))</f>
        <v/>
      </c>
    </row>
    <row r="36" spans="1:17" ht="13">
      <c r="A36" s="1"/>
      <c r="B36" s="38"/>
      <c r="C36" s="38"/>
      <c r="D36" s="38"/>
      <c r="E36" s="38"/>
      <c r="F36" s="38"/>
      <c r="G36" s="38"/>
      <c r="H36" s="38"/>
      <c r="I36" s="38"/>
      <c r="J36" s="38"/>
      <c r="K36" s="38"/>
      <c r="L36" s="38"/>
      <c r="M36" s="38"/>
      <c r="N36" s="1"/>
      <c r="O36" s="30"/>
      <c r="P36" s="30"/>
      <c r="Q36" s="138" t="str">
        <f>IF(OR(MATCHER!A36="",MATCHER!K36&lt;&gt;"Ja",AND(MATCHER!J36&lt;&gt;MATCHER!F36,LEFT(MATCHER!J36,LEN(MATCHER!F36)+1)&lt;&gt;MATCHER!F36&amp;" ",LEFT(MATCHER!E36,13)&lt;&gt;"Arrangörsskap")),"",IF(COUNTIFS(MATCHER!$B$5:B36,MATCHER!B36,MATCHER!$D$5:D36,MATCHER!D36,MATCHER!$F$5:F36,MATCHER!F36,MATCHER!$K$5:K36,"Ja",MATCHER!$J$5:J36,MATCHER!F36)+COUNTIFS(MATCHER!$B$5:B36,MATCHER!B36,MATCHER!$D$5:D36,MATCHER!D36,MATCHER!$F$5:F36,MATCHER!F36,MATCHER!$K$5:K36,"Ja",MATCHER!$J$5:J36,MATCHER!F36&amp;" *")+COUNTIFS(MATCHER!$B$5:B36,MATCHER!B36,MATCHER!$D$5:D36,MATCHER!D36,MATCHER!$F$5:F36,MATCHER!F36,MATCHER!$K$5:K36,"Ja",MATCHER!$E$5:E36,"Arrangörsskap*")=1,MATCHER!F36,""))</f>
        <v>P10</v>
      </c>
    </row>
    <row r="37" spans="1:17" ht="13">
      <c r="A37" s="1"/>
      <c r="B37" s="38"/>
      <c r="C37" s="38"/>
      <c r="D37" s="38"/>
      <c r="E37" s="38"/>
      <c r="F37" s="38"/>
      <c r="G37" s="38"/>
      <c r="H37" s="38"/>
      <c r="I37" s="38"/>
      <c r="J37" s="38"/>
      <c r="K37" s="38"/>
      <c r="L37" s="38"/>
      <c r="M37" s="38"/>
      <c r="N37" s="1"/>
      <c r="O37" s="30"/>
      <c r="P37" s="30"/>
      <c r="Q37" s="138" t="str">
        <f>IF(OR(MATCHER!A37="",MATCHER!K37&lt;&gt;"Ja",AND(MATCHER!J37&lt;&gt;MATCHER!F37,LEFT(MATCHER!J37,LEN(MATCHER!F37)+1)&lt;&gt;MATCHER!F37&amp;" ",LEFT(MATCHER!E37,13)&lt;&gt;"Arrangörsskap")),"",IF(COUNTIFS(MATCHER!$B$5:B37,MATCHER!B37,MATCHER!$D$5:D37,MATCHER!D37,MATCHER!$F$5:F37,MATCHER!F37,MATCHER!$K$5:K37,"Ja",MATCHER!$J$5:J37,MATCHER!F37)+COUNTIFS(MATCHER!$B$5:B37,MATCHER!B37,MATCHER!$D$5:D37,MATCHER!D37,MATCHER!$F$5:F37,MATCHER!F37,MATCHER!$K$5:K37,"Ja",MATCHER!$J$5:J37,MATCHER!F37&amp;" *")+COUNTIFS(MATCHER!$B$5:B37,MATCHER!B37,MATCHER!$D$5:D37,MATCHER!D37,MATCHER!$F$5:F37,MATCHER!F37,MATCHER!$K$5:K37,"Ja",MATCHER!$E$5:E37,"Arrangörsskap*")=1,MATCHER!F37,""))</f>
        <v/>
      </c>
    </row>
    <row r="38" spans="1:17" ht="13">
      <c r="A38" s="1"/>
      <c r="B38" s="38"/>
      <c r="C38" s="38"/>
      <c r="D38" s="38"/>
      <c r="E38" s="38"/>
      <c r="F38" s="38"/>
      <c r="G38" s="38"/>
      <c r="H38" s="38"/>
      <c r="I38" s="38"/>
      <c r="J38" s="38"/>
      <c r="K38" s="38"/>
      <c r="L38" s="38"/>
      <c r="M38" s="38"/>
      <c r="N38" s="1"/>
      <c r="O38" s="30"/>
      <c r="P38" s="30"/>
      <c r="Q38" s="138" t="str">
        <f>IF(OR(MATCHER!A38="",MATCHER!K38&lt;&gt;"Ja",AND(MATCHER!J38&lt;&gt;MATCHER!F38,LEFT(MATCHER!J38,LEN(MATCHER!F38)+1)&lt;&gt;MATCHER!F38&amp;" ",LEFT(MATCHER!E38,13)&lt;&gt;"Arrangörsskap")),"",IF(COUNTIFS(MATCHER!$B$5:B38,MATCHER!B38,MATCHER!$D$5:D38,MATCHER!D38,MATCHER!$F$5:F38,MATCHER!F38,MATCHER!$K$5:K38,"Ja",MATCHER!$J$5:J38,MATCHER!F38)+COUNTIFS(MATCHER!$B$5:B38,MATCHER!B38,MATCHER!$D$5:D38,MATCHER!D38,MATCHER!$F$5:F38,MATCHER!F38,MATCHER!$K$5:K38,"Ja",MATCHER!$J$5:J38,MATCHER!F38&amp;" *")+COUNTIFS(MATCHER!$B$5:B38,MATCHER!B38,MATCHER!$D$5:D38,MATCHER!D38,MATCHER!$F$5:F38,MATCHER!F38,MATCHER!$K$5:K38,"Ja",MATCHER!$E$5:E38,"Arrangörsskap*")=1,MATCHER!F38,""))</f>
        <v/>
      </c>
    </row>
    <row r="39" spans="1:17" ht="13">
      <c r="A39" s="1"/>
      <c r="B39" s="38"/>
      <c r="C39" s="38"/>
      <c r="D39" s="38"/>
      <c r="E39" s="38"/>
      <c r="F39" s="38"/>
      <c r="G39" s="38"/>
      <c r="H39" s="38"/>
      <c r="I39" s="38"/>
      <c r="J39" s="38"/>
      <c r="K39" s="38"/>
      <c r="L39" s="38"/>
      <c r="M39" s="38"/>
      <c r="N39" s="1"/>
      <c r="O39" s="30"/>
      <c r="P39" s="30"/>
      <c r="Q39" s="138" t="str">
        <f>IF(OR(MATCHER!A39="",MATCHER!K39&lt;&gt;"Ja",AND(MATCHER!J39&lt;&gt;MATCHER!F39,LEFT(MATCHER!J39,LEN(MATCHER!F39)+1)&lt;&gt;MATCHER!F39&amp;" ",LEFT(MATCHER!E39,13)&lt;&gt;"Arrangörsskap")),"",IF(COUNTIFS(MATCHER!$B$5:B39,MATCHER!B39,MATCHER!$D$5:D39,MATCHER!D39,MATCHER!$F$5:F39,MATCHER!F39,MATCHER!$K$5:K39,"Ja",MATCHER!$J$5:J39,MATCHER!F39)+COUNTIFS(MATCHER!$B$5:B39,MATCHER!B39,MATCHER!$D$5:D39,MATCHER!D39,MATCHER!$F$5:F39,MATCHER!F39,MATCHER!$K$5:K39,"Ja",MATCHER!$J$5:J39,MATCHER!F39&amp;" *")+COUNTIFS(MATCHER!$B$5:B39,MATCHER!B39,MATCHER!$D$5:D39,MATCHER!D39,MATCHER!$F$5:F39,MATCHER!F39,MATCHER!$K$5:K39,"Ja",MATCHER!$E$5:E39,"Arrangörsskap*")=1,MATCHER!F39,""))</f>
        <v>F12</v>
      </c>
    </row>
    <row r="40" spans="1:17" ht="13">
      <c r="A40" s="1"/>
      <c r="B40" s="38"/>
      <c r="C40" s="38"/>
      <c r="D40" s="38"/>
      <c r="E40" s="38"/>
      <c r="F40" s="38"/>
      <c r="G40" s="38"/>
      <c r="H40" s="38"/>
      <c r="I40" s="38"/>
      <c r="J40" s="38"/>
      <c r="K40" s="38"/>
      <c r="L40" s="38"/>
      <c r="M40" s="38"/>
      <c r="N40" s="1"/>
      <c r="O40" s="30"/>
      <c r="P40" s="30"/>
      <c r="Q40" s="138" t="str">
        <f>IF(OR(MATCHER!A40="",MATCHER!K40&lt;&gt;"Ja",AND(MATCHER!J40&lt;&gt;MATCHER!F40,LEFT(MATCHER!J40,LEN(MATCHER!F40)+1)&lt;&gt;MATCHER!F40&amp;" ",LEFT(MATCHER!E40,13)&lt;&gt;"Arrangörsskap")),"",IF(COUNTIFS(MATCHER!$B$5:B40,MATCHER!B40,MATCHER!$D$5:D40,MATCHER!D40,MATCHER!$F$5:F40,MATCHER!F40,MATCHER!$K$5:K40,"Ja",MATCHER!$J$5:J40,MATCHER!F40)+COUNTIFS(MATCHER!$B$5:B40,MATCHER!B40,MATCHER!$D$5:D40,MATCHER!D40,MATCHER!$F$5:F40,MATCHER!F40,MATCHER!$K$5:K40,"Ja",MATCHER!$J$5:J40,MATCHER!F40&amp;" *")+COUNTIFS(MATCHER!$B$5:B40,MATCHER!B40,MATCHER!$D$5:D40,MATCHER!D40,MATCHER!$F$5:F40,MATCHER!F40,MATCHER!$K$5:K40,"Ja",MATCHER!$E$5:E40,"Arrangörsskap*")=1,MATCHER!F40,""))</f>
        <v/>
      </c>
    </row>
    <row r="41" spans="1:17" ht="13">
      <c r="A41" s="1"/>
      <c r="B41" s="38"/>
      <c r="C41" s="38"/>
      <c r="D41" s="38"/>
      <c r="E41" s="38"/>
      <c r="F41" s="38"/>
      <c r="G41" s="38"/>
      <c r="H41" s="38"/>
      <c r="I41" s="38"/>
      <c r="J41" s="38"/>
      <c r="K41" s="38"/>
      <c r="L41" s="38"/>
      <c r="M41" s="38"/>
      <c r="N41" s="1"/>
      <c r="O41" s="30"/>
      <c r="P41" s="30"/>
      <c r="Q41" s="138" t="str">
        <f>IF(OR(MATCHER!A41="",MATCHER!K41&lt;&gt;"Ja",AND(MATCHER!J41&lt;&gt;MATCHER!F41,LEFT(MATCHER!J41,LEN(MATCHER!F41)+1)&lt;&gt;MATCHER!F41&amp;" ",LEFT(MATCHER!E41,13)&lt;&gt;"Arrangörsskap")),"",IF(COUNTIFS(MATCHER!$B$5:B41,MATCHER!B41,MATCHER!$D$5:D41,MATCHER!D41,MATCHER!$F$5:F41,MATCHER!F41,MATCHER!$K$5:K41,"Ja",MATCHER!$J$5:J41,MATCHER!F41)+COUNTIFS(MATCHER!$B$5:B41,MATCHER!B41,MATCHER!$D$5:D41,MATCHER!D41,MATCHER!$F$5:F41,MATCHER!F41,MATCHER!$K$5:K41,"Ja",MATCHER!$J$5:J41,MATCHER!F41&amp;" *")+COUNTIFS(MATCHER!$B$5:B41,MATCHER!B41,MATCHER!$D$5:D41,MATCHER!D41,MATCHER!$F$5:F41,MATCHER!F41,MATCHER!$K$5:K41,"Ja",MATCHER!$E$5:E41,"Arrangörsskap*")=1,MATCHER!F41,""))</f>
        <v/>
      </c>
    </row>
    <row r="42" spans="1:17" ht="13">
      <c r="A42" s="1"/>
      <c r="B42" s="38"/>
      <c r="C42" s="38"/>
      <c r="D42" s="38"/>
      <c r="E42" s="38"/>
      <c r="F42" s="38"/>
      <c r="G42" s="38"/>
      <c r="H42" s="38"/>
      <c r="I42" s="38"/>
      <c r="J42" s="38"/>
      <c r="K42" s="38"/>
      <c r="L42" s="38"/>
      <c r="M42" s="38"/>
      <c r="N42" s="1"/>
      <c r="O42" s="30"/>
      <c r="P42" s="30"/>
      <c r="Q42" s="138" t="str">
        <f>IF(OR(MATCHER!A42="",MATCHER!K42&lt;&gt;"Ja",AND(MATCHER!J42&lt;&gt;MATCHER!F42,LEFT(MATCHER!J42,LEN(MATCHER!F42)+1)&lt;&gt;MATCHER!F42&amp;" ",LEFT(MATCHER!E42,13)&lt;&gt;"Arrangörsskap")),"",IF(COUNTIFS(MATCHER!$B$5:B42,MATCHER!B42,MATCHER!$D$5:D42,MATCHER!D42,MATCHER!$F$5:F42,MATCHER!F42,MATCHER!$K$5:K42,"Ja",MATCHER!$J$5:J42,MATCHER!F42)+COUNTIFS(MATCHER!$B$5:B42,MATCHER!B42,MATCHER!$D$5:D42,MATCHER!D42,MATCHER!$F$5:F42,MATCHER!F42,MATCHER!$K$5:K42,"Ja",MATCHER!$J$5:J42,MATCHER!F42&amp;" *")+COUNTIFS(MATCHER!$B$5:B42,MATCHER!B42,MATCHER!$D$5:D42,MATCHER!D42,MATCHER!$F$5:F42,MATCHER!F42,MATCHER!$K$5:K42,"Ja",MATCHER!$E$5:E42,"Arrangörsskap*")=1,MATCHER!F42,""))</f>
        <v/>
      </c>
    </row>
    <row r="43" spans="1:17" ht="13">
      <c r="A43" s="1"/>
      <c r="B43" s="38"/>
      <c r="C43" s="38"/>
      <c r="D43" s="38"/>
      <c r="E43" s="38"/>
      <c r="F43" s="38"/>
      <c r="G43" s="38"/>
      <c r="H43" s="38"/>
      <c r="I43" s="38"/>
      <c r="J43" s="38"/>
      <c r="K43" s="38"/>
      <c r="L43" s="38"/>
      <c r="M43" s="38"/>
      <c r="N43" s="1"/>
      <c r="O43" s="30"/>
      <c r="P43" s="30"/>
      <c r="Q43" s="138" t="str">
        <f>IF(OR(MATCHER!A43="",MATCHER!K43&lt;&gt;"Ja",AND(MATCHER!J43&lt;&gt;MATCHER!F43,LEFT(MATCHER!J43,LEN(MATCHER!F43)+1)&lt;&gt;MATCHER!F43&amp;" ",LEFT(MATCHER!E43,13)&lt;&gt;"Arrangörsskap")),"",IF(COUNTIFS(MATCHER!$B$5:B43,MATCHER!B43,MATCHER!$D$5:D43,MATCHER!D43,MATCHER!$F$5:F43,MATCHER!F43,MATCHER!$K$5:K43,"Ja",MATCHER!$J$5:J43,MATCHER!F43)+COUNTIFS(MATCHER!$B$5:B43,MATCHER!B43,MATCHER!$D$5:D43,MATCHER!D43,MATCHER!$F$5:F43,MATCHER!F43,MATCHER!$K$5:K43,"Ja",MATCHER!$J$5:J43,MATCHER!F43&amp;" *")+COUNTIFS(MATCHER!$B$5:B43,MATCHER!B43,MATCHER!$D$5:D43,MATCHER!D43,MATCHER!$F$5:F43,MATCHER!F43,MATCHER!$K$5:K43,"Ja",MATCHER!$E$5:E43,"Arrangörsskap*")=1,MATCHER!F43,""))</f>
        <v/>
      </c>
    </row>
    <row r="44" spans="1:17" ht="13">
      <c r="A44" s="1"/>
      <c r="B44" s="38"/>
      <c r="C44" s="38"/>
      <c r="D44" s="38"/>
      <c r="E44" s="38"/>
      <c r="F44" s="38"/>
      <c r="G44" s="38"/>
      <c r="H44" s="38"/>
      <c r="I44" s="38"/>
      <c r="J44" s="38"/>
      <c r="K44" s="38"/>
      <c r="L44" s="38"/>
      <c r="M44" s="38"/>
      <c r="N44" s="1"/>
      <c r="O44" s="30"/>
      <c r="P44" s="30"/>
      <c r="Q44" s="138" t="str">
        <f>IF(OR(MATCHER!A44="",MATCHER!K44&lt;&gt;"Ja",AND(MATCHER!J44&lt;&gt;MATCHER!F44,LEFT(MATCHER!J44,LEN(MATCHER!F44)+1)&lt;&gt;MATCHER!F44&amp;" ",LEFT(MATCHER!E44,13)&lt;&gt;"Arrangörsskap")),"",IF(COUNTIFS(MATCHER!$B$5:B44,MATCHER!B44,MATCHER!$D$5:D44,MATCHER!D44,MATCHER!$F$5:F44,MATCHER!F44,MATCHER!$K$5:K44,"Ja",MATCHER!$J$5:J44,MATCHER!F44)+COUNTIFS(MATCHER!$B$5:B44,MATCHER!B44,MATCHER!$D$5:D44,MATCHER!D44,MATCHER!$F$5:F44,MATCHER!F44,MATCHER!$K$5:K44,"Ja",MATCHER!$J$5:J44,MATCHER!F44&amp;" *")+COUNTIFS(MATCHER!$B$5:B44,MATCHER!B44,MATCHER!$D$5:D44,MATCHER!D44,MATCHER!$F$5:F44,MATCHER!F44,MATCHER!$K$5:K44,"Ja",MATCHER!$E$5:E44,"Arrangörsskap*")=1,MATCHER!F44,""))</f>
        <v/>
      </c>
    </row>
    <row r="45" spans="1:17" ht="13">
      <c r="A45" s="1"/>
      <c r="B45" s="38"/>
      <c r="C45" s="38"/>
      <c r="D45" s="38"/>
      <c r="E45" s="38"/>
      <c r="F45" s="38"/>
      <c r="G45" s="38"/>
      <c r="H45" s="38"/>
      <c r="I45" s="38"/>
      <c r="J45" s="38"/>
      <c r="K45" s="38"/>
      <c r="L45" s="38"/>
      <c r="M45" s="38"/>
      <c r="N45" s="1"/>
      <c r="O45" s="30"/>
      <c r="P45" s="30"/>
      <c r="Q45" s="138" t="str">
        <f>IF(OR(MATCHER!A45="",MATCHER!K45&lt;&gt;"Ja",AND(MATCHER!J45&lt;&gt;MATCHER!F45,LEFT(MATCHER!J45,LEN(MATCHER!F45)+1)&lt;&gt;MATCHER!F45&amp;" ",LEFT(MATCHER!E45,13)&lt;&gt;"Arrangörsskap")),"",IF(COUNTIFS(MATCHER!$B$5:B45,MATCHER!B45,MATCHER!$D$5:D45,MATCHER!D45,MATCHER!$F$5:F45,MATCHER!F45,MATCHER!$K$5:K45,"Ja",MATCHER!$J$5:J45,MATCHER!F45)+COUNTIFS(MATCHER!$B$5:B45,MATCHER!B45,MATCHER!$D$5:D45,MATCHER!D45,MATCHER!$F$5:F45,MATCHER!F45,MATCHER!$K$5:K45,"Ja",MATCHER!$J$5:J45,MATCHER!F45&amp;" *")+COUNTIFS(MATCHER!$B$5:B45,MATCHER!B45,MATCHER!$D$5:D45,MATCHER!D45,MATCHER!$F$5:F45,MATCHER!F45,MATCHER!$K$5:K45,"Ja",MATCHER!$E$5:E45,"Arrangörsskap*")=1,MATCHER!F45,""))</f>
        <v>F13</v>
      </c>
    </row>
    <row r="46" spans="1:17" ht="13">
      <c r="A46" s="1"/>
      <c r="B46" s="38"/>
      <c r="C46" s="38"/>
      <c r="D46" s="38"/>
      <c r="E46" s="38"/>
      <c r="F46" s="38"/>
      <c r="G46" s="38"/>
      <c r="H46" s="38"/>
      <c r="I46" s="38"/>
      <c r="J46" s="38"/>
      <c r="K46" s="38"/>
      <c r="L46" s="38"/>
      <c r="M46" s="38"/>
      <c r="N46" s="1"/>
      <c r="O46" s="30"/>
      <c r="P46" s="30"/>
      <c r="Q46" s="138" t="str">
        <f>IF(OR(MATCHER!A46="",MATCHER!K46&lt;&gt;"Ja",AND(MATCHER!J46&lt;&gt;MATCHER!F46,LEFT(MATCHER!J46,LEN(MATCHER!F46)+1)&lt;&gt;MATCHER!F46&amp;" ",LEFT(MATCHER!E46,13)&lt;&gt;"Arrangörsskap")),"",IF(COUNTIFS(MATCHER!$B$5:B46,MATCHER!B46,MATCHER!$D$5:D46,MATCHER!D46,MATCHER!$F$5:F46,MATCHER!F46,MATCHER!$K$5:K46,"Ja",MATCHER!$J$5:J46,MATCHER!F46)+COUNTIFS(MATCHER!$B$5:B46,MATCHER!B46,MATCHER!$D$5:D46,MATCHER!D46,MATCHER!$F$5:F46,MATCHER!F46,MATCHER!$K$5:K46,"Ja",MATCHER!$J$5:J46,MATCHER!F46&amp;" *")+COUNTIFS(MATCHER!$B$5:B46,MATCHER!B46,MATCHER!$D$5:D46,MATCHER!D46,MATCHER!$F$5:F46,MATCHER!F46,MATCHER!$K$5:K46,"Ja",MATCHER!$E$5:E46,"Arrangörsskap*")=1,MATCHER!F46,""))</f>
        <v/>
      </c>
    </row>
    <row r="47" spans="1:17" ht="13">
      <c r="A47" s="1"/>
      <c r="B47" s="38"/>
      <c r="C47" s="38"/>
      <c r="D47" s="38"/>
      <c r="E47" s="38"/>
      <c r="F47" s="38"/>
      <c r="G47" s="38"/>
      <c r="H47" s="38"/>
      <c r="I47" s="38"/>
      <c r="J47" s="38"/>
      <c r="K47" s="38"/>
      <c r="L47" s="38"/>
      <c r="M47" s="38"/>
      <c r="N47" s="1"/>
      <c r="O47" s="30"/>
      <c r="P47" s="30"/>
      <c r="Q47" s="138" t="str">
        <f>IF(OR(MATCHER!A47="",MATCHER!K47&lt;&gt;"Ja",AND(MATCHER!J47&lt;&gt;MATCHER!F47,LEFT(MATCHER!J47,LEN(MATCHER!F47)+1)&lt;&gt;MATCHER!F47&amp;" ",LEFT(MATCHER!E47,13)&lt;&gt;"Arrangörsskap")),"",IF(COUNTIFS(MATCHER!$B$5:B47,MATCHER!B47,MATCHER!$D$5:D47,MATCHER!D47,MATCHER!$F$5:F47,MATCHER!F47,MATCHER!$K$5:K47,"Ja",MATCHER!$J$5:J47,MATCHER!F47)+COUNTIFS(MATCHER!$B$5:B47,MATCHER!B47,MATCHER!$D$5:D47,MATCHER!D47,MATCHER!$F$5:F47,MATCHER!F47,MATCHER!$K$5:K47,"Ja",MATCHER!$J$5:J47,MATCHER!F47&amp;" *")+COUNTIFS(MATCHER!$B$5:B47,MATCHER!B47,MATCHER!$D$5:D47,MATCHER!D47,MATCHER!$F$5:F47,MATCHER!F47,MATCHER!$K$5:K47,"Ja",MATCHER!$E$5:E47,"Arrangörsskap*")=1,MATCHER!F47,""))</f>
        <v>Dam</v>
      </c>
    </row>
    <row r="48" spans="1:17" ht="13">
      <c r="A48" s="1"/>
      <c r="B48" s="38"/>
      <c r="C48" s="38"/>
      <c r="D48" s="38"/>
      <c r="E48" s="38"/>
      <c r="F48" s="38"/>
      <c r="G48" s="38"/>
      <c r="H48" s="38"/>
      <c r="I48" s="38"/>
      <c r="J48" s="38"/>
      <c r="K48" s="38"/>
      <c r="L48" s="38"/>
      <c r="M48" s="38"/>
      <c r="N48" s="1"/>
      <c r="O48" s="30"/>
      <c r="P48" s="30"/>
      <c r="Q48" s="138" t="str">
        <f>IF(OR(MATCHER!A48="",MATCHER!K48&lt;&gt;"Ja",AND(MATCHER!J48&lt;&gt;MATCHER!F48,LEFT(MATCHER!J48,LEN(MATCHER!F48)+1)&lt;&gt;MATCHER!F48&amp;" ",LEFT(MATCHER!E48,13)&lt;&gt;"Arrangörsskap")),"",IF(COUNTIFS(MATCHER!$B$5:B48,MATCHER!B48,MATCHER!$D$5:D48,MATCHER!D48,MATCHER!$F$5:F48,MATCHER!F48,MATCHER!$K$5:K48,"Ja",MATCHER!$J$5:J48,MATCHER!F48)+COUNTIFS(MATCHER!$B$5:B48,MATCHER!B48,MATCHER!$D$5:D48,MATCHER!D48,MATCHER!$F$5:F48,MATCHER!F48,MATCHER!$K$5:K48,"Ja",MATCHER!$J$5:J48,MATCHER!F48&amp;" *")+COUNTIFS(MATCHER!$B$5:B48,MATCHER!B48,MATCHER!$D$5:D48,MATCHER!D48,MATCHER!$F$5:F48,MATCHER!F48,MATCHER!$K$5:K48,"Ja",MATCHER!$E$5:E48,"Arrangörsskap*")=1,MATCHER!F48,""))</f>
        <v>Herr</v>
      </c>
    </row>
    <row r="49" spans="1:17" ht="13">
      <c r="A49" s="1"/>
      <c r="B49" s="38"/>
      <c r="C49" s="38"/>
      <c r="D49" s="38"/>
      <c r="E49" s="38"/>
      <c r="F49" s="38"/>
      <c r="G49" s="38"/>
      <c r="H49" s="38"/>
      <c r="I49" s="38"/>
      <c r="J49" s="38"/>
      <c r="K49" s="38"/>
      <c r="L49" s="38"/>
      <c r="M49" s="38"/>
      <c r="N49" s="1"/>
      <c r="O49" s="30"/>
      <c r="P49" s="30"/>
      <c r="Q49" s="138" t="str">
        <f>IF(OR(MATCHER!A49="",MATCHER!K49&lt;&gt;"Ja",AND(MATCHER!J49&lt;&gt;MATCHER!F49,LEFT(MATCHER!J49,LEN(MATCHER!F49)+1)&lt;&gt;MATCHER!F49&amp;" ",LEFT(MATCHER!E49,13)&lt;&gt;"Arrangörsskap")),"",IF(COUNTIFS(MATCHER!$B$5:B49,MATCHER!B49,MATCHER!$D$5:D49,MATCHER!D49,MATCHER!$F$5:F49,MATCHER!F49,MATCHER!$K$5:K49,"Ja",MATCHER!$J$5:J49,MATCHER!F49)+COUNTIFS(MATCHER!$B$5:B49,MATCHER!B49,MATCHER!$D$5:D49,MATCHER!D49,MATCHER!$F$5:F49,MATCHER!F49,MATCHER!$K$5:K49,"Ja",MATCHER!$J$5:J49,MATCHER!F49&amp;" *")+COUNTIFS(MATCHER!$B$5:B49,MATCHER!B49,MATCHER!$D$5:D49,MATCHER!D49,MATCHER!$F$5:F49,MATCHER!F49,MATCHER!$K$5:K49,"Ja",MATCHER!$E$5:E49,"Arrangörsskap*")=1,MATCHER!F49,""))</f>
        <v/>
      </c>
    </row>
    <row r="50" spans="1:17" ht="13">
      <c r="A50" s="1"/>
      <c r="B50" s="38"/>
      <c r="C50" s="38"/>
      <c r="D50" s="38"/>
      <c r="E50" s="38"/>
      <c r="F50" s="38"/>
      <c r="G50" s="38"/>
      <c r="H50" s="38"/>
      <c r="I50" s="38"/>
      <c r="J50" s="38"/>
      <c r="K50" s="38"/>
      <c r="L50" s="38"/>
      <c r="M50" s="38"/>
      <c r="N50" s="1"/>
      <c r="O50" s="30"/>
      <c r="P50" s="30"/>
      <c r="Q50" s="138" t="str">
        <f>IF(OR(MATCHER!A50="",MATCHER!K50&lt;&gt;"Ja",AND(MATCHER!J50&lt;&gt;MATCHER!F50,LEFT(MATCHER!J50,LEN(MATCHER!F50)+1)&lt;&gt;MATCHER!F50&amp;" ",LEFT(MATCHER!E50,13)&lt;&gt;"Arrangörsskap")),"",IF(COUNTIFS(MATCHER!$B$5:B50,MATCHER!B50,MATCHER!$D$5:D50,MATCHER!D50,MATCHER!$F$5:F50,MATCHER!F50,MATCHER!$K$5:K50,"Ja",MATCHER!$J$5:J50,MATCHER!F50)+COUNTIFS(MATCHER!$B$5:B50,MATCHER!B50,MATCHER!$D$5:D50,MATCHER!D50,MATCHER!$F$5:F50,MATCHER!F50,MATCHER!$K$5:K50,"Ja",MATCHER!$J$5:J50,MATCHER!F50&amp;" *")+COUNTIFS(MATCHER!$B$5:B50,MATCHER!B50,MATCHER!$D$5:D50,MATCHER!D50,MATCHER!$F$5:F50,MATCHER!F50,MATCHER!$K$5:K50,"Ja",MATCHER!$E$5:E50,"Arrangörsskap*")=1,MATCHER!F50,""))</f>
        <v>F19</v>
      </c>
    </row>
    <row r="51" spans="1:17" ht="13">
      <c r="A51" s="1"/>
      <c r="B51" s="38"/>
      <c r="C51" s="38"/>
      <c r="D51" s="38"/>
      <c r="E51" s="38"/>
      <c r="F51" s="38"/>
      <c r="G51" s="38"/>
      <c r="H51" s="38"/>
      <c r="I51" s="38"/>
      <c r="J51" s="38"/>
      <c r="K51" s="38"/>
      <c r="L51" s="38"/>
      <c r="M51" s="38"/>
      <c r="N51" s="1"/>
      <c r="O51" s="30"/>
      <c r="P51" s="30"/>
      <c r="Q51" s="138" t="str">
        <f>IF(OR(MATCHER!A51="",MATCHER!K51&lt;&gt;"Ja",AND(MATCHER!J51&lt;&gt;MATCHER!F51,LEFT(MATCHER!J51,LEN(MATCHER!F51)+1)&lt;&gt;MATCHER!F51&amp;" ",LEFT(MATCHER!E51,13)&lt;&gt;"Arrangörsskap")),"",IF(COUNTIFS(MATCHER!$B$5:B51,MATCHER!B51,MATCHER!$D$5:D51,MATCHER!D51,MATCHER!$F$5:F51,MATCHER!F51,MATCHER!$K$5:K51,"Ja",MATCHER!$J$5:J51,MATCHER!F51)+COUNTIFS(MATCHER!$B$5:B51,MATCHER!B51,MATCHER!$D$5:D51,MATCHER!D51,MATCHER!$F$5:F51,MATCHER!F51,MATCHER!$K$5:K51,"Ja",MATCHER!$J$5:J51,MATCHER!F51&amp;" *")+COUNTIFS(MATCHER!$B$5:B51,MATCHER!B51,MATCHER!$D$5:D51,MATCHER!D51,MATCHER!$F$5:F51,MATCHER!F51,MATCHER!$K$5:K51,"Ja",MATCHER!$E$5:E51,"Arrangörsskap*")=1,MATCHER!F51,""))</f>
        <v>P12</v>
      </c>
    </row>
    <row r="52" spans="1:17" ht="13">
      <c r="A52" s="1"/>
      <c r="B52" s="38"/>
      <c r="C52" s="38"/>
      <c r="D52" s="38"/>
      <c r="E52" s="38"/>
      <c r="F52" s="38"/>
      <c r="G52" s="38"/>
      <c r="H52" s="38"/>
      <c r="I52" s="38"/>
      <c r="J52" s="38"/>
      <c r="K52" s="38"/>
      <c r="L52" s="38"/>
      <c r="M52" s="38"/>
      <c r="N52" s="1"/>
      <c r="O52" s="30"/>
      <c r="P52" s="30"/>
      <c r="Q52" s="138" t="str">
        <f>IF(OR(MATCHER!A52="",MATCHER!K52&lt;&gt;"Ja",AND(MATCHER!J52&lt;&gt;MATCHER!F52,LEFT(MATCHER!J52,LEN(MATCHER!F52)+1)&lt;&gt;MATCHER!F52&amp;" ",LEFT(MATCHER!E52,13)&lt;&gt;"Arrangörsskap")),"",IF(COUNTIFS(MATCHER!$B$5:B52,MATCHER!B52,MATCHER!$D$5:D52,MATCHER!D52,MATCHER!$F$5:F52,MATCHER!F52,MATCHER!$K$5:K52,"Ja",MATCHER!$J$5:J52,MATCHER!F52)+COUNTIFS(MATCHER!$B$5:B52,MATCHER!B52,MATCHER!$D$5:D52,MATCHER!D52,MATCHER!$F$5:F52,MATCHER!F52,MATCHER!$K$5:K52,"Ja",MATCHER!$J$5:J52,MATCHER!F52&amp;" *")+COUNTIFS(MATCHER!$B$5:B52,MATCHER!B52,MATCHER!$D$5:D52,MATCHER!D52,MATCHER!$F$5:F52,MATCHER!F52,MATCHER!$K$5:K52,"Ja",MATCHER!$E$5:E52,"Arrangörsskap*")=1,MATCHER!F52,""))</f>
        <v/>
      </c>
    </row>
    <row r="53" spans="1:17" ht="13">
      <c r="A53" s="1"/>
      <c r="B53" s="38"/>
      <c r="C53" s="38"/>
      <c r="D53" s="38"/>
      <c r="E53" s="38"/>
      <c r="F53" s="38"/>
      <c r="G53" s="38"/>
      <c r="H53" s="38"/>
      <c r="I53" s="38"/>
      <c r="J53" s="38"/>
      <c r="K53" s="38"/>
      <c r="L53" s="38"/>
      <c r="M53" s="38"/>
      <c r="N53" s="1"/>
      <c r="O53" s="30"/>
      <c r="P53" s="30"/>
      <c r="Q53" s="138" t="str">
        <f>IF(OR(MATCHER!A53="",MATCHER!K53&lt;&gt;"Ja",AND(MATCHER!J53&lt;&gt;MATCHER!F53,LEFT(MATCHER!J53,LEN(MATCHER!F53)+1)&lt;&gt;MATCHER!F53&amp;" ",LEFT(MATCHER!E53,13)&lt;&gt;"Arrangörsskap")),"",IF(COUNTIFS(MATCHER!$B$5:B53,MATCHER!B53,MATCHER!$D$5:D53,MATCHER!D53,MATCHER!$F$5:F53,MATCHER!F53,MATCHER!$K$5:K53,"Ja",MATCHER!$J$5:J53,MATCHER!F53)+COUNTIFS(MATCHER!$B$5:B53,MATCHER!B53,MATCHER!$D$5:D53,MATCHER!D53,MATCHER!$F$5:F53,MATCHER!F53,MATCHER!$K$5:K53,"Ja",MATCHER!$J$5:J53,MATCHER!F53&amp;" *")+COUNTIFS(MATCHER!$B$5:B53,MATCHER!B53,MATCHER!$D$5:D53,MATCHER!D53,MATCHER!$F$5:F53,MATCHER!F53,MATCHER!$K$5:K53,"Ja",MATCHER!$E$5:E53,"Arrangörsskap*")=1,MATCHER!F53,""))</f>
        <v/>
      </c>
    </row>
    <row r="54" spans="1:17" ht="13">
      <c r="A54" s="1"/>
      <c r="B54" s="38"/>
      <c r="C54" s="38"/>
      <c r="D54" s="38"/>
      <c r="E54" s="38"/>
      <c r="F54" s="38"/>
      <c r="G54" s="38"/>
      <c r="H54" s="38"/>
      <c r="I54" s="38"/>
      <c r="J54" s="38"/>
      <c r="K54" s="38"/>
      <c r="L54" s="38"/>
      <c r="M54" s="38"/>
      <c r="N54" s="1"/>
      <c r="O54" s="30"/>
      <c r="P54" s="30"/>
      <c r="Q54" s="138" t="str">
        <f>IF(OR(MATCHER!A54="",MATCHER!K54&lt;&gt;"Ja",AND(MATCHER!J54&lt;&gt;MATCHER!F54,LEFT(MATCHER!J54,LEN(MATCHER!F54)+1)&lt;&gt;MATCHER!F54&amp;" ",LEFT(MATCHER!E54,13)&lt;&gt;"Arrangörsskap")),"",IF(COUNTIFS(MATCHER!$B$5:B54,MATCHER!B54,MATCHER!$D$5:D54,MATCHER!D54,MATCHER!$F$5:F54,MATCHER!F54,MATCHER!$K$5:K54,"Ja",MATCHER!$J$5:J54,MATCHER!F54)+COUNTIFS(MATCHER!$B$5:B54,MATCHER!B54,MATCHER!$D$5:D54,MATCHER!D54,MATCHER!$F$5:F54,MATCHER!F54,MATCHER!$K$5:K54,"Ja",MATCHER!$J$5:J54,MATCHER!F54&amp;" *")+COUNTIFS(MATCHER!$B$5:B54,MATCHER!B54,MATCHER!$D$5:D54,MATCHER!D54,MATCHER!$F$5:F54,MATCHER!F54,MATCHER!$K$5:K54,"Ja",MATCHER!$E$5:E54,"Arrangörsskap*")=1,MATCHER!F54,""))</f>
        <v/>
      </c>
    </row>
    <row r="55" spans="1:17" ht="13">
      <c r="A55" s="1"/>
      <c r="B55" s="38"/>
      <c r="C55" s="38"/>
      <c r="D55" s="38"/>
      <c r="E55" s="38"/>
      <c r="F55" s="38"/>
      <c r="G55" s="38"/>
      <c r="H55" s="38"/>
      <c r="I55" s="38"/>
      <c r="J55" s="38"/>
      <c r="K55" s="38"/>
      <c r="L55" s="38"/>
      <c r="M55" s="38"/>
      <c r="N55" s="1"/>
      <c r="O55" s="30"/>
      <c r="P55" s="30"/>
      <c r="Q55" s="138" t="str">
        <f>IF(OR(MATCHER!A55="",MATCHER!K55&lt;&gt;"Ja",AND(MATCHER!J55&lt;&gt;MATCHER!F55,LEFT(MATCHER!J55,LEN(MATCHER!F55)+1)&lt;&gt;MATCHER!F55&amp;" ",LEFT(MATCHER!E55,13)&lt;&gt;"Arrangörsskap")),"",IF(COUNTIFS(MATCHER!$B$5:B55,MATCHER!B55,MATCHER!$D$5:D55,MATCHER!D55,MATCHER!$F$5:F55,MATCHER!F55,MATCHER!$K$5:K55,"Ja",MATCHER!$J$5:J55,MATCHER!F55)+COUNTIFS(MATCHER!$B$5:B55,MATCHER!B55,MATCHER!$D$5:D55,MATCHER!D55,MATCHER!$F$5:F55,MATCHER!F55,MATCHER!$K$5:K55,"Ja",MATCHER!$J$5:J55,MATCHER!F55&amp;" *")+COUNTIFS(MATCHER!$B$5:B55,MATCHER!B55,MATCHER!$D$5:D55,MATCHER!D55,MATCHER!$F$5:F55,MATCHER!F55,MATCHER!$K$5:K55,"Ja",MATCHER!$E$5:E55,"Arrangörsskap*")=1,MATCHER!F55,""))</f>
        <v>U8</v>
      </c>
    </row>
    <row r="56" spans="1:17" ht="13">
      <c r="A56" s="1"/>
      <c r="B56" s="38"/>
      <c r="C56" s="38"/>
      <c r="D56" s="38"/>
      <c r="E56" s="38"/>
      <c r="F56" s="38"/>
      <c r="G56" s="38"/>
      <c r="H56" s="38"/>
      <c r="I56" s="38"/>
      <c r="J56" s="38"/>
      <c r="K56" s="38"/>
      <c r="L56" s="38"/>
      <c r="M56" s="38"/>
      <c r="N56" s="1"/>
      <c r="O56" s="30"/>
      <c r="P56" s="30"/>
      <c r="Q56" s="138" t="str">
        <f>IF(OR(MATCHER!A56="",MATCHER!K56&lt;&gt;"Ja",AND(MATCHER!J56&lt;&gt;MATCHER!F56,LEFT(MATCHER!J56,LEN(MATCHER!F56)+1)&lt;&gt;MATCHER!F56&amp;" ",LEFT(MATCHER!E56,13)&lt;&gt;"Arrangörsskap")),"",IF(COUNTIFS(MATCHER!$B$5:B56,MATCHER!B56,MATCHER!$D$5:D56,MATCHER!D56,MATCHER!$F$5:F56,MATCHER!F56,MATCHER!$K$5:K56,"Ja",MATCHER!$J$5:J56,MATCHER!F56)+COUNTIFS(MATCHER!$B$5:B56,MATCHER!B56,MATCHER!$D$5:D56,MATCHER!D56,MATCHER!$F$5:F56,MATCHER!F56,MATCHER!$K$5:K56,"Ja",MATCHER!$J$5:J56,MATCHER!F56&amp;" *")+COUNTIFS(MATCHER!$B$5:B56,MATCHER!B56,MATCHER!$D$5:D56,MATCHER!D56,MATCHER!$F$5:F56,MATCHER!F56,MATCHER!$K$5:K56,"Ja",MATCHER!$E$5:E56,"Arrangörsskap*")=1,MATCHER!F56,""))</f>
        <v/>
      </c>
    </row>
    <row r="57" spans="1:17" ht="13">
      <c r="A57" s="1"/>
      <c r="B57" s="38"/>
      <c r="C57" s="38"/>
      <c r="D57" s="38"/>
      <c r="E57" s="38"/>
      <c r="F57" s="38"/>
      <c r="G57" s="38"/>
      <c r="H57" s="38"/>
      <c r="I57" s="38"/>
      <c r="J57" s="38"/>
      <c r="K57" s="38"/>
      <c r="L57" s="38"/>
      <c r="M57" s="38"/>
      <c r="N57" s="1"/>
      <c r="O57" s="30"/>
      <c r="P57" s="30"/>
      <c r="Q57" s="138" t="str">
        <f>IF(OR(MATCHER!A57="",MATCHER!K57&lt;&gt;"Ja",AND(MATCHER!J57&lt;&gt;MATCHER!F57,LEFT(MATCHER!J57,LEN(MATCHER!F57)+1)&lt;&gt;MATCHER!F57&amp;" ",LEFT(MATCHER!E57,13)&lt;&gt;"Arrangörsskap")),"",IF(COUNTIFS(MATCHER!$B$5:B57,MATCHER!B57,MATCHER!$D$5:D57,MATCHER!D57,MATCHER!$F$5:F57,MATCHER!F57,MATCHER!$K$5:K57,"Ja",MATCHER!$J$5:J57,MATCHER!F57)+COUNTIFS(MATCHER!$B$5:B57,MATCHER!B57,MATCHER!$D$5:D57,MATCHER!D57,MATCHER!$F$5:F57,MATCHER!F57,MATCHER!$K$5:K57,"Ja",MATCHER!$J$5:J57,MATCHER!F57&amp;" *")+COUNTIFS(MATCHER!$B$5:B57,MATCHER!B57,MATCHER!$D$5:D57,MATCHER!D57,MATCHER!$F$5:F57,MATCHER!F57,MATCHER!$K$5:K57,"Ja",MATCHER!$E$5:E57,"Arrangörsskap*")=1,MATCHER!F57,""))</f>
        <v/>
      </c>
    </row>
    <row r="58" spans="1:17" ht="13">
      <c r="A58" s="1"/>
      <c r="B58" s="38"/>
      <c r="C58" s="38"/>
      <c r="D58" s="38"/>
      <c r="E58" s="38"/>
      <c r="F58" s="38"/>
      <c r="G58" s="38"/>
      <c r="H58" s="38"/>
      <c r="I58" s="38"/>
      <c r="J58" s="38"/>
      <c r="K58" s="38"/>
      <c r="L58" s="38"/>
      <c r="M58" s="38"/>
      <c r="N58" s="1"/>
      <c r="O58" s="30"/>
      <c r="P58" s="30"/>
      <c r="Q58" s="138" t="str">
        <f>IF(OR(MATCHER!A58="",MATCHER!K58&lt;&gt;"Ja",AND(MATCHER!J58&lt;&gt;MATCHER!F58,LEFT(MATCHER!J58,LEN(MATCHER!F58)+1)&lt;&gt;MATCHER!F58&amp;" ",LEFT(MATCHER!E58,13)&lt;&gt;"Arrangörsskap")),"",IF(COUNTIFS(MATCHER!$B$5:B58,MATCHER!B58,MATCHER!$D$5:D58,MATCHER!D58,MATCHER!$F$5:F58,MATCHER!F58,MATCHER!$K$5:K58,"Ja",MATCHER!$J$5:J58,MATCHER!F58)+COUNTIFS(MATCHER!$B$5:B58,MATCHER!B58,MATCHER!$D$5:D58,MATCHER!D58,MATCHER!$F$5:F58,MATCHER!F58,MATCHER!$K$5:K58,"Ja",MATCHER!$J$5:J58,MATCHER!F58&amp;" *")+COUNTIFS(MATCHER!$B$5:B58,MATCHER!B58,MATCHER!$D$5:D58,MATCHER!D58,MATCHER!$F$5:F58,MATCHER!F58,MATCHER!$K$5:K58,"Ja",MATCHER!$E$5:E58,"Arrangörsskap*")=1,MATCHER!F58,""))</f>
        <v>F13</v>
      </c>
    </row>
    <row r="59" spans="1:17" ht="13">
      <c r="A59" s="1"/>
      <c r="B59" s="38"/>
      <c r="C59" s="38"/>
      <c r="D59" s="38"/>
      <c r="E59" s="38"/>
      <c r="F59" s="38"/>
      <c r="G59" s="38"/>
      <c r="H59" s="38"/>
      <c r="I59" s="38"/>
      <c r="J59" s="38"/>
      <c r="K59" s="38"/>
      <c r="L59" s="38"/>
      <c r="M59" s="38"/>
      <c r="N59" s="1"/>
      <c r="O59" s="30"/>
      <c r="P59" s="30"/>
      <c r="Q59" s="138" t="str">
        <f>IF(OR(MATCHER!A59="",MATCHER!K59&lt;&gt;"Ja",AND(MATCHER!J59&lt;&gt;MATCHER!F59,LEFT(MATCHER!J59,LEN(MATCHER!F59)+1)&lt;&gt;MATCHER!F59&amp;" ",LEFT(MATCHER!E59,13)&lt;&gt;"Arrangörsskap")),"",IF(COUNTIFS(MATCHER!$B$5:B59,MATCHER!B59,MATCHER!$D$5:D59,MATCHER!D59,MATCHER!$F$5:F59,MATCHER!F59,MATCHER!$K$5:K59,"Ja",MATCHER!$J$5:J59,MATCHER!F59)+COUNTIFS(MATCHER!$B$5:B59,MATCHER!B59,MATCHER!$D$5:D59,MATCHER!D59,MATCHER!$F$5:F59,MATCHER!F59,MATCHER!$K$5:K59,"Ja",MATCHER!$J$5:J59,MATCHER!F59&amp;" *")+COUNTIFS(MATCHER!$B$5:B59,MATCHER!B59,MATCHER!$D$5:D59,MATCHER!D59,MATCHER!$F$5:F59,MATCHER!F59,MATCHER!$K$5:K59,"Ja",MATCHER!$E$5:E59,"Arrangörsskap*")=1,MATCHER!F59,""))</f>
        <v>F14</v>
      </c>
    </row>
    <row r="60" spans="1:17" ht="13">
      <c r="A60" s="1"/>
      <c r="B60" s="38"/>
      <c r="C60" s="38"/>
      <c r="D60" s="38"/>
      <c r="E60" s="38"/>
      <c r="F60" s="38"/>
      <c r="G60" s="38"/>
      <c r="H60" s="38"/>
      <c r="I60" s="38"/>
      <c r="J60" s="38"/>
      <c r="K60" s="38"/>
      <c r="L60" s="38"/>
      <c r="M60" s="38"/>
      <c r="N60" s="1"/>
      <c r="O60" s="30"/>
      <c r="P60" s="30"/>
      <c r="Q60" s="138" t="str">
        <f>IF(OR(MATCHER!A60="",MATCHER!K60&lt;&gt;"Ja",AND(MATCHER!J60&lt;&gt;MATCHER!F60,LEFT(MATCHER!J60,LEN(MATCHER!F60)+1)&lt;&gt;MATCHER!F60&amp;" ",LEFT(MATCHER!E60,13)&lt;&gt;"Arrangörsskap")),"",IF(COUNTIFS(MATCHER!$B$5:B60,MATCHER!B60,MATCHER!$D$5:D60,MATCHER!D60,MATCHER!$F$5:F60,MATCHER!F60,MATCHER!$K$5:K60,"Ja",MATCHER!$J$5:J60,MATCHER!F60)+COUNTIFS(MATCHER!$B$5:B60,MATCHER!B60,MATCHER!$D$5:D60,MATCHER!D60,MATCHER!$F$5:F60,MATCHER!F60,MATCHER!$K$5:K60,"Ja",MATCHER!$J$5:J60,MATCHER!F60&amp;" *")+COUNTIFS(MATCHER!$B$5:B60,MATCHER!B60,MATCHER!$D$5:D60,MATCHER!D60,MATCHER!$F$5:F60,MATCHER!F60,MATCHER!$K$5:K60,"Ja",MATCHER!$E$5:E60,"Arrangörsskap*")=1,MATCHER!F60,""))</f>
        <v>Dam</v>
      </c>
    </row>
    <row r="61" spans="1:17" ht="13">
      <c r="A61" s="1"/>
      <c r="B61" s="38"/>
      <c r="C61" s="38"/>
      <c r="D61" s="38"/>
      <c r="E61" s="38"/>
      <c r="F61" s="38"/>
      <c r="G61" s="38"/>
      <c r="H61" s="38"/>
      <c r="I61" s="38"/>
      <c r="J61" s="38"/>
      <c r="K61" s="38"/>
      <c r="L61" s="38"/>
      <c r="M61" s="38"/>
      <c r="N61" s="1"/>
      <c r="O61" s="30"/>
      <c r="P61" s="30"/>
      <c r="Q61" s="138" t="str">
        <f>IF(OR(MATCHER!A61="",MATCHER!K61&lt;&gt;"Ja",AND(MATCHER!J61&lt;&gt;MATCHER!F61,LEFT(MATCHER!J61,LEN(MATCHER!F61)+1)&lt;&gt;MATCHER!F61&amp;" ",LEFT(MATCHER!E61,13)&lt;&gt;"Arrangörsskap")),"",IF(COUNTIFS(MATCHER!$B$5:B61,MATCHER!B61,MATCHER!$D$5:D61,MATCHER!D61,MATCHER!$F$5:F61,MATCHER!F61,MATCHER!$K$5:K61,"Ja",MATCHER!$J$5:J61,MATCHER!F61)+COUNTIFS(MATCHER!$B$5:B61,MATCHER!B61,MATCHER!$D$5:D61,MATCHER!D61,MATCHER!$F$5:F61,MATCHER!F61,MATCHER!$K$5:K61,"Ja",MATCHER!$J$5:J61,MATCHER!F61&amp;" *")+COUNTIFS(MATCHER!$B$5:B61,MATCHER!B61,MATCHER!$D$5:D61,MATCHER!D61,MATCHER!$F$5:F61,MATCHER!F61,MATCHER!$K$5:K61,"Ja",MATCHER!$E$5:E61,"Arrangörsskap*")=1,MATCHER!F61,""))</f>
        <v>F16</v>
      </c>
    </row>
    <row r="62" spans="1:17" ht="13">
      <c r="A62" s="1"/>
      <c r="B62" s="38"/>
      <c r="C62" s="38"/>
      <c r="D62" s="38"/>
      <c r="E62" s="38"/>
      <c r="F62" s="38"/>
      <c r="G62" s="38"/>
      <c r="H62" s="38"/>
      <c r="I62" s="38"/>
      <c r="J62" s="38"/>
      <c r="K62" s="38"/>
      <c r="L62" s="38"/>
      <c r="M62" s="38"/>
      <c r="N62" s="1"/>
      <c r="O62" s="30"/>
      <c r="P62" s="30"/>
      <c r="Q62" s="138" t="str">
        <f>IF(OR(MATCHER!A62="",MATCHER!K62&lt;&gt;"Ja",AND(MATCHER!J62&lt;&gt;MATCHER!F62,LEFT(MATCHER!J62,LEN(MATCHER!F62)+1)&lt;&gt;MATCHER!F62&amp;" ",LEFT(MATCHER!E62,13)&lt;&gt;"Arrangörsskap")),"",IF(COUNTIFS(MATCHER!$B$5:B62,MATCHER!B62,MATCHER!$D$5:D62,MATCHER!D62,MATCHER!$F$5:F62,MATCHER!F62,MATCHER!$K$5:K62,"Ja",MATCHER!$J$5:J62,MATCHER!F62)+COUNTIFS(MATCHER!$B$5:B62,MATCHER!B62,MATCHER!$D$5:D62,MATCHER!D62,MATCHER!$F$5:F62,MATCHER!F62,MATCHER!$K$5:K62,"Ja",MATCHER!$J$5:J62,MATCHER!F62&amp;" *")+COUNTIFS(MATCHER!$B$5:B62,MATCHER!B62,MATCHER!$D$5:D62,MATCHER!D62,MATCHER!$F$5:F62,MATCHER!F62,MATCHER!$K$5:K62,"Ja",MATCHER!$E$5:E62,"Arrangörsskap*")=1,MATCHER!F62,""))</f>
        <v>P16</v>
      </c>
    </row>
    <row r="63" spans="1:17" ht="13">
      <c r="A63" s="1"/>
      <c r="B63" s="38"/>
      <c r="C63" s="38"/>
      <c r="D63" s="38"/>
      <c r="E63" s="38"/>
      <c r="F63" s="38"/>
      <c r="G63" s="38"/>
      <c r="H63" s="38"/>
      <c r="I63" s="38"/>
      <c r="J63" s="38"/>
      <c r="K63" s="38"/>
      <c r="L63" s="38"/>
      <c r="M63" s="38"/>
      <c r="N63" s="1"/>
      <c r="O63" s="30"/>
      <c r="P63" s="30"/>
      <c r="Q63" s="138" t="str">
        <f>IF(OR(MATCHER!A63="",MATCHER!K63&lt;&gt;"Ja",AND(MATCHER!J63&lt;&gt;MATCHER!F63,LEFT(MATCHER!J63,LEN(MATCHER!F63)+1)&lt;&gt;MATCHER!F63&amp;" ",LEFT(MATCHER!E63,13)&lt;&gt;"Arrangörsskap")),"",IF(COUNTIFS(MATCHER!$B$5:B63,MATCHER!B63,MATCHER!$D$5:D63,MATCHER!D63,MATCHER!$F$5:F63,MATCHER!F63,MATCHER!$K$5:K63,"Ja",MATCHER!$J$5:J63,MATCHER!F63)+COUNTIFS(MATCHER!$B$5:B63,MATCHER!B63,MATCHER!$D$5:D63,MATCHER!D63,MATCHER!$F$5:F63,MATCHER!F63,MATCHER!$K$5:K63,"Ja",MATCHER!$J$5:J63,MATCHER!F63&amp;" *")+COUNTIFS(MATCHER!$B$5:B63,MATCHER!B63,MATCHER!$D$5:D63,MATCHER!D63,MATCHER!$F$5:F63,MATCHER!F63,MATCHER!$K$5:K63,"Ja",MATCHER!$E$5:E63,"Arrangörsskap*")=1,MATCHER!F63,""))</f>
        <v>P12</v>
      </c>
    </row>
    <row r="64" spans="1:17" ht="13">
      <c r="A64" s="1"/>
      <c r="B64" s="38"/>
      <c r="C64" s="38"/>
      <c r="D64" s="38"/>
      <c r="E64" s="38"/>
      <c r="F64" s="38"/>
      <c r="G64" s="38"/>
      <c r="H64" s="38"/>
      <c r="I64" s="38"/>
      <c r="J64" s="38"/>
      <c r="K64" s="38"/>
      <c r="L64" s="38"/>
      <c r="M64" s="38"/>
      <c r="N64" s="1"/>
      <c r="O64" s="30"/>
      <c r="P64" s="30"/>
      <c r="Q64" s="138" t="str">
        <f>IF(OR(MATCHER!A64="",MATCHER!K64&lt;&gt;"Ja",AND(MATCHER!J64&lt;&gt;MATCHER!F64,LEFT(MATCHER!J64,LEN(MATCHER!F64)+1)&lt;&gt;MATCHER!F64&amp;" ",LEFT(MATCHER!E64,13)&lt;&gt;"Arrangörsskap")),"",IF(COUNTIFS(MATCHER!$B$5:B64,MATCHER!B64,MATCHER!$D$5:D64,MATCHER!D64,MATCHER!$F$5:F64,MATCHER!F64,MATCHER!$K$5:K64,"Ja",MATCHER!$J$5:J64,MATCHER!F64)+COUNTIFS(MATCHER!$B$5:B64,MATCHER!B64,MATCHER!$D$5:D64,MATCHER!D64,MATCHER!$F$5:F64,MATCHER!F64,MATCHER!$K$5:K64,"Ja",MATCHER!$J$5:J64,MATCHER!F64&amp;" *")+COUNTIFS(MATCHER!$B$5:B64,MATCHER!B64,MATCHER!$D$5:D64,MATCHER!D64,MATCHER!$F$5:F64,MATCHER!F64,MATCHER!$K$5:K64,"Ja",MATCHER!$E$5:E64,"Arrangörsskap*")=1,MATCHER!F64,""))</f>
        <v/>
      </c>
    </row>
    <row r="65" spans="1:17" ht="13">
      <c r="A65" s="1"/>
      <c r="B65" s="38"/>
      <c r="C65" s="38"/>
      <c r="D65" s="38"/>
      <c r="E65" s="38"/>
      <c r="F65" s="38"/>
      <c r="G65" s="38"/>
      <c r="H65" s="38"/>
      <c r="I65" s="38"/>
      <c r="J65" s="38"/>
      <c r="K65" s="38"/>
      <c r="L65" s="38"/>
      <c r="M65" s="38"/>
      <c r="N65" s="1"/>
      <c r="O65" s="30"/>
      <c r="P65" s="30"/>
      <c r="Q65" s="138" t="str">
        <f>IF(OR(MATCHER!A65="",MATCHER!K65&lt;&gt;"Ja",AND(MATCHER!J65&lt;&gt;MATCHER!F65,LEFT(MATCHER!J65,LEN(MATCHER!F65)+1)&lt;&gt;MATCHER!F65&amp;" ",LEFT(MATCHER!E65,13)&lt;&gt;"Arrangörsskap")),"",IF(COUNTIFS(MATCHER!$B$5:B65,MATCHER!B65,MATCHER!$D$5:D65,MATCHER!D65,MATCHER!$F$5:F65,MATCHER!F65,MATCHER!$K$5:K65,"Ja",MATCHER!$J$5:J65,MATCHER!F65)+COUNTIFS(MATCHER!$B$5:B65,MATCHER!B65,MATCHER!$D$5:D65,MATCHER!D65,MATCHER!$F$5:F65,MATCHER!F65,MATCHER!$K$5:K65,"Ja",MATCHER!$J$5:J65,MATCHER!F65&amp;" *")+COUNTIFS(MATCHER!$B$5:B65,MATCHER!B65,MATCHER!$D$5:D65,MATCHER!D65,MATCHER!$F$5:F65,MATCHER!F65,MATCHER!$K$5:K65,"Ja",MATCHER!$E$5:E65,"Arrangörsskap*")=1,MATCHER!F65,""))</f>
        <v/>
      </c>
    </row>
    <row r="66" spans="1:17" ht="13">
      <c r="A66" s="1"/>
      <c r="B66" s="38"/>
      <c r="C66" s="38"/>
      <c r="D66" s="38"/>
      <c r="E66" s="38"/>
      <c r="F66" s="38"/>
      <c r="G66" s="38"/>
      <c r="H66" s="38"/>
      <c r="I66" s="38"/>
      <c r="J66" s="38"/>
      <c r="K66" s="38"/>
      <c r="L66" s="38"/>
      <c r="M66" s="38"/>
      <c r="N66" s="1"/>
      <c r="O66" s="30"/>
      <c r="P66" s="30"/>
      <c r="Q66" s="138" t="str">
        <f>IF(OR(MATCHER!A66="",MATCHER!K66&lt;&gt;"Ja",AND(MATCHER!J66&lt;&gt;MATCHER!F66,LEFT(MATCHER!J66,LEN(MATCHER!F66)+1)&lt;&gt;MATCHER!F66&amp;" ",LEFT(MATCHER!E66,13)&lt;&gt;"Arrangörsskap")),"",IF(COUNTIFS(MATCHER!$B$5:B66,MATCHER!B66,MATCHER!$D$5:D66,MATCHER!D66,MATCHER!$F$5:F66,MATCHER!F66,MATCHER!$K$5:K66,"Ja",MATCHER!$J$5:J66,MATCHER!F66)+COUNTIFS(MATCHER!$B$5:B66,MATCHER!B66,MATCHER!$D$5:D66,MATCHER!D66,MATCHER!$F$5:F66,MATCHER!F66,MATCHER!$K$5:K66,"Ja",MATCHER!$J$5:J66,MATCHER!F66&amp;" *")+COUNTIFS(MATCHER!$B$5:B66,MATCHER!B66,MATCHER!$D$5:D66,MATCHER!D66,MATCHER!$F$5:F66,MATCHER!F66,MATCHER!$K$5:K66,"Ja",MATCHER!$E$5:E66,"Arrangörsskap*")=1,MATCHER!F66,""))</f>
        <v/>
      </c>
    </row>
    <row r="67" spans="1:17" ht="13">
      <c r="A67" s="1"/>
      <c r="B67" s="38"/>
      <c r="C67" s="38"/>
      <c r="D67" s="38"/>
      <c r="E67" s="38"/>
      <c r="F67" s="38"/>
      <c r="G67" s="38"/>
      <c r="H67" s="38"/>
      <c r="I67" s="38"/>
      <c r="J67" s="38"/>
      <c r="K67" s="38"/>
      <c r="L67" s="38"/>
      <c r="M67" s="38"/>
      <c r="N67" s="1"/>
      <c r="O67" s="30"/>
      <c r="P67" s="30"/>
      <c r="Q67" s="138" t="str">
        <f>IF(OR(MATCHER!A67="",MATCHER!K67&lt;&gt;"Ja",AND(MATCHER!J67&lt;&gt;MATCHER!F67,LEFT(MATCHER!J67,LEN(MATCHER!F67)+1)&lt;&gt;MATCHER!F67&amp;" ",LEFT(MATCHER!E67,13)&lt;&gt;"Arrangörsskap")),"",IF(COUNTIFS(MATCHER!$B$5:B67,MATCHER!B67,MATCHER!$D$5:D67,MATCHER!D67,MATCHER!$F$5:F67,MATCHER!F67,MATCHER!$K$5:K67,"Ja",MATCHER!$J$5:J67,MATCHER!F67)+COUNTIFS(MATCHER!$B$5:B67,MATCHER!B67,MATCHER!$D$5:D67,MATCHER!D67,MATCHER!$F$5:F67,MATCHER!F67,MATCHER!$K$5:K67,"Ja",MATCHER!$J$5:J67,MATCHER!F67&amp;" *")+COUNTIFS(MATCHER!$B$5:B67,MATCHER!B67,MATCHER!$D$5:D67,MATCHER!D67,MATCHER!$F$5:F67,MATCHER!F67,MATCHER!$K$5:K67,"Ja",MATCHER!$E$5:E67,"Arrangörsskap*")=1,MATCHER!F67,""))</f>
        <v>F13</v>
      </c>
    </row>
    <row r="68" spans="1:17" ht="13">
      <c r="A68" s="1"/>
      <c r="B68" s="38"/>
      <c r="C68" s="38"/>
      <c r="D68" s="38"/>
      <c r="E68" s="38"/>
      <c r="F68" s="38"/>
      <c r="G68" s="38"/>
      <c r="H68" s="38"/>
      <c r="I68" s="38"/>
      <c r="J68" s="38"/>
      <c r="K68" s="38"/>
      <c r="L68" s="38"/>
      <c r="M68" s="38"/>
      <c r="N68" s="1"/>
      <c r="O68" s="30"/>
      <c r="P68" s="30"/>
      <c r="Q68" s="138" t="str">
        <f>IF(OR(MATCHER!A68="",MATCHER!K68&lt;&gt;"Ja",AND(MATCHER!J68&lt;&gt;MATCHER!F68,LEFT(MATCHER!J68,LEN(MATCHER!F68)+1)&lt;&gt;MATCHER!F68&amp;" ",LEFT(MATCHER!E68,13)&lt;&gt;"Arrangörsskap")),"",IF(COUNTIFS(MATCHER!$B$5:B68,MATCHER!B68,MATCHER!$D$5:D68,MATCHER!D68,MATCHER!$F$5:F68,MATCHER!F68,MATCHER!$K$5:K68,"Ja",MATCHER!$J$5:J68,MATCHER!F68)+COUNTIFS(MATCHER!$B$5:B68,MATCHER!B68,MATCHER!$D$5:D68,MATCHER!D68,MATCHER!$F$5:F68,MATCHER!F68,MATCHER!$K$5:K68,"Ja",MATCHER!$J$5:J68,MATCHER!F68&amp;" *")+COUNTIFS(MATCHER!$B$5:B68,MATCHER!B68,MATCHER!$D$5:D68,MATCHER!D68,MATCHER!$F$5:F68,MATCHER!F68,MATCHER!$K$5:K68,"Ja",MATCHER!$E$5:E68,"Arrangörsskap*")=1,MATCHER!F68,""))</f>
        <v/>
      </c>
    </row>
    <row r="69" spans="1:17" ht="13">
      <c r="A69" s="1"/>
      <c r="B69" s="38"/>
      <c r="C69" s="38"/>
      <c r="D69" s="38"/>
      <c r="E69" s="38"/>
      <c r="F69" s="38"/>
      <c r="G69" s="38"/>
      <c r="H69" s="38"/>
      <c r="I69" s="38"/>
      <c r="J69" s="38"/>
      <c r="K69" s="38"/>
      <c r="L69" s="38"/>
      <c r="M69" s="38"/>
      <c r="N69" s="1"/>
      <c r="O69" s="30"/>
      <c r="P69" s="30"/>
      <c r="Q69" s="138" t="str">
        <f>IF(OR(MATCHER!A69="",MATCHER!K69&lt;&gt;"Ja",AND(MATCHER!J69&lt;&gt;MATCHER!F69,LEFT(MATCHER!J69,LEN(MATCHER!F69)+1)&lt;&gt;MATCHER!F69&amp;" ",LEFT(MATCHER!E69,13)&lt;&gt;"Arrangörsskap")),"",IF(COUNTIFS(MATCHER!$B$5:B69,MATCHER!B69,MATCHER!$D$5:D69,MATCHER!D69,MATCHER!$F$5:F69,MATCHER!F69,MATCHER!$K$5:K69,"Ja",MATCHER!$J$5:J69,MATCHER!F69)+COUNTIFS(MATCHER!$B$5:B69,MATCHER!B69,MATCHER!$D$5:D69,MATCHER!D69,MATCHER!$F$5:F69,MATCHER!F69,MATCHER!$K$5:K69,"Ja",MATCHER!$J$5:J69,MATCHER!F69&amp;" *")+COUNTIFS(MATCHER!$B$5:B69,MATCHER!B69,MATCHER!$D$5:D69,MATCHER!D69,MATCHER!$F$5:F69,MATCHER!F69,MATCHER!$K$5:K69,"Ja",MATCHER!$E$5:E69,"Arrangörsskap*")=1,MATCHER!F69,""))</f>
        <v/>
      </c>
    </row>
    <row r="70" spans="1:17" ht="13">
      <c r="A70" s="1"/>
      <c r="B70" s="38"/>
      <c r="C70" s="38"/>
      <c r="D70" s="38"/>
      <c r="E70" s="38"/>
      <c r="F70" s="38"/>
      <c r="G70" s="38"/>
      <c r="H70" s="38"/>
      <c r="I70" s="38"/>
      <c r="J70" s="38"/>
      <c r="K70" s="38"/>
      <c r="L70" s="38"/>
      <c r="M70" s="38"/>
      <c r="N70" s="1"/>
      <c r="O70" s="30"/>
      <c r="P70" s="30"/>
      <c r="Q70" s="138" t="str">
        <f>IF(OR(MATCHER!A70="",MATCHER!K70&lt;&gt;"Ja",AND(MATCHER!J70&lt;&gt;MATCHER!F70,LEFT(MATCHER!J70,LEN(MATCHER!F70)+1)&lt;&gt;MATCHER!F70&amp;" ",LEFT(MATCHER!E70,13)&lt;&gt;"Arrangörsskap")),"",IF(COUNTIFS(MATCHER!$B$5:B70,MATCHER!B70,MATCHER!$D$5:D70,MATCHER!D70,MATCHER!$F$5:F70,MATCHER!F70,MATCHER!$K$5:K70,"Ja",MATCHER!$J$5:J70,MATCHER!F70)+COUNTIFS(MATCHER!$B$5:B70,MATCHER!B70,MATCHER!$D$5:D70,MATCHER!D70,MATCHER!$F$5:F70,MATCHER!F70,MATCHER!$K$5:K70,"Ja",MATCHER!$J$5:J70,MATCHER!F70&amp;" *")+COUNTIFS(MATCHER!$B$5:B70,MATCHER!B70,MATCHER!$D$5:D70,MATCHER!D70,MATCHER!$F$5:F70,MATCHER!F70,MATCHER!$K$5:K70,"Ja",MATCHER!$E$5:E70,"Arrangörsskap*")=1,MATCHER!F70,""))</f>
        <v/>
      </c>
    </row>
    <row r="71" spans="1:17" ht="13">
      <c r="A71" s="1"/>
      <c r="B71" s="38"/>
      <c r="C71" s="38"/>
      <c r="D71" s="38"/>
      <c r="E71" s="38"/>
      <c r="F71" s="38"/>
      <c r="G71" s="38"/>
      <c r="H71" s="38"/>
      <c r="I71" s="38"/>
      <c r="J71" s="38"/>
      <c r="K71" s="38"/>
      <c r="L71" s="38"/>
      <c r="M71" s="38"/>
      <c r="N71" s="1"/>
      <c r="O71" s="30"/>
      <c r="P71" s="30"/>
      <c r="Q71" s="138" t="str">
        <f>IF(OR(MATCHER!A71="",MATCHER!K71&lt;&gt;"Ja",AND(MATCHER!J71&lt;&gt;MATCHER!F71,LEFT(MATCHER!J71,LEN(MATCHER!F71)+1)&lt;&gt;MATCHER!F71&amp;" ",LEFT(MATCHER!E71,13)&lt;&gt;"Arrangörsskap")),"",IF(COUNTIFS(MATCHER!$B$5:B71,MATCHER!B71,MATCHER!$D$5:D71,MATCHER!D71,MATCHER!$F$5:F71,MATCHER!F71,MATCHER!$K$5:K71,"Ja",MATCHER!$J$5:J71,MATCHER!F71)+COUNTIFS(MATCHER!$B$5:B71,MATCHER!B71,MATCHER!$D$5:D71,MATCHER!D71,MATCHER!$F$5:F71,MATCHER!F71,MATCHER!$K$5:K71,"Ja",MATCHER!$J$5:J71,MATCHER!F71&amp;" *")+COUNTIFS(MATCHER!$B$5:B71,MATCHER!B71,MATCHER!$D$5:D71,MATCHER!D71,MATCHER!$F$5:F71,MATCHER!F71,MATCHER!$K$5:K71,"Ja",MATCHER!$E$5:E71,"Arrangörsskap*")=1,MATCHER!F71,""))</f>
        <v/>
      </c>
    </row>
    <row r="72" spans="1:17" ht="13">
      <c r="A72" s="1"/>
      <c r="B72" s="38"/>
      <c r="C72" s="38"/>
      <c r="D72" s="38"/>
      <c r="E72" s="38"/>
      <c r="F72" s="38"/>
      <c r="G72" s="38"/>
      <c r="H72" s="38"/>
      <c r="I72" s="38"/>
      <c r="J72" s="38"/>
      <c r="K72" s="38"/>
      <c r="L72" s="38"/>
      <c r="M72" s="38"/>
      <c r="N72" s="1"/>
      <c r="O72" s="30"/>
      <c r="P72" s="30"/>
      <c r="Q72" s="138" t="str">
        <f>IF(OR(MATCHER!A72="",MATCHER!K72&lt;&gt;"Ja",AND(MATCHER!J72&lt;&gt;MATCHER!F72,LEFT(MATCHER!J72,LEN(MATCHER!F72)+1)&lt;&gt;MATCHER!F72&amp;" ",LEFT(MATCHER!E72,13)&lt;&gt;"Arrangörsskap")),"",IF(COUNTIFS(MATCHER!$B$5:B72,MATCHER!B72,MATCHER!$D$5:D72,MATCHER!D72,MATCHER!$F$5:F72,MATCHER!F72,MATCHER!$K$5:K72,"Ja",MATCHER!$J$5:J72,MATCHER!F72)+COUNTIFS(MATCHER!$B$5:B72,MATCHER!B72,MATCHER!$D$5:D72,MATCHER!D72,MATCHER!$F$5:F72,MATCHER!F72,MATCHER!$K$5:K72,"Ja",MATCHER!$J$5:J72,MATCHER!F72&amp;" *")+COUNTIFS(MATCHER!$B$5:B72,MATCHER!B72,MATCHER!$D$5:D72,MATCHER!D72,MATCHER!$F$5:F72,MATCHER!F72,MATCHER!$K$5:K72,"Ja",MATCHER!$E$5:E72,"Arrangörsskap*")=1,MATCHER!F72,""))</f>
        <v/>
      </c>
    </row>
    <row r="73" spans="1:17" ht="13">
      <c r="A73" s="1"/>
      <c r="B73" s="38"/>
      <c r="C73" s="38"/>
      <c r="D73" s="38"/>
      <c r="E73" s="38"/>
      <c r="F73" s="38"/>
      <c r="G73" s="38"/>
      <c r="H73" s="38"/>
      <c r="I73" s="38"/>
      <c r="J73" s="38"/>
      <c r="K73" s="38"/>
      <c r="L73" s="38"/>
      <c r="M73" s="38"/>
      <c r="N73" s="1"/>
      <c r="O73" s="30"/>
      <c r="P73" s="30"/>
      <c r="Q73" s="138" t="str">
        <f>IF(OR(MATCHER!A73="",MATCHER!K73&lt;&gt;"Ja",AND(MATCHER!J73&lt;&gt;MATCHER!F73,LEFT(MATCHER!J73,LEN(MATCHER!F73)+1)&lt;&gt;MATCHER!F73&amp;" ",LEFT(MATCHER!E73,13)&lt;&gt;"Arrangörsskap")),"",IF(COUNTIFS(MATCHER!$B$5:B73,MATCHER!B73,MATCHER!$D$5:D73,MATCHER!D73,MATCHER!$F$5:F73,MATCHER!F73,MATCHER!$K$5:K73,"Ja",MATCHER!$J$5:J73,MATCHER!F73)+COUNTIFS(MATCHER!$B$5:B73,MATCHER!B73,MATCHER!$D$5:D73,MATCHER!D73,MATCHER!$F$5:F73,MATCHER!F73,MATCHER!$K$5:K73,"Ja",MATCHER!$J$5:J73,MATCHER!F73&amp;" *")+COUNTIFS(MATCHER!$B$5:B73,MATCHER!B73,MATCHER!$D$5:D73,MATCHER!D73,MATCHER!$F$5:F73,MATCHER!F73,MATCHER!$K$5:K73,"Ja",MATCHER!$E$5:E73,"Arrangörsskap*")=1,MATCHER!F73,""))</f>
        <v/>
      </c>
    </row>
    <row r="74" spans="1:17">
      <c r="Q74" s="138" t="str">
        <f>IF(OR(MATCHER!A74="",MATCHER!K74&lt;&gt;"Ja",AND(MATCHER!J74&lt;&gt;MATCHER!F74,LEFT(MATCHER!J74,LEN(MATCHER!F74)+1)&lt;&gt;MATCHER!F74&amp;" ",LEFT(MATCHER!E74,13)&lt;&gt;"Arrangörsskap")),"",IF(COUNTIFS(MATCHER!$B$5:B74,MATCHER!B74,MATCHER!$D$5:D74,MATCHER!D74,MATCHER!$F$5:F74,MATCHER!F74,MATCHER!$K$5:K74,"Ja",MATCHER!$J$5:J74,MATCHER!F74)+COUNTIFS(MATCHER!$B$5:B74,MATCHER!B74,MATCHER!$D$5:D74,MATCHER!D74,MATCHER!$F$5:F74,MATCHER!F74,MATCHER!$K$5:K74,"Ja",MATCHER!$J$5:J74,MATCHER!F74&amp;" *")+COUNTIFS(MATCHER!$B$5:B74,MATCHER!B74,MATCHER!$D$5:D74,MATCHER!D74,MATCHER!$F$5:F74,MATCHER!F74,MATCHER!$K$5:K74,"Ja",MATCHER!$E$5:E74,"Arrangörsskap*")=1,MATCHER!F74,""))</f>
        <v/>
      </c>
    </row>
    <row r="75" spans="1:17">
      <c r="Q75" s="138" t="str">
        <f>IF(OR(MATCHER!A75="",MATCHER!K75&lt;&gt;"Ja",AND(MATCHER!J75&lt;&gt;MATCHER!F75,LEFT(MATCHER!J75,LEN(MATCHER!F75)+1)&lt;&gt;MATCHER!F75&amp;" ",LEFT(MATCHER!E75,13)&lt;&gt;"Arrangörsskap")),"",IF(COUNTIFS(MATCHER!$B$5:B75,MATCHER!B75,MATCHER!$D$5:D75,MATCHER!D75,MATCHER!$F$5:F75,MATCHER!F75,MATCHER!$K$5:K75,"Ja",MATCHER!$J$5:J75,MATCHER!F75)+COUNTIFS(MATCHER!$B$5:B75,MATCHER!B75,MATCHER!$D$5:D75,MATCHER!D75,MATCHER!$F$5:F75,MATCHER!F75,MATCHER!$K$5:K75,"Ja",MATCHER!$J$5:J75,MATCHER!F75&amp;" *")+COUNTIFS(MATCHER!$B$5:B75,MATCHER!B75,MATCHER!$D$5:D75,MATCHER!D75,MATCHER!$F$5:F75,MATCHER!F75,MATCHER!$K$5:K75,"Ja",MATCHER!$E$5:E75,"Arrangörsskap*")=1,MATCHER!F75,""))</f>
        <v/>
      </c>
    </row>
    <row r="76" spans="1:17">
      <c r="Q76" s="138" t="str">
        <f>IF(OR(MATCHER!A76="",MATCHER!K76&lt;&gt;"Ja",AND(MATCHER!J76&lt;&gt;MATCHER!F76,LEFT(MATCHER!J76,LEN(MATCHER!F76)+1)&lt;&gt;MATCHER!F76&amp;" ",LEFT(MATCHER!E76,13)&lt;&gt;"Arrangörsskap")),"",IF(COUNTIFS(MATCHER!$B$5:B76,MATCHER!B76,MATCHER!$D$5:D76,MATCHER!D76,MATCHER!$F$5:F76,MATCHER!F76,MATCHER!$K$5:K76,"Ja",MATCHER!$J$5:J76,MATCHER!F76)+COUNTIFS(MATCHER!$B$5:B76,MATCHER!B76,MATCHER!$D$5:D76,MATCHER!D76,MATCHER!$F$5:F76,MATCHER!F76,MATCHER!$K$5:K76,"Ja",MATCHER!$J$5:J76,MATCHER!F76&amp;" *")+COUNTIFS(MATCHER!$B$5:B76,MATCHER!B76,MATCHER!$D$5:D76,MATCHER!D76,MATCHER!$F$5:F76,MATCHER!F76,MATCHER!$K$5:K76,"Ja",MATCHER!$E$5:E76,"Arrangörsskap*")=1,MATCHER!F76,""))</f>
        <v>F19</v>
      </c>
    </row>
    <row r="77" spans="1:17">
      <c r="Q77" s="138" t="str">
        <f>IF(OR(MATCHER!A77="",MATCHER!K77&lt;&gt;"Ja",AND(MATCHER!J77&lt;&gt;MATCHER!F77,LEFT(MATCHER!J77,LEN(MATCHER!F77)+1)&lt;&gt;MATCHER!F77&amp;" ",LEFT(MATCHER!E77,13)&lt;&gt;"Arrangörsskap")),"",IF(COUNTIFS(MATCHER!$B$5:B77,MATCHER!B77,MATCHER!$D$5:D77,MATCHER!D77,MATCHER!$F$5:F77,MATCHER!F77,MATCHER!$K$5:K77,"Ja",MATCHER!$J$5:J77,MATCHER!F77)+COUNTIFS(MATCHER!$B$5:B77,MATCHER!B77,MATCHER!$D$5:D77,MATCHER!D77,MATCHER!$F$5:F77,MATCHER!F77,MATCHER!$K$5:K77,"Ja",MATCHER!$J$5:J77,MATCHER!F77&amp;" *")+COUNTIFS(MATCHER!$B$5:B77,MATCHER!B77,MATCHER!$D$5:D77,MATCHER!D77,MATCHER!$F$5:F77,MATCHER!F77,MATCHER!$K$5:K77,"Ja",MATCHER!$E$5:E77,"Arrangörsskap*")=1,MATCHER!F77,""))</f>
        <v>P16</v>
      </c>
    </row>
    <row r="78" spans="1:17">
      <c r="Q78" s="138" t="str">
        <f>IF(OR(MATCHER!A78="",MATCHER!K78&lt;&gt;"Ja",AND(MATCHER!J78&lt;&gt;MATCHER!F78,LEFT(MATCHER!J78,LEN(MATCHER!F78)+1)&lt;&gt;MATCHER!F78&amp;" ",LEFT(MATCHER!E78,13)&lt;&gt;"Arrangörsskap")),"",IF(COUNTIFS(MATCHER!$B$5:B78,MATCHER!B78,MATCHER!$D$5:D78,MATCHER!D78,MATCHER!$F$5:F78,MATCHER!F78,MATCHER!$K$5:K78,"Ja",MATCHER!$J$5:J78,MATCHER!F78)+COUNTIFS(MATCHER!$B$5:B78,MATCHER!B78,MATCHER!$D$5:D78,MATCHER!D78,MATCHER!$F$5:F78,MATCHER!F78,MATCHER!$K$5:K78,"Ja",MATCHER!$J$5:J78,MATCHER!F78&amp;" *")+COUNTIFS(MATCHER!$B$5:B78,MATCHER!B78,MATCHER!$D$5:D78,MATCHER!D78,MATCHER!$F$5:F78,MATCHER!F78,MATCHER!$K$5:K78,"Ja",MATCHER!$E$5:E78,"Arrangörsskap*")=1,MATCHER!F78,""))</f>
        <v/>
      </c>
    </row>
    <row r="79" spans="1:17">
      <c r="Q79" s="138" t="str">
        <f>IF(OR(MATCHER!A79="",MATCHER!K79&lt;&gt;"Ja",AND(MATCHER!J79&lt;&gt;MATCHER!F79,LEFT(MATCHER!J79,LEN(MATCHER!F79)+1)&lt;&gt;MATCHER!F79&amp;" ",LEFT(MATCHER!E79,13)&lt;&gt;"Arrangörsskap")),"",IF(COUNTIFS(MATCHER!$B$5:B79,MATCHER!B79,MATCHER!$D$5:D79,MATCHER!D79,MATCHER!$F$5:F79,MATCHER!F79,MATCHER!$K$5:K79,"Ja",MATCHER!$J$5:J79,MATCHER!F79)+COUNTIFS(MATCHER!$B$5:B79,MATCHER!B79,MATCHER!$D$5:D79,MATCHER!D79,MATCHER!$F$5:F79,MATCHER!F79,MATCHER!$K$5:K79,"Ja",MATCHER!$J$5:J79,MATCHER!F79&amp;" *")+COUNTIFS(MATCHER!$B$5:B79,MATCHER!B79,MATCHER!$D$5:D79,MATCHER!D79,MATCHER!$F$5:F79,MATCHER!F79,MATCHER!$K$5:K79,"Ja",MATCHER!$E$5:E79,"Arrangörsskap*")=1,MATCHER!F79,""))</f>
        <v/>
      </c>
    </row>
    <row r="80" spans="1:17">
      <c r="Q80" s="138" t="str">
        <f>IF(OR(MATCHER!A80="",MATCHER!K80&lt;&gt;"Ja",AND(MATCHER!J80&lt;&gt;MATCHER!F80,LEFT(MATCHER!J80,LEN(MATCHER!F80)+1)&lt;&gt;MATCHER!F80&amp;" ",LEFT(MATCHER!E80,13)&lt;&gt;"Arrangörsskap")),"",IF(COUNTIFS(MATCHER!$B$5:B80,MATCHER!B80,MATCHER!$D$5:D80,MATCHER!D80,MATCHER!$F$5:F80,MATCHER!F80,MATCHER!$K$5:K80,"Ja",MATCHER!$J$5:J80,MATCHER!F80)+COUNTIFS(MATCHER!$B$5:B80,MATCHER!B80,MATCHER!$D$5:D80,MATCHER!D80,MATCHER!$F$5:F80,MATCHER!F80,MATCHER!$K$5:K80,"Ja",MATCHER!$J$5:J80,MATCHER!F80&amp;" *")+COUNTIFS(MATCHER!$B$5:B80,MATCHER!B80,MATCHER!$D$5:D80,MATCHER!D80,MATCHER!$F$5:F80,MATCHER!F80,MATCHER!$K$5:K80,"Ja",MATCHER!$E$5:E80,"Arrangörsskap*")=1,MATCHER!F80,""))</f>
        <v/>
      </c>
    </row>
    <row r="81" spans="17:17">
      <c r="Q81" s="138" t="str">
        <f>IF(OR(MATCHER!A81="",MATCHER!K81&lt;&gt;"Ja",AND(MATCHER!J81&lt;&gt;MATCHER!F81,LEFT(MATCHER!J81,LEN(MATCHER!F81)+1)&lt;&gt;MATCHER!F81&amp;" ",LEFT(MATCHER!E81,13)&lt;&gt;"Arrangörsskap")),"",IF(COUNTIFS(MATCHER!$B$5:B81,MATCHER!B81,MATCHER!$D$5:D81,MATCHER!D81,MATCHER!$F$5:F81,MATCHER!F81,MATCHER!$K$5:K81,"Ja",MATCHER!$J$5:J81,MATCHER!F81)+COUNTIFS(MATCHER!$B$5:B81,MATCHER!B81,MATCHER!$D$5:D81,MATCHER!D81,MATCHER!$F$5:F81,MATCHER!F81,MATCHER!$K$5:K81,"Ja",MATCHER!$J$5:J81,MATCHER!F81&amp;" *")+COUNTIFS(MATCHER!$B$5:B81,MATCHER!B81,MATCHER!$D$5:D81,MATCHER!D81,MATCHER!$F$5:F81,MATCHER!F81,MATCHER!$K$5:K81,"Ja",MATCHER!$E$5:E81,"Arrangörsskap*")=1,MATCHER!F81,""))</f>
        <v/>
      </c>
    </row>
    <row r="82" spans="17:17">
      <c r="Q82" s="138" t="str">
        <f>IF(OR(MATCHER!A82="",MATCHER!K82&lt;&gt;"Ja",AND(MATCHER!J82&lt;&gt;MATCHER!F82,LEFT(MATCHER!J82,LEN(MATCHER!F82)+1)&lt;&gt;MATCHER!F82&amp;" ",LEFT(MATCHER!E82,13)&lt;&gt;"Arrangörsskap")),"",IF(COUNTIFS(MATCHER!$B$5:B82,MATCHER!B82,MATCHER!$D$5:D82,MATCHER!D82,MATCHER!$F$5:F82,MATCHER!F82,MATCHER!$K$5:K82,"Ja",MATCHER!$J$5:J82,MATCHER!F82)+COUNTIFS(MATCHER!$B$5:B82,MATCHER!B82,MATCHER!$D$5:D82,MATCHER!D82,MATCHER!$F$5:F82,MATCHER!F82,MATCHER!$K$5:K82,"Ja",MATCHER!$J$5:J82,MATCHER!F82&amp;" *")+COUNTIFS(MATCHER!$B$5:B82,MATCHER!B82,MATCHER!$D$5:D82,MATCHER!D82,MATCHER!$F$5:F82,MATCHER!F82,MATCHER!$K$5:K82,"Ja",MATCHER!$E$5:E82,"Arrangörsskap*")=1,MATCHER!F82,""))</f>
        <v/>
      </c>
    </row>
    <row r="83" spans="17:17">
      <c r="Q83" s="138" t="str">
        <f>IF(OR(MATCHER!A83="",MATCHER!K83&lt;&gt;"Ja",AND(MATCHER!J83&lt;&gt;MATCHER!F83,LEFT(MATCHER!J83,LEN(MATCHER!F83)+1)&lt;&gt;MATCHER!F83&amp;" ",LEFT(MATCHER!E83,13)&lt;&gt;"Arrangörsskap")),"",IF(COUNTIFS(MATCHER!$B$5:B83,MATCHER!B83,MATCHER!$D$5:D83,MATCHER!D83,MATCHER!$F$5:F83,MATCHER!F83,MATCHER!$K$5:K83,"Ja",MATCHER!$J$5:J83,MATCHER!F83)+COUNTIFS(MATCHER!$B$5:B83,MATCHER!B83,MATCHER!$D$5:D83,MATCHER!D83,MATCHER!$F$5:F83,MATCHER!F83,MATCHER!$K$5:K83,"Ja",MATCHER!$J$5:J83,MATCHER!F83&amp;" *")+COUNTIFS(MATCHER!$B$5:B83,MATCHER!B83,MATCHER!$D$5:D83,MATCHER!D83,MATCHER!$F$5:F83,MATCHER!F83,MATCHER!$K$5:K83,"Ja",MATCHER!$E$5:E83,"Arrangörsskap*")=1,MATCHER!F83,""))</f>
        <v/>
      </c>
    </row>
    <row r="84" spans="17:17">
      <c r="Q84" s="138" t="str">
        <f>IF(OR(MATCHER!A84="",MATCHER!K84&lt;&gt;"Ja",AND(MATCHER!J84&lt;&gt;MATCHER!F84,LEFT(MATCHER!J84,LEN(MATCHER!F84)+1)&lt;&gt;MATCHER!F84&amp;" ",LEFT(MATCHER!E84,13)&lt;&gt;"Arrangörsskap")),"",IF(COUNTIFS(MATCHER!$B$5:B84,MATCHER!B84,MATCHER!$D$5:D84,MATCHER!D84,MATCHER!$F$5:F84,MATCHER!F84,MATCHER!$K$5:K84,"Ja",MATCHER!$J$5:J84,MATCHER!F84)+COUNTIFS(MATCHER!$B$5:B84,MATCHER!B84,MATCHER!$D$5:D84,MATCHER!D84,MATCHER!$F$5:F84,MATCHER!F84,MATCHER!$K$5:K84,"Ja",MATCHER!$J$5:J84,MATCHER!F84&amp;" *")+COUNTIFS(MATCHER!$B$5:B84,MATCHER!B84,MATCHER!$D$5:D84,MATCHER!D84,MATCHER!$F$5:F84,MATCHER!F84,MATCHER!$K$5:K84,"Ja",MATCHER!$E$5:E84,"Arrangörsskap*")=1,MATCHER!F84,""))</f>
        <v/>
      </c>
    </row>
    <row r="85" spans="17:17">
      <c r="Q85" s="138" t="str">
        <f>IF(OR(MATCHER!A85="",MATCHER!K85&lt;&gt;"Ja",AND(MATCHER!J85&lt;&gt;MATCHER!F85,LEFT(MATCHER!J85,LEN(MATCHER!F85)+1)&lt;&gt;MATCHER!F85&amp;" ",LEFT(MATCHER!E85,13)&lt;&gt;"Arrangörsskap")),"",IF(COUNTIFS(MATCHER!$B$5:B85,MATCHER!B85,MATCHER!$D$5:D85,MATCHER!D85,MATCHER!$F$5:F85,MATCHER!F85,MATCHER!$K$5:K85,"Ja",MATCHER!$J$5:J85,MATCHER!F85)+COUNTIFS(MATCHER!$B$5:B85,MATCHER!B85,MATCHER!$D$5:D85,MATCHER!D85,MATCHER!$F$5:F85,MATCHER!F85,MATCHER!$K$5:K85,"Ja",MATCHER!$J$5:J85,MATCHER!F85&amp;" *")+COUNTIFS(MATCHER!$B$5:B85,MATCHER!B85,MATCHER!$D$5:D85,MATCHER!D85,MATCHER!$F$5:F85,MATCHER!F85,MATCHER!$K$5:K85,"Ja",MATCHER!$E$5:E85,"Arrangörsskap*")=1,MATCHER!F85,""))</f>
        <v>F13</v>
      </c>
    </row>
    <row r="86" spans="17:17">
      <c r="Q86" s="138" t="str">
        <f>IF(OR(MATCHER!A86="",MATCHER!K86&lt;&gt;"Ja",AND(MATCHER!J86&lt;&gt;MATCHER!F86,LEFT(MATCHER!J86,LEN(MATCHER!F86)+1)&lt;&gt;MATCHER!F86&amp;" ",LEFT(MATCHER!E86,13)&lt;&gt;"Arrangörsskap")),"",IF(COUNTIFS(MATCHER!$B$5:B86,MATCHER!B86,MATCHER!$D$5:D86,MATCHER!D86,MATCHER!$F$5:F86,MATCHER!F86,MATCHER!$K$5:K86,"Ja",MATCHER!$J$5:J86,MATCHER!F86)+COUNTIFS(MATCHER!$B$5:B86,MATCHER!B86,MATCHER!$D$5:D86,MATCHER!D86,MATCHER!$F$5:F86,MATCHER!F86,MATCHER!$K$5:K86,"Ja",MATCHER!$J$5:J86,MATCHER!F86&amp;" *")+COUNTIFS(MATCHER!$B$5:B86,MATCHER!B86,MATCHER!$D$5:D86,MATCHER!D86,MATCHER!$F$5:F86,MATCHER!F86,MATCHER!$K$5:K86,"Ja",MATCHER!$E$5:E86,"Arrangörsskap*")=1,MATCHER!F86,""))</f>
        <v>F14</v>
      </c>
    </row>
    <row r="87" spans="17:17">
      <c r="Q87" s="138" t="str">
        <f>IF(OR(MATCHER!A87="",MATCHER!K87&lt;&gt;"Ja",AND(MATCHER!J87&lt;&gt;MATCHER!F87,LEFT(MATCHER!J87,LEN(MATCHER!F87)+1)&lt;&gt;MATCHER!F87&amp;" ",LEFT(MATCHER!E87,13)&lt;&gt;"Arrangörsskap")),"",IF(COUNTIFS(MATCHER!$B$5:B87,MATCHER!B87,MATCHER!$D$5:D87,MATCHER!D87,MATCHER!$F$5:F87,MATCHER!F87,MATCHER!$K$5:K87,"Ja",MATCHER!$J$5:J87,MATCHER!F87)+COUNTIFS(MATCHER!$B$5:B87,MATCHER!B87,MATCHER!$D$5:D87,MATCHER!D87,MATCHER!$F$5:F87,MATCHER!F87,MATCHER!$K$5:K87,"Ja",MATCHER!$J$5:J87,MATCHER!F87&amp;" *")+COUNTIFS(MATCHER!$B$5:B87,MATCHER!B87,MATCHER!$D$5:D87,MATCHER!D87,MATCHER!$F$5:F87,MATCHER!F87,MATCHER!$K$5:K87,"Ja",MATCHER!$E$5:E87,"Arrangörsskap*")=1,MATCHER!F87,""))</f>
        <v/>
      </c>
    </row>
    <row r="88" spans="17:17">
      <c r="Q88" s="138" t="str">
        <f>IF(OR(MATCHER!A88="",MATCHER!K88&lt;&gt;"Ja",AND(MATCHER!J88&lt;&gt;MATCHER!F88,LEFT(MATCHER!J88,LEN(MATCHER!F88)+1)&lt;&gt;MATCHER!F88&amp;" ",LEFT(MATCHER!E88,13)&lt;&gt;"Arrangörsskap")),"",IF(COUNTIFS(MATCHER!$B$5:B88,MATCHER!B88,MATCHER!$D$5:D88,MATCHER!D88,MATCHER!$F$5:F88,MATCHER!F88,MATCHER!$K$5:K88,"Ja",MATCHER!$J$5:J88,MATCHER!F88)+COUNTIFS(MATCHER!$B$5:B88,MATCHER!B88,MATCHER!$D$5:D88,MATCHER!D88,MATCHER!$F$5:F88,MATCHER!F88,MATCHER!$K$5:K88,"Ja",MATCHER!$J$5:J88,MATCHER!F88&amp;" *")+COUNTIFS(MATCHER!$B$5:B88,MATCHER!B88,MATCHER!$D$5:D88,MATCHER!D88,MATCHER!$F$5:F88,MATCHER!F88,MATCHER!$K$5:K88,"Ja",MATCHER!$E$5:E88,"Arrangörsskap*")=1,MATCHER!F88,""))</f>
        <v>F16</v>
      </c>
    </row>
    <row r="89" spans="17:17">
      <c r="Q89" s="138" t="str">
        <f>IF(OR(MATCHER!A89="",MATCHER!K89&lt;&gt;"Ja",AND(MATCHER!J89&lt;&gt;MATCHER!F89,LEFT(MATCHER!J89,LEN(MATCHER!F89)+1)&lt;&gt;MATCHER!F89&amp;" ",LEFT(MATCHER!E89,13)&lt;&gt;"Arrangörsskap")),"",IF(COUNTIFS(MATCHER!$B$5:B89,MATCHER!B89,MATCHER!$D$5:D89,MATCHER!D89,MATCHER!$F$5:F89,MATCHER!F89,MATCHER!$K$5:K89,"Ja",MATCHER!$J$5:J89,MATCHER!F89)+COUNTIFS(MATCHER!$B$5:B89,MATCHER!B89,MATCHER!$D$5:D89,MATCHER!D89,MATCHER!$F$5:F89,MATCHER!F89,MATCHER!$K$5:K89,"Ja",MATCHER!$J$5:J89,MATCHER!F89&amp;" *")+COUNTIFS(MATCHER!$B$5:B89,MATCHER!B89,MATCHER!$D$5:D89,MATCHER!D89,MATCHER!$F$5:F89,MATCHER!F89,MATCHER!$K$5:K89,"Ja",MATCHER!$E$5:E89,"Arrangörsskap*")=1,MATCHER!F89,""))</f>
        <v>Herr</v>
      </c>
    </row>
    <row r="90" spans="17:17">
      <c r="Q90" s="138" t="str">
        <f>IF(OR(MATCHER!A90="",MATCHER!K90&lt;&gt;"Ja",AND(MATCHER!J90&lt;&gt;MATCHER!F90,LEFT(MATCHER!J90,LEN(MATCHER!F90)+1)&lt;&gt;MATCHER!F90&amp;" ",LEFT(MATCHER!E90,13)&lt;&gt;"Arrangörsskap")),"",IF(COUNTIFS(MATCHER!$B$5:B90,MATCHER!B90,MATCHER!$D$5:D90,MATCHER!D90,MATCHER!$F$5:F90,MATCHER!F90,MATCHER!$K$5:K90,"Ja",MATCHER!$J$5:J90,MATCHER!F90)+COUNTIFS(MATCHER!$B$5:B90,MATCHER!B90,MATCHER!$D$5:D90,MATCHER!D90,MATCHER!$F$5:F90,MATCHER!F90,MATCHER!$K$5:K90,"Ja",MATCHER!$J$5:J90,MATCHER!F90&amp;" *")+COUNTIFS(MATCHER!$B$5:B90,MATCHER!B90,MATCHER!$D$5:D90,MATCHER!D90,MATCHER!$F$5:F90,MATCHER!F90,MATCHER!$K$5:K90,"Ja",MATCHER!$E$5:E90,"Arrangörsskap*")=1,MATCHER!F90,""))</f>
        <v>P12</v>
      </c>
    </row>
    <row r="91" spans="17:17">
      <c r="Q91" s="138" t="str">
        <f>IF(OR(MATCHER!A91="",MATCHER!K91&lt;&gt;"Ja",AND(MATCHER!J91&lt;&gt;MATCHER!F91,LEFT(MATCHER!J91,LEN(MATCHER!F91)+1)&lt;&gt;MATCHER!F91&amp;" ",LEFT(MATCHER!E91,13)&lt;&gt;"Arrangörsskap")),"",IF(COUNTIFS(MATCHER!$B$5:B91,MATCHER!B91,MATCHER!$D$5:D91,MATCHER!D91,MATCHER!$F$5:F91,MATCHER!F91,MATCHER!$K$5:K91,"Ja",MATCHER!$J$5:J91,MATCHER!F91)+COUNTIFS(MATCHER!$B$5:B91,MATCHER!B91,MATCHER!$D$5:D91,MATCHER!D91,MATCHER!$F$5:F91,MATCHER!F91,MATCHER!$K$5:K91,"Ja",MATCHER!$J$5:J91,MATCHER!F91&amp;" *")+COUNTIFS(MATCHER!$B$5:B91,MATCHER!B91,MATCHER!$D$5:D91,MATCHER!D91,MATCHER!$F$5:F91,MATCHER!F91,MATCHER!$K$5:K91,"Ja",MATCHER!$E$5:E91,"Arrangörsskap*")=1,MATCHER!F91,""))</f>
        <v/>
      </c>
    </row>
    <row r="92" spans="17:17">
      <c r="Q92" s="138" t="str">
        <f>IF(OR(MATCHER!A92="",MATCHER!K92&lt;&gt;"Ja",AND(MATCHER!J92&lt;&gt;MATCHER!F92,LEFT(MATCHER!J92,LEN(MATCHER!F92)+1)&lt;&gt;MATCHER!F92&amp;" ",LEFT(MATCHER!E92,13)&lt;&gt;"Arrangörsskap")),"",IF(COUNTIFS(MATCHER!$B$5:B92,MATCHER!B92,MATCHER!$D$5:D92,MATCHER!D92,MATCHER!$F$5:F92,MATCHER!F92,MATCHER!$K$5:K92,"Ja",MATCHER!$J$5:J92,MATCHER!F92)+COUNTIFS(MATCHER!$B$5:B92,MATCHER!B92,MATCHER!$D$5:D92,MATCHER!D92,MATCHER!$F$5:F92,MATCHER!F92,MATCHER!$K$5:K92,"Ja",MATCHER!$J$5:J92,MATCHER!F92&amp;" *")+COUNTIFS(MATCHER!$B$5:B92,MATCHER!B92,MATCHER!$D$5:D92,MATCHER!D92,MATCHER!$F$5:F92,MATCHER!F92,MATCHER!$K$5:K92,"Ja",MATCHER!$E$5:E92,"Arrangörsskap*")=1,MATCHER!F92,""))</f>
        <v/>
      </c>
    </row>
    <row r="93" spans="17:17">
      <c r="Q93" s="138" t="str">
        <f>IF(OR(MATCHER!A93="",MATCHER!K93&lt;&gt;"Ja",AND(MATCHER!J93&lt;&gt;MATCHER!F93,LEFT(MATCHER!J93,LEN(MATCHER!F93)+1)&lt;&gt;MATCHER!F93&amp;" ",LEFT(MATCHER!E93,13)&lt;&gt;"Arrangörsskap")),"",IF(COUNTIFS(MATCHER!$B$5:B93,MATCHER!B93,MATCHER!$D$5:D93,MATCHER!D93,MATCHER!$F$5:F93,MATCHER!F93,MATCHER!$K$5:K93,"Ja",MATCHER!$J$5:J93,MATCHER!F93)+COUNTIFS(MATCHER!$B$5:B93,MATCHER!B93,MATCHER!$D$5:D93,MATCHER!D93,MATCHER!$F$5:F93,MATCHER!F93,MATCHER!$K$5:K93,"Ja",MATCHER!$J$5:J93,MATCHER!F93&amp;" *")+COUNTIFS(MATCHER!$B$5:B93,MATCHER!B93,MATCHER!$D$5:D93,MATCHER!D93,MATCHER!$F$5:F93,MATCHER!F93,MATCHER!$K$5:K93,"Ja",MATCHER!$E$5:E93,"Arrangörsskap*")=1,MATCHER!F93,""))</f>
        <v/>
      </c>
    </row>
    <row r="94" spans="17:17">
      <c r="Q94" s="138" t="str">
        <f>IF(OR(MATCHER!A94="",MATCHER!K94&lt;&gt;"Ja",AND(MATCHER!J94&lt;&gt;MATCHER!F94,LEFT(MATCHER!J94,LEN(MATCHER!F94)+1)&lt;&gt;MATCHER!F94&amp;" ",LEFT(MATCHER!E94,13)&lt;&gt;"Arrangörsskap")),"",IF(COUNTIFS(MATCHER!$B$5:B94,MATCHER!B94,MATCHER!$D$5:D94,MATCHER!D94,MATCHER!$F$5:F94,MATCHER!F94,MATCHER!$K$5:K94,"Ja",MATCHER!$J$5:J94,MATCHER!F94)+COUNTIFS(MATCHER!$B$5:B94,MATCHER!B94,MATCHER!$D$5:D94,MATCHER!D94,MATCHER!$F$5:F94,MATCHER!F94,MATCHER!$K$5:K94,"Ja",MATCHER!$J$5:J94,MATCHER!F94&amp;" *")+COUNTIFS(MATCHER!$B$5:B94,MATCHER!B94,MATCHER!$D$5:D94,MATCHER!D94,MATCHER!$F$5:F94,MATCHER!F94,MATCHER!$K$5:K94,"Ja",MATCHER!$E$5:E94,"Arrangörsskap*")=1,MATCHER!F94,""))</f>
        <v/>
      </c>
    </row>
    <row r="95" spans="17:17">
      <c r="Q95" s="138" t="str">
        <f>IF(OR(MATCHER!A95="",MATCHER!K95&lt;&gt;"Ja",AND(MATCHER!J95&lt;&gt;MATCHER!F95,LEFT(MATCHER!J95,LEN(MATCHER!F95)+1)&lt;&gt;MATCHER!F95&amp;" ",LEFT(MATCHER!E95,13)&lt;&gt;"Arrangörsskap")),"",IF(COUNTIFS(MATCHER!$B$5:B95,MATCHER!B95,MATCHER!$D$5:D95,MATCHER!D95,MATCHER!$F$5:F95,MATCHER!F95,MATCHER!$K$5:K95,"Ja",MATCHER!$J$5:J95,MATCHER!F95)+COUNTIFS(MATCHER!$B$5:B95,MATCHER!B95,MATCHER!$D$5:D95,MATCHER!D95,MATCHER!$F$5:F95,MATCHER!F95,MATCHER!$K$5:K95,"Ja",MATCHER!$J$5:J95,MATCHER!F95&amp;" *")+COUNTIFS(MATCHER!$B$5:B95,MATCHER!B95,MATCHER!$D$5:D95,MATCHER!D95,MATCHER!$F$5:F95,MATCHER!F95,MATCHER!$K$5:K95,"Ja",MATCHER!$E$5:E95,"Arrangörsskap*")=1,MATCHER!F95,""))</f>
        <v/>
      </c>
    </row>
    <row r="96" spans="17:17">
      <c r="Q96" s="138" t="str">
        <f>IF(OR(MATCHER!A96="",MATCHER!K96&lt;&gt;"Ja",AND(MATCHER!J96&lt;&gt;MATCHER!F96,LEFT(MATCHER!J96,LEN(MATCHER!F96)+1)&lt;&gt;MATCHER!F96&amp;" ",LEFT(MATCHER!E96,13)&lt;&gt;"Arrangörsskap")),"",IF(COUNTIFS(MATCHER!$B$5:B96,MATCHER!B96,MATCHER!$D$5:D96,MATCHER!D96,MATCHER!$F$5:F96,MATCHER!F96,MATCHER!$K$5:K96,"Ja",MATCHER!$J$5:J96,MATCHER!F96)+COUNTIFS(MATCHER!$B$5:B96,MATCHER!B96,MATCHER!$D$5:D96,MATCHER!D96,MATCHER!$F$5:F96,MATCHER!F96,MATCHER!$K$5:K96,"Ja",MATCHER!$J$5:J96,MATCHER!F96&amp;" *")+COUNTIFS(MATCHER!$B$5:B96,MATCHER!B96,MATCHER!$D$5:D96,MATCHER!D96,MATCHER!$F$5:F96,MATCHER!F96,MATCHER!$K$5:K96,"Ja",MATCHER!$E$5:E96,"Arrangörsskap*")=1,MATCHER!F96,""))</f>
        <v>F12</v>
      </c>
    </row>
    <row r="97" spans="17:17">
      <c r="Q97" s="138" t="str">
        <f>IF(OR(MATCHER!A97="",MATCHER!K97&lt;&gt;"Ja",AND(MATCHER!J97&lt;&gt;MATCHER!F97,LEFT(MATCHER!J97,LEN(MATCHER!F97)+1)&lt;&gt;MATCHER!F97&amp;" ",LEFT(MATCHER!E97,13)&lt;&gt;"Arrangörsskap")),"",IF(COUNTIFS(MATCHER!$B$5:B97,MATCHER!B97,MATCHER!$D$5:D97,MATCHER!D97,MATCHER!$F$5:F97,MATCHER!F97,MATCHER!$K$5:K97,"Ja",MATCHER!$J$5:J97,MATCHER!F97)+COUNTIFS(MATCHER!$B$5:B97,MATCHER!B97,MATCHER!$D$5:D97,MATCHER!D97,MATCHER!$F$5:F97,MATCHER!F97,MATCHER!$K$5:K97,"Ja",MATCHER!$J$5:J97,MATCHER!F97&amp;" *")+COUNTIFS(MATCHER!$B$5:B97,MATCHER!B97,MATCHER!$D$5:D97,MATCHER!D97,MATCHER!$F$5:F97,MATCHER!F97,MATCHER!$K$5:K97,"Ja",MATCHER!$E$5:E97,"Arrangörsskap*")=1,MATCHER!F97,""))</f>
        <v/>
      </c>
    </row>
    <row r="98" spans="17:17">
      <c r="Q98" s="138" t="str">
        <f>IF(OR(MATCHER!A98="",MATCHER!K98&lt;&gt;"Ja",AND(MATCHER!J98&lt;&gt;MATCHER!F98,LEFT(MATCHER!J98,LEN(MATCHER!F98)+1)&lt;&gt;MATCHER!F98&amp;" ",LEFT(MATCHER!E98,13)&lt;&gt;"Arrangörsskap")),"",IF(COUNTIFS(MATCHER!$B$5:B98,MATCHER!B98,MATCHER!$D$5:D98,MATCHER!D98,MATCHER!$F$5:F98,MATCHER!F98,MATCHER!$K$5:K98,"Ja",MATCHER!$J$5:J98,MATCHER!F98)+COUNTIFS(MATCHER!$B$5:B98,MATCHER!B98,MATCHER!$D$5:D98,MATCHER!D98,MATCHER!$F$5:F98,MATCHER!F98,MATCHER!$K$5:K98,"Ja",MATCHER!$J$5:J98,MATCHER!F98&amp;" *")+COUNTIFS(MATCHER!$B$5:B98,MATCHER!B98,MATCHER!$D$5:D98,MATCHER!D98,MATCHER!$F$5:F98,MATCHER!F98,MATCHER!$K$5:K98,"Ja",MATCHER!$E$5:E98,"Arrangörsskap*")=1,MATCHER!F98,""))</f>
        <v/>
      </c>
    </row>
    <row r="99" spans="17:17">
      <c r="Q99" s="138" t="str">
        <f>IF(OR(MATCHER!A99="",MATCHER!K99&lt;&gt;"Ja",AND(MATCHER!J99&lt;&gt;MATCHER!F99,LEFT(MATCHER!J99,LEN(MATCHER!F99)+1)&lt;&gt;MATCHER!F99&amp;" ",LEFT(MATCHER!E99,13)&lt;&gt;"Arrangörsskap")),"",IF(COUNTIFS(MATCHER!$B$5:B99,MATCHER!B99,MATCHER!$D$5:D99,MATCHER!D99,MATCHER!$F$5:F99,MATCHER!F99,MATCHER!$K$5:K99,"Ja",MATCHER!$J$5:J99,MATCHER!F99)+COUNTIFS(MATCHER!$B$5:B99,MATCHER!B99,MATCHER!$D$5:D99,MATCHER!D99,MATCHER!$F$5:F99,MATCHER!F99,MATCHER!$K$5:K99,"Ja",MATCHER!$J$5:J99,MATCHER!F99&amp;" *")+COUNTIFS(MATCHER!$B$5:B99,MATCHER!B99,MATCHER!$D$5:D99,MATCHER!D99,MATCHER!$F$5:F99,MATCHER!F99,MATCHER!$K$5:K99,"Ja",MATCHER!$E$5:E99,"Arrangörsskap*")=1,MATCHER!F99,""))</f>
        <v>F13</v>
      </c>
    </row>
    <row r="100" spans="17:17">
      <c r="Q100" s="138" t="str">
        <f>IF(OR(MATCHER!A100="",MATCHER!K100&lt;&gt;"Ja",AND(MATCHER!J100&lt;&gt;MATCHER!F100,LEFT(MATCHER!J100,LEN(MATCHER!F100)+1)&lt;&gt;MATCHER!F100&amp;" ",LEFT(MATCHER!E100,13)&lt;&gt;"Arrangörsskap")),"",IF(COUNTIFS(MATCHER!$B$5:B100,MATCHER!B100,MATCHER!$D$5:D100,MATCHER!D100,MATCHER!$F$5:F100,MATCHER!F100,MATCHER!$K$5:K100,"Ja",MATCHER!$J$5:J100,MATCHER!F100)+COUNTIFS(MATCHER!$B$5:B100,MATCHER!B100,MATCHER!$D$5:D100,MATCHER!D100,MATCHER!$F$5:F100,MATCHER!F100,MATCHER!$K$5:K100,"Ja",MATCHER!$J$5:J100,MATCHER!F100&amp;" *")+COUNTIFS(MATCHER!$B$5:B100,MATCHER!B100,MATCHER!$D$5:D100,MATCHER!D100,MATCHER!$F$5:F100,MATCHER!F100,MATCHER!$K$5:K100,"Ja",MATCHER!$E$5:E100,"Arrangörsskap*")=1,MATCHER!F100,""))</f>
        <v/>
      </c>
    </row>
    <row r="101" spans="17:17">
      <c r="Q101" s="138" t="str">
        <f>IF(OR(MATCHER!A101="",MATCHER!K101&lt;&gt;"Ja",AND(MATCHER!J101&lt;&gt;MATCHER!F101,LEFT(MATCHER!J101,LEN(MATCHER!F101)+1)&lt;&gt;MATCHER!F101&amp;" ",LEFT(MATCHER!E101,13)&lt;&gt;"Arrangörsskap")),"",IF(COUNTIFS(MATCHER!$B$5:B101,MATCHER!B101,MATCHER!$D$5:D101,MATCHER!D101,MATCHER!$F$5:F101,MATCHER!F101,MATCHER!$K$5:K101,"Ja",MATCHER!$J$5:J101,MATCHER!F101)+COUNTIFS(MATCHER!$B$5:B101,MATCHER!B101,MATCHER!$D$5:D101,MATCHER!D101,MATCHER!$F$5:F101,MATCHER!F101,MATCHER!$K$5:K101,"Ja",MATCHER!$J$5:J101,MATCHER!F101&amp;" *")+COUNTIFS(MATCHER!$B$5:B101,MATCHER!B101,MATCHER!$D$5:D101,MATCHER!D101,MATCHER!$F$5:F101,MATCHER!F101,MATCHER!$K$5:K101,"Ja",MATCHER!$E$5:E101,"Arrangörsskap*")=1,MATCHER!F101,""))</f>
        <v>F14</v>
      </c>
    </row>
    <row r="102" spans="17:17">
      <c r="Q102" s="138" t="str">
        <f>IF(OR(MATCHER!A102="",MATCHER!K102&lt;&gt;"Ja",AND(MATCHER!J102&lt;&gt;MATCHER!F102,LEFT(MATCHER!J102,LEN(MATCHER!F102)+1)&lt;&gt;MATCHER!F102&amp;" ",LEFT(MATCHER!E102,13)&lt;&gt;"Arrangörsskap")),"",IF(COUNTIFS(MATCHER!$B$5:B102,MATCHER!B102,MATCHER!$D$5:D102,MATCHER!D102,MATCHER!$F$5:F102,MATCHER!F102,MATCHER!$K$5:K102,"Ja",MATCHER!$J$5:J102,MATCHER!F102)+COUNTIFS(MATCHER!$B$5:B102,MATCHER!B102,MATCHER!$D$5:D102,MATCHER!D102,MATCHER!$F$5:F102,MATCHER!F102,MATCHER!$K$5:K102,"Ja",MATCHER!$J$5:J102,MATCHER!F102&amp;" *")+COUNTIFS(MATCHER!$B$5:B102,MATCHER!B102,MATCHER!$D$5:D102,MATCHER!D102,MATCHER!$F$5:F102,MATCHER!F102,MATCHER!$K$5:K102,"Ja",MATCHER!$E$5:E102,"Arrangörsskap*")=1,MATCHER!F102,""))</f>
        <v/>
      </c>
    </row>
    <row r="103" spans="17:17">
      <c r="Q103" s="138" t="str">
        <f>IF(OR(MATCHER!A103="",MATCHER!K103&lt;&gt;"Ja",AND(MATCHER!J103&lt;&gt;MATCHER!F103,LEFT(MATCHER!J103,LEN(MATCHER!F103)+1)&lt;&gt;MATCHER!F103&amp;" ",LEFT(MATCHER!E103,13)&lt;&gt;"Arrangörsskap")),"",IF(COUNTIFS(MATCHER!$B$5:B103,MATCHER!B103,MATCHER!$D$5:D103,MATCHER!D103,MATCHER!$F$5:F103,MATCHER!F103,MATCHER!$K$5:K103,"Ja",MATCHER!$J$5:J103,MATCHER!F103)+COUNTIFS(MATCHER!$B$5:B103,MATCHER!B103,MATCHER!$D$5:D103,MATCHER!D103,MATCHER!$F$5:F103,MATCHER!F103,MATCHER!$K$5:K103,"Ja",MATCHER!$J$5:J103,MATCHER!F103&amp;" *")+COUNTIFS(MATCHER!$B$5:B103,MATCHER!B103,MATCHER!$D$5:D103,MATCHER!D103,MATCHER!$F$5:F103,MATCHER!F103,MATCHER!$K$5:K103,"Ja",MATCHER!$E$5:E103,"Arrangörsskap*")=1,MATCHER!F103,""))</f>
        <v>F19</v>
      </c>
    </row>
    <row r="104" spans="17:17">
      <c r="Q104" s="138" t="str">
        <f>IF(OR(MATCHER!A104="",MATCHER!K104&lt;&gt;"Ja",AND(MATCHER!J104&lt;&gt;MATCHER!F104,LEFT(MATCHER!J104,LEN(MATCHER!F104)+1)&lt;&gt;MATCHER!F104&amp;" ",LEFT(MATCHER!E104,13)&lt;&gt;"Arrangörsskap")),"",IF(COUNTIFS(MATCHER!$B$5:B104,MATCHER!B104,MATCHER!$D$5:D104,MATCHER!D104,MATCHER!$F$5:F104,MATCHER!F104,MATCHER!$K$5:K104,"Ja",MATCHER!$J$5:J104,MATCHER!F104)+COUNTIFS(MATCHER!$B$5:B104,MATCHER!B104,MATCHER!$D$5:D104,MATCHER!D104,MATCHER!$F$5:F104,MATCHER!F104,MATCHER!$K$5:K104,"Ja",MATCHER!$J$5:J104,MATCHER!F104&amp;" *")+COUNTIFS(MATCHER!$B$5:B104,MATCHER!B104,MATCHER!$D$5:D104,MATCHER!D104,MATCHER!$F$5:F104,MATCHER!F104,MATCHER!$K$5:K104,"Ja",MATCHER!$E$5:E104,"Arrangörsskap*")=1,MATCHER!F104,""))</f>
        <v>F16</v>
      </c>
    </row>
    <row r="105" spans="17:17">
      <c r="Q105" s="138" t="str">
        <f>IF(OR(MATCHER!A105="",MATCHER!K105&lt;&gt;"Ja",AND(MATCHER!J105&lt;&gt;MATCHER!F105,LEFT(MATCHER!J105,LEN(MATCHER!F105)+1)&lt;&gt;MATCHER!F105&amp;" ",LEFT(MATCHER!E105,13)&lt;&gt;"Arrangörsskap")),"",IF(COUNTIFS(MATCHER!$B$5:B105,MATCHER!B105,MATCHER!$D$5:D105,MATCHER!D105,MATCHER!$F$5:F105,MATCHER!F105,MATCHER!$K$5:K105,"Ja",MATCHER!$J$5:J105,MATCHER!F105)+COUNTIFS(MATCHER!$B$5:B105,MATCHER!B105,MATCHER!$D$5:D105,MATCHER!D105,MATCHER!$F$5:F105,MATCHER!F105,MATCHER!$K$5:K105,"Ja",MATCHER!$J$5:J105,MATCHER!F105&amp;" *")+COUNTIFS(MATCHER!$B$5:B105,MATCHER!B105,MATCHER!$D$5:D105,MATCHER!D105,MATCHER!$F$5:F105,MATCHER!F105,MATCHER!$K$5:K105,"Ja",MATCHER!$E$5:E105,"Arrangörsskap*")=1,MATCHER!F105,""))</f>
        <v>P16</v>
      </c>
    </row>
    <row r="106" spans="17:17">
      <c r="Q106" s="138" t="str">
        <f>IF(OR(MATCHER!A106="",MATCHER!K106&lt;&gt;"Ja",AND(MATCHER!J106&lt;&gt;MATCHER!F106,LEFT(MATCHER!J106,LEN(MATCHER!F106)+1)&lt;&gt;MATCHER!F106&amp;" ",LEFT(MATCHER!E106,13)&lt;&gt;"Arrangörsskap")),"",IF(COUNTIFS(MATCHER!$B$5:B106,MATCHER!B106,MATCHER!$D$5:D106,MATCHER!D106,MATCHER!$F$5:F106,MATCHER!F106,MATCHER!$K$5:K106,"Ja",MATCHER!$J$5:J106,MATCHER!F106)+COUNTIFS(MATCHER!$B$5:B106,MATCHER!B106,MATCHER!$D$5:D106,MATCHER!D106,MATCHER!$F$5:F106,MATCHER!F106,MATCHER!$K$5:K106,"Ja",MATCHER!$J$5:J106,MATCHER!F106&amp;" *")+COUNTIFS(MATCHER!$B$5:B106,MATCHER!B106,MATCHER!$D$5:D106,MATCHER!D106,MATCHER!$F$5:F106,MATCHER!F106,MATCHER!$K$5:K106,"Ja",MATCHER!$E$5:E106,"Arrangörsskap*")=1,MATCHER!F106,""))</f>
        <v>Dam</v>
      </c>
    </row>
    <row r="107" spans="17:17">
      <c r="Q107" s="138" t="str">
        <f>IF(OR(MATCHER!A107="",MATCHER!K107&lt;&gt;"Ja",AND(MATCHER!J107&lt;&gt;MATCHER!F107,LEFT(MATCHER!J107,LEN(MATCHER!F107)+1)&lt;&gt;MATCHER!F107&amp;" ",LEFT(MATCHER!E107,13)&lt;&gt;"Arrangörsskap")),"",IF(COUNTIFS(MATCHER!$B$5:B107,MATCHER!B107,MATCHER!$D$5:D107,MATCHER!D107,MATCHER!$F$5:F107,MATCHER!F107,MATCHER!$K$5:K107,"Ja",MATCHER!$J$5:J107,MATCHER!F107)+COUNTIFS(MATCHER!$B$5:B107,MATCHER!B107,MATCHER!$D$5:D107,MATCHER!D107,MATCHER!$F$5:F107,MATCHER!F107,MATCHER!$K$5:K107,"Ja",MATCHER!$J$5:J107,MATCHER!F107&amp;" *")+COUNTIFS(MATCHER!$B$5:B107,MATCHER!B107,MATCHER!$D$5:D107,MATCHER!D107,MATCHER!$F$5:F107,MATCHER!F107,MATCHER!$K$5:K107,"Ja",MATCHER!$E$5:E107,"Arrangörsskap*")=1,MATCHER!F107,""))</f>
        <v>F10</v>
      </c>
    </row>
    <row r="108" spans="17:17">
      <c r="Q108" s="138" t="str">
        <f>IF(OR(MATCHER!A108="",MATCHER!K108&lt;&gt;"Ja",AND(MATCHER!J108&lt;&gt;MATCHER!F108,LEFT(MATCHER!J108,LEN(MATCHER!F108)+1)&lt;&gt;MATCHER!F108&amp;" ",LEFT(MATCHER!E108,13)&lt;&gt;"Arrangörsskap")),"",IF(COUNTIFS(MATCHER!$B$5:B108,MATCHER!B108,MATCHER!$D$5:D108,MATCHER!D108,MATCHER!$F$5:F108,MATCHER!F108,MATCHER!$K$5:K108,"Ja",MATCHER!$J$5:J108,MATCHER!F108)+COUNTIFS(MATCHER!$B$5:B108,MATCHER!B108,MATCHER!$D$5:D108,MATCHER!D108,MATCHER!$F$5:F108,MATCHER!F108,MATCHER!$K$5:K108,"Ja",MATCHER!$J$5:J108,MATCHER!F108&amp;" *")+COUNTIFS(MATCHER!$B$5:B108,MATCHER!B108,MATCHER!$D$5:D108,MATCHER!D108,MATCHER!$F$5:F108,MATCHER!F108,MATCHER!$K$5:K108,"Ja",MATCHER!$E$5:E108,"Arrangörsskap*")=1,MATCHER!F108,""))</f>
        <v/>
      </c>
    </row>
    <row r="109" spans="17:17">
      <c r="Q109" s="138" t="str">
        <f>IF(OR(MATCHER!A109="",MATCHER!K109&lt;&gt;"Ja",AND(MATCHER!J109&lt;&gt;MATCHER!F109,LEFT(MATCHER!J109,LEN(MATCHER!F109)+1)&lt;&gt;MATCHER!F109&amp;" ",LEFT(MATCHER!E109,13)&lt;&gt;"Arrangörsskap")),"",IF(COUNTIFS(MATCHER!$B$5:B109,MATCHER!B109,MATCHER!$D$5:D109,MATCHER!D109,MATCHER!$F$5:F109,MATCHER!F109,MATCHER!$K$5:K109,"Ja",MATCHER!$J$5:J109,MATCHER!F109)+COUNTIFS(MATCHER!$B$5:B109,MATCHER!B109,MATCHER!$D$5:D109,MATCHER!D109,MATCHER!$F$5:F109,MATCHER!F109,MATCHER!$K$5:K109,"Ja",MATCHER!$J$5:J109,MATCHER!F109&amp;" *")+COUNTIFS(MATCHER!$B$5:B109,MATCHER!B109,MATCHER!$D$5:D109,MATCHER!D109,MATCHER!$F$5:F109,MATCHER!F109,MATCHER!$K$5:K109,"Ja",MATCHER!$E$5:E109,"Arrangörsskap*")=1,MATCHER!F109,""))</f>
        <v/>
      </c>
    </row>
    <row r="110" spans="17:17">
      <c r="Q110" s="138" t="str">
        <f>IF(OR(MATCHER!A110="",MATCHER!K110&lt;&gt;"Ja",AND(MATCHER!J110&lt;&gt;MATCHER!F110,LEFT(MATCHER!J110,LEN(MATCHER!F110)+1)&lt;&gt;MATCHER!F110&amp;" ",LEFT(MATCHER!E110,13)&lt;&gt;"Arrangörsskap")),"",IF(COUNTIFS(MATCHER!$B$5:B110,MATCHER!B110,MATCHER!$D$5:D110,MATCHER!D110,MATCHER!$F$5:F110,MATCHER!F110,MATCHER!$K$5:K110,"Ja",MATCHER!$J$5:J110,MATCHER!F110)+COUNTIFS(MATCHER!$B$5:B110,MATCHER!B110,MATCHER!$D$5:D110,MATCHER!D110,MATCHER!$F$5:F110,MATCHER!F110,MATCHER!$K$5:K110,"Ja",MATCHER!$J$5:J110,MATCHER!F110&amp;" *")+COUNTIFS(MATCHER!$B$5:B110,MATCHER!B110,MATCHER!$D$5:D110,MATCHER!D110,MATCHER!$F$5:F110,MATCHER!F110,MATCHER!$K$5:K110,"Ja",MATCHER!$E$5:E110,"Arrangörsskap*")=1,MATCHER!F110,""))</f>
        <v/>
      </c>
    </row>
    <row r="111" spans="17:17">
      <c r="Q111" s="138" t="str">
        <f>IF(OR(MATCHER!A111="",MATCHER!K111&lt;&gt;"Ja",AND(MATCHER!J111&lt;&gt;MATCHER!F111,LEFT(MATCHER!J111,LEN(MATCHER!F111)+1)&lt;&gt;MATCHER!F111&amp;" ",LEFT(MATCHER!E111,13)&lt;&gt;"Arrangörsskap")),"",IF(COUNTIFS(MATCHER!$B$5:B111,MATCHER!B111,MATCHER!$D$5:D111,MATCHER!D111,MATCHER!$F$5:F111,MATCHER!F111,MATCHER!$K$5:K111,"Ja",MATCHER!$J$5:J111,MATCHER!F111)+COUNTIFS(MATCHER!$B$5:B111,MATCHER!B111,MATCHER!$D$5:D111,MATCHER!D111,MATCHER!$F$5:F111,MATCHER!F111,MATCHER!$K$5:K111,"Ja",MATCHER!$J$5:J111,MATCHER!F111&amp;" *")+COUNTIFS(MATCHER!$B$5:B111,MATCHER!B111,MATCHER!$D$5:D111,MATCHER!D111,MATCHER!$F$5:F111,MATCHER!F111,MATCHER!$K$5:K111,"Ja",MATCHER!$E$5:E111,"Arrangörsskap*")=1,MATCHER!F111,""))</f>
        <v/>
      </c>
    </row>
    <row r="112" spans="17:17">
      <c r="Q112" s="138" t="str">
        <f>IF(OR(MATCHER!A112="",MATCHER!K112&lt;&gt;"Ja",AND(MATCHER!J112&lt;&gt;MATCHER!F112,LEFT(MATCHER!J112,LEN(MATCHER!F112)+1)&lt;&gt;MATCHER!F112&amp;" ",LEFT(MATCHER!E112,13)&lt;&gt;"Arrangörsskap")),"",IF(COUNTIFS(MATCHER!$B$5:B112,MATCHER!B112,MATCHER!$D$5:D112,MATCHER!D112,MATCHER!$F$5:F112,MATCHER!F112,MATCHER!$K$5:K112,"Ja",MATCHER!$J$5:J112,MATCHER!F112)+COUNTIFS(MATCHER!$B$5:B112,MATCHER!B112,MATCHER!$D$5:D112,MATCHER!D112,MATCHER!$F$5:F112,MATCHER!F112,MATCHER!$K$5:K112,"Ja",MATCHER!$J$5:J112,MATCHER!F112&amp;" *")+COUNTIFS(MATCHER!$B$5:B112,MATCHER!B112,MATCHER!$D$5:D112,MATCHER!D112,MATCHER!$F$5:F112,MATCHER!F112,MATCHER!$K$5:K112,"Ja",MATCHER!$E$5:E112,"Arrangörsskap*")=1,MATCHER!F112,""))</f>
        <v>F13</v>
      </c>
    </row>
    <row r="113" spans="17:17">
      <c r="Q113" s="138" t="str">
        <f>IF(OR(MATCHER!A113="",MATCHER!K113&lt;&gt;"Ja",AND(MATCHER!J113&lt;&gt;MATCHER!F113,LEFT(MATCHER!J113,LEN(MATCHER!F113)+1)&lt;&gt;MATCHER!F113&amp;" ",LEFT(MATCHER!E113,13)&lt;&gt;"Arrangörsskap")),"",IF(COUNTIFS(MATCHER!$B$5:B113,MATCHER!B113,MATCHER!$D$5:D113,MATCHER!D113,MATCHER!$F$5:F113,MATCHER!F113,MATCHER!$K$5:K113,"Ja",MATCHER!$J$5:J113,MATCHER!F113)+COUNTIFS(MATCHER!$B$5:B113,MATCHER!B113,MATCHER!$D$5:D113,MATCHER!D113,MATCHER!$F$5:F113,MATCHER!F113,MATCHER!$K$5:K113,"Ja",MATCHER!$J$5:J113,MATCHER!F113&amp;" *")+COUNTIFS(MATCHER!$B$5:B113,MATCHER!B113,MATCHER!$D$5:D113,MATCHER!D113,MATCHER!$F$5:F113,MATCHER!F113,MATCHER!$K$5:K113,"Ja",MATCHER!$E$5:E113,"Arrangörsskap*")=1,MATCHER!F113,""))</f>
        <v/>
      </c>
    </row>
    <row r="114" spans="17:17">
      <c r="Q114" s="138" t="str">
        <f>IF(OR(MATCHER!A114="",MATCHER!K114&lt;&gt;"Ja",AND(MATCHER!J114&lt;&gt;MATCHER!F114,LEFT(MATCHER!J114,LEN(MATCHER!F114)+1)&lt;&gt;MATCHER!F114&amp;" ",LEFT(MATCHER!E114,13)&lt;&gt;"Arrangörsskap")),"",IF(COUNTIFS(MATCHER!$B$5:B114,MATCHER!B114,MATCHER!$D$5:D114,MATCHER!D114,MATCHER!$F$5:F114,MATCHER!F114,MATCHER!$K$5:K114,"Ja",MATCHER!$J$5:J114,MATCHER!F114)+COUNTIFS(MATCHER!$B$5:B114,MATCHER!B114,MATCHER!$D$5:D114,MATCHER!D114,MATCHER!$F$5:F114,MATCHER!F114,MATCHER!$K$5:K114,"Ja",MATCHER!$J$5:J114,MATCHER!F114&amp;" *")+COUNTIFS(MATCHER!$B$5:B114,MATCHER!B114,MATCHER!$D$5:D114,MATCHER!D114,MATCHER!$F$5:F114,MATCHER!F114,MATCHER!$K$5:K114,"Ja",MATCHER!$E$5:E114,"Arrangörsskap*")=1,MATCHER!F114,""))</f>
        <v/>
      </c>
    </row>
    <row r="115" spans="17:17">
      <c r="Q115" s="138" t="str">
        <f>IF(OR(MATCHER!A115="",MATCHER!K115&lt;&gt;"Ja",AND(MATCHER!J115&lt;&gt;MATCHER!F115,LEFT(MATCHER!J115,LEN(MATCHER!F115)+1)&lt;&gt;MATCHER!F115&amp;" ",LEFT(MATCHER!E115,13)&lt;&gt;"Arrangörsskap")),"",IF(COUNTIFS(MATCHER!$B$5:B115,MATCHER!B115,MATCHER!$D$5:D115,MATCHER!D115,MATCHER!$F$5:F115,MATCHER!F115,MATCHER!$K$5:K115,"Ja",MATCHER!$J$5:J115,MATCHER!F115)+COUNTIFS(MATCHER!$B$5:B115,MATCHER!B115,MATCHER!$D$5:D115,MATCHER!D115,MATCHER!$F$5:F115,MATCHER!F115,MATCHER!$K$5:K115,"Ja",MATCHER!$J$5:J115,MATCHER!F115&amp;" *")+COUNTIFS(MATCHER!$B$5:B115,MATCHER!B115,MATCHER!$D$5:D115,MATCHER!D115,MATCHER!$F$5:F115,MATCHER!F115,MATCHER!$K$5:K115,"Ja",MATCHER!$E$5:E115,"Arrangörsskap*")=1,MATCHER!F115,""))</f>
        <v>F9</v>
      </c>
    </row>
    <row r="116" spans="17:17">
      <c r="Q116" s="138" t="str">
        <f>IF(OR(MATCHER!A116="",MATCHER!K116&lt;&gt;"Ja",AND(MATCHER!J116&lt;&gt;MATCHER!F116,LEFT(MATCHER!J116,LEN(MATCHER!F116)+1)&lt;&gt;MATCHER!F116&amp;" ",LEFT(MATCHER!E116,13)&lt;&gt;"Arrangörsskap")),"",IF(COUNTIFS(MATCHER!$B$5:B116,MATCHER!B116,MATCHER!$D$5:D116,MATCHER!D116,MATCHER!$F$5:F116,MATCHER!F116,MATCHER!$K$5:K116,"Ja",MATCHER!$J$5:J116,MATCHER!F116)+COUNTIFS(MATCHER!$B$5:B116,MATCHER!B116,MATCHER!$D$5:D116,MATCHER!D116,MATCHER!$F$5:F116,MATCHER!F116,MATCHER!$K$5:K116,"Ja",MATCHER!$J$5:J116,MATCHER!F116&amp;" *")+COUNTIFS(MATCHER!$B$5:B116,MATCHER!B116,MATCHER!$D$5:D116,MATCHER!D116,MATCHER!$F$5:F116,MATCHER!F116,MATCHER!$K$5:K116,"Ja",MATCHER!$E$5:E116,"Arrangörsskap*")=1,MATCHER!F116,""))</f>
        <v/>
      </c>
    </row>
    <row r="117" spans="17:17">
      <c r="Q117" s="138" t="str">
        <f>IF(OR(MATCHER!A117="",MATCHER!K117&lt;&gt;"Ja",AND(MATCHER!J117&lt;&gt;MATCHER!F117,LEFT(MATCHER!J117,LEN(MATCHER!F117)+1)&lt;&gt;MATCHER!F117&amp;" ",LEFT(MATCHER!E117,13)&lt;&gt;"Arrangörsskap")),"",IF(COUNTIFS(MATCHER!$B$5:B117,MATCHER!B117,MATCHER!$D$5:D117,MATCHER!D117,MATCHER!$F$5:F117,MATCHER!F117,MATCHER!$K$5:K117,"Ja",MATCHER!$J$5:J117,MATCHER!F117)+COUNTIFS(MATCHER!$B$5:B117,MATCHER!B117,MATCHER!$D$5:D117,MATCHER!D117,MATCHER!$F$5:F117,MATCHER!F117,MATCHER!$K$5:K117,"Ja",MATCHER!$J$5:J117,MATCHER!F117&amp;" *")+COUNTIFS(MATCHER!$B$5:B117,MATCHER!B117,MATCHER!$D$5:D117,MATCHER!D117,MATCHER!$F$5:F117,MATCHER!F117,MATCHER!$K$5:K117,"Ja",MATCHER!$E$5:E117,"Arrangörsskap*")=1,MATCHER!F117,""))</f>
        <v/>
      </c>
    </row>
    <row r="118" spans="17:17">
      <c r="Q118" s="138" t="str">
        <f>IF(OR(MATCHER!A118="",MATCHER!K118&lt;&gt;"Ja",AND(MATCHER!J118&lt;&gt;MATCHER!F118,LEFT(MATCHER!J118,LEN(MATCHER!F118)+1)&lt;&gt;MATCHER!F118&amp;" ",LEFT(MATCHER!E118,13)&lt;&gt;"Arrangörsskap")),"",IF(COUNTIFS(MATCHER!$B$5:B118,MATCHER!B118,MATCHER!$D$5:D118,MATCHER!D118,MATCHER!$F$5:F118,MATCHER!F118,MATCHER!$K$5:K118,"Ja",MATCHER!$J$5:J118,MATCHER!F118)+COUNTIFS(MATCHER!$B$5:B118,MATCHER!B118,MATCHER!$D$5:D118,MATCHER!D118,MATCHER!$F$5:F118,MATCHER!F118,MATCHER!$K$5:K118,"Ja",MATCHER!$J$5:J118,MATCHER!F118&amp;" *")+COUNTIFS(MATCHER!$B$5:B118,MATCHER!B118,MATCHER!$D$5:D118,MATCHER!D118,MATCHER!$F$5:F118,MATCHER!F118,MATCHER!$K$5:K118,"Ja",MATCHER!$E$5:E118,"Arrangörsskap*")=1,MATCHER!F118,""))</f>
        <v/>
      </c>
    </row>
    <row r="119" spans="17:17">
      <c r="Q119" s="138" t="str">
        <f>IF(OR(MATCHER!A119="",MATCHER!K119&lt;&gt;"Ja",AND(MATCHER!J119&lt;&gt;MATCHER!F119,LEFT(MATCHER!J119,LEN(MATCHER!F119)+1)&lt;&gt;MATCHER!F119&amp;" ",LEFT(MATCHER!E119,13)&lt;&gt;"Arrangörsskap")),"",IF(COUNTIFS(MATCHER!$B$5:B119,MATCHER!B119,MATCHER!$D$5:D119,MATCHER!D119,MATCHER!$F$5:F119,MATCHER!F119,MATCHER!$K$5:K119,"Ja",MATCHER!$J$5:J119,MATCHER!F119)+COUNTIFS(MATCHER!$B$5:B119,MATCHER!B119,MATCHER!$D$5:D119,MATCHER!D119,MATCHER!$F$5:F119,MATCHER!F119,MATCHER!$K$5:K119,"Ja",MATCHER!$J$5:J119,MATCHER!F119&amp;" *")+COUNTIFS(MATCHER!$B$5:B119,MATCHER!B119,MATCHER!$D$5:D119,MATCHER!D119,MATCHER!$F$5:F119,MATCHER!F119,MATCHER!$K$5:K119,"Ja",MATCHER!$E$5:E119,"Arrangörsskap*")=1,MATCHER!F119,""))</f>
        <v/>
      </c>
    </row>
    <row r="120" spans="17:17">
      <c r="Q120" s="138" t="str">
        <f>IF(OR(MATCHER!A120="",MATCHER!K120&lt;&gt;"Ja",AND(MATCHER!J120&lt;&gt;MATCHER!F120,LEFT(MATCHER!J120,LEN(MATCHER!F120)+1)&lt;&gt;MATCHER!F120&amp;" ",LEFT(MATCHER!E120,13)&lt;&gt;"Arrangörsskap")),"",IF(COUNTIFS(MATCHER!$B$5:B120,MATCHER!B120,MATCHER!$D$5:D120,MATCHER!D120,MATCHER!$F$5:F120,MATCHER!F120,MATCHER!$K$5:K120,"Ja",MATCHER!$J$5:J120,MATCHER!F120)+COUNTIFS(MATCHER!$B$5:B120,MATCHER!B120,MATCHER!$D$5:D120,MATCHER!D120,MATCHER!$F$5:F120,MATCHER!F120,MATCHER!$K$5:K120,"Ja",MATCHER!$J$5:J120,MATCHER!F120&amp;" *")+COUNTIFS(MATCHER!$B$5:B120,MATCHER!B120,MATCHER!$D$5:D120,MATCHER!D120,MATCHER!$F$5:F120,MATCHER!F120,MATCHER!$K$5:K120,"Ja",MATCHER!$E$5:E120,"Arrangörsskap*")=1,MATCHER!F120,""))</f>
        <v/>
      </c>
    </row>
    <row r="121" spans="17:17">
      <c r="Q121" s="138" t="str">
        <f>IF(OR(MATCHER!A121="",MATCHER!K121&lt;&gt;"Ja",AND(MATCHER!J121&lt;&gt;MATCHER!F121,LEFT(MATCHER!J121,LEN(MATCHER!F121)+1)&lt;&gt;MATCHER!F121&amp;" ",LEFT(MATCHER!E121,13)&lt;&gt;"Arrangörsskap")),"",IF(COUNTIFS(MATCHER!$B$5:B121,MATCHER!B121,MATCHER!$D$5:D121,MATCHER!D121,MATCHER!$F$5:F121,MATCHER!F121,MATCHER!$K$5:K121,"Ja",MATCHER!$J$5:J121,MATCHER!F121)+COUNTIFS(MATCHER!$B$5:B121,MATCHER!B121,MATCHER!$D$5:D121,MATCHER!D121,MATCHER!$F$5:F121,MATCHER!F121,MATCHER!$K$5:K121,"Ja",MATCHER!$J$5:J121,MATCHER!F121&amp;" *")+COUNTIFS(MATCHER!$B$5:B121,MATCHER!B121,MATCHER!$D$5:D121,MATCHER!D121,MATCHER!$F$5:F121,MATCHER!F121,MATCHER!$K$5:K121,"Ja",MATCHER!$E$5:E121,"Arrangörsskap*")=1,MATCHER!F121,""))</f>
        <v/>
      </c>
    </row>
    <row r="122" spans="17:17">
      <c r="Q122" s="138" t="str">
        <f>IF(OR(MATCHER!A122="",MATCHER!K122&lt;&gt;"Ja",AND(MATCHER!J122&lt;&gt;MATCHER!F122,LEFT(MATCHER!J122,LEN(MATCHER!F122)+1)&lt;&gt;MATCHER!F122&amp;" ",LEFT(MATCHER!E122,13)&lt;&gt;"Arrangörsskap")),"",IF(COUNTIFS(MATCHER!$B$5:B122,MATCHER!B122,MATCHER!$D$5:D122,MATCHER!D122,MATCHER!$F$5:F122,MATCHER!F122,MATCHER!$K$5:K122,"Ja",MATCHER!$J$5:J122,MATCHER!F122)+COUNTIFS(MATCHER!$B$5:B122,MATCHER!B122,MATCHER!$D$5:D122,MATCHER!D122,MATCHER!$F$5:F122,MATCHER!F122,MATCHER!$K$5:K122,"Ja",MATCHER!$J$5:J122,MATCHER!F122&amp;" *")+COUNTIFS(MATCHER!$B$5:B122,MATCHER!B122,MATCHER!$D$5:D122,MATCHER!D122,MATCHER!$F$5:F122,MATCHER!F122,MATCHER!$K$5:K122,"Ja",MATCHER!$E$5:E122,"Arrangörsskap*")=1,MATCHER!F122,""))</f>
        <v/>
      </c>
    </row>
    <row r="123" spans="17:17">
      <c r="Q123" s="138" t="str">
        <f>IF(OR(MATCHER!A123="",MATCHER!K123&lt;&gt;"Ja",AND(MATCHER!J123&lt;&gt;MATCHER!F123,LEFT(MATCHER!J123,LEN(MATCHER!F123)+1)&lt;&gt;MATCHER!F123&amp;" ",LEFT(MATCHER!E123,13)&lt;&gt;"Arrangörsskap")),"",IF(COUNTIFS(MATCHER!$B$5:B123,MATCHER!B123,MATCHER!$D$5:D123,MATCHER!D123,MATCHER!$F$5:F123,MATCHER!F123,MATCHER!$K$5:K123,"Ja",MATCHER!$J$5:J123,MATCHER!F123)+COUNTIFS(MATCHER!$B$5:B123,MATCHER!B123,MATCHER!$D$5:D123,MATCHER!D123,MATCHER!$F$5:F123,MATCHER!F123,MATCHER!$K$5:K123,"Ja",MATCHER!$J$5:J123,MATCHER!F123&amp;" *")+COUNTIFS(MATCHER!$B$5:B123,MATCHER!B123,MATCHER!$D$5:D123,MATCHER!D123,MATCHER!$F$5:F123,MATCHER!F123,MATCHER!$K$5:K123,"Ja",MATCHER!$E$5:E123,"Arrangörsskap*")=1,MATCHER!F123,""))</f>
        <v/>
      </c>
    </row>
    <row r="124" spans="17:17">
      <c r="Q124" s="138" t="str">
        <f>IF(OR(MATCHER!A124="",MATCHER!K124&lt;&gt;"Ja",AND(MATCHER!J124&lt;&gt;MATCHER!F124,LEFT(MATCHER!J124,LEN(MATCHER!F124)+1)&lt;&gt;MATCHER!F124&amp;" ",LEFT(MATCHER!E124,13)&lt;&gt;"Arrangörsskap")),"",IF(COUNTIFS(MATCHER!$B$5:B124,MATCHER!B124,MATCHER!$D$5:D124,MATCHER!D124,MATCHER!$F$5:F124,MATCHER!F124,MATCHER!$K$5:K124,"Ja",MATCHER!$J$5:J124,MATCHER!F124)+COUNTIFS(MATCHER!$B$5:B124,MATCHER!B124,MATCHER!$D$5:D124,MATCHER!D124,MATCHER!$F$5:F124,MATCHER!F124,MATCHER!$K$5:K124,"Ja",MATCHER!$J$5:J124,MATCHER!F124&amp;" *")+COUNTIFS(MATCHER!$B$5:B124,MATCHER!B124,MATCHER!$D$5:D124,MATCHER!D124,MATCHER!$F$5:F124,MATCHER!F124,MATCHER!$K$5:K124,"Ja",MATCHER!$E$5:E124,"Arrangörsskap*")=1,MATCHER!F124,""))</f>
        <v/>
      </c>
    </row>
    <row r="125" spans="17:17">
      <c r="Q125" s="138" t="str">
        <f>IF(OR(MATCHER!A125="",MATCHER!K125&lt;&gt;"Ja",AND(MATCHER!J125&lt;&gt;MATCHER!F125,LEFT(MATCHER!J125,LEN(MATCHER!F125)+1)&lt;&gt;MATCHER!F125&amp;" ",LEFT(MATCHER!E125,13)&lt;&gt;"Arrangörsskap")),"",IF(COUNTIFS(MATCHER!$B$5:B125,MATCHER!B125,MATCHER!$D$5:D125,MATCHER!D125,MATCHER!$F$5:F125,MATCHER!F125,MATCHER!$K$5:K125,"Ja",MATCHER!$J$5:J125,MATCHER!F125)+COUNTIFS(MATCHER!$B$5:B125,MATCHER!B125,MATCHER!$D$5:D125,MATCHER!D125,MATCHER!$F$5:F125,MATCHER!F125,MATCHER!$K$5:K125,"Ja",MATCHER!$J$5:J125,MATCHER!F125&amp;" *")+COUNTIFS(MATCHER!$B$5:B125,MATCHER!B125,MATCHER!$D$5:D125,MATCHER!D125,MATCHER!$F$5:F125,MATCHER!F125,MATCHER!$K$5:K125,"Ja",MATCHER!$E$5:E125,"Arrangörsskap*")=1,MATCHER!F125,""))</f>
        <v/>
      </c>
    </row>
    <row r="126" spans="17:17">
      <c r="Q126" s="138" t="str">
        <f>IF(OR(MATCHER!A126="",MATCHER!K126&lt;&gt;"Ja",AND(MATCHER!J126&lt;&gt;MATCHER!F126,LEFT(MATCHER!J126,LEN(MATCHER!F126)+1)&lt;&gt;MATCHER!F126&amp;" ",LEFT(MATCHER!E126,13)&lt;&gt;"Arrangörsskap")),"",IF(COUNTIFS(MATCHER!$B$5:B126,MATCHER!B126,MATCHER!$D$5:D126,MATCHER!D126,MATCHER!$F$5:F126,MATCHER!F126,MATCHER!$K$5:K126,"Ja",MATCHER!$J$5:J126,MATCHER!F126)+COUNTIFS(MATCHER!$B$5:B126,MATCHER!B126,MATCHER!$D$5:D126,MATCHER!D126,MATCHER!$F$5:F126,MATCHER!F126,MATCHER!$K$5:K126,"Ja",MATCHER!$J$5:J126,MATCHER!F126&amp;" *")+COUNTIFS(MATCHER!$B$5:B126,MATCHER!B126,MATCHER!$D$5:D126,MATCHER!D126,MATCHER!$F$5:F126,MATCHER!F126,MATCHER!$K$5:K126,"Ja",MATCHER!$E$5:E126,"Arrangörsskap*")=1,MATCHER!F126,""))</f>
        <v/>
      </c>
    </row>
    <row r="127" spans="17:17">
      <c r="Q127" s="138" t="str">
        <f>IF(OR(MATCHER!A127="",MATCHER!K127&lt;&gt;"Ja",AND(MATCHER!J127&lt;&gt;MATCHER!F127,LEFT(MATCHER!J127,LEN(MATCHER!F127)+1)&lt;&gt;MATCHER!F127&amp;" ",LEFT(MATCHER!E127,13)&lt;&gt;"Arrangörsskap")),"",IF(COUNTIFS(MATCHER!$B$5:B127,MATCHER!B127,MATCHER!$D$5:D127,MATCHER!D127,MATCHER!$F$5:F127,MATCHER!F127,MATCHER!$K$5:K127,"Ja",MATCHER!$J$5:J127,MATCHER!F127)+COUNTIFS(MATCHER!$B$5:B127,MATCHER!B127,MATCHER!$D$5:D127,MATCHER!D127,MATCHER!$F$5:F127,MATCHER!F127,MATCHER!$K$5:K127,"Ja",MATCHER!$J$5:J127,MATCHER!F127&amp;" *")+COUNTIFS(MATCHER!$B$5:B127,MATCHER!B127,MATCHER!$D$5:D127,MATCHER!D127,MATCHER!$F$5:F127,MATCHER!F127,MATCHER!$K$5:K127,"Ja",MATCHER!$E$5:E127,"Arrangörsskap*")=1,MATCHER!F127,""))</f>
        <v>F13</v>
      </c>
    </row>
    <row r="128" spans="17:17">
      <c r="Q128" s="138" t="str">
        <f>IF(OR(MATCHER!A128="",MATCHER!K128&lt;&gt;"Ja",AND(MATCHER!J128&lt;&gt;MATCHER!F128,LEFT(MATCHER!J128,LEN(MATCHER!F128)+1)&lt;&gt;MATCHER!F128&amp;" ",LEFT(MATCHER!E128,13)&lt;&gt;"Arrangörsskap")),"",IF(COUNTIFS(MATCHER!$B$5:B128,MATCHER!B128,MATCHER!$D$5:D128,MATCHER!D128,MATCHER!$F$5:F128,MATCHER!F128,MATCHER!$K$5:K128,"Ja",MATCHER!$J$5:J128,MATCHER!F128)+COUNTIFS(MATCHER!$B$5:B128,MATCHER!B128,MATCHER!$D$5:D128,MATCHER!D128,MATCHER!$F$5:F128,MATCHER!F128,MATCHER!$K$5:K128,"Ja",MATCHER!$J$5:J128,MATCHER!F128&amp;" *")+COUNTIFS(MATCHER!$B$5:B128,MATCHER!B128,MATCHER!$D$5:D128,MATCHER!D128,MATCHER!$F$5:F128,MATCHER!F128,MATCHER!$K$5:K128,"Ja",MATCHER!$E$5:E128,"Arrangörsskap*")=1,MATCHER!F128,""))</f>
        <v>Herr</v>
      </c>
    </row>
    <row r="129" spans="17:17">
      <c r="Q129" s="138" t="str">
        <f>IF(OR(MATCHER!A129="",MATCHER!K129&lt;&gt;"Ja",AND(MATCHER!J129&lt;&gt;MATCHER!F129,LEFT(MATCHER!J129,LEN(MATCHER!F129)+1)&lt;&gt;MATCHER!F129&amp;" ",LEFT(MATCHER!E129,13)&lt;&gt;"Arrangörsskap")),"",IF(COUNTIFS(MATCHER!$B$5:B129,MATCHER!B129,MATCHER!$D$5:D129,MATCHER!D129,MATCHER!$F$5:F129,MATCHER!F129,MATCHER!$K$5:K129,"Ja",MATCHER!$J$5:J129,MATCHER!F129)+COUNTIFS(MATCHER!$B$5:B129,MATCHER!B129,MATCHER!$D$5:D129,MATCHER!D129,MATCHER!$F$5:F129,MATCHER!F129,MATCHER!$K$5:K129,"Ja",MATCHER!$J$5:J129,MATCHER!F129&amp;" *")+COUNTIFS(MATCHER!$B$5:B129,MATCHER!B129,MATCHER!$D$5:D129,MATCHER!D129,MATCHER!$F$5:F129,MATCHER!F129,MATCHER!$K$5:K129,"Ja",MATCHER!$E$5:E129,"Arrangörsskap*")=1,MATCHER!F129,""))</f>
        <v>F11</v>
      </c>
    </row>
    <row r="130" spans="17:17">
      <c r="Q130" s="138" t="str">
        <f>IF(OR(MATCHER!A130="",MATCHER!K130&lt;&gt;"Ja",AND(MATCHER!J130&lt;&gt;MATCHER!F130,LEFT(MATCHER!J130,LEN(MATCHER!F130)+1)&lt;&gt;MATCHER!F130&amp;" ",LEFT(MATCHER!E130,13)&lt;&gt;"Arrangörsskap")),"",IF(COUNTIFS(MATCHER!$B$5:B130,MATCHER!B130,MATCHER!$D$5:D130,MATCHER!D130,MATCHER!$F$5:F130,MATCHER!F130,MATCHER!$K$5:K130,"Ja",MATCHER!$J$5:J130,MATCHER!F130)+COUNTIFS(MATCHER!$B$5:B130,MATCHER!B130,MATCHER!$D$5:D130,MATCHER!D130,MATCHER!$F$5:F130,MATCHER!F130,MATCHER!$K$5:K130,"Ja",MATCHER!$J$5:J130,MATCHER!F130&amp;" *")+COUNTIFS(MATCHER!$B$5:B130,MATCHER!B130,MATCHER!$D$5:D130,MATCHER!D130,MATCHER!$F$5:F130,MATCHER!F130,MATCHER!$K$5:K130,"Ja",MATCHER!$E$5:E130,"Arrangörsskap*")=1,MATCHER!F130,""))</f>
        <v/>
      </c>
    </row>
    <row r="131" spans="17:17">
      <c r="Q131" s="138" t="str">
        <f>IF(OR(MATCHER!A131="",MATCHER!K131&lt;&gt;"Ja",AND(MATCHER!J131&lt;&gt;MATCHER!F131,LEFT(MATCHER!J131,LEN(MATCHER!F131)+1)&lt;&gt;MATCHER!F131&amp;" ",LEFT(MATCHER!E131,13)&lt;&gt;"Arrangörsskap")),"",IF(COUNTIFS(MATCHER!$B$5:B131,MATCHER!B131,MATCHER!$D$5:D131,MATCHER!D131,MATCHER!$F$5:F131,MATCHER!F131,MATCHER!$K$5:K131,"Ja",MATCHER!$J$5:J131,MATCHER!F131)+COUNTIFS(MATCHER!$B$5:B131,MATCHER!B131,MATCHER!$D$5:D131,MATCHER!D131,MATCHER!$F$5:F131,MATCHER!F131,MATCHER!$K$5:K131,"Ja",MATCHER!$J$5:J131,MATCHER!F131&amp;" *")+COUNTIFS(MATCHER!$B$5:B131,MATCHER!B131,MATCHER!$D$5:D131,MATCHER!D131,MATCHER!$F$5:F131,MATCHER!F131,MATCHER!$K$5:K131,"Ja",MATCHER!$E$5:E131,"Arrangörsskap*")=1,MATCHER!F131,""))</f>
        <v/>
      </c>
    </row>
    <row r="132" spans="17:17">
      <c r="Q132" s="138" t="str">
        <f>IF(OR(MATCHER!A132="",MATCHER!K132&lt;&gt;"Ja",AND(MATCHER!J132&lt;&gt;MATCHER!F132,LEFT(MATCHER!J132,LEN(MATCHER!F132)+1)&lt;&gt;MATCHER!F132&amp;" ",LEFT(MATCHER!E132,13)&lt;&gt;"Arrangörsskap")),"",IF(COUNTIFS(MATCHER!$B$5:B132,MATCHER!B132,MATCHER!$D$5:D132,MATCHER!D132,MATCHER!$F$5:F132,MATCHER!F132,MATCHER!$K$5:K132,"Ja",MATCHER!$J$5:J132,MATCHER!F132)+COUNTIFS(MATCHER!$B$5:B132,MATCHER!B132,MATCHER!$D$5:D132,MATCHER!D132,MATCHER!$F$5:F132,MATCHER!F132,MATCHER!$K$5:K132,"Ja",MATCHER!$J$5:J132,MATCHER!F132&amp;" *")+COUNTIFS(MATCHER!$B$5:B132,MATCHER!B132,MATCHER!$D$5:D132,MATCHER!D132,MATCHER!$F$5:F132,MATCHER!F132,MATCHER!$K$5:K132,"Ja",MATCHER!$E$5:E132,"Arrangörsskap*")=1,MATCHER!F132,""))</f>
        <v>F19</v>
      </c>
    </row>
    <row r="133" spans="17:17">
      <c r="Q133" s="138" t="str">
        <f>IF(OR(MATCHER!A133="",MATCHER!K133&lt;&gt;"Ja",AND(MATCHER!J133&lt;&gt;MATCHER!F133,LEFT(MATCHER!J133,LEN(MATCHER!F133)+1)&lt;&gt;MATCHER!F133&amp;" ",LEFT(MATCHER!E133,13)&lt;&gt;"Arrangörsskap")),"",IF(COUNTIFS(MATCHER!$B$5:B133,MATCHER!B133,MATCHER!$D$5:D133,MATCHER!D133,MATCHER!$F$5:F133,MATCHER!F133,MATCHER!$K$5:K133,"Ja",MATCHER!$J$5:J133,MATCHER!F133)+COUNTIFS(MATCHER!$B$5:B133,MATCHER!B133,MATCHER!$D$5:D133,MATCHER!D133,MATCHER!$F$5:F133,MATCHER!F133,MATCHER!$K$5:K133,"Ja",MATCHER!$J$5:J133,MATCHER!F133&amp;" *")+COUNTIFS(MATCHER!$B$5:B133,MATCHER!B133,MATCHER!$D$5:D133,MATCHER!D133,MATCHER!$F$5:F133,MATCHER!F133,MATCHER!$K$5:K133,"Ja",MATCHER!$E$5:E133,"Arrangörsskap*")=1,MATCHER!F133,""))</f>
        <v>F14</v>
      </c>
    </row>
    <row r="134" spans="17:17">
      <c r="Q134" s="138" t="str">
        <f>IF(OR(MATCHER!A134="",MATCHER!K134&lt;&gt;"Ja",AND(MATCHER!J134&lt;&gt;MATCHER!F134,LEFT(MATCHER!J134,LEN(MATCHER!F134)+1)&lt;&gt;MATCHER!F134&amp;" ",LEFT(MATCHER!E134,13)&lt;&gt;"Arrangörsskap")),"",IF(COUNTIFS(MATCHER!$B$5:B134,MATCHER!B134,MATCHER!$D$5:D134,MATCHER!D134,MATCHER!$F$5:F134,MATCHER!F134,MATCHER!$K$5:K134,"Ja",MATCHER!$J$5:J134,MATCHER!F134)+COUNTIFS(MATCHER!$B$5:B134,MATCHER!B134,MATCHER!$D$5:D134,MATCHER!D134,MATCHER!$F$5:F134,MATCHER!F134,MATCHER!$K$5:K134,"Ja",MATCHER!$J$5:J134,MATCHER!F134&amp;" *")+COUNTIFS(MATCHER!$B$5:B134,MATCHER!B134,MATCHER!$D$5:D134,MATCHER!D134,MATCHER!$F$5:F134,MATCHER!F134,MATCHER!$K$5:K134,"Ja",MATCHER!$E$5:E134,"Arrangörsskap*")=1,MATCHER!F134,""))</f>
        <v/>
      </c>
    </row>
    <row r="135" spans="17:17">
      <c r="Q135" s="138" t="str">
        <f>IF(OR(MATCHER!A135="",MATCHER!K135&lt;&gt;"Ja",AND(MATCHER!J135&lt;&gt;MATCHER!F135,LEFT(MATCHER!J135,LEN(MATCHER!F135)+1)&lt;&gt;MATCHER!F135&amp;" ",LEFT(MATCHER!E135,13)&lt;&gt;"Arrangörsskap")),"",IF(COUNTIFS(MATCHER!$B$5:B135,MATCHER!B135,MATCHER!$D$5:D135,MATCHER!D135,MATCHER!$F$5:F135,MATCHER!F135,MATCHER!$K$5:K135,"Ja",MATCHER!$J$5:J135,MATCHER!F135)+COUNTIFS(MATCHER!$B$5:B135,MATCHER!B135,MATCHER!$D$5:D135,MATCHER!D135,MATCHER!$F$5:F135,MATCHER!F135,MATCHER!$K$5:K135,"Ja",MATCHER!$J$5:J135,MATCHER!F135&amp;" *")+COUNTIFS(MATCHER!$B$5:B135,MATCHER!B135,MATCHER!$D$5:D135,MATCHER!D135,MATCHER!$F$5:F135,MATCHER!F135,MATCHER!$K$5:K135,"Ja",MATCHER!$E$5:E135,"Arrangörsskap*")=1,MATCHER!F135,""))</f>
        <v>F13</v>
      </c>
    </row>
    <row r="136" spans="17:17">
      <c r="Q136" s="138" t="str">
        <f>IF(OR(MATCHER!A136="",MATCHER!K136&lt;&gt;"Ja",AND(MATCHER!J136&lt;&gt;MATCHER!F136,LEFT(MATCHER!J136,LEN(MATCHER!F136)+1)&lt;&gt;MATCHER!F136&amp;" ",LEFT(MATCHER!E136,13)&lt;&gt;"Arrangörsskap")),"",IF(COUNTIFS(MATCHER!$B$5:B136,MATCHER!B136,MATCHER!$D$5:D136,MATCHER!D136,MATCHER!$F$5:F136,MATCHER!F136,MATCHER!$K$5:K136,"Ja",MATCHER!$J$5:J136,MATCHER!F136)+COUNTIFS(MATCHER!$B$5:B136,MATCHER!B136,MATCHER!$D$5:D136,MATCHER!D136,MATCHER!$F$5:F136,MATCHER!F136,MATCHER!$K$5:K136,"Ja",MATCHER!$J$5:J136,MATCHER!F136&amp;" *")+COUNTIFS(MATCHER!$B$5:B136,MATCHER!B136,MATCHER!$D$5:D136,MATCHER!D136,MATCHER!$F$5:F136,MATCHER!F136,MATCHER!$K$5:K136,"Ja",MATCHER!$E$5:E136,"Arrangörsskap*")=1,MATCHER!F136,""))</f>
        <v>P16</v>
      </c>
    </row>
    <row r="137" spans="17:17">
      <c r="Q137" s="138" t="str">
        <f>IF(OR(MATCHER!A137="",MATCHER!K137&lt;&gt;"Ja",AND(MATCHER!J137&lt;&gt;MATCHER!F137,LEFT(MATCHER!J137,LEN(MATCHER!F137)+1)&lt;&gt;MATCHER!F137&amp;" ",LEFT(MATCHER!E137,13)&lt;&gt;"Arrangörsskap")),"",IF(COUNTIFS(MATCHER!$B$5:B137,MATCHER!B137,MATCHER!$D$5:D137,MATCHER!D137,MATCHER!$F$5:F137,MATCHER!F137,MATCHER!$K$5:K137,"Ja",MATCHER!$J$5:J137,MATCHER!F137)+COUNTIFS(MATCHER!$B$5:B137,MATCHER!B137,MATCHER!$D$5:D137,MATCHER!D137,MATCHER!$F$5:F137,MATCHER!F137,MATCHER!$K$5:K137,"Ja",MATCHER!$J$5:J137,MATCHER!F137&amp;" *")+COUNTIFS(MATCHER!$B$5:B137,MATCHER!B137,MATCHER!$D$5:D137,MATCHER!D137,MATCHER!$F$5:F137,MATCHER!F137,MATCHER!$K$5:K137,"Ja",MATCHER!$E$5:E137,"Arrangörsskap*")=1,MATCHER!F137,""))</f>
        <v>Kontrollera</v>
      </c>
    </row>
    <row r="138" spans="17:17">
      <c r="Q138" s="138" t="str">
        <f>IF(OR(MATCHER!A138="",MATCHER!K138&lt;&gt;"Ja",AND(MATCHER!J138&lt;&gt;MATCHER!F138,LEFT(MATCHER!J138,LEN(MATCHER!F138)+1)&lt;&gt;MATCHER!F138&amp;" ",LEFT(MATCHER!E138,13)&lt;&gt;"Arrangörsskap")),"",IF(COUNTIFS(MATCHER!$B$5:B138,MATCHER!B138,MATCHER!$D$5:D138,MATCHER!D138,MATCHER!$F$5:F138,MATCHER!F138,MATCHER!$K$5:K138,"Ja",MATCHER!$J$5:J138,MATCHER!F138)+COUNTIFS(MATCHER!$B$5:B138,MATCHER!B138,MATCHER!$D$5:D138,MATCHER!D138,MATCHER!$F$5:F138,MATCHER!F138,MATCHER!$K$5:K138,"Ja",MATCHER!$J$5:J138,MATCHER!F138&amp;" *")+COUNTIFS(MATCHER!$B$5:B138,MATCHER!B138,MATCHER!$D$5:D138,MATCHER!D138,MATCHER!$F$5:F138,MATCHER!F138,MATCHER!$K$5:K138,"Ja",MATCHER!$E$5:E138,"Arrangörsskap*")=1,MATCHER!F138,""))</f>
        <v>F12</v>
      </c>
    </row>
    <row r="139" spans="17:17">
      <c r="Q139" s="138" t="str">
        <f>IF(OR(MATCHER!A139="",MATCHER!K139&lt;&gt;"Ja",AND(MATCHER!J139&lt;&gt;MATCHER!F139,LEFT(MATCHER!J139,LEN(MATCHER!F139)+1)&lt;&gt;MATCHER!F139&amp;" ",LEFT(MATCHER!E139,13)&lt;&gt;"Arrangörsskap")),"",IF(COUNTIFS(MATCHER!$B$5:B139,MATCHER!B139,MATCHER!$D$5:D139,MATCHER!D139,MATCHER!$F$5:F139,MATCHER!F139,MATCHER!$K$5:K139,"Ja",MATCHER!$J$5:J139,MATCHER!F139)+COUNTIFS(MATCHER!$B$5:B139,MATCHER!B139,MATCHER!$D$5:D139,MATCHER!D139,MATCHER!$F$5:F139,MATCHER!F139,MATCHER!$K$5:K139,"Ja",MATCHER!$J$5:J139,MATCHER!F139&amp;" *")+COUNTIFS(MATCHER!$B$5:B139,MATCHER!B139,MATCHER!$D$5:D139,MATCHER!D139,MATCHER!$F$5:F139,MATCHER!F139,MATCHER!$K$5:K139,"Ja",MATCHER!$E$5:E139,"Arrangörsskap*")=1,MATCHER!F139,""))</f>
        <v/>
      </c>
    </row>
    <row r="140" spans="17:17">
      <c r="Q140" s="138" t="str">
        <f>IF(OR(MATCHER!A140="",MATCHER!K140&lt;&gt;"Ja",AND(MATCHER!J140&lt;&gt;MATCHER!F140,LEFT(MATCHER!J140,LEN(MATCHER!F140)+1)&lt;&gt;MATCHER!F140&amp;" ",LEFT(MATCHER!E140,13)&lt;&gt;"Arrangörsskap")),"",IF(COUNTIFS(MATCHER!$B$5:B140,MATCHER!B140,MATCHER!$D$5:D140,MATCHER!D140,MATCHER!$F$5:F140,MATCHER!F140,MATCHER!$K$5:K140,"Ja",MATCHER!$J$5:J140,MATCHER!F140)+COUNTIFS(MATCHER!$B$5:B140,MATCHER!B140,MATCHER!$D$5:D140,MATCHER!D140,MATCHER!$F$5:F140,MATCHER!F140,MATCHER!$K$5:K140,"Ja",MATCHER!$J$5:J140,MATCHER!F140&amp;" *")+COUNTIFS(MATCHER!$B$5:B140,MATCHER!B140,MATCHER!$D$5:D140,MATCHER!D140,MATCHER!$F$5:F140,MATCHER!F140,MATCHER!$K$5:K140,"Ja",MATCHER!$E$5:E140,"Arrangörsskap*")=1,MATCHER!F140,""))</f>
        <v/>
      </c>
    </row>
    <row r="141" spans="17:17">
      <c r="Q141" s="138" t="str">
        <f>IF(OR(MATCHER!A141="",MATCHER!K141&lt;&gt;"Ja",AND(MATCHER!J141&lt;&gt;MATCHER!F141,LEFT(MATCHER!J141,LEN(MATCHER!F141)+1)&lt;&gt;MATCHER!F141&amp;" ",LEFT(MATCHER!E141,13)&lt;&gt;"Arrangörsskap")),"",IF(COUNTIFS(MATCHER!$B$5:B141,MATCHER!B141,MATCHER!$D$5:D141,MATCHER!D141,MATCHER!$F$5:F141,MATCHER!F141,MATCHER!$K$5:K141,"Ja",MATCHER!$J$5:J141,MATCHER!F141)+COUNTIFS(MATCHER!$B$5:B141,MATCHER!B141,MATCHER!$D$5:D141,MATCHER!D141,MATCHER!$F$5:F141,MATCHER!F141,MATCHER!$K$5:K141,"Ja",MATCHER!$J$5:J141,MATCHER!F141&amp;" *")+COUNTIFS(MATCHER!$B$5:B141,MATCHER!B141,MATCHER!$D$5:D141,MATCHER!D141,MATCHER!$F$5:F141,MATCHER!F141,MATCHER!$K$5:K141,"Ja",MATCHER!$E$5:E141,"Arrangörsskap*")=1,MATCHER!F141,""))</f>
        <v/>
      </c>
    </row>
    <row r="142" spans="17:17">
      <c r="Q142" s="138" t="str">
        <f>IF(OR(MATCHER!A142="",MATCHER!K142&lt;&gt;"Ja",AND(MATCHER!J142&lt;&gt;MATCHER!F142,LEFT(MATCHER!J142,LEN(MATCHER!F142)+1)&lt;&gt;MATCHER!F142&amp;" ",LEFT(MATCHER!E142,13)&lt;&gt;"Arrangörsskap")),"",IF(COUNTIFS(MATCHER!$B$5:B142,MATCHER!B142,MATCHER!$D$5:D142,MATCHER!D142,MATCHER!$F$5:F142,MATCHER!F142,MATCHER!$K$5:K142,"Ja",MATCHER!$J$5:J142,MATCHER!F142)+COUNTIFS(MATCHER!$B$5:B142,MATCHER!B142,MATCHER!$D$5:D142,MATCHER!D142,MATCHER!$F$5:F142,MATCHER!F142,MATCHER!$K$5:K142,"Ja",MATCHER!$J$5:J142,MATCHER!F142&amp;" *")+COUNTIFS(MATCHER!$B$5:B142,MATCHER!B142,MATCHER!$D$5:D142,MATCHER!D142,MATCHER!$F$5:F142,MATCHER!F142,MATCHER!$K$5:K142,"Ja",MATCHER!$E$5:E142,"Arrangörsskap*")=1,MATCHER!F142,""))</f>
        <v/>
      </c>
    </row>
    <row r="143" spans="17:17">
      <c r="Q143" s="138" t="str">
        <f>IF(OR(MATCHER!A143="",MATCHER!K143&lt;&gt;"Ja",AND(MATCHER!J143&lt;&gt;MATCHER!F143,LEFT(MATCHER!J143,LEN(MATCHER!F143)+1)&lt;&gt;MATCHER!F143&amp;" ",LEFT(MATCHER!E143,13)&lt;&gt;"Arrangörsskap")),"",IF(COUNTIFS(MATCHER!$B$5:B143,MATCHER!B143,MATCHER!$D$5:D143,MATCHER!D143,MATCHER!$F$5:F143,MATCHER!F143,MATCHER!$K$5:K143,"Ja",MATCHER!$J$5:J143,MATCHER!F143)+COUNTIFS(MATCHER!$B$5:B143,MATCHER!B143,MATCHER!$D$5:D143,MATCHER!D143,MATCHER!$F$5:F143,MATCHER!F143,MATCHER!$K$5:K143,"Ja",MATCHER!$J$5:J143,MATCHER!F143&amp;" *")+COUNTIFS(MATCHER!$B$5:B143,MATCHER!B143,MATCHER!$D$5:D143,MATCHER!D143,MATCHER!$F$5:F143,MATCHER!F143,MATCHER!$K$5:K143,"Ja",MATCHER!$E$5:E143,"Arrangörsskap*")=1,MATCHER!F143,""))</f>
        <v>F19</v>
      </c>
    </row>
    <row r="144" spans="17:17">
      <c r="Q144" s="138" t="str">
        <f>IF(OR(MATCHER!A144="",MATCHER!K144&lt;&gt;"Ja",AND(MATCHER!J144&lt;&gt;MATCHER!F144,LEFT(MATCHER!J144,LEN(MATCHER!F144)+1)&lt;&gt;MATCHER!F144&amp;" ",LEFT(MATCHER!E144,13)&lt;&gt;"Arrangörsskap")),"",IF(COUNTIFS(MATCHER!$B$5:B144,MATCHER!B144,MATCHER!$D$5:D144,MATCHER!D144,MATCHER!$F$5:F144,MATCHER!F144,MATCHER!$K$5:K144,"Ja",MATCHER!$J$5:J144,MATCHER!F144)+COUNTIFS(MATCHER!$B$5:B144,MATCHER!B144,MATCHER!$D$5:D144,MATCHER!D144,MATCHER!$F$5:F144,MATCHER!F144,MATCHER!$K$5:K144,"Ja",MATCHER!$J$5:J144,MATCHER!F144&amp;" *")+COUNTIFS(MATCHER!$B$5:B144,MATCHER!B144,MATCHER!$D$5:D144,MATCHER!D144,MATCHER!$F$5:F144,MATCHER!F144,MATCHER!$K$5:K144,"Ja",MATCHER!$E$5:E144,"Arrangörsskap*")=1,MATCHER!F144,""))</f>
        <v>Dam</v>
      </c>
    </row>
    <row r="145" spans="17:17">
      <c r="Q145" s="138" t="str">
        <f>IF(OR(MATCHER!A145="",MATCHER!K145&lt;&gt;"Ja",AND(MATCHER!J145&lt;&gt;MATCHER!F145,LEFT(MATCHER!J145,LEN(MATCHER!F145)+1)&lt;&gt;MATCHER!F145&amp;" ",LEFT(MATCHER!E145,13)&lt;&gt;"Arrangörsskap")),"",IF(COUNTIFS(MATCHER!$B$5:B145,MATCHER!B145,MATCHER!$D$5:D145,MATCHER!D145,MATCHER!$F$5:F145,MATCHER!F145,MATCHER!$K$5:K145,"Ja",MATCHER!$J$5:J145,MATCHER!F145)+COUNTIFS(MATCHER!$B$5:B145,MATCHER!B145,MATCHER!$D$5:D145,MATCHER!D145,MATCHER!$F$5:F145,MATCHER!F145,MATCHER!$K$5:K145,"Ja",MATCHER!$J$5:J145,MATCHER!F145&amp;" *")+COUNTIFS(MATCHER!$B$5:B145,MATCHER!B145,MATCHER!$D$5:D145,MATCHER!D145,MATCHER!$F$5:F145,MATCHER!F145,MATCHER!$K$5:K145,"Ja",MATCHER!$E$5:E145,"Arrangörsskap*")=1,MATCHER!F145,""))</f>
        <v>F16</v>
      </c>
    </row>
    <row r="146" spans="17:17">
      <c r="Q146" s="138" t="str">
        <f>IF(OR(MATCHER!A146="",MATCHER!K146&lt;&gt;"Ja",AND(MATCHER!J146&lt;&gt;MATCHER!F146,LEFT(MATCHER!J146,LEN(MATCHER!F146)+1)&lt;&gt;MATCHER!F146&amp;" ",LEFT(MATCHER!E146,13)&lt;&gt;"Arrangörsskap")),"",IF(COUNTIFS(MATCHER!$B$5:B146,MATCHER!B146,MATCHER!$D$5:D146,MATCHER!D146,MATCHER!$F$5:F146,MATCHER!F146,MATCHER!$K$5:K146,"Ja",MATCHER!$J$5:J146,MATCHER!F146)+COUNTIFS(MATCHER!$B$5:B146,MATCHER!B146,MATCHER!$D$5:D146,MATCHER!D146,MATCHER!$F$5:F146,MATCHER!F146,MATCHER!$K$5:K146,"Ja",MATCHER!$J$5:J146,MATCHER!F146&amp;" *")+COUNTIFS(MATCHER!$B$5:B146,MATCHER!B146,MATCHER!$D$5:D146,MATCHER!D146,MATCHER!$F$5:F146,MATCHER!F146,MATCHER!$K$5:K146,"Ja",MATCHER!$E$5:E146,"Arrangörsskap*")=1,MATCHER!F146,""))</f>
        <v>U8</v>
      </c>
    </row>
    <row r="147" spans="17:17">
      <c r="Q147" s="138" t="str">
        <f>IF(OR(MATCHER!A147="",MATCHER!K147&lt;&gt;"Ja",AND(MATCHER!J147&lt;&gt;MATCHER!F147,LEFT(MATCHER!J147,LEN(MATCHER!F147)+1)&lt;&gt;MATCHER!F147&amp;" ",LEFT(MATCHER!E147,13)&lt;&gt;"Arrangörsskap")),"",IF(COUNTIFS(MATCHER!$B$5:B147,MATCHER!B147,MATCHER!$D$5:D147,MATCHER!D147,MATCHER!$F$5:F147,MATCHER!F147,MATCHER!$K$5:K147,"Ja",MATCHER!$J$5:J147,MATCHER!F147)+COUNTIFS(MATCHER!$B$5:B147,MATCHER!B147,MATCHER!$D$5:D147,MATCHER!D147,MATCHER!$F$5:F147,MATCHER!F147,MATCHER!$K$5:K147,"Ja",MATCHER!$J$5:J147,MATCHER!F147&amp;" *")+COUNTIFS(MATCHER!$B$5:B147,MATCHER!B147,MATCHER!$D$5:D147,MATCHER!D147,MATCHER!$F$5:F147,MATCHER!F147,MATCHER!$K$5:K147,"Ja",MATCHER!$E$5:E147,"Arrangörsskap*")=1,MATCHER!F147,""))</f>
        <v>Kontrollera</v>
      </c>
    </row>
    <row r="148" spans="17:17">
      <c r="Q148" s="138" t="str">
        <f>IF(OR(MATCHER!A148="",MATCHER!K148&lt;&gt;"Ja",AND(MATCHER!J148&lt;&gt;MATCHER!F148,LEFT(MATCHER!J148,LEN(MATCHER!F148)+1)&lt;&gt;MATCHER!F148&amp;" ",LEFT(MATCHER!E148,13)&lt;&gt;"Arrangörsskap")),"",IF(COUNTIFS(MATCHER!$B$5:B148,MATCHER!B148,MATCHER!$D$5:D148,MATCHER!D148,MATCHER!$F$5:F148,MATCHER!F148,MATCHER!$K$5:K148,"Ja",MATCHER!$J$5:J148,MATCHER!F148)+COUNTIFS(MATCHER!$B$5:B148,MATCHER!B148,MATCHER!$D$5:D148,MATCHER!D148,MATCHER!$F$5:F148,MATCHER!F148,MATCHER!$K$5:K148,"Ja",MATCHER!$J$5:J148,MATCHER!F148&amp;" *")+COUNTIFS(MATCHER!$B$5:B148,MATCHER!B148,MATCHER!$D$5:D148,MATCHER!D148,MATCHER!$F$5:F148,MATCHER!F148,MATCHER!$K$5:K148,"Ja",MATCHER!$E$5:E148,"Arrangörsskap*")=1,MATCHER!F148,""))</f>
        <v>F13</v>
      </c>
    </row>
    <row r="149" spans="17:17">
      <c r="Q149" s="138" t="str">
        <f>IF(OR(MATCHER!A149="",MATCHER!K149&lt;&gt;"Ja",AND(MATCHER!J149&lt;&gt;MATCHER!F149,LEFT(MATCHER!J149,LEN(MATCHER!F149)+1)&lt;&gt;MATCHER!F149&amp;" ",LEFT(MATCHER!E149,13)&lt;&gt;"Arrangörsskap")),"",IF(COUNTIFS(MATCHER!$B$5:B149,MATCHER!B149,MATCHER!$D$5:D149,MATCHER!D149,MATCHER!$F$5:F149,MATCHER!F149,MATCHER!$K$5:K149,"Ja",MATCHER!$J$5:J149,MATCHER!F149)+COUNTIFS(MATCHER!$B$5:B149,MATCHER!B149,MATCHER!$D$5:D149,MATCHER!D149,MATCHER!$F$5:F149,MATCHER!F149,MATCHER!$K$5:K149,"Ja",MATCHER!$J$5:J149,MATCHER!F149&amp;" *")+COUNTIFS(MATCHER!$B$5:B149,MATCHER!B149,MATCHER!$D$5:D149,MATCHER!D149,MATCHER!$F$5:F149,MATCHER!F149,MATCHER!$K$5:K149,"Ja",MATCHER!$E$5:E149,"Arrangörsskap*")=1,MATCHER!F149,""))</f>
        <v>F14</v>
      </c>
    </row>
    <row r="150" spans="17:17">
      <c r="Q150" s="138" t="str">
        <f>IF(OR(MATCHER!A150="",MATCHER!K150&lt;&gt;"Ja",AND(MATCHER!J150&lt;&gt;MATCHER!F150,LEFT(MATCHER!J150,LEN(MATCHER!F150)+1)&lt;&gt;MATCHER!F150&amp;" ",LEFT(MATCHER!E150,13)&lt;&gt;"Arrangörsskap")),"",IF(COUNTIFS(MATCHER!$B$5:B150,MATCHER!B150,MATCHER!$D$5:D150,MATCHER!D150,MATCHER!$F$5:F150,MATCHER!F150,MATCHER!$K$5:K150,"Ja",MATCHER!$J$5:J150,MATCHER!F150)+COUNTIFS(MATCHER!$B$5:B150,MATCHER!B150,MATCHER!$D$5:D150,MATCHER!D150,MATCHER!$F$5:F150,MATCHER!F150,MATCHER!$K$5:K150,"Ja",MATCHER!$J$5:J150,MATCHER!F150&amp;" *")+COUNTIFS(MATCHER!$B$5:B150,MATCHER!B150,MATCHER!$D$5:D150,MATCHER!D150,MATCHER!$F$5:F150,MATCHER!F150,MATCHER!$K$5:K150,"Ja",MATCHER!$E$5:E150,"Arrangörsskap*")=1,MATCHER!F150,""))</f>
        <v>P16</v>
      </c>
    </row>
    <row r="151" spans="17:17">
      <c r="Q151" s="138" t="str">
        <f>IF(OR(MATCHER!A151="",MATCHER!K151&lt;&gt;"Ja",AND(MATCHER!J151&lt;&gt;MATCHER!F151,LEFT(MATCHER!J151,LEN(MATCHER!F151)+1)&lt;&gt;MATCHER!F151&amp;" ",LEFT(MATCHER!E151,13)&lt;&gt;"Arrangörsskap")),"",IF(COUNTIFS(MATCHER!$B$5:B151,MATCHER!B151,MATCHER!$D$5:D151,MATCHER!D151,MATCHER!$F$5:F151,MATCHER!F151,MATCHER!$K$5:K151,"Ja",MATCHER!$J$5:J151,MATCHER!F151)+COUNTIFS(MATCHER!$B$5:B151,MATCHER!B151,MATCHER!$D$5:D151,MATCHER!D151,MATCHER!$F$5:F151,MATCHER!F151,MATCHER!$K$5:K151,"Ja",MATCHER!$J$5:J151,MATCHER!F151&amp;" *")+COUNTIFS(MATCHER!$B$5:B151,MATCHER!B151,MATCHER!$D$5:D151,MATCHER!D151,MATCHER!$F$5:F151,MATCHER!F151,MATCHER!$K$5:K151,"Ja",MATCHER!$E$5:E151,"Arrangörsskap*")=1,MATCHER!F151,""))</f>
        <v>F13</v>
      </c>
    </row>
    <row r="152" spans="17:17">
      <c r="Q152" s="138" t="str">
        <f>IF(OR(MATCHER!A152="",MATCHER!K152&lt;&gt;"Ja",AND(MATCHER!J152&lt;&gt;MATCHER!F152,LEFT(MATCHER!J152,LEN(MATCHER!F152)+1)&lt;&gt;MATCHER!F152&amp;" ",LEFT(MATCHER!E152,13)&lt;&gt;"Arrangörsskap")),"",IF(COUNTIFS(MATCHER!$B$5:B152,MATCHER!B152,MATCHER!$D$5:D152,MATCHER!D152,MATCHER!$F$5:F152,MATCHER!F152,MATCHER!$K$5:K152,"Ja",MATCHER!$J$5:J152,MATCHER!F152)+COUNTIFS(MATCHER!$B$5:B152,MATCHER!B152,MATCHER!$D$5:D152,MATCHER!D152,MATCHER!$F$5:F152,MATCHER!F152,MATCHER!$K$5:K152,"Ja",MATCHER!$J$5:J152,MATCHER!F152&amp;" *")+COUNTIFS(MATCHER!$B$5:B152,MATCHER!B152,MATCHER!$D$5:D152,MATCHER!D152,MATCHER!$F$5:F152,MATCHER!F152,MATCHER!$K$5:K152,"Ja",MATCHER!$E$5:E152,"Arrangörsskap*")=1,MATCHER!F152,""))</f>
        <v/>
      </c>
    </row>
    <row r="153" spans="17:17">
      <c r="Q153" s="138" t="str">
        <f>IF(OR(MATCHER!A153="",MATCHER!K153&lt;&gt;"Ja",AND(MATCHER!J153&lt;&gt;MATCHER!F153,LEFT(MATCHER!J153,LEN(MATCHER!F153)+1)&lt;&gt;MATCHER!F153&amp;" ",LEFT(MATCHER!E153,13)&lt;&gt;"Arrangörsskap")),"",IF(COUNTIFS(MATCHER!$B$5:B153,MATCHER!B153,MATCHER!$D$5:D153,MATCHER!D153,MATCHER!$F$5:F153,MATCHER!F153,MATCHER!$K$5:K153,"Ja",MATCHER!$J$5:J153,MATCHER!F153)+COUNTIFS(MATCHER!$B$5:B153,MATCHER!B153,MATCHER!$D$5:D153,MATCHER!D153,MATCHER!$F$5:F153,MATCHER!F153,MATCHER!$K$5:K153,"Ja",MATCHER!$J$5:J153,MATCHER!F153&amp;" *")+COUNTIFS(MATCHER!$B$5:B153,MATCHER!B153,MATCHER!$D$5:D153,MATCHER!D153,MATCHER!$F$5:F153,MATCHER!F153,MATCHER!$K$5:K153,"Ja",MATCHER!$E$5:E153,"Arrangörsskap*")=1,MATCHER!F153,""))</f>
        <v/>
      </c>
    </row>
    <row r="154" spans="17:17">
      <c r="Q154" s="138" t="str">
        <f>IF(OR(MATCHER!A154="",MATCHER!K154&lt;&gt;"Ja",AND(MATCHER!J154&lt;&gt;MATCHER!F154,LEFT(MATCHER!J154,LEN(MATCHER!F154)+1)&lt;&gt;MATCHER!F154&amp;" ",LEFT(MATCHER!E154,13)&lt;&gt;"Arrangörsskap")),"",IF(COUNTIFS(MATCHER!$B$5:B154,MATCHER!B154,MATCHER!$D$5:D154,MATCHER!D154,MATCHER!$F$5:F154,MATCHER!F154,MATCHER!$K$5:K154,"Ja",MATCHER!$J$5:J154,MATCHER!F154)+COUNTIFS(MATCHER!$B$5:B154,MATCHER!B154,MATCHER!$D$5:D154,MATCHER!D154,MATCHER!$F$5:F154,MATCHER!F154,MATCHER!$K$5:K154,"Ja",MATCHER!$J$5:J154,MATCHER!F154&amp;" *")+COUNTIFS(MATCHER!$B$5:B154,MATCHER!B154,MATCHER!$D$5:D154,MATCHER!D154,MATCHER!$F$5:F154,MATCHER!F154,MATCHER!$K$5:K154,"Ja",MATCHER!$E$5:E154,"Arrangörsskap*")=1,MATCHER!F154,""))</f>
        <v>F16</v>
      </c>
    </row>
    <row r="155" spans="17:17">
      <c r="Q155" s="138" t="str">
        <f>IF(OR(MATCHER!A155="",MATCHER!K155&lt;&gt;"Ja",AND(MATCHER!J155&lt;&gt;MATCHER!F155,LEFT(MATCHER!J155,LEN(MATCHER!F155)+1)&lt;&gt;MATCHER!F155&amp;" ",LEFT(MATCHER!E155,13)&lt;&gt;"Arrangörsskap")),"",IF(COUNTIFS(MATCHER!$B$5:B155,MATCHER!B155,MATCHER!$D$5:D155,MATCHER!D155,MATCHER!$F$5:F155,MATCHER!F155,MATCHER!$K$5:K155,"Ja",MATCHER!$J$5:J155,MATCHER!F155)+COUNTIFS(MATCHER!$B$5:B155,MATCHER!B155,MATCHER!$D$5:D155,MATCHER!D155,MATCHER!$F$5:F155,MATCHER!F155,MATCHER!$K$5:K155,"Ja",MATCHER!$J$5:J155,MATCHER!F155&amp;" *")+COUNTIFS(MATCHER!$B$5:B155,MATCHER!B155,MATCHER!$D$5:D155,MATCHER!D155,MATCHER!$F$5:F155,MATCHER!F155,MATCHER!$K$5:K155,"Ja",MATCHER!$E$5:E155,"Arrangörsskap*")=1,MATCHER!F155,""))</f>
        <v>U8</v>
      </c>
    </row>
    <row r="156" spans="17:17">
      <c r="Q156" s="138" t="str">
        <f>IF(OR(MATCHER!A156="",MATCHER!K156&lt;&gt;"Ja",AND(MATCHER!J156&lt;&gt;MATCHER!F156,LEFT(MATCHER!J156,LEN(MATCHER!F156)+1)&lt;&gt;MATCHER!F156&amp;" ",LEFT(MATCHER!E156,13)&lt;&gt;"Arrangörsskap")),"",IF(COUNTIFS(MATCHER!$B$5:B156,MATCHER!B156,MATCHER!$D$5:D156,MATCHER!D156,MATCHER!$F$5:F156,MATCHER!F156,MATCHER!$K$5:K156,"Ja",MATCHER!$J$5:J156,MATCHER!F156)+COUNTIFS(MATCHER!$B$5:B156,MATCHER!B156,MATCHER!$D$5:D156,MATCHER!D156,MATCHER!$F$5:F156,MATCHER!F156,MATCHER!$K$5:K156,"Ja",MATCHER!$J$5:J156,MATCHER!F156&amp;" *")+COUNTIFS(MATCHER!$B$5:B156,MATCHER!B156,MATCHER!$D$5:D156,MATCHER!D156,MATCHER!$F$5:F156,MATCHER!F156,MATCHER!$K$5:K156,"Ja",MATCHER!$E$5:E156,"Arrangörsskap*")=1,MATCHER!F156,""))</f>
        <v>F12</v>
      </c>
    </row>
    <row r="157" spans="17:17">
      <c r="Q157" s="138" t="str">
        <f>IF(OR(MATCHER!A157="",MATCHER!K157&lt;&gt;"Ja",AND(MATCHER!J157&lt;&gt;MATCHER!F157,LEFT(MATCHER!J157,LEN(MATCHER!F157)+1)&lt;&gt;MATCHER!F157&amp;" ",LEFT(MATCHER!E157,13)&lt;&gt;"Arrangörsskap")),"",IF(COUNTIFS(MATCHER!$B$5:B157,MATCHER!B157,MATCHER!$D$5:D157,MATCHER!D157,MATCHER!$F$5:F157,MATCHER!F157,MATCHER!$K$5:K157,"Ja",MATCHER!$J$5:J157,MATCHER!F157)+COUNTIFS(MATCHER!$B$5:B157,MATCHER!B157,MATCHER!$D$5:D157,MATCHER!D157,MATCHER!$F$5:F157,MATCHER!F157,MATCHER!$K$5:K157,"Ja",MATCHER!$J$5:J157,MATCHER!F157&amp;" *")+COUNTIFS(MATCHER!$B$5:B157,MATCHER!B157,MATCHER!$D$5:D157,MATCHER!D157,MATCHER!$F$5:F157,MATCHER!F157,MATCHER!$K$5:K157,"Ja",MATCHER!$E$5:E157,"Arrangörsskap*")=1,MATCHER!F157,""))</f>
        <v/>
      </c>
    </row>
    <row r="158" spans="17:17">
      <c r="Q158" s="138" t="str">
        <f>IF(OR(MATCHER!A158="",MATCHER!K158&lt;&gt;"Ja",AND(MATCHER!J158&lt;&gt;MATCHER!F158,LEFT(MATCHER!J158,LEN(MATCHER!F158)+1)&lt;&gt;MATCHER!F158&amp;" ",LEFT(MATCHER!E158,13)&lt;&gt;"Arrangörsskap")),"",IF(COUNTIFS(MATCHER!$B$5:B158,MATCHER!B158,MATCHER!$D$5:D158,MATCHER!D158,MATCHER!$F$5:F158,MATCHER!F158,MATCHER!$K$5:K158,"Ja",MATCHER!$J$5:J158,MATCHER!F158)+COUNTIFS(MATCHER!$B$5:B158,MATCHER!B158,MATCHER!$D$5:D158,MATCHER!D158,MATCHER!$F$5:F158,MATCHER!F158,MATCHER!$K$5:K158,"Ja",MATCHER!$J$5:J158,MATCHER!F158&amp;" *")+COUNTIFS(MATCHER!$B$5:B158,MATCHER!B158,MATCHER!$D$5:D158,MATCHER!D158,MATCHER!$F$5:F158,MATCHER!F158,MATCHER!$K$5:K158,"Ja",MATCHER!$E$5:E158,"Arrangörsskap*")=1,MATCHER!F158,""))</f>
        <v/>
      </c>
    </row>
    <row r="159" spans="17:17">
      <c r="Q159" s="138" t="str">
        <f>IF(OR(MATCHER!A159="",MATCHER!K159&lt;&gt;"Ja",AND(MATCHER!J159&lt;&gt;MATCHER!F159,LEFT(MATCHER!J159,LEN(MATCHER!F159)+1)&lt;&gt;MATCHER!F159&amp;" ",LEFT(MATCHER!E159,13)&lt;&gt;"Arrangörsskap")),"",IF(COUNTIFS(MATCHER!$B$5:B159,MATCHER!B159,MATCHER!$D$5:D159,MATCHER!D159,MATCHER!$F$5:F159,MATCHER!F159,MATCHER!$K$5:K159,"Ja",MATCHER!$J$5:J159,MATCHER!F159)+COUNTIFS(MATCHER!$B$5:B159,MATCHER!B159,MATCHER!$D$5:D159,MATCHER!D159,MATCHER!$F$5:F159,MATCHER!F159,MATCHER!$K$5:K159,"Ja",MATCHER!$J$5:J159,MATCHER!F159&amp;" *")+COUNTIFS(MATCHER!$B$5:B159,MATCHER!B159,MATCHER!$D$5:D159,MATCHER!D159,MATCHER!$F$5:F159,MATCHER!F159,MATCHER!$K$5:K159,"Ja",MATCHER!$E$5:E159,"Arrangörsskap*")=1,MATCHER!F159,""))</f>
        <v/>
      </c>
    </row>
    <row r="160" spans="17:17">
      <c r="Q160" s="138" t="str">
        <f>IF(OR(MATCHER!A160="",MATCHER!K160&lt;&gt;"Ja",AND(MATCHER!J160&lt;&gt;MATCHER!F160,LEFT(MATCHER!J160,LEN(MATCHER!F160)+1)&lt;&gt;MATCHER!F160&amp;" ",LEFT(MATCHER!E160,13)&lt;&gt;"Arrangörsskap")),"",IF(COUNTIFS(MATCHER!$B$5:B160,MATCHER!B160,MATCHER!$D$5:D160,MATCHER!D160,MATCHER!$F$5:F160,MATCHER!F160,MATCHER!$K$5:K160,"Ja",MATCHER!$J$5:J160,MATCHER!F160)+COUNTIFS(MATCHER!$B$5:B160,MATCHER!B160,MATCHER!$D$5:D160,MATCHER!D160,MATCHER!$F$5:F160,MATCHER!F160,MATCHER!$K$5:K160,"Ja",MATCHER!$J$5:J160,MATCHER!F160&amp;" *")+COUNTIFS(MATCHER!$B$5:B160,MATCHER!B160,MATCHER!$D$5:D160,MATCHER!D160,MATCHER!$F$5:F160,MATCHER!F160,MATCHER!$K$5:K160,"Ja",MATCHER!$E$5:E160,"Arrangörsskap*")=1,MATCHER!F160,""))</f>
        <v/>
      </c>
    </row>
    <row r="161" spans="17:17">
      <c r="Q161" s="138" t="str">
        <f>IF(OR(MATCHER!A161="",MATCHER!K161&lt;&gt;"Ja",AND(MATCHER!J161&lt;&gt;MATCHER!F161,LEFT(MATCHER!J161,LEN(MATCHER!F161)+1)&lt;&gt;MATCHER!F161&amp;" ",LEFT(MATCHER!E161,13)&lt;&gt;"Arrangörsskap")),"",IF(COUNTIFS(MATCHER!$B$5:B161,MATCHER!B161,MATCHER!$D$5:D161,MATCHER!D161,MATCHER!$F$5:F161,MATCHER!F161,MATCHER!$K$5:K161,"Ja",MATCHER!$J$5:J161,MATCHER!F161)+COUNTIFS(MATCHER!$B$5:B161,MATCHER!B161,MATCHER!$D$5:D161,MATCHER!D161,MATCHER!$F$5:F161,MATCHER!F161,MATCHER!$K$5:K161,"Ja",MATCHER!$J$5:J161,MATCHER!F161&amp;" *")+COUNTIFS(MATCHER!$B$5:B161,MATCHER!B161,MATCHER!$D$5:D161,MATCHER!D161,MATCHER!$F$5:F161,MATCHER!F161,MATCHER!$K$5:K161,"Ja",MATCHER!$E$5:E161,"Arrangörsskap*")=1,MATCHER!F161,""))</f>
        <v/>
      </c>
    </row>
    <row r="162" spans="17:17">
      <c r="Q162" s="138" t="str">
        <f>IF(OR(MATCHER!A162="",MATCHER!K162&lt;&gt;"Ja",AND(MATCHER!J162&lt;&gt;MATCHER!F162,LEFT(MATCHER!J162,LEN(MATCHER!F162)+1)&lt;&gt;MATCHER!F162&amp;" ",LEFT(MATCHER!E162,13)&lt;&gt;"Arrangörsskap")),"",IF(COUNTIFS(MATCHER!$B$5:B162,MATCHER!B162,MATCHER!$D$5:D162,MATCHER!D162,MATCHER!$F$5:F162,MATCHER!F162,MATCHER!$K$5:K162,"Ja",MATCHER!$J$5:J162,MATCHER!F162)+COUNTIFS(MATCHER!$B$5:B162,MATCHER!B162,MATCHER!$D$5:D162,MATCHER!D162,MATCHER!$F$5:F162,MATCHER!F162,MATCHER!$K$5:K162,"Ja",MATCHER!$J$5:J162,MATCHER!F162&amp;" *")+COUNTIFS(MATCHER!$B$5:B162,MATCHER!B162,MATCHER!$D$5:D162,MATCHER!D162,MATCHER!$F$5:F162,MATCHER!F162,MATCHER!$K$5:K162,"Ja",MATCHER!$E$5:E162,"Arrangörsskap*")=1,MATCHER!F162,""))</f>
        <v>F13</v>
      </c>
    </row>
    <row r="163" spans="17:17">
      <c r="Q163" s="138" t="str">
        <f>IF(OR(MATCHER!A163="",MATCHER!K163&lt;&gt;"Ja",AND(MATCHER!J163&lt;&gt;MATCHER!F163,LEFT(MATCHER!J163,LEN(MATCHER!F163)+1)&lt;&gt;MATCHER!F163&amp;" ",LEFT(MATCHER!E163,13)&lt;&gt;"Arrangörsskap")),"",IF(COUNTIFS(MATCHER!$B$5:B163,MATCHER!B163,MATCHER!$D$5:D163,MATCHER!D163,MATCHER!$F$5:F163,MATCHER!F163,MATCHER!$K$5:K163,"Ja",MATCHER!$J$5:J163,MATCHER!F163)+COUNTIFS(MATCHER!$B$5:B163,MATCHER!B163,MATCHER!$D$5:D163,MATCHER!D163,MATCHER!$F$5:F163,MATCHER!F163,MATCHER!$K$5:K163,"Ja",MATCHER!$J$5:J163,MATCHER!F163&amp;" *")+COUNTIFS(MATCHER!$B$5:B163,MATCHER!B163,MATCHER!$D$5:D163,MATCHER!D163,MATCHER!$F$5:F163,MATCHER!F163,MATCHER!$K$5:K163,"Ja",MATCHER!$E$5:E163,"Arrangörsskap*")=1,MATCHER!F163,""))</f>
        <v/>
      </c>
    </row>
    <row r="164" spans="17:17">
      <c r="Q164" s="138" t="str">
        <f>IF(OR(MATCHER!A164="",MATCHER!K164&lt;&gt;"Ja",AND(MATCHER!J164&lt;&gt;MATCHER!F164,LEFT(MATCHER!J164,LEN(MATCHER!F164)+1)&lt;&gt;MATCHER!F164&amp;" ",LEFT(MATCHER!E164,13)&lt;&gt;"Arrangörsskap")),"",IF(COUNTIFS(MATCHER!$B$5:B164,MATCHER!B164,MATCHER!$D$5:D164,MATCHER!D164,MATCHER!$F$5:F164,MATCHER!F164,MATCHER!$K$5:K164,"Ja",MATCHER!$J$5:J164,MATCHER!F164)+COUNTIFS(MATCHER!$B$5:B164,MATCHER!B164,MATCHER!$D$5:D164,MATCHER!D164,MATCHER!$F$5:F164,MATCHER!F164,MATCHER!$K$5:K164,"Ja",MATCHER!$J$5:J164,MATCHER!F164&amp;" *")+COUNTIFS(MATCHER!$B$5:B164,MATCHER!B164,MATCHER!$D$5:D164,MATCHER!D164,MATCHER!$F$5:F164,MATCHER!F164,MATCHER!$K$5:K164,"Ja",MATCHER!$E$5:E164,"Arrangörsskap*")=1,MATCHER!F164,""))</f>
        <v/>
      </c>
    </row>
    <row r="165" spans="17:17">
      <c r="Q165" s="138" t="str">
        <f>IF(OR(MATCHER!A165="",MATCHER!K165&lt;&gt;"Ja",AND(MATCHER!J165&lt;&gt;MATCHER!F165,LEFT(MATCHER!J165,LEN(MATCHER!F165)+1)&lt;&gt;MATCHER!F165&amp;" ",LEFT(MATCHER!E165,13)&lt;&gt;"Arrangörsskap")),"",IF(COUNTIFS(MATCHER!$B$5:B165,MATCHER!B165,MATCHER!$D$5:D165,MATCHER!D165,MATCHER!$F$5:F165,MATCHER!F165,MATCHER!$K$5:K165,"Ja",MATCHER!$J$5:J165,MATCHER!F165)+COUNTIFS(MATCHER!$B$5:B165,MATCHER!B165,MATCHER!$D$5:D165,MATCHER!D165,MATCHER!$F$5:F165,MATCHER!F165,MATCHER!$K$5:K165,"Ja",MATCHER!$J$5:J165,MATCHER!F165&amp;" *")+COUNTIFS(MATCHER!$B$5:B165,MATCHER!B165,MATCHER!$D$5:D165,MATCHER!D165,MATCHER!$F$5:F165,MATCHER!F165,MATCHER!$K$5:K165,"Ja",MATCHER!$E$5:E165,"Arrangörsskap*")=1,MATCHER!F165,""))</f>
        <v>F19</v>
      </c>
    </row>
    <row r="166" spans="17:17">
      <c r="Q166" s="138" t="str">
        <f>IF(OR(MATCHER!A166="",MATCHER!K166&lt;&gt;"Ja",AND(MATCHER!J166&lt;&gt;MATCHER!F166,LEFT(MATCHER!J166,LEN(MATCHER!F166)+1)&lt;&gt;MATCHER!F166&amp;" ",LEFT(MATCHER!E166,13)&lt;&gt;"Arrangörsskap")),"",IF(COUNTIFS(MATCHER!$B$5:B166,MATCHER!B166,MATCHER!$D$5:D166,MATCHER!D166,MATCHER!$F$5:F166,MATCHER!F166,MATCHER!$K$5:K166,"Ja",MATCHER!$J$5:J166,MATCHER!F166)+COUNTIFS(MATCHER!$B$5:B166,MATCHER!B166,MATCHER!$D$5:D166,MATCHER!D166,MATCHER!$F$5:F166,MATCHER!F166,MATCHER!$K$5:K166,"Ja",MATCHER!$J$5:J166,MATCHER!F166&amp;" *")+COUNTIFS(MATCHER!$B$5:B166,MATCHER!B166,MATCHER!$D$5:D166,MATCHER!D166,MATCHER!$F$5:F166,MATCHER!F166,MATCHER!$K$5:K166,"Ja",MATCHER!$E$5:E166,"Arrangörsskap*")=1,MATCHER!F166,""))</f>
        <v/>
      </c>
    </row>
    <row r="167" spans="17:17">
      <c r="Q167" s="138" t="str">
        <f>IF(OR(MATCHER!A167="",MATCHER!K167&lt;&gt;"Ja",AND(MATCHER!J167&lt;&gt;MATCHER!F167,LEFT(MATCHER!J167,LEN(MATCHER!F167)+1)&lt;&gt;MATCHER!F167&amp;" ",LEFT(MATCHER!E167,13)&lt;&gt;"Arrangörsskap")),"",IF(COUNTIFS(MATCHER!$B$5:B167,MATCHER!B167,MATCHER!$D$5:D167,MATCHER!D167,MATCHER!$F$5:F167,MATCHER!F167,MATCHER!$K$5:K167,"Ja",MATCHER!$J$5:J167,MATCHER!F167)+COUNTIFS(MATCHER!$B$5:B167,MATCHER!B167,MATCHER!$D$5:D167,MATCHER!D167,MATCHER!$F$5:F167,MATCHER!F167,MATCHER!$K$5:K167,"Ja",MATCHER!$J$5:J167,MATCHER!F167&amp;" *")+COUNTIFS(MATCHER!$B$5:B167,MATCHER!B167,MATCHER!$D$5:D167,MATCHER!D167,MATCHER!$F$5:F167,MATCHER!F167,MATCHER!$K$5:K167,"Ja",MATCHER!$E$5:E167,"Arrangörsskap*")=1,MATCHER!F167,""))</f>
        <v/>
      </c>
    </row>
    <row r="168" spans="17:17">
      <c r="Q168" s="138" t="str">
        <f>IF(OR(MATCHER!A168="",MATCHER!K168&lt;&gt;"Ja",AND(MATCHER!J168&lt;&gt;MATCHER!F168,LEFT(MATCHER!J168,LEN(MATCHER!F168)+1)&lt;&gt;MATCHER!F168&amp;" ",LEFT(MATCHER!E168,13)&lt;&gt;"Arrangörsskap")),"",IF(COUNTIFS(MATCHER!$B$5:B168,MATCHER!B168,MATCHER!$D$5:D168,MATCHER!D168,MATCHER!$F$5:F168,MATCHER!F168,MATCHER!$K$5:K168,"Ja",MATCHER!$J$5:J168,MATCHER!F168)+COUNTIFS(MATCHER!$B$5:B168,MATCHER!B168,MATCHER!$D$5:D168,MATCHER!D168,MATCHER!$F$5:F168,MATCHER!F168,MATCHER!$K$5:K168,"Ja",MATCHER!$J$5:J168,MATCHER!F168&amp;" *")+COUNTIFS(MATCHER!$B$5:B168,MATCHER!B168,MATCHER!$D$5:D168,MATCHER!D168,MATCHER!$F$5:F168,MATCHER!F168,MATCHER!$K$5:K168,"Ja",MATCHER!$E$5:E168,"Arrangörsskap*")=1,MATCHER!F168,""))</f>
        <v>Kontrollera</v>
      </c>
    </row>
    <row r="169" spans="17:17">
      <c r="Q169" s="138" t="str">
        <f>IF(OR(MATCHER!A169="",MATCHER!K169&lt;&gt;"Ja",AND(MATCHER!J169&lt;&gt;MATCHER!F169,LEFT(MATCHER!J169,LEN(MATCHER!F169)+1)&lt;&gt;MATCHER!F169&amp;" ",LEFT(MATCHER!E169,13)&lt;&gt;"Arrangörsskap")),"",IF(COUNTIFS(MATCHER!$B$5:B169,MATCHER!B169,MATCHER!$D$5:D169,MATCHER!D169,MATCHER!$F$5:F169,MATCHER!F169,MATCHER!$K$5:K169,"Ja",MATCHER!$J$5:J169,MATCHER!F169)+COUNTIFS(MATCHER!$B$5:B169,MATCHER!B169,MATCHER!$D$5:D169,MATCHER!D169,MATCHER!$F$5:F169,MATCHER!F169,MATCHER!$K$5:K169,"Ja",MATCHER!$J$5:J169,MATCHER!F169&amp;" *")+COUNTIFS(MATCHER!$B$5:B169,MATCHER!B169,MATCHER!$D$5:D169,MATCHER!D169,MATCHER!$F$5:F169,MATCHER!F169,MATCHER!$K$5:K169,"Ja",MATCHER!$E$5:E169,"Arrangörsskap*")=1,MATCHER!F169,""))</f>
        <v>F13</v>
      </c>
    </row>
    <row r="170" spans="17:17">
      <c r="Q170" s="138" t="str">
        <f>IF(OR(MATCHER!A170="",MATCHER!K170&lt;&gt;"Ja",AND(MATCHER!J170&lt;&gt;MATCHER!F170,LEFT(MATCHER!J170,LEN(MATCHER!F170)+1)&lt;&gt;MATCHER!F170&amp;" ",LEFT(MATCHER!E170,13)&lt;&gt;"Arrangörsskap")),"",IF(COUNTIFS(MATCHER!$B$5:B170,MATCHER!B170,MATCHER!$D$5:D170,MATCHER!D170,MATCHER!$F$5:F170,MATCHER!F170,MATCHER!$K$5:K170,"Ja",MATCHER!$J$5:J170,MATCHER!F170)+COUNTIFS(MATCHER!$B$5:B170,MATCHER!B170,MATCHER!$D$5:D170,MATCHER!D170,MATCHER!$F$5:F170,MATCHER!F170,MATCHER!$K$5:K170,"Ja",MATCHER!$J$5:J170,MATCHER!F170&amp;" *")+COUNTIFS(MATCHER!$B$5:B170,MATCHER!B170,MATCHER!$D$5:D170,MATCHER!D170,MATCHER!$F$5:F170,MATCHER!F170,MATCHER!$K$5:K170,"Ja",MATCHER!$E$5:E170,"Arrangörsskap*")=1,MATCHER!F170,""))</f>
        <v>Herr</v>
      </c>
    </row>
    <row r="171" spans="17:17">
      <c r="Q171" s="138" t="str">
        <f>IF(OR(MATCHER!A171="",MATCHER!K171&lt;&gt;"Ja",AND(MATCHER!J171&lt;&gt;MATCHER!F171,LEFT(MATCHER!J171,LEN(MATCHER!F171)+1)&lt;&gt;MATCHER!F171&amp;" ",LEFT(MATCHER!E171,13)&lt;&gt;"Arrangörsskap")),"",IF(COUNTIFS(MATCHER!$B$5:B171,MATCHER!B171,MATCHER!$D$5:D171,MATCHER!D171,MATCHER!$F$5:F171,MATCHER!F171,MATCHER!$K$5:K171,"Ja",MATCHER!$J$5:J171,MATCHER!F171)+COUNTIFS(MATCHER!$B$5:B171,MATCHER!B171,MATCHER!$D$5:D171,MATCHER!D171,MATCHER!$F$5:F171,MATCHER!F171,MATCHER!$K$5:K171,"Ja",MATCHER!$J$5:J171,MATCHER!F171&amp;" *")+COUNTIFS(MATCHER!$B$5:B171,MATCHER!B171,MATCHER!$D$5:D171,MATCHER!D171,MATCHER!$F$5:F171,MATCHER!F171,MATCHER!$K$5:K171,"Ja",MATCHER!$E$5:E171,"Arrangörsskap*")=1,MATCHER!F171,""))</f>
        <v/>
      </c>
    </row>
    <row r="172" spans="17:17">
      <c r="Q172" s="138" t="str">
        <f>IF(OR(MATCHER!A172="",MATCHER!K172&lt;&gt;"Ja",AND(MATCHER!J172&lt;&gt;MATCHER!F172,LEFT(MATCHER!J172,LEN(MATCHER!F172)+1)&lt;&gt;MATCHER!F172&amp;" ",LEFT(MATCHER!E172,13)&lt;&gt;"Arrangörsskap")),"",IF(COUNTIFS(MATCHER!$B$5:B172,MATCHER!B172,MATCHER!$D$5:D172,MATCHER!D172,MATCHER!$F$5:F172,MATCHER!F172,MATCHER!$K$5:K172,"Ja",MATCHER!$J$5:J172,MATCHER!F172)+COUNTIFS(MATCHER!$B$5:B172,MATCHER!B172,MATCHER!$D$5:D172,MATCHER!D172,MATCHER!$F$5:F172,MATCHER!F172,MATCHER!$K$5:K172,"Ja",MATCHER!$J$5:J172,MATCHER!F172&amp;" *")+COUNTIFS(MATCHER!$B$5:B172,MATCHER!B172,MATCHER!$D$5:D172,MATCHER!D172,MATCHER!$F$5:F172,MATCHER!F172,MATCHER!$K$5:K172,"Ja",MATCHER!$E$5:E172,"Arrangörsskap*")=1,MATCHER!F172,""))</f>
        <v/>
      </c>
    </row>
    <row r="173" spans="17:17">
      <c r="Q173" s="138" t="str">
        <f>IF(OR(MATCHER!A173="",MATCHER!K173&lt;&gt;"Ja",AND(MATCHER!J173&lt;&gt;MATCHER!F173,LEFT(MATCHER!J173,LEN(MATCHER!F173)+1)&lt;&gt;MATCHER!F173&amp;" ",LEFT(MATCHER!E173,13)&lt;&gt;"Arrangörsskap")),"",IF(COUNTIFS(MATCHER!$B$5:B173,MATCHER!B173,MATCHER!$D$5:D173,MATCHER!D173,MATCHER!$F$5:F173,MATCHER!F173,MATCHER!$K$5:K173,"Ja",MATCHER!$J$5:J173,MATCHER!F173)+COUNTIFS(MATCHER!$B$5:B173,MATCHER!B173,MATCHER!$D$5:D173,MATCHER!D173,MATCHER!$F$5:F173,MATCHER!F173,MATCHER!$K$5:K173,"Ja",MATCHER!$J$5:J173,MATCHER!F173&amp;" *")+COUNTIFS(MATCHER!$B$5:B173,MATCHER!B173,MATCHER!$D$5:D173,MATCHER!D173,MATCHER!$F$5:F173,MATCHER!F173,MATCHER!$K$5:K173,"Ja",MATCHER!$E$5:E173,"Arrangörsskap*")=1,MATCHER!F173,""))</f>
        <v>Dam</v>
      </c>
    </row>
    <row r="174" spans="17:17">
      <c r="Q174" s="138" t="str">
        <f>IF(OR(MATCHER!A174="",MATCHER!K174&lt;&gt;"Ja",AND(MATCHER!J174&lt;&gt;MATCHER!F174,LEFT(MATCHER!J174,LEN(MATCHER!F174)+1)&lt;&gt;MATCHER!F174&amp;" ",LEFT(MATCHER!E174,13)&lt;&gt;"Arrangörsskap")),"",IF(COUNTIFS(MATCHER!$B$5:B174,MATCHER!B174,MATCHER!$D$5:D174,MATCHER!D174,MATCHER!$F$5:F174,MATCHER!F174,MATCHER!$K$5:K174,"Ja",MATCHER!$J$5:J174,MATCHER!F174)+COUNTIFS(MATCHER!$B$5:B174,MATCHER!B174,MATCHER!$D$5:D174,MATCHER!D174,MATCHER!$F$5:F174,MATCHER!F174,MATCHER!$K$5:K174,"Ja",MATCHER!$J$5:J174,MATCHER!F174&amp;" *")+COUNTIFS(MATCHER!$B$5:B174,MATCHER!B174,MATCHER!$D$5:D174,MATCHER!D174,MATCHER!$F$5:F174,MATCHER!F174,MATCHER!$K$5:K174,"Ja",MATCHER!$E$5:E174,"Arrangörsskap*")=1,MATCHER!F174,""))</f>
        <v>F16</v>
      </c>
    </row>
    <row r="175" spans="17:17">
      <c r="Q175" s="138" t="str">
        <f>IF(OR(MATCHER!A175="",MATCHER!K175&lt;&gt;"Ja",AND(MATCHER!J175&lt;&gt;MATCHER!F175,LEFT(MATCHER!J175,LEN(MATCHER!F175)+1)&lt;&gt;MATCHER!F175&amp;" ",LEFT(MATCHER!E175,13)&lt;&gt;"Arrangörsskap")),"",IF(COUNTIFS(MATCHER!$B$5:B175,MATCHER!B175,MATCHER!$D$5:D175,MATCHER!D175,MATCHER!$F$5:F175,MATCHER!F175,MATCHER!$K$5:K175,"Ja",MATCHER!$J$5:J175,MATCHER!F175)+COUNTIFS(MATCHER!$B$5:B175,MATCHER!B175,MATCHER!$D$5:D175,MATCHER!D175,MATCHER!$F$5:F175,MATCHER!F175,MATCHER!$K$5:K175,"Ja",MATCHER!$J$5:J175,MATCHER!F175&amp;" *")+COUNTIFS(MATCHER!$B$5:B175,MATCHER!B175,MATCHER!$D$5:D175,MATCHER!D175,MATCHER!$F$5:F175,MATCHER!F175,MATCHER!$K$5:K175,"Ja",MATCHER!$E$5:E175,"Arrangörsskap*")=1,MATCHER!F175,""))</f>
        <v>F11</v>
      </c>
    </row>
    <row r="176" spans="17:17">
      <c r="Q176" s="138" t="str">
        <f>IF(OR(MATCHER!A176="",MATCHER!K176&lt;&gt;"Ja",AND(MATCHER!J176&lt;&gt;MATCHER!F176,LEFT(MATCHER!J176,LEN(MATCHER!F176)+1)&lt;&gt;MATCHER!F176&amp;" ",LEFT(MATCHER!E176,13)&lt;&gt;"Arrangörsskap")),"",IF(COUNTIFS(MATCHER!$B$5:B176,MATCHER!B176,MATCHER!$D$5:D176,MATCHER!D176,MATCHER!$F$5:F176,MATCHER!F176,MATCHER!$K$5:K176,"Ja",MATCHER!$J$5:J176,MATCHER!F176)+COUNTIFS(MATCHER!$B$5:B176,MATCHER!B176,MATCHER!$D$5:D176,MATCHER!D176,MATCHER!$F$5:F176,MATCHER!F176,MATCHER!$K$5:K176,"Ja",MATCHER!$J$5:J176,MATCHER!F176&amp;" *")+COUNTIFS(MATCHER!$B$5:B176,MATCHER!B176,MATCHER!$D$5:D176,MATCHER!D176,MATCHER!$F$5:F176,MATCHER!F176,MATCHER!$K$5:K176,"Ja",MATCHER!$E$5:E176,"Arrangörsskap*")=1,MATCHER!F176,""))</f>
        <v>P12</v>
      </c>
    </row>
    <row r="177" spans="17:17">
      <c r="Q177" s="138" t="str">
        <f>IF(OR(MATCHER!A177="",MATCHER!K177&lt;&gt;"Ja",AND(MATCHER!J177&lt;&gt;MATCHER!F177,LEFT(MATCHER!J177,LEN(MATCHER!F177)+1)&lt;&gt;MATCHER!F177&amp;" ",LEFT(MATCHER!E177,13)&lt;&gt;"Arrangörsskap")),"",IF(COUNTIFS(MATCHER!$B$5:B177,MATCHER!B177,MATCHER!$D$5:D177,MATCHER!D177,MATCHER!$F$5:F177,MATCHER!F177,MATCHER!$K$5:K177,"Ja",MATCHER!$J$5:J177,MATCHER!F177)+COUNTIFS(MATCHER!$B$5:B177,MATCHER!B177,MATCHER!$D$5:D177,MATCHER!D177,MATCHER!$F$5:F177,MATCHER!F177,MATCHER!$K$5:K177,"Ja",MATCHER!$J$5:J177,MATCHER!F177&amp;" *")+COUNTIFS(MATCHER!$B$5:B177,MATCHER!B177,MATCHER!$D$5:D177,MATCHER!D177,MATCHER!$F$5:F177,MATCHER!F177,MATCHER!$K$5:K177,"Ja",MATCHER!$E$5:E177,"Arrangörsskap*")=1,MATCHER!F177,""))</f>
        <v/>
      </c>
    </row>
    <row r="178" spans="17:17">
      <c r="Q178" s="138" t="str">
        <f>IF(OR(MATCHER!A178="",MATCHER!K178&lt;&gt;"Ja",AND(MATCHER!J178&lt;&gt;MATCHER!F178,LEFT(MATCHER!J178,LEN(MATCHER!F178)+1)&lt;&gt;MATCHER!F178&amp;" ",LEFT(MATCHER!E178,13)&lt;&gt;"Arrangörsskap")),"",IF(COUNTIFS(MATCHER!$B$5:B178,MATCHER!B178,MATCHER!$D$5:D178,MATCHER!D178,MATCHER!$F$5:F178,MATCHER!F178,MATCHER!$K$5:K178,"Ja",MATCHER!$J$5:J178,MATCHER!F178)+COUNTIFS(MATCHER!$B$5:B178,MATCHER!B178,MATCHER!$D$5:D178,MATCHER!D178,MATCHER!$F$5:F178,MATCHER!F178,MATCHER!$K$5:K178,"Ja",MATCHER!$J$5:J178,MATCHER!F178&amp;" *")+COUNTIFS(MATCHER!$B$5:B178,MATCHER!B178,MATCHER!$D$5:D178,MATCHER!D178,MATCHER!$F$5:F178,MATCHER!F178,MATCHER!$K$5:K178,"Ja",MATCHER!$E$5:E178,"Arrangörsskap*")=1,MATCHER!F178,""))</f>
        <v/>
      </c>
    </row>
    <row r="179" spans="17:17">
      <c r="Q179" s="138" t="str">
        <f>IF(OR(MATCHER!A179="",MATCHER!K179&lt;&gt;"Ja",AND(MATCHER!J179&lt;&gt;MATCHER!F179,LEFT(MATCHER!J179,LEN(MATCHER!F179)+1)&lt;&gt;MATCHER!F179&amp;" ",LEFT(MATCHER!E179,13)&lt;&gt;"Arrangörsskap")),"",IF(COUNTIFS(MATCHER!$B$5:B179,MATCHER!B179,MATCHER!$D$5:D179,MATCHER!D179,MATCHER!$F$5:F179,MATCHER!F179,MATCHER!$K$5:K179,"Ja",MATCHER!$J$5:J179,MATCHER!F179)+COUNTIFS(MATCHER!$B$5:B179,MATCHER!B179,MATCHER!$D$5:D179,MATCHER!D179,MATCHER!$F$5:F179,MATCHER!F179,MATCHER!$K$5:K179,"Ja",MATCHER!$J$5:J179,MATCHER!F179&amp;" *")+COUNTIFS(MATCHER!$B$5:B179,MATCHER!B179,MATCHER!$D$5:D179,MATCHER!D179,MATCHER!$F$5:F179,MATCHER!F179,MATCHER!$K$5:K179,"Ja",MATCHER!$E$5:E179,"Arrangörsskap*")=1,MATCHER!F179,""))</f>
        <v/>
      </c>
    </row>
    <row r="180" spans="17:17">
      <c r="Q180" s="138" t="str">
        <f>IF(OR(MATCHER!A180="",MATCHER!K180&lt;&gt;"Ja",AND(MATCHER!J180&lt;&gt;MATCHER!F180,LEFT(MATCHER!J180,LEN(MATCHER!F180)+1)&lt;&gt;MATCHER!F180&amp;" ",LEFT(MATCHER!E180,13)&lt;&gt;"Arrangörsskap")),"",IF(COUNTIFS(MATCHER!$B$5:B180,MATCHER!B180,MATCHER!$D$5:D180,MATCHER!D180,MATCHER!$F$5:F180,MATCHER!F180,MATCHER!$K$5:K180,"Ja",MATCHER!$J$5:J180,MATCHER!F180)+COUNTIFS(MATCHER!$B$5:B180,MATCHER!B180,MATCHER!$D$5:D180,MATCHER!D180,MATCHER!$F$5:F180,MATCHER!F180,MATCHER!$K$5:K180,"Ja",MATCHER!$J$5:J180,MATCHER!F180&amp;" *")+COUNTIFS(MATCHER!$B$5:B180,MATCHER!B180,MATCHER!$D$5:D180,MATCHER!D180,MATCHER!$F$5:F180,MATCHER!F180,MATCHER!$K$5:K180,"Ja",MATCHER!$E$5:E180,"Arrangörsskap*")=1,MATCHER!F180,""))</f>
        <v/>
      </c>
    </row>
    <row r="181" spans="17:17">
      <c r="Q181" s="138" t="str">
        <f>IF(OR(MATCHER!A181="",MATCHER!K181&lt;&gt;"Ja",AND(MATCHER!J181&lt;&gt;MATCHER!F181,LEFT(MATCHER!J181,LEN(MATCHER!F181)+1)&lt;&gt;MATCHER!F181&amp;" ",LEFT(MATCHER!E181,13)&lt;&gt;"Arrangörsskap")),"",IF(COUNTIFS(MATCHER!$B$5:B181,MATCHER!B181,MATCHER!$D$5:D181,MATCHER!D181,MATCHER!$F$5:F181,MATCHER!F181,MATCHER!$K$5:K181,"Ja",MATCHER!$J$5:J181,MATCHER!F181)+COUNTIFS(MATCHER!$B$5:B181,MATCHER!B181,MATCHER!$D$5:D181,MATCHER!D181,MATCHER!$F$5:F181,MATCHER!F181,MATCHER!$K$5:K181,"Ja",MATCHER!$J$5:J181,MATCHER!F181&amp;" *")+COUNTIFS(MATCHER!$B$5:B181,MATCHER!B181,MATCHER!$D$5:D181,MATCHER!D181,MATCHER!$F$5:F181,MATCHER!F181,MATCHER!$K$5:K181,"Ja",MATCHER!$E$5:E181,"Arrangörsskap*")=1,MATCHER!F181,""))</f>
        <v>U8</v>
      </c>
    </row>
    <row r="182" spans="17:17">
      <c r="Q182" s="138" t="str">
        <f>IF(OR(MATCHER!A182="",MATCHER!K182&lt;&gt;"Ja",AND(MATCHER!J182&lt;&gt;MATCHER!F182,LEFT(MATCHER!J182,LEN(MATCHER!F182)+1)&lt;&gt;MATCHER!F182&amp;" ",LEFT(MATCHER!E182,13)&lt;&gt;"Arrangörsskap")),"",IF(COUNTIFS(MATCHER!$B$5:B182,MATCHER!B182,MATCHER!$D$5:D182,MATCHER!D182,MATCHER!$F$5:F182,MATCHER!F182,MATCHER!$K$5:K182,"Ja",MATCHER!$J$5:J182,MATCHER!F182)+COUNTIFS(MATCHER!$B$5:B182,MATCHER!B182,MATCHER!$D$5:D182,MATCHER!D182,MATCHER!$F$5:F182,MATCHER!F182,MATCHER!$K$5:K182,"Ja",MATCHER!$J$5:J182,MATCHER!F182&amp;" *")+COUNTIFS(MATCHER!$B$5:B182,MATCHER!B182,MATCHER!$D$5:D182,MATCHER!D182,MATCHER!$F$5:F182,MATCHER!F182,MATCHER!$K$5:K182,"Ja",MATCHER!$E$5:E182,"Arrangörsskap*")=1,MATCHER!F182,""))</f>
        <v>Kontrollera</v>
      </c>
    </row>
    <row r="183" spans="17:17">
      <c r="Q183" s="138" t="str">
        <f>IF(OR(MATCHER!A183="",MATCHER!K183&lt;&gt;"Ja",AND(MATCHER!J183&lt;&gt;MATCHER!F183,LEFT(MATCHER!J183,LEN(MATCHER!F183)+1)&lt;&gt;MATCHER!F183&amp;" ",LEFT(MATCHER!E183,13)&lt;&gt;"Arrangörsskap")),"",IF(COUNTIFS(MATCHER!$B$5:B183,MATCHER!B183,MATCHER!$D$5:D183,MATCHER!D183,MATCHER!$F$5:F183,MATCHER!F183,MATCHER!$K$5:K183,"Ja",MATCHER!$J$5:J183,MATCHER!F183)+COUNTIFS(MATCHER!$B$5:B183,MATCHER!B183,MATCHER!$D$5:D183,MATCHER!D183,MATCHER!$F$5:F183,MATCHER!F183,MATCHER!$K$5:K183,"Ja",MATCHER!$J$5:J183,MATCHER!F183&amp;" *")+COUNTIFS(MATCHER!$B$5:B183,MATCHER!B183,MATCHER!$D$5:D183,MATCHER!D183,MATCHER!$F$5:F183,MATCHER!F183,MATCHER!$K$5:K183,"Ja",MATCHER!$E$5:E183,"Arrangörsskap*")=1,MATCHER!F183,""))</f>
        <v>P16</v>
      </c>
    </row>
    <row r="184" spans="17:17">
      <c r="Q184" s="138" t="str">
        <f>IF(OR(MATCHER!A184="",MATCHER!K184&lt;&gt;"Ja",AND(MATCHER!J184&lt;&gt;MATCHER!F184,LEFT(MATCHER!J184,LEN(MATCHER!F184)+1)&lt;&gt;MATCHER!F184&amp;" ",LEFT(MATCHER!E184,13)&lt;&gt;"Arrangörsskap")),"",IF(COUNTIFS(MATCHER!$B$5:B184,MATCHER!B184,MATCHER!$D$5:D184,MATCHER!D184,MATCHER!$F$5:F184,MATCHER!F184,MATCHER!$K$5:K184,"Ja",MATCHER!$J$5:J184,MATCHER!F184)+COUNTIFS(MATCHER!$B$5:B184,MATCHER!B184,MATCHER!$D$5:D184,MATCHER!D184,MATCHER!$F$5:F184,MATCHER!F184,MATCHER!$K$5:K184,"Ja",MATCHER!$J$5:J184,MATCHER!F184&amp;" *")+COUNTIFS(MATCHER!$B$5:B184,MATCHER!B184,MATCHER!$D$5:D184,MATCHER!D184,MATCHER!$F$5:F184,MATCHER!F184,MATCHER!$K$5:K184,"Ja",MATCHER!$E$5:E184,"Arrangörsskap*")=1,MATCHER!F184,""))</f>
        <v/>
      </c>
    </row>
    <row r="185" spans="17:17">
      <c r="Q185" s="138" t="str">
        <f>IF(OR(MATCHER!A185="",MATCHER!K185&lt;&gt;"Ja",AND(MATCHER!J185&lt;&gt;MATCHER!F185,LEFT(MATCHER!J185,LEN(MATCHER!F185)+1)&lt;&gt;MATCHER!F185&amp;" ",LEFT(MATCHER!E185,13)&lt;&gt;"Arrangörsskap")),"",IF(COUNTIFS(MATCHER!$B$5:B185,MATCHER!B185,MATCHER!$D$5:D185,MATCHER!D185,MATCHER!$F$5:F185,MATCHER!F185,MATCHER!$K$5:K185,"Ja",MATCHER!$J$5:J185,MATCHER!F185)+COUNTIFS(MATCHER!$B$5:B185,MATCHER!B185,MATCHER!$D$5:D185,MATCHER!D185,MATCHER!$F$5:F185,MATCHER!F185,MATCHER!$K$5:K185,"Ja",MATCHER!$J$5:J185,MATCHER!F185&amp;" *")+COUNTIFS(MATCHER!$B$5:B185,MATCHER!B185,MATCHER!$D$5:D185,MATCHER!D185,MATCHER!$F$5:F185,MATCHER!F185,MATCHER!$K$5:K185,"Ja",MATCHER!$E$5:E185,"Arrangörsskap*")=1,MATCHER!F185,""))</f>
        <v/>
      </c>
    </row>
    <row r="186" spans="17:17">
      <c r="Q186" s="138" t="str">
        <f>IF(OR(MATCHER!A186="",MATCHER!K186&lt;&gt;"Ja",AND(MATCHER!J186&lt;&gt;MATCHER!F186,LEFT(MATCHER!J186,LEN(MATCHER!F186)+1)&lt;&gt;MATCHER!F186&amp;" ",LEFT(MATCHER!E186,13)&lt;&gt;"Arrangörsskap")),"",IF(COUNTIFS(MATCHER!$B$5:B186,MATCHER!B186,MATCHER!$D$5:D186,MATCHER!D186,MATCHER!$F$5:F186,MATCHER!F186,MATCHER!$K$5:K186,"Ja",MATCHER!$J$5:J186,MATCHER!F186)+COUNTIFS(MATCHER!$B$5:B186,MATCHER!B186,MATCHER!$D$5:D186,MATCHER!D186,MATCHER!$F$5:F186,MATCHER!F186,MATCHER!$K$5:K186,"Ja",MATCHER!$J$5:J186,MATCHER!F186&amp;" *")+COUNTIFS(MATCHER!$B$5:B186,MATCHER!B186,MATCHER!$D$5:D186,MATCHER!D186,MATCHER!$F$5:F186,MATCHER!F186,MATCHER!$K$5:K186,"Ja",MATCHER!$E$5:E186,"Arrangörsskap*")=1,MATCHER!F186,""))</f>
        <v>P12</v>
      </c>
    </row>
    <row r="187" spans="17:17">
      <c r="Q187" s="138" t="str">
        <f>IF(OR(MATCHER!A187="",MATCHER!K187&lt;&gt;"Ja",AND(MATCHER!J187&lt;&gt;MATCHER!F187,LEFT(MATCHER!J187,LEN(MATCHER!F187)+1)&lt;&gt;MATCHER!F187&amp;" ",LEFT(MATCHER!E187,13)&lt;&gt;"Arrangörsskap")),"",IF(COUNTIFS(MATCHER!$B$5:B187,MATCHER!B187,MATCHER!$D$5:D187,MATCHER!D187,MATCHER!$F$5:F187,MATCHER!F187,MATCHER!$K$5:K187,"Ja",MATCHER!$J$5:J187,MATCHER!F187)+COUNTIFS(MATCHER!$B$5:B187,MATCHER!B187,MATCHER!$D$5:D187,MATCHER!D187,MATCHER!$F$5:F187,MATCHER!F187,MATCHER!$K$5:K187,"Ja",MATCHER!$J$5:J187,MATCHER!F187&amp;" *")+COUNTIFS(MATCHER!$B$5:B187,MATCHER!B187,MATCHER!$D$5:D187,MATCHER!D187,MATCHER!$F$5:F187,MATCHER!F187,MATCHER!$K$5:K187,"Ja",MATCHER!$E$5:E187,"Arrangörsskap*")=1,MATCHER!F187,""))</f>
        <v/>
      </c>
    </row>
    <row r="188" spans="17:17">
      <c r="Q188" s="138" t="str">
        <f>IF(OR(MATCHER!A188="",MATCHER!K188&lt;&gt;"Ja",AND(MATCHER!J188&lt;&gt;MATCHER!F188,LEFT(MATCHER!J188,LEN(MATCHER!F188)+1)&lt;&gt;MATCHER!F188&amp;" ",LEFT(MATCHER!E188,13)&lt;&gt;"Arrangörsskap")),"",IF(COUNTIFS(MATCHER!$B$5:B188,MATCHER!B188,MATCHER!$D$5:D188,MATCHER!D188,MATCHER!$F$5:F188,MATCHER!F188,MATCHER!$K$5:K188,"Ja",MATCHER!$J$5:J188,MATCHER!F188)+COUNTIFS(MATCHER!$B$5:B188,MATCHER!B188,MATCHER!$D$5:D188,MATCHER!D188,MATCHER!$F$5:F188,MATCHER!F188,MATCHER!$K$5:K188,"Ja",MATCHER!$J$5:J188,MATCHER!F188&amp;" *")+COUNTIFS(MATCHER!$B$5:B188,MATCHER!B188,MATCHER!$D$5:D188,MATCHER!D188,MATCHER!$F$5:F188,MATCHER!F188,MATCHER!$K$5:K188,"Ja",MATCHER!$E$5:E188,"Arrangörsskap*")=1,MATCHER!F188,""))</f>
        <v/>
      </c>
    </row>
    <row r="189" spans="17:17">
      <c r="Q189" s="138" t="str">
        <f>IF(OR(MATCHER!A189="",MATCHER!K189&lt;&gt;"Ja",AND(MATCHER!J189&lt;&gt;MATCHER!F189,LEFT(MATCHER!J189,LEN(MATCHER!F189)+1)&lt;&gt;MATCHER!F189&amp;" ",LEFT(MATCHER!E189,13)&lt;&gt;"Arrangörsskap")),"",IF(COUNTIFS(MATCHER!$B$5:B189,MATCHER!B189,MATCHER!$D$5:D189,MATCHER!D189,MATCHER!$F$5:F189,MATCHER!F189,MATCHER!$K$5:K189,"Ja",MATCHER!$J$5:J189,MATCHER!F189)+COUNTIFS(MATCHER!$B$5:B189,MATCHER!B189,MATCHER!$D$5:D189,MATCHER!D189,MATCHER!$F$5:F189,MATCHER!F189,MATCHER!$K$5:K189,"Ja",MATCHER!$J$5:J189,MATCHER!F189&amp;" *")+COUNTIFS(MATCHER!$B$5:B189,MATCHER!B189,MATCHER!$D$5:D189,MATCHER!D189,MATCHER!$F$5:F189,MATCHER!F189,MATCHER!$K$5:K189,"Ja",MATCHER!$E$5:E189,"Arrangörsskap*")=1,MATCHER!F189,""))</f>
        <v>Kontrollera</v>
      </c>
    </row>
    <row r="190" spans="17:17">
      <c r="Q190" s="138" t="str">
        <f>IF(OR(MATCHER!A190="",MATCHER!K190&lt;&gt;"Ja",AND(MATCHER!J190&lt;&gt;MATCHER!F190,LEFT(MATCHER!J190,LEN(MATCHER!F190)+1)&lt;&gt;MATCHER!F190&amp;" ",LEFT(MATCHER!E190,13)&lt;&gt;"Arrangörsskap")),"",IF(COUNTIFS(MATCHER!$B$5:B190,MATCHER!B190,MATCHER!$D$5:D190,MATCHER!D190,MATCHER!$F$5:F190,MATCHER!F190,MATCHER!$K$5:K190,"Ja",MATCHER!$J$5:J190,MATCHER!F190)+COUNTIFS(MATCHER!$B$5:B190,MATCHER!B190,MATCHER!$D$5:D190,MATCHER!D190,MATCHER!$F$5:F190,MATCHER!F190,MATCHER!$K$5:K190,"Ja",MATCHER!$J$5:J190,MATCHER!F190&amp;" *")+COUNTIFS(MATCHER!$B$5:B190,MATCHER!B190,MATCHER!$D$5:D190,MATCHER!D190,MATCHER!$F$5:F190,MATCHER!F190,MATCHER!$K$5:K190,"Ja",MATCHER!$E$5:E190,"Arrangörsskap*")=1,MATCHER!F190,""))</f>
        <v>F13</v>
      </c>
    </row>
    <row r="191" spans="17:17">
      <c r="Q191" s="138" t="str">
        <f>IF(OR(MATCHER!A191="",MATCHER!K191&lt;&gt;"Ja",AND(MATCHER!J191&lt;&gt;MATCHER!F191,LEFT(MATCHER!J191,LEN(MATCHER!F191)+1)&lt;&gt;MATCHER!F191&amp;" ",LEFT(MATCHER!E191,13)&lt;&gt;"Arrangörsskap")),"",IF(COUNTIFS(MATCHER!$B$5:B191,MATCHER!B191,MATCHER!$D$5:D191,MATCHER!D191,MATCHER!$F$5:F191,MATCHER!F191,MATCHER!$K$5:K191,"Ja",MATCHER!$J$5:J191,MATCHER!F191)+COUNTIFS(MATCHER!$B$5:B191,MATCHER!B191,MATCHER!$D$5:D191,MATCHER!D191,MATCHER!$F$5:F191,MATCHER!F191,MATCHER!$K$5:K191,"Ja",MATCHER!$J$5:J191,MATCHER!F191&amp;" *")+COUNTIFS(MATCHER!$B$5:B191,MATCHER!B191,MATCHER!$D$5:D191,MATCHER!D191,MATCHER!$F$5:F191,MATCHER!F191,MATCHER!$K$5:K191,"Ja",MATCHER!$E$5:E191,"Arrangörsskap*")=1,MATCHER!F191,""))</f>
        <v/>
      </c>
    </row>
    <row r="192" spans="17:17">
      <c r="Q192" s="138" t="str">
        <f>IF(OR(MATCHER!A192="",MATCHER!K192&lt;&gt;"Ja",AND(MATCHER!J192&lt;&gt;MATCHER!F192,LEFT(MATCHER!J192,LEN(MATCHER!F192)+1)&lt;&gt;MATCHER!F192&amp;" ",LEFT(MATCHER!E192,13)&lt;&gt;"Arrangörsskap")),"",IF(COUNTIFS(MATCHER!$B$5:B192,MATCHER!B192,MATCHER!$D$5:D192,MATCHER!D192,MATCHER!$F$5:F192,MATCHER!F192,MATCHER!$K$5:K192,"Ja",MATCHER!$J$5:J192,MATCHER!F192)+COUNTIFS(MATCHER!$B$5:B192,MATCHER!B192,MATCHER!$D$5:D192,MATCHER!D192,MATCHER!$F$5:F192,MATCHER!F192,MATCHER!$K$5:K192,"Ja",MATCHER!$J$5:J192,MATCHER!F192&amp;" *")+COUNTIFS(MATCHER!$B$5:B192,MATCHER!B192,MATCHER!$D$5:D192,MATCHER!D192,MATCHER!$F$5:F192,MATCHER!F192,MATCHER!$K$5:K192,"Ja",MATCHER!$E$5:E192,"Arrangörsskap*")=1,MATCHER!F192,""))</f>
        <v>F14</v>
      </c>
    </row>
    <row r="193" spans="17:17">
      <c r="Q193" s="138" t="str">
        <f>IF(OR(MATCHER!A193="",MATCHER!K193&lt;&gt;"Ja",AND(MATCHER!J193&lt;&gt;MATCHER!F193,LEFT(MATCHER!J193,LEN(MATCHER!F193)+1)&lt;&gt;MATCHER!F193&amp;" ",LEFT(MATCHER!E193,13)&lt;&gt;"Arrangörsskap")),"",IF(COUNTIFS(MATCHER!$B$5:B193,MATCHER!B193,MATCHER!$D$5:D193,MATCHER!D193,MATCHER!$F$5:F193,MATCHER!F193,MATCHER!$K$5:K193,"Ja",MATCHER!$J$5:J193,MATCHER!F193)+COUNTIFS(MATCHER!$B$5:B193,MATCHER!B193,MATCHER!$D$5:D193,MATCHER!D193,MATCHER!$F$5:F193,MATCHER!F193,MATCHER!$K$5:K193,"Ja",MATCHER!$J$5:J193,MATCHER!F193&amp;" *")+COUNTIFS(MATCHER!$B$5:B193,MATCHER!B193,MATCHER!$D$5:D193,MATCHER!D193,MATCHER!$F$5:F193,MATCHER!F193,MATCHER!$K$5:K193,"Ja",MATCHER!$E$5:E193,"Arrangörsskap*")=1,MATCHER!F193,""))</f>
        <v>F19</v>
      </c>
    </row>
    <row r="194" spans="17:17">
      <c r="Q194" s="138" t="str">
        <f>IF(OR(MATCHER!A194="",MATCHER!K194&lt;&gt;"Ja",AND(MATCHER!J194&lt;&gt;MATCHER!F194,LEFT(MATCHER!J194,LEN(MATCHER!F194)+1)&lt;&gt;MATCHER!F194&amp;" ",LEFT(MATCHER!E194,13)&lt;&gt;"Arrangörsskap")),"",IF(COUNTIFS(MATCHER!$B$5:B194,MATCHER!B194,MATCHER!$D$5:D194,MATCHER!D194,MATCHER!$F$5:F194,MATCHER!F194,MATCHER!$K$5:K194,"Ja",MATCHER!$J$5:J194,MATCHER!F194)+COUNTIFS(MATCHER!$B$5:B194,MATCHER!B194,MATCHER!$D$5:D194,MATCHER!D194,MATCHER!$F$5:F194,MATCHER!F194,MATCHER!$K$5:K194,"Ja",MATCHER!$J$5:J194,MATCHER!F194&amp;" *")+COUNTIFS(MATCHER!$B$5:B194,MATCHER!B194,MATCHER!$D$5:D194,MATCHER!D194,MATCHER!$F$5:F194,MATCHER!F194,MATCHER!$K$5:K194,"Ja",MATCHER!$E$5:E194,"Arrangörsskap*")=1,MATCHER!F194,""))</f>
        <v>P16</v>
      </c>
    </row>
    <row r="195" spans="17:17">
      <c r="Q195" s="138" t="str">
        <f>IF(OR(MATCHER!A195="",MATCHER!K195&lt;&gt;"Ja",AND(MATCHER!J195&lt;&gt;MATCHER!F195,LEFT(MATCHER!J195,LEN(MATCHER!F195)+1)&lt;&gt;MATCHER!F195&amp;" ",LEFT(MATCHER!E195,13)&lt;&gt;"Arrangörsskap")),"",IF(COUNTIFS(MATCHER!$B$5:B195,MATCHER!B195,MATCHER!$D$5:D195,MATCHER!D195,MATCHER!$F$5:F195,MATCHER!F195,MATCHER!$K$5:K195,"Ja",MATCHER!$J$5:J195,MATCHER!F195)+COUNTIFS(MATCHER!$B$5:B195,MATCHER!B195,MATCHER!$D$5:D195,MATCHER!D195,MATCHER!$F$5:F195,MATCHER!F195,MATCHER!$K$5:K195,"Ja",MATCHER!$J$5:J195,MATCHER!F195&amp;" *")+COUNTIFS(MATCHER!$B$5:B195,MATCHER!B195,MATCHER!$D$5:D195,MATCHER!D195,MATCHER!$F$5:F195,MATCHER!F195,MATCHER!$K$5:K195,"Ja",MATCHER!$E$5:E195,"Arrangörsskap*")=1,MATCHER!F195,""))</f>
        <v>F16</v>
      </c>
    </row>
    <row r="196" spans="17:17">
      <c r="Q196" s="138" t="str">
        <f>IF(OR(MATCHER!A196="",MATCHER!K196&lt;&gt;"Ja",AND(MATCHER!J196&lt;&gt;MATCHER!F196,LEFT(MATCHER!J196,LEN(MATCHER!F196)+1)&lt;&gt;MATCHER!F196&amp;" ",LEFT(MATCHER!E196,13)&lt;&gt;"Arrangörsskap")),"",IF(COUNTIFS(MATCHER!$B$5:B196,MATCHER!B196,MATCHER!$D$5:D196,MATCHER!D196,MATCHER!$F$5:F196,MATCHER!F196,MATCHER!$K$5:K196,"Ja",MATCHER!$J$5:J196,MATCHER!F196)+COUNTIFS(MATCHER!$B$5:B196,MATCHER!B196,MATCHER!$D$5:D196,MATCHER!D196,MATCHER!$F$5:F196,MATCHER!F196,MATCHER!$K$5:K196,"Ja",MATCHER!$J$5:J196,MATCHER!F196&amp;" *")+COUNTIFS(MATCHER!$B$5:B196,MATCHER!B196,MATCHER!$D$5:D196,MATCHER!D196,MATCHER!$F$5:F196,MATCHER!F196,MATCHER!$K$5:K196,"Ja",MATCHER!$E$5:E196,"Arrangörsskap*")=1,MATCHER!F196,""))</f>
        <v>F13</v>
      </c>
    </row>
    <row r="197" spans="17:17">
      <c r="Q197" s="138" t="str">
        <f>IF(OR(MATCHER!A197="",MATCHER!K197&lt;&gt;"Ja",AND(MATCHER!J197&lt;&gt;MATCHER!F197,LEFT(MATCHER!J197,LEN(MATCHER!F197)+1)&lt;&gt;MATCHER!F197&amp;" ",LEFT(MATCHER!E197,13)&lt;&gt;"Arrangörsskap")),"",IF(COUNTIFS(MATCHER!$B$5:B197,MATCHER!B197,MATCHER!$D$5:D197,MATCHER!D197,MATCHER!$F$5:F197,MATCHER!F197,MATCHER!$K$5:K197,"Ja",MATCHER!$J$5:J197,MATCHER!F197)+COUNTIFS(MATCHER!$B$5:B197,MATCHER!B197,MATCHER!$D$5:D197,MATCHER!D197,MATCHER!$F$5:F197,MATCHER!F197,MATCHER!$K$5:K197,"Ja",MATCHER!$J$5:J197,MATCHER!F197&amp;" *")+COUNTIFS(MATCHER!$B$5:B197,MATCHER!B197,MATCHER!$D$5:D197,MATCHER!D197,MATCHER!$F$5:F197,MATCHER!F197,MATCHER!$K$5:K197,"Ja",MATCHER!$E$5:E197,"Arrangörsskap*")=1,MATCHER!F197,""))</f>
        <v/>
      </c>
    </row>
    <row r="198" spans="17:17">
      <c r="Q198" s="138" t="str">
        <f>IF(OR(MATCHER!A198="",MATCHER!K198&lt;&gt;"Ja",AND(MATCHER!J198&lt;&gt;MATCHER!F198,LEFT(MATCHER!J198,LEN(MATCHER!F198)+1)&lt;&gt;MATCHER!F198&amp;" ",LEFT(MATCHER!E198,13)&lt;&gt;"Arrangörsskap")),"",IF(COUNTIFS(MATCHER!$B$5:B198,MATCHER!B198,MATCHER!$D$5:D198,MATCHER!D198,MATCHER!$F$5:F198,MATCHER!F198,MATCHER!$K$5:K198,"Ja",MATCHER!$J$5:J198,MATCHER!F198)+COUNTIFS(MATCHER!$B$5:B198,MATCHER!B198,MATCHER!$D$5:D198,MATCHER!D198,MATCHER!$F$5:F198,MATCHER!F198,MATCHER!$K$5:K198,"Ja",MATCHER!$J$5:J198,MATCHER!F198&amp;" *")+COUNTIFS(MATCHER!$B$5:B198,MATCHER!B198,MATCHER!$D$5:D198,MATCHER!D198,MATCHER!$F$5:F198,MATCHER!F198,MATCHER!$K$5:K198,"Ja",MATCHER!$E$5:E198,"Arrangörsskap*")=1,MATCHER!F198,""))</f>
        <v/>
      </c>
    </row>
    <row r="199" spans="17:17">
      <c r="Q199" s="138" t="str">
        <f>IF(OR(MATCHER!A199="",MATCHER!K199&lt;&gt;"Ja",AND(MATCHER!J199&lt;&gt;MATCHER!F199,LEFT(MATCHER!J199,LEN(MATCHER!F199)+1)&lt;&gt;MATCHER!F199&amp;" ",LEFT(MATCHER!E199,13)&lt;&gt;"Arrangörsskap")),"",IF(COUNTIFS(MATCHER!$B$5:B199,MATCHER!B199,MATCHER!$D$5:D199,MATCHER!D199,MATCHER!$F$5:F199,MATCHER!F199,MATCHER!$K$5:K199,"Ja",MATCHER!$J$5:J199,MATCHER!F199)+COUNTIFS(MATCHER!$B$5:B199,MATCHER!B199,MATCHER!$D$5:D199,MATCHER!D199,MATCHER!$F$5:F199,MATCHER!F199,MATCHER!$K$5:K199,"Ja",MATCHER!$J$5:J199,MATCHER!F199&amp;" *")+COUNTIFS(MATCHER!$B$5:B199,MATCHER!B199,MATCHER!$D$5:D199,MATCHER!D199,MATCHER!$F$5:F199,MATCHER!F199,MATCHER!$K$5:K199,"Ja",MATCHER!$E$5:E199,"Arrangörsskap*")=1,MATCHER!F199,""))</f>
        <v/>
      </c>
    </row>
    <row r="200" spans="17:17">
      <c r="Q200" s="138" t="str">
        <f>IF(OR(MATCHER!A200="",MATCHER!K200&lt;&gt;"Ja",AND(MATCHER!J200&lt;&gt;MATCHER!F200,LEFT(MATCHER!J200,LEN(MATCHER!F200)+1)&lt;&gt;MATCHER!F200&amp;" ",LEFT(MATCHER!E200,13)&lt;&gt;"Arrangörsskap")),"",IF(COUNTIFS(MATCHER!$B$5:B200,MATCHER!B200,MATCHER!$D$5:D200,MATCHER!D200,MATCHER!$F$5:F200,MATCHER!F200,MATCHER!$K$5:K200,"Ja",MATCHER!$J$5:J200,MATCHER!F200)+COUNTIFS(MATCHER!$B$5:B200,MATCHER!B200,MATCHER!$D$5:D200,MATCHER!D200,MATCHER!$F$5:F200,MATCHER!F200,MATCHER!$K$5:K200,"Ja",MATCHER!$J$5:J200,MATCHER!F200&amp;" *")+COUNTIFS(MATCHER!$B$5:B200,MATCHER!B200,MATCHER!$D$5:D200,MATCHER!D200,MATCHER!$F$5:F200,MATCHER!F200,MATCHER!$K$5:K200,"Ja",MATCHER!$E$5:E200,"Arrangörsskap*")=1,MATCHER!F200,""))</f>
        <v/>
      </c>
    </row>
    <row r="201" spans="17:17">
      <c r="Q201" s="138" t="str">
        <f>IF(OR(MATCHER!A201="",MATCHER!K201&lt;&gt;"Ja",AND(MATCHER!J201&lt;&gt;MATCHER!F201,LEFT(MATCHER!J201,LEN(MATCHER!F201)+1)&lt;&gt;MATCHER!F201&amp;" ",LEFT(MATCHER!E201,13)&lt;&gt;"Arrangörsskap")),"",IF(COUNTIFS(MATCHER!$B$5:B201,MATCHER!B201,MATCHER!$D$5:D201,MATCHER!D201,MATCHER!$F$5:F201,MATCHER!F201,MATCHER!$K$5:K201,"Ja",MATCHER!$J$5:J201,MATCHER!F201)+COUNTIFS(MATCHER!$B$5:B201,MATCHER!B201,MATCHER!$D$5:D201,MATCHER!D201,MATCHER!$F$5:F201,MATCHER!F201,MATCHER!$K$5:K201,"Ja",MATCHER!$J$5:J201,MATCHER!F201&amp;" *")+COUNTIFS(MATCHER!$B$5:B201,MATCHER!B201,MATCHER!$D$5:D201,MATCHER!D201,MATCHER!$F$5:F201,MATCHER!F201,MATCHER!$K$5:K201,"Ja",MATCHER!$E$5:E201,"Arrangörsskap*")=1,MATCHER!F201,""))</f>
        <v/>
      </c>
    </row>
    <row r="202" spans="17:17">
      <c r="Q202" s="138" t="str">
        <f>IF(OR(MATCHER!A202="",MATCHER!K202&lt;&gt;"Ja",AND(MATCHER!J202&lt;&gt;MATCHER!F202,LEFT(MATCHER!J202,LEN(MATCHER!F202)+1)&lt;&gt;MATCHER!F202&amp;" ",LEFT(MATCHER!E202,13)&lt;&gt;"Arrangörsskap")),"",IF(COUNTIFS(MATCHER!$B$5:B202,MATCHER!B202,MATCHER!$D$5:D202,MATCHER!D202,MATCHER!$F$5:F202,MATCHER!F202,MATCHER!$K$5:K202,"Ja",MATCHER!$J$5:J202,MATCHER!F202)+COUNTIFS(MATCHER!$B$5:B202,MATCHER!B202,MATCHER!$D$5:D202,MATCHER!D202,MATCHER!$F$5:F202,MATCHER!F202,MATCHER!$K$5:K202,"Ja",MATCHER!$J$5:J202,MATCHER!F202&amp;" *")+COUNTIFS(MATCHER!$B$5:B202,MATCHER!B202,MATCHER!$D$5:D202,MATCHER!D202,MATCHER!$F$5:F202,MATCHER!F202,MATCHER!$K$5:K202,"Ja",MATCHER!$E$5:E202,"Arrangörsskap*")=1,MATCHER!F202,""))</f>
        <v/>
      </c>
    </row>
    <row r="203" spans="17:17">
      <c r="Q203" s="138" t="str">
        <f>IF(OR(MATCHER!A203="",MATCHER!K203&lt;&gt;"Ja",AND(MATCHER!J203&lt;&gt;MATCHER!F203,LEFT(MATCHER!J203,LEN(MATCHER!F203)+1)&lt;&gt;MATCHER!F203&amp;" ",LEFT(MATCHER!E203,13)&lt;&gt;"Arrangörsskap")),"",IF(COUNTIFS(MATCHER!$B$5:B203,MATCHER!B203,MATCHER!$D$5:D203,MATCHER!D203,MATCHER!$F$5:F203,MATCHER!F203,MATCHER!$K$5:K203,"Ja",MATCHER!$J$5:J203,MATCHER!F203)+COUNTIFS(MATCHER!$B$5:B203,MATCHER!B203,MATCHER!$D$5:D203,MATCHER!D203,MATCHER!$F$5:F203,MATCHER!F203,MATCHER!$K$5:K203,"Ja",MATCHER!$J$5:J203,MATCHER!F203&amp;" *")+COUNTIFS(MATCHER!$B$5:B203,MATCHER!B203,MATCHER!$D$5:D203,MATCHER!D203,MATCHER!$F$5:F203,MATCHER!F203,MATCHER!$K$5:K203,"Ja",MATCHER!$E$5:E203,"Arrangörsskap*")=1,MATCHER!F203,""))</f>
        <v/>
      </c>
    </row>
    <row r="204" spans="17:17">
      <c r="Q204" s="138" t="str">
        <f>IF(OR(MATCHER!A204="",MATCHER!K204&lt;&gt;"Ja",AND(MATCHER!J204&lt;&gt;MATCHER!F204,LEFT(MATCHER!J204,LEN(MATCHER!F204)+1)&lt;&gt;MATCHER!F204&amp;" ",LEFT(MATCHER!E204,13)&lt;&gt;"Arrangörsskap")),"",IF(COUNTIFS(MATCHER!$B$5:B204,MATCHER!B204,MATCHER!$D$5:D204,MATCHER!D204,MATCHER!$F$5:F204,MATCHER!F204,MATCHER!$K$5:K204,"Ja",MATCHER!$J$5:J204,MATCHER!F204)+COUNTIFS(MATCHER!$B$5:B204,MATCHER!B204,MATCHER!$D$5:D204,MATCHER!D204,MATCHER!$F$5:F204,MATCHER!F204,MATCHER!$K$5:K204,"Ja",MATCHER!$J$5:J204,MATCHER!F204&amp;" *")+COUNTIFS(MATCHER!$B$5:B204,MATCHER!B204,MATCHER!$D$5:D204,MATCHER!D204,MATCHER!$F$5:F204,MATCHER!F204,MATCHER!$K$5:K204,"Ja",MATCHER!$E$5:E204,"Arrangörsskap*")=1,MATCHER!F204,""))</f>
        <v/>
      </c>
    </row>
    <row r="205" spans="17:17">
      <c r="Q205" s="138" t="str">
        <f>IF(OR(MATCHER!A205="",MATCHER!K205&lt;&gt;"Ja",AND(MATCHER!J205&lt;&gt;MATCHER!F205,LEFT(MATCHER!J205,LEN(MATCHER!F205)+1)&lt;&gt;MATCHER!F205&amp;" ",LEFT(MATCHER!E205,13)&lt;&gt;"Arrangörsskap")),"",IF(COUNTIFS(MATCHER!$B$5:B205,MATCHER!B205,MATCHER!$D$5:D205,MATCHER!D205,MATCHER!$F$5:F205,MATCHER!F205,MATCHER!$K$5:K205,"Ja",MATCHER!$J$5:J205,MATCHER!F205)+COUNTIFS(MATCHER!$B$5:B205,MATCHER!B205,MATCHER!$D$5:D205,MATCHER!D205,MATCHER!$F$5:F205,MATCHER!F205,MATCHER!$K$5:K205,"Ja",MATCHER!$J$5:J205,MATCHER!F205&amp;" *")+COUNTIFS(MATCHER!$B$5:B205,MATCHER!B205,MATCHER!$D$5:D205,MATCHER!D205,MATCHER!$F$5:F205,MATCHER!F205,MATCHER!$K$5:K205,"Ja",MATCHER!$E$5:E205,"Arrangörsskap*")=1,MATCHER!F205,""))</f>
        <v/>
      </c>
    </row>
    <row r="206" spans="17:17">
      <c r="Q206" s="138" t="str">
        <f>IF(OR(MATCHER!A206="",MATCHER!K206&lt;&gt;"Ja",AND(MATCHER!J206&lt;&gt;MATCHER!F206,LEFT(MATCHER!J206,LEN(MATCHER!F206)+1)&lt;&gt;MATCHER!F206&amp;" ",LEFT(MATCHER!E206,13)&lt;&gt;"Arrangörsskap")),"",IF(COUNTIFS(MATCHER!$B$5:B206,MATCHER!B206,MATCHER!$D$5:D206,MATCHER!D206,MATCHER!$F$5:F206,MATCHER!F206,MATCHER!$K$5:K206,"Ja",MATCHER!$J$5:J206,MATCHER!F206)+COUNTIFS(MATCHER!$B$5:B206,MATCHER!B206,MATCHER!$D$5:D206,MATCHER!D206,MATCHER!$F$5:F206,MATCHER!F206,MATCHER!$K$5:K206,"Ja",MATCHER!$J$5:J206,MATCHER!F206&amp;" *")+COUNTIFS(MATCHER!$B$5:B206,MATCHER!B206,MATCHER!$D$5:D206,MATCHER!D206,MATCHER!$F$5:F206,MATCHER!F206,MATCHER!$K$5:K206,"Ja",MATCHER!$E$5:E206,"Arrangörsskap*")=1,MATCHER!F206,""))</f>
        <v/>
      </c>
    </row>
    <row r="207" spans="17:17">
      <c r="Q207" s="138" t="str">
        <f>IF(OR(MATCHER!A207="",MATCHER!K207&lt;&gt;"Ja",AND(MATCHER!J207&lt;&gt;MATCHER!F207,LEFT(MATCHER!J207,LEN(MATCHER!F207)+1)&lt;&gt;MATCHER!F207&amp;" ",LEFT(MATCHER!E207,13)&lt;&gt;"Arrangörsskap")),"",IF(COUNTIFS(MATCHER!$B$5:B207,MATCHER!B207,MATCHER!$D$5:D207,MATCHER!D207,MATCHER!$F$5:F207,MATCHER!F207,MATCHER!$K$5:K207,"Ja",MATCHER!$J$5:J207,MATCHER!F207)+COUNTIFS(MATCHER!$B$5:B207,MATCHER!B207,MATCHER!$D$5:D207,MATCHER!D207,MATCHER!$F$5:F207,MATCHER!F207,MATCHER!$K$5:K207,"Ja",MATCHER!$J$5:J207,MATCHER!F207&amp;" *")+COUNTIFS(MATCHER!$B$5:B207,MATCHER!B207,MATCHER!$D$5:D207,MATCHER!D207,MATCHER!$F$5:F207,MATCHER!F207,MATCHER!$K$5:K207,"Ja",MATCHER!$E$5:E207,"Arrangörsskap*")=1,MATCHER!F207,""))</f>
        <v/>
      </c>
    </row>
    <row r="208" spans="17:17">
      <c r="Q208" s="138" t="str">
        <f>IF(OR(MATCHER!A208="",MATCHER!K208&lt;&gt;"Ja",AND(MATCHER!J208&lt;&gt;MATCHER!F208,LEFT(MATCHER!J208,LEN(MATCHER!F208)+1)&lt;&gt;MATCHER!F208&amp;" ",LEFT(MATCHER!E208,13)&lt;&gt;"Arrangörsskap")),"",IF(COUNTIFS(MATCHER!$B$5:B208,MATCHER!B208,MATCHER!$D$5:D208,MATCHER!D208,MATCHER!$F$5:F208,MATCHER!F208,MATCHER!$K$5:K208,"Ja",MATCHER!$J$5:J208,MATCHER!F208)+COUNTIFS(MATCHER!$B$5:B208,MATCHER!B208,MATCHER!$D$5:D208,MATCHER!D208,MATCHER!$F$5:F208,MATCHER!F208,MATCHER!$K$5:K208,"Ja",MATCHER!$J$5:J208,MATCHER!F208&amp;" *")+COUNTIFS(MATCHER!$B$5:B208,MATCHER!B208,MATCHER!$D$5:D208,MATCHER!D208,MATCHER!$F$5:F208,MATCHER!F208,MATCHER!$K$5:K208,"Ja",MATCHER!$E$5:E208,"Arrangörsskap*")=1,MATCHER!F208,""))</f>
        <v/>
      </c>
    </row>
    <row r="209" spans="17:17">
      <c r="Q209" s="138" t="str">
        <f>IF(OR(MATCHER!A209="",MATCHER!K209&lt;&gt;"Ja",AND(MATCHER!J209&lt;&gt;MATCHER!F209,LEFT(MATCHER!J209,LEN(MATCHER!F209)+1)&lt;&gt;MATCHER!F209&amp;" ",LEFT(MATCHER!E209,13)&lt;&gt;"Arrangörsskap")),"",IF(COUNTIFS(MATCHER!$B$5:B209,MATCHER!B209,MATCHER!$D$5:D209,MATCHER!D209,MATCHER!$F$5:F209,MATCHER!F209,MATCHER!$K$5:K209,"Ja",MATCHER!$J$5:J209,MATCHER!F209)+COUNTIFS(MATCHER!$B$5:B209,MATCHER!B209,MATCHER!$D$5:D209,MATCHER!D209,MATCHER!$F$5:F209,MATCHER!F209,MATCHER!$K$5:K209,"Ja",MATCHER!$J$5:J209,MATCHER!F209&amp;" *")+COUNTIFS(MATCHER!$B$5:B209,MATCHER!B209,MATCHER!$D$5:D209,MATCHER!D209,MATCHER!$F$5:F209,MATCHER!F209,MATCHER!$K$5:K209,"Ja",MATCHER!$E$5:E209,"Arrangörsskap*")=1,MATCHER!F209,""))</f>
        <v/>
      </c>
    </row>
    <row r="210" spans="17:17">
      <c r="Q210" s="138" t="str">
        <f>IF(OR(MATCHER!A210="",MATCHER!K210&lt;&gt;"Ja",AND(MATCHER!J210&lt;&gt;MATCHER!F210,LEFT(MATCHER!J210,LEN(MATCHER!F210)+1)&lt;&gt;MATCHER!F210&amp;" ",LEFT(MATCHER!E210,13)&lt;&gt;"Arrangörsskap")),"",IF(COUNTIFS(MATCHER!$B$5:B210,MATCHER!B210,MATCHER!$D$5:D210,MATCHER!D210,MATCHER!$F$5:F210,MATCHER!F210,MATCHER!$K$5:K210,"Ja",MATCHER!$J$5:J210,MATCHER!F210)+COUNTIFS(MATCHER!$B$5:B210,MATCHER!B210,MATCHER!$D$5:D210,MATCHER!D210,MATCHER!$F$5:F210,MATCHER!F210,MATCHER!$K$5:K210,"Ja",MATCHER!$J$5:J210,MATCHER!F210&amp;" *")+COUNTIFS(MATCHER!$B$5:B210,MATCHER!B210,MATCHER!$D$5:D210,MATCHER!D210,MATCHER!$F$5:F210,MATCHER!F210,MATCHER!$K$5:K210,"Ja",MATCHER!$E$5:E210,"Arrangörsskap*")=1,MATCHER!F210,""))</f>
        <v/>
      </c>
    </row>
    <row r="211" spans="17:17">
      <c r="Q211" s="138" t="str">
        <f>IF(OR(MATCHER!A211="",MATCHER!K211&lt;&gt;"Ja",AND(MATCHER!J211&lt;&gt;MATCHER!F211,LEFT(MATCHER!J211,LEN(MATCHER!F211)+1)&lt;&gt;MATCHER!F211&amp;" ",LEFT(MATCHER!E211,13)&lt;&gt;"Arrangörsskap")),"",IF(COUNTIFS(MATCHER!$B$5:B211,MATCHER!B211,MATCHER!$D$5:D211,MATCHER!D211,MATCHER!$F$5:F211,MATCHER!F211,MATCHER!$K$5:K211,"Ja",MATCHER!$J$5:J211,MATCHER!F211)+COUNTIFS(MATCHER!$B$5:B211,MATCHER!B211,MATCHER!$D$5:D211,MATCHER!D211,MATCHER!$F$5:F211,MATCHER!F211,MATCHER!$K$5:K211,"Ja",MATCHER!$J$5:J211,MATCHER!F211&amp;" *")+COUNTIFS(MATCHER!$B$5:B211,MATCHER!B211,MATCHER!$D$5:D211,MATCHER!D211,MATCHER!$F$5:F211,MATCHER!F211,MATCHER!$K$5:K211,"Ja",MATCHER!$E$5:E211,"Arrangörsskap*")=1,MATCHER!F211,""))</f>
        <v/>
      </c>
    </row>
    <row r="212" spans="17:17">
      <c r="Q212" s="138" t="str">
        <f>IF(OR(MATCHER!A212="",MATCHER!K212&lt;&gt;"Ja",AND(MATCHER!J212&lt;&gt;MATCHER!F212,LEFT(MATCHER!J212,LEN(MATCHER!F212)+1)&lt;&gt;MATCHER!F212&amp;" ",LEFT(MATCHER!E212,13)&lt;&gt;"Arrangörsskap")),"",IF(COUNTIFS(MATCHER!$B$5:B212,MATCHER!B212,MATCHER!$D$5:D212,MATCHER!D212,MATCHER!$F$5:F212,MATCHER!F212,MATCHER!$K$5:K212,"Ja",MATCHER!$J$5:J212,MATCHER!F212)+COUNTIFS(MATCHER!$B$5:B212,MATCHER!B212,MATCHER!$D$5:D212,MATCHER!D212,MATCHER!$F$5:F212,MATCHER!F212,MATCHER!$K$5:K212,"Ja",MATCHER!$J$5:J212,MATCHER!F212&amp;" *")+COUNTIFS(MATCHER!$B$5:B212,MATCHER!B212,MATCHER!$D$5:D212,MATCHER!D212,MATCHER!$F$5:F212,MATCHER!F212,MATCHER!$K$5:K212,"Ja",MATCHER!$E$5:E212,"Arrangörsskap*")=1,MATCHER!F212,""))</f>
        <v/>
      </c>
    </row>
    <row r="213" spans="17:17">
      <c r="Q213" s="138" t="str">
        <f>IF(OR(MATCHER!A213="",MATCHER!K213&lt;&gt;"Ja",AND(MATCHER!J213&lt;&gt;MATCHER!F213,LEFT(MATCHER!J213,LEN(MATCHER!F213)+1)&lt;&gt;MATCHER!F213&amp;" ",LEFT(MATCHER!E213,13)&lt;&gt;"Arrangörsskap")),"",IF(COUNTIFS(MATCHER!$B$5:B213,MATCHER!B213,MATCHER!$D$5:D213,MATCHER!D213,MATCHER!$F$5:F213,MATCHER!F213,MATCHER!$K$5:K213,"Ja",MATCHER!$J$5:J213,MATCHER!F213)+COUNTIFS(MATCHER!$B$5:B213,MATCHER!B213,MATCHER!$D$5:D213,MATCHER!D213,MATCHER!$F$5:F213,MATCHER!F213,MATCHER!$K$5:K213,"Ja",MATCHER!$J$5:J213,MATCHER!F213&amp;" *")+COUNTIFS(MATCHER!$B$5:B213,MATCHER!B213,MATCHER!$D$5:D213,MATCHER!D213,MATCHER!$F$5:F213,MATCHER!F213,MATCHER!$K$5:K213,"Ja",MATCHER!$E$5:E213,"Arrangörsskap*")=1,MATCHER!F213,""))</f>
        <v/>
      </c>
    </row>
    <row r="214" spans="17:17">
      <c r="Q214" s="138" t="str">
        <f>IF(OR(MATCHER!A214="",MATCHER!K214&lt;&gt;"Ja",AND(MATCHER!J214&lt;&gt;MATCHER!F214,LEFT(MATCHER!J214,LEN(MATCHER!F214)+1)&lt;&gt;MATCHER!F214&amp;" ",LEFT(MATCHER!E214,13)&lt;&gt;"Arrangörsskap")),"",IF(COUNTIFS(MATCHER!$B$5:B214,MATCHER!B214,MATCHER!$D$5:D214,MATCHER!D214,MATCHER!$F$5:F214,MATCHER!F214,MATCHER!$K$5:K214,"Ja",MATCHER!$J$5:J214,MATCHER!F214)+COUNTIFS(MATCHER!$B$5:B214,MATCHER!B214,MATCHER!$D$5:D214,MATCHER!D214,MATCHER!$F$5:F214,MATCHER!F214,MATCHER!$K$5:K214,"Ja",MATCHER!$J$5:J214,MATCHER!F214&amp;" *")+COUNTIFS(MATCHER!$B$5:B214,MATCHER!B214,MATCHER!$D$5:D214,MATCHER!D214,MATCHER!$F$5:F214,MATCHER!F214,MATCHER!$K$5:K214,"Ja",MATCHER!$E$5:E214,"Arrangörsskap*")=1,MATCHER!F214,""))</f>
        <v/>
      </c>
    </row>
    <row r="215" spans="17:17">
      <c r="Q215" s="138" t="str">
        <f>IF(OR(MATCHER!A215="",MATCHER!K215&lt;&gt;"Ja",AND(MATCHER!J215&lt;&gt;MATCHER!F215,LEFT(MATCHER!J215,LEN(MATCHER!F215)+1)&lt;&gt;MATCHER!F215&amp;" ",LEFT(MATCHER!E215,13)&lt;&gt;"Arrangörsskap")),"",IF(COUNTIFS(MATCHER!$B$5:B215,MATCHER!B215,MATCHER!$D$5:D215,MATCHER!D215,MATCHER!$F$5:F215,MATCHER!F215,MATCHER!$K$5:K215,"Ja",MATCHER!$J$5:J215,MATCHER!F215)+COUNTIFS(MATCHER!$B$5:B215,MATCHER!B215,MATCHER!$D$5:D215,MATCHER!D215,MATCHER!$F$5:F215,MATCHER!F215,MATCHER!$K$5:K215,"Ja",MATCHER!$J$5:J215,MATCHER!F215&amp;" *")+COUNTIFS(MATCHER!$B$5:B215,MATCHER!B215,MATCHER!$D$5:D215,MATCHER!D215,MATCHER!$F$5:F215,MATCHER!F215,MATCHER!$K$5:K215,"Ja",MATCHER!$E$5:E215,"Arrangörsskap*")=1,MATCHER!F215,""))</f>
        <v/>
      </c>
    </row>
    <row r="216" spans="17:17">
      <c r="Q216" s="138" t="str">
        <f>IF(OR(MATCHER!A216="",MATCHER!K216&lt;&gt;"Ja",AND(MATCHER!J216&lt;&gt;MATCHER!F216,LEFT(MATCHER!J216,LEN(MATCHER!F216)+1)&lt;&gt;MATCHER!F216&amp;" ",LEFT(MATCHER!E216,13)&lt;&gt;"Arrangörsskap")),"",IF(COUNTIFS(MATCHER!$B$5:B216,MATCHER!B216,MATCHER!$D$5:D216,MATCHER!D216,MATCHER!$F$5:F216,MATCHER!F216,MATCHER!$K$5:K216,"Ja",MATCHER!$J$5:J216,MATCHER!F216)+COUNTIFS(MATCHER!$B$5:B216,MATCHER!B216,MATCHER!$D$5:D216,MATCHER!D216,MATCHER!$F$5:F216,MATCHER!F216,MATCHER!$K$5:K216,"Ja",MATCHER!$J$5:J216,MATCHER!F216&amp;" *")+COUNTIFS(MATCHER!$B$5:B216,MATCHER!B216,MATCHER!$D$5:D216,MATCHER!D216,MATCHER!$F$5:F216,MATCHER!F216,MATCHER!$K$5:K216,"Ja",MATCHER!$E$5:E216,"Arrangörsskap*")=1,MATCHER!F216,""))</f>
        <v/>
      </c>
    </row>
    <row r="217" spans="17:17">
      <c r="Q217" s="138" t="str">
        <f>IF(OR(MATCHER!A217="",MATCHER!K217&lt;&gt;"Ja",AND(MATCHER!J217&lt;&gt;MATCHER!F217,LEFT(MATCHER!J217,LEN(MATCHER!F217)+1)&lt;&gt;MATCHER!F217&amp;" ",LEFT(MATCHER!E217,13)&lt;&gt;"Arrangörsskap")),"",IF(COUNTIFS(MATCHER!$B$5:B217,MATCHER!B217,MATCHER!$D$5:D217,MATCHER!D217,MATCHER!$F$5:F217,MATCHER!F217,MATCHER!$K$5:K217,"Ja",MATCHER!$J$5:J217,MATCHER!F217)+COUNTIFS(MATCHER!$B$5:B217,MATCHER!B217,MATCHER!$D$5:D217,MATCHER!D217,MATCHER!$F$5:F217,MATCHER!F217,MATCHER!$K$5:K217,"Ja",MATCHER!$J$5:J217,MATCHER!F217&amp;" *")+COUNTIFS(MATCHER!$B$5:B217,MATCHER!B217,MATCHER!$D$5:D217,MATCHER!D217,MATCHER!$F$5:F217,MATCHER!F217,MATCHER!$K$5:K217,"Ja",MATCHER!$E$5:E217,"Arrangörsskap*")=1,MATCHER!F217,""))</f>
        <v/>
      </c>
    </row>
    <row r="218" spans="17:17">
      <c r="Q218" s="138" t="str">
        <f>IF(OR(MATCHER!A218="",MATCHER!K218&lt;&gt;"Ja",AND(MATCHER!J218&lt;&gt;MATCHER!F218,LEFT(MATCHER!J218,LEN(MATCHER!F218)+1)&lt;&gt;MATCHER!F218&amp;" ",LEFT(MATCHER!E218,13)&lt;&gt;"Arrangörsskap")),"",IF(COUNTIFS(MATCHER!$B$5:B218,MATCHER!B218,MATCHER!$D$5:D218,MATCHER!D218,MATCHER!$F$5:F218,MATCHER!F218,MATCHER!$K$5:K218,"Ja",MATCHER!$J$5:J218,MATCHER!F218)+COUNTIFS(MATCHER!$B$5:B218,MATCHER!B218,MATCHER!$D$5:D218,MATCHER!D218,MATCHER!$F$5:F218,MATCHER!F218,MATCHER!$K$5:K218,"Ja",MATCHER!$J$5:J218,MATCHER!F218&amp;" *")+COUNTIFS(MATCHER!$B$5:B218,MATCHER!B218,MATCHER!$D$5:D218,MATCHER!D218,MATCHER!$F$5:F218,MATCHER!F218,MATCHER!$K$5:K218,"Ja",MATCHER!$E$5:E218,"Arrangörsskap*")=1,MATCHER!F218,""))</f>
        <v/>
      </c>
    </row>
    <row r="219" spans="17:17">
      <c r="Q219" s="138" t="str">
        <f>IF(OR(MATCHER!A219="",MATCHER!K219&lt;&gt;"Ja",AND(MATCHER!J219&lt;&gt;MATCHER!F219,LEFT(MATCHER!J219,LEN(MATCHER!F219)+1)&lt;&gt;MATCHER!F219&amp;" ",LEFT(MATCHER!E219,13)&lt;&gt;"Arrangörsskap")),"",IF(COUNTIFS(MATCHER!$B$5:B219,MATCHER!B219,MATCHER!$D$5:D219,MATCHER!D219,MATCHER!$F$5:F219,MATCHER!F219,MATCHER!$K$5:K219,"Ja",MATCHER!$J$5:J219,MATCHER!F219)+COUNTIFS(MATCHER!$B$5:B219,MATCHER!B219,MATCHER!$D$5:D219,MATCHER!D219,MATCHER!$F$5:F219,MATCHER!F219,MATCHER!$K$5:K219,"Ja",MATCHER!$J$5:J219,MATCHER!F219&amp;" *")+COUNTIFS(MATCHER!$B$5:B219,MATCHER!B219,MATCHER!$D$5:D219,MATCHER!D219,MATCHER!$F$5:F219,MATCHER!F219,MATCHER!$K$5:K219,"Ja",MATCHER!$E$5:E219,"Arrangörsskap*")=1,MATCHER!F219,""))</f>
        <v/>
      </c>
    </row>
    <row r="220" spans="17:17">
      <c r="Q220" s="138" t="str">
        <f>IF(OR(MATCHER!A220="",MATCHER!K220&lt;&gt;"Ja",AND(MATCHER!J220&lt;&gt;MATCHER!F220,LEFT(MATCHER!J220,LEN(MATCHER!F220)+1)&lt;&gt;MATCHER!F220&amp;" ",LEFT(MATCHER!E220,13)&lt;&gt;"Arrangörsskap")),"",IF(COUNTIFS(MATCHER!$B$5:B220,MATCHER!B220,MATCHER!$D$5:D220,MATCHER!D220,MATCHER!$F$5:F220,MATCHER!F220,MATCHER!$K$5:K220,"Ja",MATCHER!$J$5:J220,MATCHER!F220)+COUNTIFS(MATCHER!$B$5:B220,MATCHER!B220,MATCHER!$D$5:D220,MATCHER!D220,MATCHER!$F$5:F220,MATCHER!F220,MATCHER!$K$5:K220,"Ja",MATCHER!$J$5:J220,MATCHER!F220&amp;" *")+COUNTIFS(MATCHER!$B$5:B220,MATCHER!B220,MATCHER!$D$5:D220,MATCHER!D220,MATCHER!$F$5:F220,MATCHER!F220,MATCHER!$K$5:K220,"Ja",MATCHER!$E$5:E220,"Arrangörsskap*")=1,MATCHER!F220,""))</f>
        <v/>
      </c>
    </row>
    <row r="221" spans="17:17">
      <c r="Q221" s="138" t="str">
        <f>IF(OR(MATCHER!A221="",MATCHER!K221&lt;&gt;"Ja",AND(MATCHER!J221&lt;&gt;MATCHER!F221,LEFT(MATCHER!J221,LEN(MATCHER!F221)+1)&lt;&gt;MATCHER!F221&amp;" ",LEFT(MATCHER!E221,13)&lt;&gt;"Arrangörsskap")),"",IF(COUNTIFS(MATCHER!$B$5:B221,MATCHER!B221,MATCHER!$D$5:D221,MATCHER!D221,MATCHER!$F$5:F221,MATCHER!F221,MATCHER!$K$5:K221,"Ja",MATCHER!$J$5:J221,MATCHER!F221)+COUNTIFS(MATCHER!$B$5:B221,MATCHER!B221,MATCHER!$D$5:D221,MATCHER!D221,MATCHER!$F$5:F221,MATCHER!F221,MATCHER!$K$5:K221,"Ja",MATCHER!$J$5:J221,MATCHER!F221&amp;" *")+COUNTIFS(MATCHER!$B$5:B221,MATCHER!B221,MATCHER!$D$5:D221,MATCHER!D221,MATCHER!$F$5:F221,MATCHER!F221,MATCHER!$K$5:K221,"Ja",MATCHER!$E$5:E221,"Arrangörsskap*")=1,MATCHER!F221,""))</f>
        <v/>
      </c>
    </row>
    <row r="222" spans="17:17">
      <c r="Q222" s="138" t="str">
        <f>IF(OR(MATCHER!A222="",MATCHER!K222&lt;&gt;"Ja",AND(MATCHER!J222&lt;&gt;MATCHER!F222,LEFT(MATCHER!J222,LEN(MATCHER!F222)+1)&lt;&gt;MATCHER!F222&amp;" ",LEFT(MATCHER!E222,13)&lt;&gt;"Arrangörsskap")),"",IF(COUNTIFS(MATCHER!$B$5:B222,MATCHER!B222,MATCHER!$D$5:D222,MATCHER!D222,MATCHER!$F$5:F222,MATCHER!F222,MATCHER!$K$5:K222,"Ja",MATCHER!$J$5:J222,MATCHER!F222)+COUNTIFS(MATCHER!$B$5:B222,MATCHER!B222,MATCHER!$D$5:D222,MATCHER!D222,MATCHER!$F$5:F222,MATCHER!F222,MATCHER!$K$5:K222,"Ja",MATCHER!$J$5:J222,MATCHER!F222&amp;" *")+COUNTIFS(MATCHER!$B$5:B222,MATCHER!B222,MATCHER!$D$5:D222,MATCHER!D222,MATCHER!$F$5:F222,MATCHER!F222,MATCHER!$K$5:K222,"Ja",MATCHER!$E$5:E222,"Arrangörsskap*")=1,MATCHER!F222,""))</f>
        <v/>
      </c>
    </row>
    <row r="223" spans="17:17">
      <c r="Q223" s="138" t="str">
        <f>IF(OR(MATCHER!A223="",MATCHER!K223&lt;&gt;"Ja",AND(MATCHER!J223&lt;&gt;MATCHER!F223,LEFT(MATCHER!J223,LEN(MATCHER!F223)+1)&lt;&gt;MATCHER!F223&amp;" ",LEFT(MATCHER!E223,13)&lt;&gt;"Arrangörsskap")),"",IF(COUNTIFS(MATCHER!$B$5:B223,MATCHER!B223,MATCHER!$D$5:D223,MATCHER!D223,MATCHER!$F$5:F223,MATCHER!F223,MATCHER!$K$5:K223,"Ja",MATCHER!$J$5:J223,MATCHER!F223)+COUNTIFS(MATCHER!$B$5:B223,MATCHER!B223,MATCHER!$D$5:D223,MATCHER!D223,MATCHER!$F$5:F223,MATCHER!F223,MATCHER!$K$5:K223,"Ja",MATCHER!$J$5:J223,MATCHER!F223&amp;" *")+COUNTIFS(MATCHER!$B$5:B223,MATCHER!B223,MATCHER!$D$5:D223,MATCHER!D223,MATCHER!$F$5:F223,MATCHER!F223,MATCHER!$K$5:K223,"Ja",MATCHER!$E$5:E223,"Arrangörsskap*")=1,MATCHER!F223,""))</f>
        <v/>
      </c>
    </row>
    <row r="224" spans="17:17">
      <c r="Q224" s="138" t="str">
        <f>IF(OR(MATCHER!A224="",MATCHER!K224&lt;&gt;"Ja",AND(MATCHER!J224&lt;&gt;MATCHER!F224,LEFT(MATCHER!J224,LEN(MATCHER!F224)+1)&lt;&gt;MATCHER!F224&amp;" ",LEFT(MATCHER!E224,13)&lt;&gt;"Arrangörsskap")),"",IF(COUNTIFS(MATCHER!$B$5:B224,MATCHER!B224,MATCHER!$D$5:D224,MATCHER!D224,MATCHER!$F$5:F224,MATCHER!F224,MATCHER!$K$5:K224,"Ja",MATCHER!$J$5:J224,MATCHER!F224)+COUNTIFS(MATCHER!$B$5:B224,MATCHER!B224,MATCHER!$D$5:D224,MATCHER!D224,MATCHER!$F$5:F224,MATCHER!F224,MATCHER!$K$5:K224,"Ja",MATCHER!$J$5:J224,MATCHER!F224&amp;" *")+COUNTIFS(MATCHER!$B$5:B224,MATCHER!B224,MATCHER!$D$5:D224,MATCHER!D224,MATCHER!$F$5:F224,MATCHER!F224,MATCHER!$K$5:K224,"Ja",MATCHER!$E$5:E224,"Arrangörsskap*")=1,MATCHER!F224,""))</f>
        <v/>
      </c>
    </row>
    <row r="225" spans="17:17">
      <c r="Q225" s="138" t="str">
        <f>IF(OR(MATCHER!A225="",MATCHER!K225&lt;&gt;"Ja",AND(MATCHER!J225&lt;&gt;MATCHER!F225,LEFT(MATCHER!J225,LEN(MATCHER!F225)+1)&lt;&gt;MATCHER!F225&amp;" ",LEFT(MATCHER!E225,13)&lt;&gt;"Arrangörsskap")),"",IF(COUNTIFS(MATCHER!$B$5:B225,MATCHER!B225,MATCHER!$D$5:D225,MATCHER!D225,MATCHER!$F$5:F225,MATCHER!F225,MATCHER!$K$5:K225,"Ja",MATCHER!$J$5:J225,MATCHER!F225)+COUNTIFS(MATCHER!$B$5:B225,MATCHER!B225,MATCHER!$D$5:D225,MATCHER!D225,MATCHER!$F$5:F225,MATCHER!F225,MATCHER!$K$5:K225,"Ja",MATCHER!$J$5:J225,MATCHER!F225&amp;" *")+COUNTIFS(MATCHER!$B$5:B225,MATCHER!B225,MATCHER!$D$5:D225,MATCHER!D225,MATCHER!$F$5:F225,MATCHER!F225,MATCHER!$K$5:K225,"Ja",MATCHER!$E$5:E225,"Arrangörsskap*")=1,MATCHER!F225,""))</f>
        <v/>
      </c>
    </row>
    <row r="226" spans="17:17">
      <c r="Q226" s="138" t="str">
        <f>IF(OR(MATCHER!A226="",MATCHER!K226&lt;&gt;"Ja",AND(MATCHER!J226&lt;&gt;MATCHER!F226,LEFT(MATCHER!J226,LEN(MATCHER!F226)+1)&lt;&gt;MATCHER!F226&amp;" ",LEFT(MATCHER!E226,13)&lt;&gt;"Arrangörsskap")),"",IF(COUNTIFS(MATCHER!$B$5:B226,MATCHER!B226,MATCHER!$D$5:D226,MATCHER!D226,MATCHER!$F$5:F226,MATCHER!F226,MATCHER!$K$5:K226,"Ja",MATCHER!$J$5:J226,MATCHER!F226)+COUNTIFS(MATCHER!$B$5:B226,MATCHER!B226,MATCHER!$D$5:D226,MATCHER!D226,MATCHER!$F$5:F226,MATCHER!F226,MATCHER!$K$5:K226,"Ja",MATCHER!$J$5:J226,MATCHER!F226&amp;" *")+COUNTIFS(MATCHER!$B$5:B226,MATCHER!B226,MATCHER!$D$5:D226,MATCHER!D226,MATCHER!$F$5:F226,MATCHER!F226,MATCHER!$K$5:K226,"Ja",MATCHER!$E$5:E226,"Arrangörsskap*")=1,MATCHER!F226,""))</f>
        <v/>
      </c>
    </row>
    <row r="227" spans="17:17">
      <c r="Q227" s="138" t="str">
        <f>IF(OR(MATCHER!A227="",MATCHER!K227&lt;&gt;"Ja",AND(MATCHER!J227&lt;&gt;MATCHER!F227,LEFT(MATCHER!J227,LEN(MATCHER!F227)+1)&lt;&gt;MATCHER!F227&amp;" ",LEFT(MATCHER!E227,13)&lt;&gt;"Arrangörsskap")),"",IF(COUNTIFS(MATCHER!$B$5:B227,MATCHER!B227,MATCHER!$D$5:D227,MATCHER!D227,MATCHER!$F$5:F227,MATCHER!F227,MATCHER!$K$5:K227,"Ja",MATCHER!$J$5:J227,MATCHER!F227)+COUNTIFS(MATCHER!$B$5:B227,MATCHER!B227,MATCHER!$D$5:D227,MATCHER!D227,MATCHER!$F$5:F227,MATCHER!F227,MATCHER!$K$5:K227,"Ja",MATCHER!$J$5:J227,MATCHER!F227&amp;" *")+COUNTIFS(MATCHER!$B$5:B227,MATCHER!B227,MATCHER!$D$5:D227,MATCHER!D227,MATCHER!$F$5:F227,MATCHER!F227,MATCHER!$K$5:K227,"Ja",MATCHER!$E$5:E227,"Arrangörsskap*")=1,MATCHER!F227,""))</f>
        <v/>
      </c>
    </row>
    <row r="228" spans="17:17">
      <c r="Q228" s="138" t="str">
        <f>IF(OR(MATCHER!A228="",MATCHER!K228&lt;&gt;"Ja",AND(MATCHER!J228&lt;&gt;MATCHER!F228,LEFT(MATCHER!J228,LEN(MATCHER!F228)+1)&lt;&gt;MATCHER!F228&amp;" ",LEFT(MATCHER!E228,13)&lt;&gt;"Arrangörsskap")),"",IF(COUNTIFS(MATCHER!$B$5:B228,MATCHER!B228,MATCHER!$D$5:D228,MATCHER!D228,MATCHER!$F$5:F228,MATCHER!F228,MATCHER!$K$5:K228,"Ja",MATCHER!$J$5:J228,MATCHER!F228)+COUNTIFS(MATCHER!$B$5:B228,MATCHER!B228,MATCHER!$D$5:D228,MATCHER!D228,MATCHER!$F$5:F228,MATCHER!F228,MATCHER!$K$5:K228,"Ja",MATCHER!$J$5:J228,MATCHER!F228&amp;" *")+COUNTIFS(MATCHER!$B$5:B228,MATCHER!B228,MATCHER!$D$5:D228,MATCHER!D228,MATCHER!$F$5:F228,MATCHER!F228,MATCHER!$K$5:K228,"Ja",MATCHER!$E$5:E228,"Arrangörsskap*")=1,MATCHER!F228,""))</f>
        <v/>
      </c>
    </row>
    <row r="229" spans="17:17">
      <c r="Q229" s="138" t="str">
        <f>IF(OR(MATCHER!A229="",MATCHER!K229&lt;&gt;"Ja",AND(MATCHER!J229&lt;&gt;MATCHER!F229,LEFT(MATCHER!J229,LEN(MATCHER!F229)+1)&lt;&gt;MATCHER!F229&amp;" ",LEFT(MATCHER!E229,13)&lt;&gt;"Arrangörsskap")),"",IF(COUNTIFS(MATCHER!$B$5:B229,MATCHER!B229,MATCHER!$D$5:D229,MATCHER!D229,MATCHER!$F$5:F229,MATCHER!F229,MATCHER!$K$5:K229,"Ja",MATCHER!$J$5:J229,MATCHER!F229)+COUNTIFS(MATCHER!$B$5:B229,MATCHER!B229,MATCHER!$D$5:D229,MATCHER!D229,MATCHER!$F$5:F229,MATCHER!F229,MATCHER!$K$5:K229,"Ja",MATCHER!$J$5:J229,MATCHER!F229&amp;" *")+COUNTIFS(MATCHER!$B$5:B229,MATCHER!B229,MATCHER!$D$5:D229,MATCHER!D229,MATCHER!$F$5:F229,MATCHER!F229,MATCHER!$K$5:K229,"Ja",MATCHER!$E$5:E229,"Arrangörsskap*")=1,MATCHER!F229,""))</f>
        <v/>
      </c>
    </row>
    <row r="230" spans="17:17">
      <c r="Q230" s="138" t="str">
        <f>IF(OR(MATCHER!A230="",MATCHER!K230&lt;&gt;"Ja",AND(MATCHER!J230&lt;&gt;MATCHER!F230,LEFT(MATCHER!J230,LEN(MATCHER!F230)+1)&lt;&gt;MATCHER!F230&amp;" ",LEFT(MATCHER!E230,13)&lt;&gt;"Arrangörsskap")),"",IF(COUNTIFS(MATCHER!$B$5:B230,MATCHER!B230,MATCHER!$D$5:D230,MATCHER!D230,MATCHER!$F$5:F230,MATCHER!F230,MATCHER!$K$5:K230,"Ja",MATCHER!$J$5:J230,MATCHER!F230)+COUNTIFS(MATCHER!$B$5:B230,MATCHER!B230,MATCHER!$D$5:D230,MATCHER!D230,MATCHER!$F$5:F230,MATCHER!F230,MATCHER!$K$5:K230,"Ja",MATCHER!$J$5:J230,MATCHER!F230&amp;" *")+COUNTIFS(MATCHER!$B$5:B230,MATCHER!B230,MATCHER!$D$5:D230,MATCHER!D230,MATCHER!$F$5:F230,MATCHER!F230,MATCHER!$K$5:K230,"Ja",MATCHER!$E$5:E230,"Arrangörsskap*")=1,MATCHER!F230,""))</f>
        <v/>
      </c>
    </row>
    <row r="231" spans="17:17">
      <c r="Q231" s="138" t="str">
        <f>IF(OR(MATCHER!A231="",MATCHER!K231&lt;&gt;"Ja",AND(MATCHER!J231&lt;&gt;MATCHER!F231,LEFT(MATCHER!J231,LEN(MATCHER!F231)+1)&lt;&gt;MATCHER!F231&amp;" ",LEFT(MATCHER!E231,13)&lt;&gt;"Arrangörsskap")),"",IF(COUNTIFS(MATCHER!$B$5:B231,MATCHER!B231,MATCHER!$D$5:D231,MATCHER!D231,MATCHER!$F$5:F231,MATCHER!F231,MATCHER!$K$5:K231,"Ja",MATCHER!$J$5:J231,MATCHER!F231)+COUNTIFS(MATCHER!$B$5:B231,MATCHER!B231,MATCHER!$D$5:D231,MATCHER!D231,MATCHER!$F$5:F231,MATCHER!F231,MATCHER!$K$5:K231,"Ja",MATCHER!$J$5:J231,MATCHER!F231&amp;" *")+COUNTIFS(MATCHER!$B$5:B231,MATCHER!B231,MATCHER!$D$5:D231,MATCHER!D231,MATCHER!$F$5:F231,MATCHER!F231,MATCHER!$K$5:K231,"Ja",MATCHER!$E$5:E231,"Arrangörsskap*")=1,MATCHER!F231,""))</f>
        <v/>
      </c>
    </row>
    <row r="232" spans="17:17">
      <c r="Q232" s="138" t="str">
        <f>IF(OR(MATCHER!A232="",MATCHER!K232&lt;&gt;"Ja",AND(MATCHER!J232&lt;&gt;MATCHER!F232,LEFT(MATCHER!J232,LEN(MATCHER!F232)+1)&lt;&gt;MATCHER!F232&amp;" ",LEFT(MATCHER!E232,13)&lt;&gt;"Arrangörsskap")),"",IF(COUNTIFS(MATCHER!$B$5:B232,MATCHER!B232,MATCHER!$D$5:D232,MATCHER!D232,MATCHER!$F$5:F232,MATCHER!F232,MATCHER!$K$5:K232,"Ja",MATCHER!$J$5:J232,MATCHER!F232)+COUNTIFS(MATCHER!$B$5:B232,MATCHER!B232,MATCHER!$D$5:D232,MATCHER!D232,MATCHER!$F$5:F232,MATCHER!F232,MATCHER!$K$5:K232,"Ja",MATCHER!$J$5:J232,MATCHER!F232&amp;" *")+COUNTIFS(MATCHER!$B$5:B232,MATCHER!B232,MATCHER!$D$5:D232,MATCHER!D232,MATCHER!$F$5:F232,MATCHER!F232,MATCHER!$K$5:K232,"Ja",MATCHER!$E$5:E232,"Arrangörsskap*")=1,MATCHER!F232,""))</f>
        <v/>
      </c>
    </row>
    <row r="233" spans="17:17">
      <c r="Q233" s="138" t="str">
        <f>IF(OR(MATCHER!A233="",MATCHER!K233&lt;&gt;"Ja",AND(MATCHER!J233&lt;&gt;MATCHER!F233,LEFT(MATCHER!J233,LEN(MATCHER!F233)+1)&lt;&gt;MATCHER!F233&amp;" ",LEFT(MATCHER!E233,13)&lt;&gt;"Arrangörsskap")),"",IF(COUNTIFS(MATCHER!$B$5:B233,MATCHER!B233,MATCHER!$D$5:D233,MATCHER!D233,MATCHER!$F$5:F233,MATCHER!F233,MATCHER!$K$5:K233,"Ja",MATCHER!$J$5:J233,MATCHER!F233)+COUNTIFS(MATCHER!$B$5:B233,MATCHER!B233,MATCHER!$D$5:D233,MATCHER!D233,MATCHER!$F$5:F233,MATCHER!F233,MATCHER!$K$5:K233,"Ja",MATCHER!$J$5:J233,MATCHER!F233&amp;" *")+COUNTIFS(MATCHER!$B$5:B233,MATCHER!B233,MATCHER!$D$5:D233,MATCHER!D233,MATCHER!$F$5:F233,MATCHER!F233,MATCHER!$K$5:K233,"Ja",MATCHER!$E$5:E233,"Arrangörsskap*")=1,MATCHER!F233,""))</f>
        <v/>
      </c>
    </row>
    <row r="234" spans="17:17">
      <c r="Q234" s="138" t="str">
        <f>IF(OR(MATCHER!A234="",MATCHER!K234&lt;&gt;"Ja",AND(MATCHER!J234&lt;&gt;MATCHER!F234,LEFT(MATCHER!J234,LEN(MATCHER!F234)+1)&lt;&gt;MATCHER!F234&amp;" ",LEFT(MATCHER!E234,13)&lt;&gt;"Arrangörsskap")),"",IF(COUNTIFS(MATCHER!$B$5:B234,MATCHER!B234,MATCHER!$D$5:D234,MATCHER!D234,MATCHER!$F$5:F234,MATCHER!F234,MATCHER!$K$5:K234,"Ja",MATCHER!$J$5:J234,MATCHER!F234)+COUNTIFS(MATCHER!$B$5:B234,MATCHER!B234,MATCHER!$D$5:D234,MATCHER!D234,MATCHER!$F$5:F234,MATCHER!F234,MATCHER!$K$5:K234,"Ja",MATCHER!$J$5:J234,MATCHER!F234&amp;" *")+COUNTIFS(MATCHER!$B$5:B234,MATCHER!B234,MATCHER!$D$5:D234,MATCHER!D234,MATCHER!$F$5:F234,MATCHER!F234,MATCHER!$K$5:K234,"Ja",MATCHER!$E$5:E234,"Arrangörsskap*")=1,MATCHER!F234,""))</f>
        <v/>
      </c>
    </row>
    <row r="235" spans="17:17">
      <c r="Q235" s="138" t="str">
        <f>IF(OR(MATCHER!A235="",MATCHER!K235&lt;&gt;"Ja",AND(MATCHER!J235&lt;&gt;MATCHER!F235,LEFT(MATCHER!J235,LEN(MATCHER!F235)+1)&lt;&gt;MATCHER!F235&amp;" ",LEFT(MATCHER!E235,13)&lt;&gt;"Arrangörsskap")),"",IF(COUNTIFS(MATCHER!$B$5:B235,MATCHER!B235,MATCHER!$D$5:D235,MATCHER!D235,MATCHER!$F$5:F235,MATCHER!F235,MATCHER!$K$5:K235,"Ja",MATCHER!$J$5:J235,MATCHER!F235)+COUNTIFS(MATCHER!$B$5:B235,MATCHER!B235,MATCHER!$D$5:D235,MATCHER!D235,MATCHER!$F$5:F235,MATCHER!F235,MATCHER!$K$5:K235,"Ja",MATCHER!$J$5:J235,MATCHER!F235&amp;" *")+COUNTIFS(MATCHER!$B$5:B235,MATCHER!B235,MATCHER!$D$5:D235,MATCHER!D235,MATCHER!$F$5:F235,MATCHER!F235,MATCHER!$K$5:K235,"Ja",MATCHER!$E$5:E235,"Arrangörsskap*")=1,MATCHER!F235,""))</f>
        <v/>
      </c>
    </row>
    <row r="236" spans="17:17">
      <c r="Q236" s="138" t="str">
        <f>IF(OR(MATCHER!A236="",MATCHER!K236&lt;&gt;"Ja",AND(MATCHER!J236&lt;&gt;MATCHER!F236,LEFT(MATCHER!J236,LEN(MATCHER!F236)+1)&lt;&gt;MATCHER!F236&amp;" ",LEFT(MATCHER!E236,13)&lt;&gt;"Arrangörsskap")),"",IF(COUNTIFS(MATCHER!$B$5:B236,MATCHER!B236,MATCHER!$D$5:D236,MATCHER!D236,MATCHER!$F$5:F236,MATCHER!F236,MATCHER!$K$5:K236,"Ja",MATCHER!$J$5:J236,MATCHER!F236)+COUNTIFS(MATCHER!$B$5:B236,MATCHER!B236,MATCHER!$D$5:D236,MATCHER!D236,MATCHER!$F$5:F236,MATCHER!F236,MATCHER!$K$5:K236,"Ja",MATCHER!$J$5:J236,MATCHER!F236&amp;" *")+COUNTIFS(MATCHER!$B$5:B236,MATCHER!B236,MATCHER!$D$5:D236,MATCHER!D236,MATCHER!$F$5:F236,MATCHER!F236,MATCHER!$K$5:K236,"Ja",MATCHER!$E$5:E236,"Arrangörsskap*")=1,MATCHER!F236,""))</f>
        <v/>
      </c>
    </row>
    <row r="237" spans="17:17">
      <c r="Q237" s="138" t="str">
        <f>IF(OR(MATCHER!A237="",MATCHER!K237&lt;&gt;"Ja",AND(MATCHER!J237&lt;&gt;MATCHER!F237,LEFT(MATCHER!J237,LEN(MATCHER!F237)+1)&lt;&gt;MATCHER!F237&amp;" ",LEFT(MATCHER!E237,13)&lt;&gt;"Arrangörsskap")),"",IF(COUNTIFS(MATCHER!$B$5:B237,MATCHER!B237,MATCHER!$D$5:D237,MATCHER!D237,MATCHER!$F$5:F237,MATCHER!F237,MATCHER!$K$5:K237,"Ja",MATCHER!$J$5:J237,MATCHER!F237)+COUNTIFS(MATCHER!$B$5:B237,MATCHER!B237,MATCHER!$D$5:D237,MATCHER!D237,MATCHER!$F$5:F237,MATCHER!F237,MATCHER!$K$5:K237,"Ja",MATCHER!$J$5:J237,MATCHER!F237&amp;" *")+COUNTIFS(MATCHER!$B$5:B237,MATCHER!B237,MATCHER!$D$5:D237,MATCHER!D237,MATCHER!$F$5:F237,MATCHER!F237,MATCHER!$K$5:K237,"Ja",MATCHER!$E$5:E237,"Arrangörsskap*")=1,MATCHER!F237,""))</f>
        <v/>
      </c>
    </row>
    <row r="238" spans="17:17">
      <c r="Q238" s="138" t="str">
        <f>IF(OR(MATCHER!A238="",MATCHER!K238&lt;&gt;"Ja",AND(MATCHER!J238&lt;&gt;MATCHER!F238,LEFT(MATCHER!J238,LEN(MATCHER!F238)+1)&lt;&gt;MATCHER!F238&amp;" ",LEFT(MATCHER!E238,13)&lt;&gt;"Arrangörsskap")),"",IF(COUNTIFS(MATCHER!$B$5:B238,MATCHER!B238,MATCHER!$D$5:D238,MATCHER!D238,MATCHER!$F$5:F238,MATCHER!F238,MATCHER!$K$5:K238,"Ja",MATCHER!$J$5:J238,MATCHER!F238)+COUNTIFS(MATCHER!$B$5:B238,MATCHER!B238,MATCHER!$D$5:D238,MATCHER!D238,MATCHER!$F$5:F238,MATCHER!F238,MATCHER!$K$5:K238,"Ja",MATCHER!$J$5:J238,MATCHER!F238&amp;" *")+COUNTIFS(MATCHER!$B$5:B238,MATCHER!B238,MATCHER!$D$5:D238,MATCHER!D238,MATCHER!$F$5:F238,MATCHER!F238,MATCHER!$K$5:K238,"Ja",MATCHER!$E$5:E238,"Arrangörsskap*")=1,MATCHER!F238,""))</f>
        <v/>
      </c>
    </row>
    <row r="239" spans="17:17">
      <c r="Q239" s="138" t="str">
        <f>IF(OR(MATCHER!A239="",MATCHER!K239&lt;&gt;"Ja",AND(MATCHER!J239&lt;&gt;MATCHER!F239,LEFT(MATCHER!J239,LEN(MATCHER!F239)+1)&lt;&gt;MATCHER!F239&amp;" ",LEFT(MATCHER!E239,13)&lt;&gt;"Arrangörsskap")),"",IF(COUNTIFS(MATCHER!$B$5:B239,MATCHER!B239,MATCHER!$D$5:D239,MATCHER!D239,MATCHER!$F$5:F239,MATCHER!F239,MATCHER!$K$5:K239,"Ja",MATCHER!$J$5:J239,MATCHER!F239)+COUNTIFS(MATCHER!$B$5:B239,MATCHER!B239,MATCHER!$D$5:D239,MATCHER!D239,MATCHER!$F$5:F239,MATCHER!F239,MATCHER!$K$5:K239,"Ja",MATCHER!$J$5:J239,MATCHER!F239&amp;" *")+COUNTIFS(MATCHER!$B$5:B239,MATCHER!B239,MATCHER!$D$5:D239,MATCHER!D239,MATCHER!$F$5:F239,MATCHER!F239,MATCHER!$K$5:K239,"Ja",MATCHER!$E$5:E239,"Arrangörsskap*")=1,MATCHER!F239,""))</f>
        <v/>
      </c>
    </row>
    <row r="240" spans="17:17">
      <c r="Q240" s="138" t="str">
        <f>IF(OR(MATCHER!A240="",MATCHER!K240&lt;&gt;"Ja",AND(MATCHER!J240&lt;&gt;MATCHER!F240,LEFT(MATCHER!J240,LEN(MATCHER!F240)+1)&lt;&gt;MATCHER!F240&amp;" ",LEFT(MATCHER!E240,13)&lt;&gt;"Arrangörsskap")),"",IF(COUNTIFS(MATCHER!$B$5:B240,MATCHER!B240,MATCHER!$D$5:D240,MATCHER!D240,MATCHER!$F$5:F240,MATCHER!F240,MATCHER!$K$5:K240,"Ja",MATCHER!$J$5:J240,MATCHER!F240)+COUNTIFS(MATCHER!$B$5:B240,MATCHER!B240,MATCHER!$D$5:D240,MATCHER!D240,MATCHER!$F$5:F240,MATCHER!F240,MATCHER!$K$5:K240,"Ja",MATCHER!$J$5:J240,MATCHER!F240&amp;" *")+COUNTIFS(MATCHER!$B$5:B240,MATCHER!B240,MATCHER!$D$5:D240,MATCHER!D240,MATCHER!$F$5:F240,MATCHER!F240,MATCHER!$K$5:K240,"Ja",MATCHER!$E$5:E240,"Arrangörsskap*")=1,MATCHER!F240,""))</f>
        <v/>
      </c>
    </row>
    <row r="241" spans="17:17">
      <c r="Q241" s="138" t="str">
        <f>IF(OR(MATCHER!A241="",MATCHER!K241&lt;&gt;"Ja",AND(MATCHER!J241&lt;&gt;MATCHER!F241,LEFT(MATCHER!J241,LEN(MATCHER!F241)+1)&lt;&gt;MATCHER!F241&amp;" ",LEFT(MATCHER!E241,13)&lt;&gt;"Arrangörsskap")),"",IF(COUNTIFS(MATCHER!$B$5:B241,MATCHER!B241,MATCHER!$D$5:D241,MATCHER!D241,MATCHER!$F$5:F241,MATCHER!F241,MATCHER!$K$5:K241,"Ja",MATCHER!$J$5:J241,MATCHER!F241)+COUNTIFS(MATCHER!$B$5:B241,MATCHER!B241,MATCHER!$D$5:D241,MATCHER!D241,MATCHER!$F$5:F241,MATCHER!F241,MATCHER!$K$5:K241,"Ja",MATCHER!$J$5:J241,MATCHER!F241&amp;" *")+COUNTIFS(MATCHER!$B$5:B241,MATCHER!B241,MATCHER!$D$5:D241,MATCHER!D241,MATCHER!$F$5:F241,MATCHER!F241,MATCHER!$K$5:K241,"Ja",MATCHER!$E$5:E241,"Arrangörsskap*")=1,MATCHER!F241,""))</f>
        <v/>
      </c>
    </row>
    <row r="242" spans="17:17">
      <c r="Q242" s="138" t="str">
        <f>IF(OR(MATCHER!A242="",MATCHER!K242&lt;&gt;"Ja",AND(MATCHER!J242&lt;&gt;MATCHER!F242,LEFT(MATCHER!J242,LEN(MATCHER!F242)+1)&lt;&gt;MATCHER!F242&amp;" ",LEFT(MATCHER!E242,13)&lt;&gt;"Arrangörsskap")),"",IF(COUNTIFS(MATCHER!$B$5:B242,MATCHER!B242,MATCHER!$D$5:D242,MATCHER!D242,MATCHER!$F$5:F242,MATCHER!F242,MATCHER!$K$5:K242,"Ja",MATCHER!$J$5:J242,MATCHER!F242)+COUNTIFS(MATCHER!$B$5:B242,MATCHER!B242,MATCHER!$D$5:D242,MATCHER!D242,MATCHER!$F$5:F242,MATCHER!F242,MATCHER!$K$5:K242,"Ja",MATCHER!$J$5:J242,MATCHER!F242&amp;" *")+COUNTIFS(MATCHER!$B$5:B242,MATCHER!B242,MATCHER!$D$5:D242,MATCHER!D242,MATCHER!$F$5:F242,MATCHER!F242,MATCHER!$K$5:K242,"Ja",MATCHER!$E$5:E242,"Arrangörsskap*")=1,MATCHER!F242,""))</f>
        <v/>
      </c>
    </row>
    <row r="243" spans="17:17">
      <c r="Q243" s="138" t="str">
        <f>IF(OR(MATCHER!A243="",MATCHER!K243&lt;&gt;"Ja",AND(MATCHER!J243&lt;&gt;MATCHER!F243,LEFT(MATCHER!J243,LEN(MATCHER!F243)+1)&lt;&gt;MATCHER!F243&amp;" ",LEFT(MATCHER!E243,13)&lt;&gt;"Arrangörsskap")),"",IF(COUNTIFS(MATCHER!$B$5:B243,MATCHER!B243,MATCHER!$D$5:D243,MATCHER!D243,MATCHER!$F$5:F243,MATCHER!F243,MATCHER!$K$5:K243,"Ja",MATCHER!$J$5:J243,MATCHER!F243)+COUNTIFS(MATCHER!$B$5:B243,MATCHER!B243,MATCHER!$D$5:D243,MATCHER!D243,MATCHER!$F$5:F243,MATCHER!F243,MATCHER!$K$5:K243,"Ja",MATCHER!$J$5:J243,MATCHER!F243&amp;" *")+COUNTIFS(MATCHER!$B$5:B243,MATCHER!B243,MATCHER!$D$5:D243,MATCHER!D243,MATCHER!$F$5:F243,MATCHER!F243,MATCHER!$K$5:K243,"Ja",MATCHER!$E$5:E243,"Arrangörsskap*")=1,MATCHER!F243,""))</f>
        <v/>
      </c>
    </row>
    <row r="244" spans="17:17">
      <c r="Q244" s="138" t="str">
        <f>IF(OR(MATCHER!A244="",MATCHER!K244&lt;&gt;"Ja",AND(MATCHER!J244&lt;&gt;MATCHER!F244,LEFT(MATCHER!J244,LEN(MATCHER!F244)+1)&lt;&gt;MATCHER!F244&amp;" ",LEFT(MATCHER!E244,13)&lt;&gt;"Arrangörsskap")),"",IF(COUNTIFS(MATCHER!$B$5:B244,MATCHER!B244,MATCHER!$D$5:D244,MATCHER!D244,MATCHER!$F$5:F244,MATCHER!F244,MATCHER!$K$5:K244,"Ja",MATCHER!$J$5:J244,MATCHER!F244)+COUNTIFS(MATCHER!$B$5:B244,MATCHER!B244,MATCHER!$D$5:D244,MATCHER!D244,MATCHER!$F$5:F244,MATCHER!F244,MATCHER!$K$5:K244,"Ja",MATCHER!$J$5:J244,MATCHER!F244&amp;" *")+COUNTIFS(MATCHER!$B$5:B244,MATCHER!B244,MATCHER!$D$5:D244,MATCHER!D244,MATCHER!$F$5:F244,MATCHER!F244,MATCHER!$K$5:K244,"Ja",MATCHER!$E$5:E244,"Arrangörsskap*")=1,MATCHER!F244,""))</f>
        <v/>
      </c>
    </row>
    <row r="245" spans="17:17">
      <c r="Q245" s="138" t="str">
        <f>IF(OR(MATCHER!A245="",MATCHER!K245&lt;&gt;"Ja",AND(MATCHER!J245&lt;&gt;MATCHER!F245,LEFT(MATCHER!J245,LEN(MATCHER!F245)+1)&lt;&gt;MATCHER!F245&amp;" ",LEFT(MATCHER!E245,13)&lt;&gt;"Arrangörsskap")),"",IF(COUNTIFS(MATCHER!$B$5:B245,MATCHER!B245,MATCHER!$D$5:D245,MATCHER!D245,MATCHER!$F$5:F245,MATCHER!F245,MATCHER!$K$5:K245,"Ja",MATCHER!$J$5:J245,MATCHER!F245)+COUNTIFS(MATCHER!$B$5:B245,MATCHER!B245,MATCHER!$D$5:D245,MATCHER!D245,MATCHER!$F$5:F245,MATCHER!F245,MATCHER!$K$5:K245,"Ja",MATCHER!$J$5:J245,MATCHER!F245&amp;" *")+COUNTIFS(MATCHER!$B$5:B245,MATCHER!B245,MATCHER!$D$5:D245,MATCHER!D245,MATCHER!$F$5:F245,MATCHER!F245,MATCHER!$K$5:K245,"Ja",MATCHER!$E$5:E245,"Arrangörsskap*")=1,MATCHER!F245,""))</f>
        <v/>
      </c>
    </row>
    <row r="246" spans="17:17">
      <c r="Q246" s="138" t="str">
        <f>IF(OR(MATCHER!A246="",MATCHER!K246&lt;&gt;"Ja",AND(MATCHER!J246&lt;&gt;MATCHER!F246,LEFT(MATCHER!J246,LEN(MATCHER!F246)+1)&lt;&gt;MATCHER!F246&amp;" ",LEFT(MATCHER!E246,13)&lt;&gt;"Arrangörsskap")),"",IF(COUNTIFS(MATCHER!$B$5:B246,MATCHER!B246,MATCHER!$D$5:D246,MATCHER!D246,MATCHER!$F$5:F246,MATCHER!F246,MATCHER!$K$5:K246,"Ja",MATCHER!$J$5:J246,MATCHER!F246)+COUNTIFS(MATCHER!$B$5:B246,MATCHER!B246,MATCHER!$D$5:D246,MATCHER!D246,MATCHER!$F$5:F246,MATCHER!F246,MATCHER!$K$5:K246,"Ja",MATCHER!$J$5:J246,MATCHER!F246&amp;" *")+COUNTIFS(MATCHER!$B$5:B246,MATCHER!B246,MATCHER!$D$5:D246,MATCHER!D246,MATCHER!$F$5:F246,MATCHER!F246,MATCHER!$K$5:K246,"Ja",MATCHER!$E$5:E246,"Arrangörsskap*")=1,MATCHER!F246,""))</f>
        <v/>
      </c>
    </row>
    <row r="247" spans="17:17">
      <c r="Q247" s="138" t="str">
        <f>IF(OR(MATCHER!A247="",MATCHER!K247&lt;&gt;"Ja",AND(MATCHER!J247&lt;&gt;MATCHER!F247,LEFT(MATCHER!J247,LEN(MATCHER!F247)+1)&lt;&gt;MATCHER!F247&amp;" ",LEFT(MATCHER!E247,13)&lt;&gt;"Arrangörsskap")),"",IF(COUNTIFS(MATCHER!$B$5:B247,MATCHER!B247,MATCHER!$D$5:D247,MATCHER!D247,MATCHER!$F$5:F247,MATCHER!F247,MATCHER!$K$5:K247,"Ja",MATCHER!$J$5:J247,MATCHER!F247)+COUNTIFS(MATCHER!$B$5:B247,MATCHER!B247,MATCHER!$D$5:D247,MATCHER!D247,MATCHER!$F$5:F247,MATCHER!F247,MATCHER!$K$5:K247,"Ja",MATCHER!$J$5:J247,MATCHER!F247&amp;" *")+COUNTIFS(MATCHER!$B$5:B247,MATCHER!B247,MATCHER!$D$5:D247,MATCHER!D247,MATCHER!$F$5:F247,MATCHER!F247,MATCHER!$K$5:K247,"Ja",MATCHER!$E$5:E247,"Arrangörsskap*")=1,MATCHER!F247,""))</f>
        <v/>
      </c>
    </row>
    <row r="248" spans="17:17">
      <c r="Q248" s="138" t="str">
        <f>IF(OR(MATCHER!A248="",MATCHER!K248&lt;&gt;"Ja",AND(MATCHER!J248&lt;&gt;MATCHER!F248,LEFT(MATCHER!J248,LEN(MATCHER!F248)+1)&lt;&gt;MATCHER!F248&amp;" ",LEFT(MATCHER!E248,13)&lt;&gt;"Arrangörsskap")),"",IF(COUNTIFS(MATCHER!$B$5:B248,MATCHER!B248,MATCHER!$D$5:D248,MATCHER!D248,MATCHER!$F$5:F248,MATCHER!F248,MATCHER!$K$5:K248,"Ja",MATCHER!$J$5:J248,MATCHER!F248)+COUNTIFS(MATCHER!$B$5:B248,MATCHER!B248,MATCHER!$D$5:D248,MATCHER!D248,MATCHER!$F$5:F248,MATCHER!F248,MATCHER!$K$5:K248,"Ja",MATCHER!$J$5:J248,MATCHER!F248&amp;" *")+COUNTIFS(MATCHER!$B$5:B248,MATCHER!B248,MATCHER!$D$5:D248,MATCHER!D248,MATCHER!$F$5:F248,MATCHER!F248,MATCHER!$K$5:K248,"Ja",MATCHER!$E$5:E248,"Arrangörsskap*")=1,MATCHER!F248,""))</f>
        <v/>
      </c>
    </row>
    <row r="249" spans="17:17">
      <c r="Q249" s="138" t="str">
        <f>IF(OR(MATCHER!A249="",MATCHER!K249&lt;&gt;"Ja",AND(MATCHER!J249&lt;&gt;MATCHER!F249,LEFT(MATCHER!J249,LEN(MATCHER!F249)+1)&lt;&gt;MATCHER!F249&amp;" ",LEFT(MATCHER!E249,13)&lt;&gt;"Arrangörsskap")),"",IF(COUNTIFS(MATCHER!$B$5:B249,MATCHER!B249,MATCHER!$D$5:D249,MATCHER!D249,MATCHER!$F$5:F249,MATCHER!F249,MATCHER!$K$5:K249,"Ja",MATCHER!$J$5:J249,MATCHER!F249)+COUNTIFS(MATCHER!$B$5:B249,MATCHER!B249,MATCHER!$D$5:D249,MATCHER!D249,MATCHER!$F$5:F249,MATCHER!F249,MATCHER!$K$5:K249,"Ja",MATCHER!$J$5:J249,MATCHER!F249&amp;" *")+COUNTIFS(MATCHER!$B$5:B249,MATCHER!B249,MATCHER!$D$5:D249,MATCHER!D249,MATCHER!$F$5:F249,MATCHER!F249,MATCHER!$K$5:K249,"Ja",MATCHER!$E$5:E249,"Arrangörsskap*")=1,MATCHER!F249,""))</f>
        <v/>
      </c>
    </row>
    <row r="250" spans="17:17">
      <c r="Q250" s="138" t="str">
        <f>IF(OR(MATCHER!A250="",MATCHER!K250&lt;&gt;"Ja",AND(MATCHER!J250&lt;&gt;MATCHER!F250,LEFT(MATCHER!J250,LEN(MATCHER!F250)+1)&lt;&gt;MATCHER!F250&amp;" ",LEFT(MATCHER!E250,13)&lt;&gt;"Arrangörsskap")),"",IF(COUNTIFS(MATCHER!$B$5:B250,MATCHER!B250,MATCHER!$D$5:D250,MATCHER!D250,MATCHER!$F$5:F250,MATCHER!F250,MATCHER!$K$5:K250,"Ja",MATCHER!$J$5:J250,MATCHER!F250)+COUNTIFS(MATCHER!$B$5:B250,MATCHER!B250,MATCHER!$D$5:D250,MATCHER!D250,MATCHER!$F$5:F250,MATCHER!F250,MATCHER!$K$5:K250,"Ja",MATCHER!$J$5:J250,MATCHER!F250&amp;" *")+COUNTIFS(MATCHER!$B$5:B250,MATCHER!B250,MATCHER!$D$5:D250,MATCHER!D250,MATCHER!$F$5:F250,MATCHER!F250,MATCHER!$K$5:K250,"Ja",MATCHER!$E$5:E250,"Arrangörsskap*")=1,MATCHER!F250,""))</f>
        <v/>
      </c>
    </row>
    <row r="251" spans="17:17">
      <c r="Q251" s="138" t="str">
        <f>IF(OR(MATCHER!A251="",MATCHER!K251&lt;&gt;"Ja",AND(MATCHER!J251&lt;&gt;MATCHER!F251,LEFT(MATCHER!J251,LEN(MATCHER!F251)+1)&lt;&gt;MATCHER!F251&amp;" ",LEFT(MATCHER!E251,13)&lt;&gt;"Arrangörsskap")),"",IF(COUNTIFS(MATCHER!$B$5:B251,MATCHER!B251,MATCHER!$D$5:D251,MATCHER!D251,MATCHER!$F$5:F251,MATCHER!F251,MATCHER!$K$5:K251,"Ja",MATCHER!$J$5:J251,MATCHER!F251)+COUNTIFS(MATCHER!$B$5:B251,MATCHER!B251,MATCHER!$D$5:D251,MATCHER!D251,MATCHER!$F$5:F251,MATCHER!F251,MATCHER!$K$5:K251,"Ja",MATCHER!$J$5:J251,MATCHER!F251&amp;" *")+COUNTIFS(MATCHER!$B$5:B251,MATCHER!B251,MATCHER!$D$5:D251,MATCHER!D251,MATCHER!$F$5:F251,MATCHER!F251,MATCHER!$K$5:K251,"Ja",MATCHER!$E$5:E251,"Arrangörsskap*")=1,MATCHER!F251,""))</f>
        <v/>
      </c>
    </row>
    <row r="252" spans="17:17">
      <c r="Q252" s="138" t="str">
        <f>IF(OR(MATCHER!A252="",MATCHER!K252&lt;&gt;"Ja",AND(MATCHER!J252&lt;&gt;MATCHER!F252,LEFT(MATCHER!J252,LEN(MATCHER!F252)+1)&lt;&gt;MATCHER!F252&amp;" ",LEFT(MATCHER!E252,13)&lt;&gt;"Arrangörsskap")),"",IF(COUNTIFS(MATCHER!$B$5:B252,MATCHER!B252,MATCHER!$D$5:D252,MATCHER!D252,MATCHER!$F$5:F252,MATCHER!F252,MATCHER!$K$5:K252,"Ja",MATCHER!$J$5:J252,MATCHER!F252)+COUNTIFS(MATCHER!$B$5:B252,MATCHER!B252,MATCHER!$D$5:D252,MATCHER!D252,MATCHER!$F$5:F252,MATCHER!F252,MATCHER!$K$5:K252,"Ja",MATCHER!$J$5:J252,MATCHER!F252&amp;" *")+COUNTIFS(MATCHER!$B$5:B252,MATCHER!B252,MATCHER!$D$5:D252,MATCHER!D252,MATCHER!$F$5:F252,MATCHER!F252,MATCHER!$K$5:K252,"Ja",MATCHER!$E$5:E252,"Arrangörsskap*")=1,MATCHER!F252,""))</f>
        <v/>
      </c>
    </row>
    <row r="253" spans="17:17">
      <c r="Q253" s="138" t="str">
        <f>IF(OR(MATCHER!A253="",MATCHER!K253&lt;&gt;"Ja",AND(MATCHER!J253&lt;&gt;MATCHER!F253,LEFT(MATCHER!J253,LEN(MATCHER!F253)+1)&lt;&gt;MATCHER!F253&amp;" ",LEFT(MATCHER!E253,13)&lt;&gt;"Arrangörsskap")),"",IF(COUNTIFS(MATCHER!$B$5:B253,MATCHER!B253,MATCHER!$D$5:D253,MATCHER!D253,MATCHER!$F$5:F253,MATCHER!F253,MATCHER!$K$5:K253,"Ja",MATCHER!$J$5:J253,MATCHER!F253)+COUNTIFS(MATCHER!$B$5:B253,MATCHER!B253,MATCHER!$D$5:D253,MATCHER!D253,MATCHER!$F$5:F253,MATCHER!F253,MATCHER!$K$5:K253,"Ja",MATCHER!$J$5:J253,MATCHER!F253&amp;" *")+COUNTIFS(MATCHER!$B$5:B253,MATCHER!B253,MATCHER!$D$5:D253,MATCHER!D253,MATCHER!$F$5:F253,MATCHER!F253,MATCHER!$K$5:K253,"Ja",MATCHER!$E$5:E253,"Arrangörsskap*")=1,MATCHER!F253,""))</f>
        <v/>
      </c>
    </row>
    <row r="254" spans="17:17">
      <c r="Q254" s="138" t="str">
        <f>IF(OR(MATCHER!A254="",MATCHER!K254&lt;&gt;"Ja",AND(MATCHER!J254&lt;&gt;MATCHER!F254,LEFT(MATCHER!J254,LEN(MATCHER!F254)+1)&lt;&gt;MATCHER!F254&amp;" ",LEFT(MATCHER!E254,13)&lt;&gt;"Arrangörsskap")),"",IF(COUNTIFS(MATCHER!$B$5:B254,MATCHER!B254,MATCHER!$D$5:D254,MATCHER!D254,MATCHER!$F$5:F254,MATCHER!F254,MATCHER!$K$5:K254,"Ja",MATCHER!$J$5:J254,MATCHER!F254)+COUNTIFS(MATCHER!$B$5:B254,MATCHER!B254,MATCHER!$D$5:D254,MATCHER!D254,MATCHER!$F$5:F254,MATCHER!F254,MATCHER!$K$5:K254,"Ja",MATCHER!$J$5:J254,MATCHER!F254&amp;" *")+COUNTIFS(MATCHER!$B$5:B254,MATCHER!B254,MATCHER!$D$5:D254,MATCHER!D254,MATCHER!$F$5:F254,MATCHER!F254,MATCHER!$K$5:K254,"Ja",MATCHER!$E$5:E254,"Arrangörsskap*")=1,MATCHER!F254,""))</f>
        <v/>
      </c>
    </row>
    <row r="255" spans="17:17">
      <c r="Q255" s="138" t="str">
        <f>IF(OR(MATCHER!A255="",MATCHER!K255&lt;&gt;"Ja",AND(MATCHER!J255&lt;&gt;MATCHER!F255,LEFT(MATCHER!J255,LEN(MATCHER!F255)+1)&lt;&gt;MATCHER!F255&amp;" ",LEFT(MATCHER!E255,13)&lt;&gt;"Arrangörsskap")),"",IF(COUNTIFS(MATCHER!$B$5:B255,MATCHER!B255,MATCHER!$D$5:D255,MATCHER!D255,MATCHER!$F$5:F255,MATCHER!F255,MATCHER!$K$5:K255,"Ja",MATCHER!$J$5:J255,MATCHER!F255)+COUNTIFS(MATCHER!$B$5:B255,MATCHER!B255,MATCHER!$D$5:D255,MATCHER!D255,MATCHER!$F$5:F255,MATCHER!F255,MATCHER!$K$5:K255,"Ja",MATCHER!$J$5:J255,MATCHER!F255&amp;" *")+COUNTIFS(MATCHER!$B$5:B255,MATCHER!B255,MATCHER!$D$5:D255,MATCHER!D255,MATCHER!$F$5:F255,MATCHER!F255,MATCHER!$K$5:K255,"Ja",MATCHER!$E$5:E255,"Arrangörsskap*")=1,MATCHER!F255,""))</f>
        <v/>
      </c>
    </row>
    <row r="256" spans="17:17">
      <c r="Q256" s="138" t="str">
        <f>IF(OR(MATCHER!A256="",MATCHER!K256&lt;&gt;"Ja",AND(MATCHER!J256&lt;&gt;MATCHER!F256,LEFT(MATCHER!J256,LEN(MATCHER!F256)+1)&lt;&gt;MATCHER!F256&amp;" ",LEFT(MATCHER!E256,13)&lt;&gt;"Arrangörsskap")),"",IF(COUNTIFS(MATCHER!$B$5:B256,MATCHER!B256,MATCHER!$D$5:D256,MATCHER!D256,MATCHER!$F$5:F256,MATCHER!F256,MATCHER!$K$5:K256,"Ja",MATCHER!$J$5:J256,MATCHER!F256)+COUNTIFS(MATCHER!$B$5:B256,MATCHER!B256,MATCHER!$D$5:D256,MATCHER!D256,MATCHER!$F$5:F256,MATCHER!F256,MATCHER!$K$5:K256,"Ja",MATCHER!$J$5:J256,MATCHER!F256&amp;" *")+COUNTIFS(MATCHER!$B$5:B256,MATCHER!B256,MATCHER!$D$5:D256,MATCHER!D256,MATCHER!$F$5:F256,MATCHER!F256,MATCHER!$K$5:K256,"Ja",MATCHER!$E$5:E256,"Arrangörsskap*")=1,MATCHER!F256,""))</f>
        <v/>
      </c>
    </row>
    <row r="257" spans="17:17">
      <c r="Q257" s="138" t="str">
        <f>IF(OR(MATCHER!A257="",MATCHER!K257&lt;&gt;"Ja",AND(MATCHER!J257&lt;&gt;MATCHER!F257,LEFT(MATCHER!J257,LEN(MATCHER!F257)+1)&lt;&gt;MATCHER!F257&amp;" ",LEFT(MATCHER!E257,13)&lt;&gt;"Arrangörsskap")),"",IF(COUNTIFS(MATCHER!$B$5:B257,MATCHER!B257,MATCHER!$D$5:D257,MATCHER!D257,MATCHER!$F$5:F257,MATCHER!F257,MATCHER!$K$5:K257,"Ja",MATCHER!$J$5:J257,MATCHER!F257)+COUNTIFS(MATCHER!$B$5:B257,MATCHER!B257,MATCHER!$D$5:D257,MATCHER!D257,MATCHER!$F$5:F257,MATCHER!F257,MATCHER!$K$5:K257,"Ja",MATCHER!$J$5:J257,MATCHER!F257&amp;" *")+COUNTIFS(MATCHER!$B$5:B257,MATCHER!B257,MATCHER!$D$5:D257,MATCHER!D257,MATCHER!$F$5:F257,MATCHER!F257,MATCHER!$K$5:K257,"Ja",MATCHER!$E$5:E257,"Arrangörsskap*")=1,MATCHER!F257,""))</f>
        <v/>
      </c>
    </row>
    <row r="258" spans="17:17">
      <c r="Q258" s="138" t="str">
        <f>IF(OR(MATCHER!A258="",MATCHER!K258&lt;&gt;"Ja",AND(MATCHER!J258&lt;&gt;MATCHER!F258,LEFT(MATCHER!J258,LEN(MATCHER!F258)+1)&lt;&gt;MATCHER!F258&amp;" ",LEFT(MATCHER!E258,13)&lt;&gt;"Arrangörsskap")),"",IF(COUNTIFS(MATCHER!$B$5:B258,MATCHER!B258,MATCHER!$D$5:D258,MATCHER!D258,MATCHER!$F$5:F258,MATCHER!F258,MATCHER!$K$5:K258,"Ja",MATCHER!$J$5:J258,MATCHER!F258)+COUNTIFS(MATCHER!$B$5:B258,MATCHER!B258,MATCHER!$D$5:D258,MATCHER!D258,MATCHER!$F$5:F258,MATCHER!F258,MATCHER!$K$5:K258,"Ja",MATCHER!$J$5:J258,MATCHER!F258&amp;" *")+COUNTIFS(MATCHER!$B$5:B258,MATCHER!B258,MATCHER!$D$5:D258,MATCHER!D258,MATCHER!$F$5:F258,MATCHER!F258,MATCHER!$K$5:K258,"Ja",MATCHER!$E$5:E258,"Arrangörsskap*")=1,MATCHER!F258,""))</f>
        <v/>
      </c>
    </row>
    <row r="259" spans="17:17">
      <c r="Q259" s="138" t="str">
        <f>IF(OR(MATCHER!A259="",MATCHER!K259&lt;&gt;"Ja",AND(MATCHER!J259&lt;&gt;MATCHER!F259,LEFT(MATCHER!J259,LEN(MATCHER!F259)+1)&lt;&gt;MATCHER!F259&amp;" ",LEFT(MATCHER!E259,13)&lt;&gt;"Arrangörsskap")),"",IF(COUNTIFS(MATCHER!$B$5:B259,MATCHER!B259,MATCHER!$D$5:D259,MATCHER!D259,MATCHER!$F$5:F259,MATCHER!F259,MATCHER!$K$5:K259,"Ja",MATCHER!$J$5:J259,MATCHER!F259)+COUNTIFS(MATCHER!$B$5:B259,MATCHER!B259,MATCHER!$D$5:D259,MATCHER!D259,MATCHER!$F$5:F259,MATCHER!F259,MATCHER!$K$5:K259,"Ja",MATCHER!$J$5:J259,MATCHER!F259&amp;" *")+COUNTIFS(MATCHER!$B$5:B259,MATCHER!B259,MATCHER!$D$5:D259,MATCHER!D259,MATCHER!$F$5:F259,MATCHER!F259,MATCHER!$K$5:K259,"Ja",MATCHER!$E$5:E259,"Arrangörsskap*")=1,MATCHER!F259,""))</f>
        <v/>
      </c>
    </row>
    <row r="260" spans="17:17">
      <c r="Q260" s="138" t="str">
        <f>IF(OR(MATCHER!A260="",MATCHER!K260&lt;&gt;"Ja",AND(MATCHER!J260&lt;&gt;MATCHER!F260,LEFT(MATCHER!J260,LEN(MATCHER!F260)+1)&lt;&gt;MATCHER!F260&amp;" ",LEFT(MATCHER!E260,13)&lt;&gt;"Arrangörsskap")),"",IF(COUNTIFS(MATCHER!$B$5:B260,MATCHER!B260,MATCHER!$D$5:D260,MATCHER!D260,MATCHER!$F$5:F260,MATCHER!F260,MATCHER!$K$5:K260,"Ja",MATCHER!$J$5:J260,MATCHER!F260)+COUNTIFS(MATCHER!$B$5:B260,MATCHER!B260,MATCHER!$D$5:D260,MATCHER!D260,MATCHER!$F$5:F260,MATCHER!F260,MATCHER!$K$5:K260,"Ja",MATCHER!$J$5:J260,MATCHER!F260&amp;" *")+COUNTIFS(MATCHER!$B$5:B260,MATCHER!B260,MATCHER!$D$5:D260,MATCHER!D260,MATCHER!$F$5:F260,MATCHER!F260,MATCHER!$K$5:K260,"Ja",MATCHER!$E$5:E260,"Arrangörsskap*")=1,MATCHER!F260,""))</f>
        <v/>
      </c>
    </row>
    <row r="261" spans="17:17">
      <c r="Q261" s="138" t="str">
        <f>IF(OR(MATCHER!A261="",MATCHER!K261&lt;&gt;"Ja",AND(MATCHER!J261&lt;&gt;MATCHER!F261,LEFT(MATCHER!J261,LEN(MATCHER!F261)+1)&lt;&gt;MATCHER!F261&amp;" ",LEFT(MATCHER!E261,13)&lt;&gt;"Arrangörsskap")),"",IF(COUNTIFS(MATCHER!$B$5:B261,MATCHER!B261,MATCHER!$D$5:D261,MATCHER!D261,MATCHER!$F$5:F261,MATCHER!F261,MATCHER!$K$5:K261,"Ja",MATCHER!$J$5:J261,MATCHER!F261)+COUNTIFS(MATCHER!$B$5:B261,MATCHER!B261,MATCHER!$D$5:D261,MATCHER!D261,MATCHER!$F$5:F261,MATCHER!F261,MATCHER!$K$5:K261,"Ja",MATCHER!$J$5:J261,MATCHER!F261&amp;" *")+COUNTIFS(MATCHER!$B$5:B261,MATCHER!B261,MATCHER!$D$5:D261,MATCHER!D261,MATCHER!$F$5:F261,MATCHER!F261,MATCHER!$K$5:K261,"Ja",MATCHER!$E$5:E261,"Arrangörsskap*")=1,MATCHER!F261,""))</f>
        <v/>
      </c>
    </row>
    <row r="262" spans="17:17">
      <c r="Q262" s="138" t="str">
        <f>IF(OR(MATCHER!A262="",MATCHER!K262&lt;&gt;"Ja",AND(MATCHER!J262&lt;&gt;MATCHER!F262,LEFT(MATCHER!J262,LEN(MATCHER!F262)+1)&lt;&gt;MATCHER!F262&amp;" ",LEFT(MATCHER!E262,13)&lt;&gt;"Arrangörsskap")),"",IF(COUNTIFS(MATCHER!$B$5:B262,MATCHER!B262,MATCHER!$D$5:D262,MATCHER!D262,MATCHER!$F$5:F262,MATCHER!F262,MATCHER!$K$5:K262,"Ja",MATCHER!$J$5:J262,MATCHER!F262)+COUNTIFS(MATCHER!$B$5:B262,MATCHER!B262,MATCHER!$D$5:D262,MATCHER!D262,MATCHER!$F$5:F262,MATCHER!F262,MATCHER!$K$5:K262,"Ja",MATCHER!$J$5:J262,MATCHER!F262&amp;" *")+COUNTIFS(MATCHER!$B$5:B262,MATCHER!B262,MATCHER!$D$5:D262,MATCHER!D262,MATCHER!$F$5:F262,MATCHER!F262,MATCHER!$K$5:K262,"Ja",MATCHER!$E$5:E262,"Arrangörsskap*")=1,MATCHER!F262,""))</f>
        <v/>
      </c>
    </row>
    <row r="263" spans="17:17">
      <c r="Q263" s="138" t="str">
        <f>IF(OR(MATCHER!A263="",MATCHER!K263&lt;&gt;"Ja",AND(MATCHER!J263&lt;&gt;MATCHER!F263,LEFT(MATCHER!J263,LEN(MATCHER!F263)+1)&lt;&gt;MATCHER!F263&amp;" ",LEFT(MATCHER!E263,13)&lt;&gt;"Arrangörsskap")),"",IF(COUNTIFS(MATCHER!$B$5:B263,MATCHER!B263,MATCHER!$D$5:D263,MATCHER!D263,MATCHER!$F$5:F263,MATCHER!F263,MATCHER!$K$5:K263,"Ja",MATCHER!$J$5:J263,MATCHER!F263)+COUNTIFS(MATCHER!$B$5:B263,MATCHER!B263,MATCHER!$D$5:D263,MATCHER!D263,MATCHER!$F$5:F263,MATCHER!F263,MATCHER!$K$5:K263,"Ja",MATCHER!$J$5:J263,MATCHER!F263&amp;" *")+COUNTIFS(MATCHER!$B$5:B263,MATCHER!B263,MATCHER!$D$5:D263,MATCHER!D263,MATCHER!$F$5:F263,MATCHER!F263,MATCHER!$K$5:K263,"Ja",MATCHER!$E$5:E263,"Arrangörsskap*")=1,MATCHER!F263,""))</f>
        <v/>
      </c>
    </row>
    <row r="264" spans="17:17">
      <c r="Q264" s="138" t="str">
        <f>IF(OR(MATCHER!A264="",MATCHER!K264&lt;&gt;"Ja",AND(MATCHER!J264&lt;&gt;MATCHER!F264,LEFT(MATCHER!J264,LEN(MATCHER!F264)+1)&lt;&gt;MATCHER!F264&amp;" ",LEFT(MATCHER!E264,13)&lt;&gt;"Arrangörsskap")),"",IF(COUNTIFS(MATCHER!$B$5:B264,MATCHER!B264,MATCHER!$D$5:D264,MATCHER!D264,MATCHER!$F$5:F264,MATCHER!F264,MATCHER!$K$5:K264,"Ja",MATCHER!$J$5:J264,MATCHER!F264)+COUNTIFS(MATCHER!$B$5:B264,MATCHER!B264,MATCHER!$D$5:D264,MATCHER!D264,MATCHER!$F$5:F264,MATCHER!F264,MATCHER!$K$5:K264,"Ja",MATCHER!$J$5:J264,MATCHER!F264&amp;" *")+COUNTIFS(MATCHER!$B$5:B264,MATCHER!B264,MATCHER!$D$5:D264,MATCHER!D264,MATCHER!$F$5:F264,MATCHER!F264,MATCHER!$K$5:K264,"Ja",MATCHER!$E$5:E264,"Arrangörsskap*")=1,MATCHER!F264,""))</f>
        <v/>
      </c>
    </row>
    <row r="265" spans="17:17">
      <c r="Q265" s="138" t="str">
        <f>IF(OR(MATCHER!A265="",MATCHER!K265&lt;&gt;"Ja",AND(MATCHER!J265&lt;&gt;MATCHER!F265,LEFT(MATCHER!J265,LEN(MATCHER!F265)+1)&lt;&gt;MATCHER!F265&amp;" ",LEFT(MATCHER!E265,13)&lt;&gt;"Arrangörsskap")),"",IF(COUNTIFS(MATCHER!$B$5:B265,MATCHER!B265,MATCHER!$D$5:D265,MATCHER!D265,MATCHER!$F$5:F265,MATCHER!F265,MATCHER!$K$5:K265,"Ja",MATCHER!$J$5:J265,MATCHER!F265)+COUNTIFS(MATCHER!$B$5:B265,MATCHER!B265,MATCHER!$D$5:D265,MATCHER!D265,MATCHER!$F$5:F265,MATCHER!F265,MATCHER!$K$5:K265,"Ja",MATCHER!$J$5:J265,MATCHER!F265&amp;" *")+COUNTIFS(MATCHER!$B$5:B265,MATCHER!B265,MATCHER!$D$5:D265,MATCHER!D265,MATCHER!$F$5:F265,MATCHER!F265,MATCHER!$K$5:K265,"Ja",MATCHER!$E$5:E265,"Arrangörsskap*")=1,MATCHER!F265,""))</f>
        <v/>
      </c>
    </row>
    <row r="266" spans="17:17">
      <c r="Q266" s="138" t="str">
        <f>IF(OR(MATCHER!A266="",MATCHER!K266&lt;&gt;"Ja",AND(MATCHER!J266&lt;&gt;MATCHER!F266,LEFT(MATCHER!J266,LEN(MATCHER!F266)+1)&lt;&gt;MATCHER!F266&amp;" ",LEFT(MATCHER!E266,13)&lt;&gt;"Arrangörsskap")),"",IF(COUNTIFS(MATCHER!$B$5:B266,MATCHER!B266,MATCHER!$D$5:D266,MATCHER!D266,MATCHER!$F$5:F266,MATCHER!F266,MATCHER!$K$5:K266,"Ja",MATCHER!$J$5:J266,MATCHER!F266)+COUNTIFS(MATCHER!$B$5:B266,MATCHER!B266,MATCHER!$D$5:D266,MATCHER!D266,MATCHER!$F$5:F266,MATCHER!F266,MATCHER!$K$5:K266,"Ja",MATCHER!$J$5:J266,MATCHER!F266&amp;" *")+COUNTIFS(MATCHER!$B$5:B266,MATCHER!B266,MATCHER!$D$5:D266,MATCHER!D266,MATCHER!$F$5:F266,MATCHER!F266,MATCHER!$K$5:K266,"Ja",MATCHER!$E$5:E266,"Arrangörsskap*")=1,MATCHER!F266,""))</f>
        <v/>
      </c>
    </row>
    <row r="267" spans="17:17">
      <c r="Q267" s="138" t="str">
        <f>IF(OR(MATCHER!A267="",MATCHER!K267&lt;&gt;"Ja",AND(MATCHER!J267&lt;&gt;MATCHER!F267,LEFT(MATCHER!J267,LEN(MATCHER!F267)+1)&lt;&gt;MATCHER!F267&amp;" ",LEFT(MATCHER!E267,13)&lt;&gt;"Arrangörsskap")),"",IF(COUNTIFS(MATCHER!$B$5:B267,MATCHER!B267,MATCHER!$D$5:D267,MATCHER!D267,MATCHER!$F$5:F267,MATCHER!F267,MATCHER!$K$5:K267,"Ja",MATCHER!$J$5:J267,MATCHER!F267)+COUNTIFS(MATCHER!$B$5:B267,MATCHER!B267,MATCHER!$D$5:D267,MATCHER!D267,MATCHER!$F$5:F267,MATCHER!F267,MATCHER!$K$5:K267,"Ja",MATCHER!$J$5:J267,MATCHER!F267&amp;" *")+COUNTIFS(MATCHER!$B$5:B267,MATCHER!B267,MATCHER!$D$5:D267,MATCHER!D267,MATCHER!$F$5:F267,MATCHER!F267,MATCHER!$K$5:K267,"Ja",MATCHER!$E$5:E267,"Arrangörsskap*")=1,MATCHER!F267,""))</f>
        <v/>
      </c>
    </row>
    <row r="268" spans="17:17">
      <c r="Q268" s="138" t="str">
        <f>IF(OR(MATCHER!A268="",MATCHER!K268&lt;&gt;"Ja",AND(MATCHER!J268&lt;&gt;MATCHER!F268,LEFT(MATCHER!J268,LEN(MATCHER!F268)+1)&lt;&gt;MATCHER!F268&amp;" ",LEFT(MATCHER!E268,13)&lt;&gt;"Arrangörsskap")),"",IF(COUNTIFS(MATCHER!$B$5:B268,MATCHER!B268,MATCHER!$D$5:D268,MATCHER!D268,MATCHER!$F$5:F268,MATCHER!F268,MATCHER!$K$5:K268,"Ja",MATCHER!$J$5:J268,MATCHER!F268)+COUNTIFS(MATCHER!$B$5:B268,MATCHER!B268,MATCHER!$D$5:D268,MATCHER!D268,MATCHER!$F$5:F268,MATCHER!F268,MATCHER!$K$5:K268,"Ja",MATCHER!$J$5:J268,MATCHER!F268&amp;" *")+COUNTIFS(MATCHER!$B$5:B268,MATCHER!B268,MATCHER!$D$5:D268,MATCHER!D268,MATCHER!$F$5:F268,MATCHER!F268,MATCHER!$K$5:K268,"Ja",MATCHER!$E$5:E268,"Arrangörsskap*")=1,MATCHER!F268,""))</f>
        <v/>
      </c>
    </row>
    <row r="269" spans="17:17">
      <c r="Q269" s="138" t="str">
        <f>IF(OR(MATCHER!A269="",MATCHER!K269&lt;&gt;"Ja",AND(MATCHER!J269&lt;&gt;MATCHER!F269,LEFT(MATCHER!J269,LEN(MATCHER!F269)+1)&lt;&gt;MATCHER!F269&amp;" ",LEFT(MATCHER!E269,13)&lt;&gt;"Arrangörsskap")),"",IF(COUNTIFS(MATCHER!$B$5:B269,MATCHER!B269,MATCHER!$D$5:D269,MATCHER!D269,MATCHER!$F$5:F269,MATCHER!F269,MATCHER!$K$5:K269,"Ja",MATCHER!$J$5:J269,MATCHER!F269)+COUNTIFS(MATCHER!$B$5:B269,MATCHER!B269,MATCHER!$D$5:D269,MATCHER!D269,MATCHER!$F$5:F269,MATCHER!F269,MATCHER!$K$5:K269,"Ja",MATCHER!$J$5:J269,MATCHER!F269&amp;" *")+COUNTIFS(MATCHER!$B$5:B269,MATCHER!B269,MATCHER!$D$5:D269,MATCHER!D269,MATCHER!$F$5:F269,MATCHER!F269,MATCHER!$K$5:K269,"Ja",MATCHER!$E$5:E269,"Arrangörsskap*")=1,MATCHER!F269,""))</f>
        <v/>
      </c>
    </row>
    <row r="270" spans="17:17">
      <c r="Q270" s="138" t="str">
        <f>IF(OR(MATCHER!A270="",MATCHER!K270&lt;&gt;"Ja",AND(MATCHER!J270&lt;&gt;MATCHER!F270,LEFT(MATCHER!J270,LEN(MATCHER!F270)+1)&lt;&gt;MATCHER!F270&amp;" ",LEFT(MATCHER!E270,13)&lt;&gt;"Arrangörsskap")),"",IF(COUNTIFS(MATCHER!$B$5:B270,MATCHER!B270,MATCHER!$D$5:D270,MATCHER!D270,MATCHER!$F$5:F270,MATCHER!F270,MATCHER!$K$5:K270,"Ja",MATCHER!$J$5:J270,MATCHER!F270)+COUNTIFS(MATCHER!$B$5:B270,MATCHER!B270,MATCHER!$D$5:D270,MATCHER!D270,MATCHER!$F$5:F270,MATCHER!F270,MATCHER!$K$5:K270,"Ja",MATCHER!$J$5:J270,MATCHER!F270&amp;" *")+COUNTIFS(MATCHER!$B$5:B270,MATCHER!B270,MATCHER!$D$5:D270,MATCHER!D270,MATCHER!$F$5:F270,MATCHER!F270,MATCHER!$K$5:K270,"Ja",MATCHER!$E$5:E270,"Arrangörsskap*")=1,MATCHER!F270,""))</f>
        <v/>
      </c>
    </row>
    <row r="271" spans="17:17">
      <c r="Q271" s="138" t="str">
        <f>IF(OR(MATCHER!A271="",MATCHER!K271&lt;&gt;"Ja",AND(MATCHER!J271&lt;&gt;MATCHER!F271,LEFT(MATCHER!J271,LEN(MATCHER!F271)+1)&lt;&gt;MATCHER!F271&amp;" ",LEFT(MATCHER!E271,13)&lt;&gt;"Arrangörsskap")),"",IF(COUNTIFS(MATCHER!$B$5:B271,MATCHER!B271,MATCHER!$D$5:D271,MATCHER!D271,MATCHER!$F$5:F271,MATCHER!F271,MATCHER!$K$5:K271,"Ja",MATCHER!$J$5:J271,MATCHER!F271)+COUNTIFS(MATCHER!$B$5:B271,MATCHER!B271,MATCHER!$D$5:D271,MATCHER!D271,MATCHER!$F$5:F271,MATCHER!F271,MATCHER!$K$5:K271,"Ja",MATCHER!$J$5:J271,MATCHER!F271&amp;" *")+COUNTIFS(MATCHER!$B$5:B271,MATCHER!B271,MATCHER!$D$5:D271,MATCHER!D271,MATCHER!$F$5:F271,MATCHER!F271,MATCHER!$K$5:K271,"Ja",MATCHER!$E$5:E271,"Arrangörsskap*")=1,MATCHER!F271,""))</f>
        <v/>
      </c>
    </row>
    <row r="272" spans="17:17">
      <c r="Q272" s="138" t="str">
        <f>IF(OR(MATCHER!A272="",MATCHER!K272&lt;&gt;"Ja",AND(MATCHER!J272&lt;&gt;MATCHER!F272,LEFT(MATCHER!J272,LEN(MATCHER!F272)+1)&lt;&gt;MATCHER!F272&amp;" ",LEFT(MATCHER!E272,13)&lt;&gt;"Arrangörsskap")),"",IF(COUNTIFS(MATCHER!$B$5:B272,MATCHER!B272,MATCHER!$D$5:D272,MATCHER!D272,MATCHER!$F$5:F272,MATCHER!F272,MATCHER!$K$5:K272,"Ja",MATCHER!$J$5:J272,MATCHER!F272)+COUNTIFS(MATCHER!$B$5:B272,MATCHER!B272,MATCHER!$D$5:D272,MATCHER!D272,MATCHER!$F$5:F272,MATCHER!F272,MATCHER!$K$5:K272,"Ja",MATCHER!$J$5:J272,MATCHER!F272&amp;" *")+COUNTIFS(MATCHER!$B$5:B272,MATCHER!B272,MATCHER!$D$5:D272,MATCHER!D272,MATCHER!$F$5:F272,MATCHER!F272,MATCHER!$K$5:K272,"Ja",MATCHER!$E$5:E272,"Arrangörsskap*")=1,MATCHER!F272,""))</f>
        <v/>
      </c>
    </row>
    <row r="273" spans="17:17">
      <c r="Q273" s="138" t="str">
        <f>IF(OR(MATCHER!A273="",MATCHER!K273&lt;&gt;"Ja",AND(MATCHER!J273&lt;&gt;MATCHER!F273,LEFT(MATCHER!J273,LEN(MATCHER!F273)+1)&lt;&gt;MATCHER!F273&amp;" ",LEFT(MATCHER!E273,13)&lt;&gt;"Arrangörsskap")),"",IF(COUNTIFS(MATCHER!$B$5:B273,MATCHER!B273,MATCHER!$D$5:D273,MATCHER!D273,MATCHER!$F$5:F273,MATCHER!F273,MATCHER!$K$5:K273,"Ja",MATCHER!$J$5:J273,MATCHER!F273)+COUNTIFS(MATCHER!$B$5:B273,MATCHER!B273,MATCHER!$D$5:D273,MATCHER!D273,MATCHER!$F$5:F273,MATCHER!F273,MATCHER!$K$5:K273,"Ja",MATCHER!$J$5:J273,MATCHER!F273&amp;" *")+COUNTIFS(MATCHER!$B$5:B273,MATCHER!B273,MATCHER!$D$5:D273,MATCHER!D273,MATCHER!$F$5:F273,MATCHER!F273,MATCHER!$K$5:K273,"Ja",MATCHER!$E$5:E273,"Arrangörsskap*")=1,MATCHER!F273,""))</f>
        <v/>
      </c>
    </row>
    <row r="274" spans="17:17">
      <c r="Q274" s="138" t="str">
        <f>IF(OR(MATCHER!A274="",MATCHER!K274&lt;&gt;"Ja",AND(MATCHER!J274&lt;&gt;MATCHER!F274,LEFT(MATCHER!J274,LEN(MATCHER!F274)+1)&lt;&gt;MATCHER!F274&amp;" ",LEFT(MATCHER!E274,13)&lt;&gt;"Arrangörsskap")),"",IF(COUNTIFS(MATCHER!$B$5:B274,MATCHER!B274,MATCHER!$D$5:D274,MATCHER!D274,MATCHER!$F$5:F274,MATCHER!F274,MATCHER!$K$5:K274,"Ja",MATCHER!$J$5:J274,MATCHER!F274)+COUNTIFS(MATCHER!$B$5:B274,MATCHER!B274,MATCHER!$D$5:D274,MATCHER!D274,MATCHER!$F$5:F274,MATCHER!F274,MATCHER!$K$5:K274,"Ja",MATCHER!$J$5:J274,MATCHER!F274&amp;" *")+COUNTIFS(MATCHER!$B$5:B274,MATCHER!B274,MATCHER!$D$5:D274,MATCHER!D274,MATCHER!$F$5:F274,MATCHER!F274,MATCHER!$K$5:K274,"Ja",MATCHER!$E$5:E274,"Arrangörsskap*")=1,MATCHER!F274,""))</f>
        <v/>
      </c>
    </row>
    <row r="275" spans="17:17">
      <c r="Q275" s="138" t="str">
        <f>IF(OR(MATCHER!A275="",MATCHER!K275&lt;&gt;"Ja",AND(MATCHER!J275&lt;&gt;MATCHER!F275,LEFT(MATCHER!J275,LEN(MATCHER!F275)+1)&lt;&gt;MATCHER!F275&amp;" ",LEFT(MATCHER!E275,13)&lt;&gt;"Arrangörsskap")),"",IF(COUNTIFS(MATCHER!$B$5:B275,MATCHER!B275,MATCHER!$D$5:D275,MATCHER!D275,MATCHER!$F$5:F275,MATCHER!F275,MATCHER!$K$5:K275,"Ja",MATCHER!$J$5:J275,MATCHER!F275)+COUNTIFS(MATCHER!$B$5:B275,MATCHER!B275,MATCHER!$D$5:D275,MATCHER!D275,MATCHER!$F$5:F275,MATCHER!F275,MATCHER!$K$5:K275,"Ja",MATCHER!$J$5:J275,MATCHER!F275&amp;" *")+COUNTIFS(MATCHER!$B$5:B275,MATCHER!B275,MATCHER!$D$5:D275,MATCHER!D275,MATCHER!$F$5:F275,MATCHER!F275,MATCHER!$K$5:K275,"Ja",MATCHER!$E$5:E275,"Arrangörsskap*")=1,MATCHER!F275,""))</f>
        <v/>
      </c>
    </row>
    <row r="276" spans="17:17">
      <c r="Q276" s="138" t="str">
        <f>IF(OR(MATCHER!A276="",MATCHER!K276&lt;&gt;"Ja",AND(MATCHER!J276&lt;&gt;MATCHER!F276,LEFT(MATCHER!J276,LEN(MATCHER!F276)+1)&lt;&gt;MATCHER!F276&amp;" ",LEFT(MATCHER!E276,13)&lt;&gt;"Arrangörsskap")),"",IF(COUNTIFS(MATCHER!$B$5:B276,MATCHER!B276,MATCHER!$D$5:D276,MATCHER!D276,MATCHER!$F$5:F276,MATCHER!F276,MATCHER!$K$5:K276,"Ja",MATCHER!$J$5:J276,MATCHER!F276)+COUNTIFS(MATCHER!$B$5:B276,MATCHER!B276,MATCHER!$D$5:D276,MATCHER!D276,MATCHER!$F$5:F276,MATCHER!F276,MATCHER!$K$5:K276,"Ja",MATCHER!$J$5:J276,MATCHER!F276&amp;" *")+COUNTIFS(MATCHER!$B$5:B276,MATCHER!B276,MATCHER!$D$5:D276,MATCHER!D276,MATCHER!$F$5:F276,MATCHER!F276,MATCHER!$K$5:K276,"Ja",MATCHER!$E$5:E276,"Arrangörsskap*")=1,MATCHER!F276,""))</f>
        <v/>
      </c>
    </row>
    <row r="277" spans="17:17">
      <c r="Q277" s="138" t="str">
        <f>IF(OR(MATCHER!A277="",MATCHER!K277&lt;&gt;"Ja",AND(MATCHER!J277&lt;&gt;MATCHER!F277,LEFT(MATCHER!J277,LEN(MATCHER!F277)+1)&lt;&gt;MATCHER!F277&amp;" ",LEFT(MATCHER!E277,13)&lt;&gt;"Arrangörsskap")),"",IF(COUNTIFS(MATCHER!$B$5:B277,MATCHER!B277,MATCHER!$D$5:D277,MATCHER!D277,MATCHER!$F$5:F277,MATCHER!F277,MATCHER!$K$5:K277,"Ja",MATCHER!$J$5:J277,MATCHER!F277)+COUNTIFS(MATCHER!$B$5:B277,MATCHER!B277,MATCHER!$D$5:D277,MATCHER!D277,MATCHER!$F$5:F277,MATCHER!F277,MATCHER!$K$5:K277,"Ja",MATCHER!$J$5:J277,MATCHER!F277&amp;" *")+COUNTIFS(MATCHER!$B$5:B277,MATCHER!B277,MATCHER!$D$5:D277,MATCHER!D277,MATCHER!$F$5:F277,MATCHER!F277,MATCHER!$K$5:K277,"Ja",MATCHER!$E$5:E277,"Arrangörsskap*")=1,MATCHER!F277,""))</f>
        <v/>
      </c>
    </row>
    <row r="278" spans="17:17">
      <c r="Q278" s="138" t="str">
        <f>IF(OR(MATCHER!A278="",MATCHER!K278&lt;&gt;"Ja",AND(MATCHER!J278&lt;&gt;MATCHER!F278,LEFT(MATCHER!J278,LEN(MATCHER!F278)+1)&lt;&gt;MATCHER!F278&amp;" ",LEFT(MATCHER!E278,13)&lt;&gt;"Arrangörsskap")),"",IF(COUNTIFS(MATCHER!$B$5:B278,MATCHER!B278,MATCHER!$D$5:D278,MATCHER!D278,MATCHER!$F$5:F278,MATCHER!F278,MATCHER!$K$5:K278,"Ja",MATCHER!$J$5:J278,MATCHER!F278)+COUNTIFS(MATCHER!$B$5:B278,MATCHER!B278,MATCHER!$D$5:D278,MATCHER!D278,MATCHER!$F$5:F278,MATCHER!F278,MATCHER!$K$5:K278,"Ja",MATCHER!$J$5:J278,MATCHER!F278&amp;" *")+COUNTIFS(MATCHER!$B$5:B278,MATCHER!B278,MATCHER!$D$5:D278,MATCHER!D278,MATCHER!$F$5:F278,MATCHER!F278,MATCHER!$K$5:K278,"Ja",MATCHER!$E$5:E278,"Arrangörsskap*")=1,MATCHER!F278,""))</f>
        <v/>
      </c>
    </row>
    <row r="279" spans="17:17">
      <c r="Q279" s="138" t="str">
        <f>IF(OR(MATCHER!A279="",MATCHER!K279&lt;&gt;"Ja",AND(MATCHER!J279&lt;&gt;MATCHER!F279,LEFT(MATCHER!J279,LEN(MATCHER!F279)+1)&lt;&gt;MATCHER!F279&amp;" ",LEFT(MATCHER!E279,13)&lt;&gt;"Arrangörsskap")),"",IF(COUNTIFS(MATCHER!$B$5:B279,MATCHER!B279,MATCHER!$D$5:D279,MATCHER!D279,MATCHER!$F$5:F279,MATCHER!F279,MATCHER!$K$5:K279,"Ja",MATCHER!$J$5:J279,MATCHER!F279)+COUNTIFS(MATCHER!$B$5:B279,MATCHER!B279,MATCHER!$D$5:D279,MATCHER!D279,MATCHER!$F$5:F279,MATCHER!F279,MATCHER!$K$5:K279,"Ja",MATCHER!$J$5:J279,MATCHER!F279&amp;" *")+COUNTIFS(MATCHER!$B$5:B279,MATCHER!B279,MATCHER!$D$5:D279,MATCHER!D279,MATCHER!$F$5:F279,MATCHER!F279,MATCHER!$K$5:K279,"Ja",MATCHER!$E$5:E279,"Arrangörsskap*")=1,MATCHER!F279,""))</f>
        <v/>
      </c>
    </row>
    <row r="280" spans="17:17">
      <c r="Q280" s="138" t="str">
        <f>IF(OR(MATCHER!A280="",MATCHER!K280&lt;&gt;"Ja",AND(MATCHER!J280&lt;&gt;MATCHER!F280,LEFT(MATCHER!J280,LEN(MATCHER!F280)+1)&lt;&gt;MATCHER!F280&amp;" ",LEFT(MATCHER!E280,13)&lt;&gt;"Arrangörsskap")),"",IF(COUNTIFS(MATCHER!$B$5:B280,MATCHER!B280,MATCHER!$D$5:D280,MATCHER!D280,MATCHER!$F$5:F280,MATCHER!F280,MATCHER!$K$5:K280,"Ja",MATCHER!$J$5:J280,MATCHER!F280)+COUNTIFS(MATCHER!$B$5:B280,MATCHER!B280,MATCHER!$D$5:D280,MATCHER!D280,MATCHER!$F$5:F280,MATCHER!F280,MATCHER!$K$5:K280,"Ja",MATCHER!$J$5:J280,MATCHER!F280&amp;" *")+COUNTIFS(MATCHER!$B$5:B280,MATCHER!B280,MATCHER!$D$5:D280,MATCHER!D280,MATCHER!$F$5:F280,MATCHER!F280,MATCHER!$K$5:K280,"Ja",MATCHER!$E$5:E280,"Arrangörsskap*")=1,MATCHER!F280,""))</f>
        <v/>
      </c>
    </row>
    <row r="281" spans="17:17">
      <c r="Q281" s="138" t="str">
        <f>IF(OR(MATCHER!A281="",MATCHER!K281&lt;&gt;"Ja",AND(MATCHER!J281&lt;&gt;MATCHER!F281,LEFT(MATCHER!J281,LEN(MATCHER!F281)+1)&lt;&gt;MATCHER!F281&amp;" ",LEFT(MATCHER!E281,13)&lt;&gt;"Arrangörsskap")),"",IF(COUNTIFS(MATCHER!$B$5:B281,MATCHER!B281,MATCHER!$D$5:D281,MATCHER!D281,MATCHER!$F$5:F281,MATCHER!F281,MATCHER!$K$5:K281,"Ja",MATCHER!$J$5:J281,MATCHER!F281)+COUNTIFS(MATCHER!$B$5:B281,MATCHER!B281,MATCHER!$D$5:D281,MATCHER!D281,MATCHER!$F$5:F281,MATCHER!F281,MATCHER!$K$5:K281,"Ja",MATCHER!$J$5:J281,MATCHER!F281&amp;" *")+COUNTIFS(MATCHER!$B$5:B281,MATCHER!B281,MATCHER!$D$5:D281,MATCHER!D281,MATCHER!$F$5:F281,MATCHER!F281,MATCHER!$K$5:K281,"Ja",MATCHER!$E$5:E281,"Arrangörsskap*")=1,MATCHER!F281,""))</f>
        <v/>
      </c>
    </row>
    <row r="282" spans="17:17">
      <c r="Q282" s="138" t="str">
        <f>IF(OR(MATCHER!A282="",MATCHER!K282&lt;&gt;"Ja",AND(MATCHER!J282&lt;&gt;MATCHER!F282,LEFT(MATCHER!J282,LEN(MATCHER!F282)+1)&lt;&gt;MATCHER!F282&amp;" ",LEFT(MATCHER!E282,13)&lt;&gt;"Arrangörsskap")),"",IF(COUNTIFS(MATCHER!$B$5:B282,MATCHER!B282,MATCHER!$D$5:D282,MATCHER!D282,MATCHER!$F$5:F282,MATCHER!F282,MATCHER!$K$5:K282,"Ja",MATCHER!$J$5:J282,MATCHER!F282)+COUNTIFS(MATCHER!$B$5:B282,MATCHER!B282,MATCHER!$D$5:D282,MATCHER!D282,MATCHER!$F$5:F282,MATCHER!F282,MATCHER!$K$5:K282,"Ja",MATCHER!$J$5:J282,MATCHER!F282&amp;" *")+COUNTIFS(MATCHER!$B$5:B282,MATCHER!B282,MATCHER!$D$5:D282,MATCHER!D282,MATCHER!$F$5:F282,MATCHER!F282,MATCHER!$K$5:K282,"Ja",MATCHER!$E$5:E282,"Arrangörsskap*")=1,MATCHER!F282,""))</f>
        <v/>
      </c>
    </row>
    <row r="283" spans="17:17">
      <c r="Q283" s="138" t="str">
        <f>IF(OR(MATCHER!A283="",MATCHER!K283&lt;&gt;"Ja",AND(MATCHER!J283&lt;&gt;MATCHER!F283,LEFT(MATCHER!J283,LEN(MATCHER!F283)+1)&lt;&gt;MATCHER!F283&amp;" ",LEFT(MATCHER!E283,13)&lt;&gt;"Arrangörsskap")),"",IF(COUNTIFS(MATCHER!$B$5:B283,MATCHER!B283,MATCHER!$D$5:D283,MATCHER!D283,MATCHER!$F$5:F283,MATCHER!F283,MATCHER!$K$5:K283,"Ja",MATCHER!$J$5:J283,MATCHER!F283)+COUNTIFS(MATCHER!$B$5:B283,MATCHER!B283,MATCHER!$D$5:D283,MATCHER!D283,MATCHER!$F$5:F283,MATCHER!F283,MATCHER!$K$5:K283,"Ja",MATCHER!$J$5:J283,MATCHER!F283&amp;" *")+COUNTIFS(MATCHER!$B$5:B283,MATCHER!B283,MATCHER!$D$5:D283,MATCHER!D283,MATCHER!$F$5:F283,MATCHER!F283,MATCHER!$K$5:K283,"Ja",MATCHER!$E$5:E283,"Arrangörsskap*")=1,MATCHER!F283,""))</f>
        <v/>
      </c>
    </row>
    <row r="284" spans="17:17">
      <c r="Q284" s="138" t="str">
        <f>IF(OR(MATCHER!A284="",MATCHER!K284&lt;&gt;"Ja",AND(MATCHER!J284&lt;&gt;MATCHER!F284,LEFT(MATCHER!J284,LEN(MATCHER!F284)+1)&lt;&gt;MATCHER!F284&amp;" ",LEFT(MATCHER!E284,13)&lt;&gt;"Arrangörsskap")),"",IF(COUNTIFS(MATCHER!$B$5:B284,MATCHER!B284,MATCHER!$D$5:D284,MATCHER!D284,MATCHER!$F$5:F284,MATCHER!F284,MATCHER!$K$5:K284,"Ja",MATCHER!$J$5:J284,MATCHER!F284)+COUNTIFS(MATCHER!$B$5:B284,MATCHER!B284,MATCHER!$D$5:D284,MATCHER!D284,MATCHER!$F$5:F284,MATCHER!F284,MATCHER!$K$5:K284,"Ja",MATCHER!$J$5:J284,MATCHER!F284&amp;" *")+COUNTIFS(MATCHER!$B$5:B284,MATCHER!B284,MATCHER!$D$5:D284,MATCHER!D284,MATCHER!$F$5:F284,MATCHER!F284,MATCHER!$K$5:K284,"Ja",MATCHER!$E$5:E284,"Arrangörsskap*")=1,MATCHER!F284,""))</f>
        <v/>
      </c>
    </row>
    <row r="285" spans="17:17">
      <c r="Q285" s="138" t="str">
        <f>IF(OR(MATCHER!A285="",MATCHER!K285&lt;&gt;"Ja",AND(MATCHER!J285&lt;&gt;MATCHER!F285,LEFT(MATCHER!J285,LEN(MATCHER!F285)+1)&lt;&gt;MATCHER!F285&amp;" ",LEFT(MATCHER!E285,13)&lt;&gt;"Arrangörsskap")),"",IF(COUNTIFS(MATCHER!$B$5:B285,MATCHER!B285,MATCHER!$D$5:D285,MATCHER!D285,MATCHER!$F$5:F285,MATCHER!F285,MATCHER!$K$5:K285,"Ja",MATCHER!$J$5:J285,MATCHER!F285)+COUNTIFS(MATCHER!$B$5:B285,MATCHER!B285,MATCHER!$D$5:D285,MATCHER!D285,MATCHER!$F$5:F285,MATCHER!F285,MATCHER!$K$5:K285,"Ja",MATCHER!$J$5:J285,MATCHER!F285&amp;" *")+COUNTIFS(MATCHER!$B$5:B285,MATCHER!B285,MATCHER!$D$5:D285,MATCHER!D285,MATCHER!$F$5:F285,MATCHER!F285,MATCHER!$K$5:K285,"Ja",MATCHER!$E$5:E285,"Arrangörsskap*")=1,MATCHER!F285,""))</f>
        <v/>
      </c>
    </row>
    <row r="286" spans="17:17">
      <c r="Q286" s="138" t="str">
        <f>IF(OR(MATCHER!A286="",MATCHER!K286&lt;&gt;"Ja",AND(MATCHER!J286&lt;&gt;MATCHER!F286,LEFT(MATCHER!J286,LEN(MATCHER!F286)+1)&lt;&gt;MATCHER!F286&amp;" ",LEFT(MATCHER!E286,13)&lt;&gt;"Arrangörsskap")),"",IF(COUNTIFS(MATCHER!$B$5:B286,MATCHER!B286,MATCHER!$D$5:D286,MATCHER!D286,MATCHER!$F$5:F286,MATCHER!F286,MATCHER!$K$5:K286,"Ja",MATCHER!$J$5:J286,MATCHER!F286)+COUNTIFS(MATCHER!$B$5:B286,MATCHER!B286,MATCHER!$D$5:D286,MATCHER!D286,MATCHER!$F$5:F286,MATCHER!F286,MATCHER!$K$5:K286,"Ja",MATCHER!$J$5:J286,MATCHER!F286&amp;" *")+COUNTIFS(MATCHER!$B$5:B286,MATCHER!B286,MATCHER!$D$5:D286,MATCHER!D286,MATCHER!$F$5:F286,MATCHER!F286,MATCHER!$K$5:K286,"Ja",MATCHER!$E$5:E286,"Arrangörsskap*")=1,MATCHER!F286,""))</f>
        <v/>
      </c>
    </row>
    <row r="287" spans="17:17">
      <c r="Q287" s="138" t="str">
        <f>IF(OR(MATCHER!A287="",MATCHER!K287&lt;&gt;"Ja",AND(MATCHER!J287&lt;&gt;MATCHER!F287,LEFT(MATCHER!J287,LEN(MATCHER!F287)+1)&lt;&gt;MATCHER!F287&amp;" ",LEFT(MATCHER!E287,13)&lt;&gt;"Arrangörsskap")),"",IF(COUNTIFS(MATCHER!$B$5:B287,MATCHER!B287,MATCHER!$D$5:D287,MATCHER!D287,MATCHER!$F$5:F287,MATCHER!F287,MATCHER!$K$5:K287,"Ja",MATCHER!$J$5:J287,MATCHER!F287)+COUNTIFS(MATCHER!$B$5:B287,MATCHER!B287,MATCHER!$D$5:D287,MATCHER!D287,MATCHER!$F$5:F287,MATCHER!F287,MATCHER!$K$5:K287,"Ja",MATCHER!$J$5:J287,MATCHER!F287&amp;" *")+COUNTIFS(MATCHER!$B$5:B287,MATCHER!B287,MATCHER!$D$5:D287,MATCHER!D287,MATCHER!$F$5:F287,MATCHER!F287,MATCHER!$K$5:K287,"Ja",MATCHER!$E$5:E287,"Arrangörsskap*")=1,MATCHER!F287,""))</f>
        <v/>
      </c>
    </row>
    <row r="288" spans="17:17">
      <c r="Q288" s="138" t="str">
        <f>IF(OR(MATCHER!A288="",MATCHER!K288&lt;&gt;"Ja",AND(MATCHER!J288&lt;&gt;MATCHER!F288,LEFT(MATCHER!J288,LEN(MATCHER!F288)+1)&lt;&gt;MATCHER!F288&amp;" ",LEFT(MATCHER!E288,13)&lt;&gt;"Arrangörsskap")),"",IF(COUNTIFS(MATCHER!$B$5:B288,MATCHER!B288,MATCHER!$D$5:D288,MATCHER!D288,MATCHER!$F$5:F288,MATCHER!F288,MATCHER!$K$5:K288,"Ja",MATCHER!$J$5:J288,MATCHER!F288)+COUNTIFS(MATCHER!$B$5:B288,MATCHER!B288,MATCHER!$D$5:D288,MATCHER!D288,MATCHER!$F$5:F288,MATCHER!F288,MATCHER!$K$5:K288,"Ja",MATCHER!$J$5:J288,MATCHER!F288&amp;" *")+COUNTIFS(MATCHER!$B$5:B288,MATCHER!B288,MATCHER!$D$5:D288,MATCHER!D288,MATCHER!$F$5:F288,MATCHER!F288,MATCHER!$K$5:K288,"Ja",MATCHER!$E$5:E288,"Arrangörsskap*")=1,MATCHER!F288,""))</f>
        <v/>
      </c>
    </row>
    <row r="289" spans="17:17">
      <c r="Q289" s="138" t="str">
        <f>IF(OR(MATCHER!A289="",MATCHER!K289&lt;&gt;"Ja",AND(MATCHER!J289&lt;&gt;MATCHER!F289,LEFT(MATCHER!J289,LEN(MATCHER!F289)+1)&lt;&gt;MATCHER!F289&amp;" ",LEFT(MATCHER!E289,13)&lt;&gt;"Arrangörsskap")),"",IF(COUNTIFS(MATCHER!$B$5:B289,MATCHER!B289,MATCHER!$D$5:D289,MATCHER!D289,MATCHER!$F$5:F289,MATCHER!F289,MATCHER!$K$5:K289,"Ja",MATCHER!$J$5:J289,MATCHER!F289)+COUNTIFS(MATCHER!$B$5:B289,MATCHER!B289,MATCHER!$D$5:D289,MATCHER!D289,MATCHER!$F$5:F289,MATCHER!F289,MATCHER!$K$5:K289,"Ja",MATCHER!$J$5:J289,MATCHER!F289&amp;" *")+COUNTIFS(MATCHER!$B$5:B289,MATCHER!B289,MATCHER!$D$5:D289,MATCHER!D289,MATCHER!$F$5:F289,MATCHER!F289,MATCHER!$K$5:K289,"Ja",MATCHER!$E$5:E289,"Arrangörsskap*")=1,MATCHER!F289,""))</f>
        <v/>
      </c>
    </row>
    <row r="290" spans="17:17">
      <c r="Q290" s="138" t="str">
        <f>IF(OR(MATCHER!A290="",MATCHER!K290&lt;&gt;"Ja",AND(MATCHER!J290&lt;&gt;MATCHER!F290,LEFT(MATCHER!J290,LEN(MATCHER!F290)+1)&lt;&gt;MATCHER!F290&amp;" ",LEFT(MATCHER!E290,13)&lt;&gt;"Arrangörsskap")),"",IF(COUNTIFS(MATCHER!$B$5:B290,MATCHER!B290,MATCHER!$D$5:D290,MATCHER!D290,MATCHER!$F$5:F290,MATCHER!F290,MATCHER!$K$5:K290,"Ja",MATCHER!$J$5:J290,MATCHER!F290)+COUNTIFS(MATCHER!$B$5:B290,MATCHER!B290,MATCHER!$D$5:D290,MATCHER!D290,MATCHER!$F$5:F290,MATCHER!F290,MATCHER!$K$5:K290,"Ja",MATCHER!$J$5:J290,MATCHER!F290&amp;" *")+COUNTIFS(MATCHER!$B$5:B290,MATCHER!B290,MATCHER!$D$5:D290,MATCHER!D290,MATCHER!$F$5:F290,MATCHER!F290,MATCHER!$K$5:K290,"Ja",MATCHER!$E$5:E290,"Arrangörsskap*")=1,MATCHER!F290,""))</f>
        <v/>
      </c>
    </row>
    <row r="291" spans="17:17">
      <c r="Q291" s="138" t="str">
        <f>IF(OR(MATCHER!A291="",MATCHER!K291&lt;&gt;"Ja",AND(MATCHER!J291&lt;&gt;MATCHER!F291,LEFT(MATCHER!J291,LEN(MATCHER!F291)+1)&lt;&gt;MATCHER!F291&amp;" ",LEFT(MATCHER!E291,13)&lt;&gt;"Arrangörsskap")),"",IF(COUNTIFS(MATCHER!$B$5:B291,MATCHER!B291,MATCHER!$D$5:D291,MATCHER!D291,MATCHER!$F$5:F291,MATCHER!F291,MATCHER!$K$5:K291,"Ja",MATCHER!$J$5:J291,MATCHER!F291)+COUNTIFS(MATCHER!$B$5:B291,MATCHER!B291,MATCHER!$D$5:D291,MATCHER!D291,MATCHER!$F$5:F291,MATCHER!F291,MATCHER!$K$5:K291,"Ja",MATCHER!$J$5:J291,MATCHER!F291&amp;" *")+COUNTIFS(MATCHER!$B$5:B291,MATCHER!B291,MATCHER!$D$5:D291,MATCHER!D291,MATCHER!$F$5:F291,MATCHER!F291,MATCHER!$K$5:K291,"Ja",MATCHER!$E$5:E291,"Arrangörsskap*")=1,MATCHER!F291,""))</f>
        <v/>
      </c>
    </row>
    <row r="292" spans="17:17">
      <c r="Q292" s="138" t="str">
        <f>IF(OR(MATCHER!A292="",MATCHER!K292&lt;&gt;"Ja",AND(MATCHER!J292&lt;&gt;MATCHER!F292,LEFT(MATCHER!J292,LEN(MATCHER!F292)+1)&lt;&gt;MATCHER!F292&amp;" ",LEFT(MATCHER!E292,13)&lt;&gt;"Arrangörsskap")),"",IF(COUNTIFS(MATCHER!$B$5:B292,MATCHER!B292,MATCHER!$D$5:D292,MATCHER!D292,MATCHER!$F$5:F292,MATCHER!F292,MATCHER!$K$5:K292,"Ja",MATCHER!$J$5:J292,MATCHER!F292)+COUNTIFS(MATCHER!$B$5:B292,MATCHER!B292,MATCHER!$D$5:D292,MATCHER!D292,MATCHER!$F$5:F292,MATCHER!F292,MATCHER!$K$5:K292,"Ja",MATCHER!$J$5:J292,MATCHER!F292&amp;" *")+COUNTIFS(MATCHER!$B$5:B292,MATCHER!B292,MATCHER!$D$5:D292,MATCHER!D292,MATCHER!$F$5:F292,MATCHER!F292,MATCHER!$K$5:K292,"Ja",MATCHER!$E$5:E292,"Arrangörsskap*")=1,MATCHER!F292,""))</f>
        <v/>
      </c>
    </row>
    <row r="293" spans="17:17">
      <c r="Q293" s="138" t="str">
        <f>IF(OR(MATCHER!A293="",MATCHER!K293&lt;&gt;"Ja",AND(MATCHER!J293&lt;&gt;MATCHER!F293,LEFT(MATCHER!J293,LEN(MATCHER!F293)+1)&lt;&gt;MATCHER!F293&amp;" ",LEFT(MATCHER!E293,13)&lt;&gt;"Arrangörsskap")),"",IF(COUNTIFS(MATCHER!$B$5:B293,MATCHER!B293,MATCHER!$D$5:D293,MATCHER!D293,MATCHER!$F$5:F293,MATCHER!F293,MATCHER!$K$5:K293,"Ja",MATCHER!$J$5:J293,MATCHER!F293)+COUNTIFS(MATCHER!$B$5:B293,MATCHER!B293,MATCHER!$D$5:D293,MATCHER!D293,MATCHER!$F$5:F293,MATCHER!F293,MATCHER!$K$5:K293,"Ja",MATCHER!$J$5:J293,MATCHER!F293&amp;" *")+COUNTIFS(MATCHER!$B$5:B293,MATCHER!B293,MATCHER!$D$5:D293,MATCHER!D293,MATCHER!$F$5:F293,MATCHER!F293,MATCHER!$K$5:K293,"Ja",MATCHER!$E$5:E293,"Arrangörsskap*")=1,MATCHER!F293,""))</f>
        <v/>
      </c>
    </row>
    <row r="294" spans="17:17">
      <c r="Q294" s="138" t="str">
        <f>IF(OR(MATCHER!A294="",MATCHER!K294&lt;&gt;"Ja",AND(MATCHER!J294&lt;&gt;MATCHER!F294,LEFT(MATCHER!J294,LEN(MATCHER!F294)+1)&lt;&gt;MATCHER!F294&amp;" ",LEFT(MATCHER!E294,13)&lt;&gt;"Arrangörsskap")),"",IF(COUNTIFS(MATCHER!$B$5:B294,MATCHER!B294,MATCHER!$D$5:D294,MATCHER!D294,MATCHER!$F$5:F294,MATCHER!F294,MATCHER!$K$5:K294,"Ja",MATCHER!$J$5:J294,MATCHER!F294)+COUNTIFS(MATCHER!$B$5:B294,MATCHER!B294,MATCHER!$D$5:D294,MATCHER!D294,MATCHER!$F$5:F294,MATCHER!F294,MATCHER!$K$5:K294,"Ja",MATCHER!$J$5:J294,MATCHER!F294&amp;" *")+COUNTIFS(MATCHER!$B$5:B294,MATCHER!B294,MATCHER!$D$5:D294,MATCHER!D294,MATCHER!$F$5:F294,MATCHER!F294,MATCHER!$K$5:K294,"Ja",MATCHER!$E$5:E294,"Arrangörsskap*")=1,MATCHER!F294,""))</f>
        <v/>
      </c>
    </row>
    <row r="295" spans="17:17">
      <c r="Q295" s="138" t="str">
        <f>IF(OR(MATCHER!A295="",MATCHER!K295&lt;&gt;"Ja",AND(MATCHER!J295&lt;&gt;MATCHER!F295,LEFT(MATCHER!J295,LEN(MATCHER!F295)+1)&lt;&gt;MATCHER!F295&amp;" ",LEFT(MATCHER!E295,13)&lt;&gt;"Arrangörsskap")),"",IF(COUNTIFS(MATCHER!$B$5:B295,MATCHER!B295,MATCHER!$D$5:D295,MATCHER!D295,MATCHER!$F$5:F295,MATCHER!F295,MATCHER!$K$5:K295,"Ja",MATCHER!$J$5:J295,MATCHER!F295)+COUNTIFS(MATCHER!$B$5:B295,MATCHER!B295,MATCHER!$D$5:D295,MATCHER!D295,MATCHER!$F$5:F295,MATCHER!F295,MATCHER!$K$5:K295,"Ja",MATCHER!$J$5:J295,MATCHER!F295&amp;" *")+COUNTIFS(MATCHER!$B$5:B295,MATCHER!B295,MATCHER!$D$5:D295,MATCHER!D295,MATCHER!$F$5:F295,MATCHER!F295,MATCHER!$K$5:K295,"Ja",MATCHER!$E$5:E295,"Arrangörsskap*")=1,MATCHER!F295,""))</f>
        <v/>
      </c>
    </row>
    <row r="296" spans="17:17">
      <c r="Q296" s="138" t="str">
        <f>IF(OR(MATCHER!A296="",MATCHER!K296&lt;&gt;"Ja",AND(MATCHER!J296&lt;&gt;MATCHER!F296,LEFT(MATCHER!J296,LEN(MATCHER!F296)+1)&lt;&gt;MATCHER!F296&amp;" ",LEFT(MATCHER!E296,13)&lt;&gt;"Arrangörsskap")),"",IF(COUNTIFS(MATCHER!$B$5:B296,MATCHER!B296,MATCHER!$D$5:D296,MATCHER!D296,MATCHER!$F$5:F296,MATCHER!F296,MATCHER!$K$5:K296,"Ja",MATCHER!$J$5:J296,MATCHER!F296)+COUNTIFS(MATCHER!$B$5:B296,MATCHER!B296,MATCHER!$D$5:D296,MATCHER!D296,MATCHER!$F$5:F296,MATCHER!F296,MATCHER!$K$5:K296,"Ja",MATCHER!$J$5:J296,MATCHER!F296&amp;" *")+COUNTIFS(MATCHER!$B$5:B296,MATCHER!B296,MATCHER!$D$5:D296,MATCHER!D296,MATCHER!$F$5:F296,MATCHER!F296,MATCHER!$K$5:K296,"Ja",MATCHER!$E$5:E296,"Arrangörsskap*")=1,MATCHER!F296,""))</f>
        <v/>
      </c>
    </row>
    <row r="297" spans="17:17">
      <c r="Q297" s="138" t="str">
        <f>IF(OR(MATCHER!A297="",MATCHER!K297&lt;&gt;"Ja",AND(MATCHER!J297&lt;&gt;MATCHER!F297,LEFT(MATCHER!J297,LEN(MATCHER!F297)+1)&lt;&gt;MATCHER!F297&amp;" ",LEFT(MATCHER!E297,13)&lt;&gt;"Arrangörsskap")),"",IF(COUNTIFS(MATCHER!$B$5:B297,MATCHER!B297,MATCHER!$D$5:D297,MATCHER!D297,MATCHER!$F$5:F297,MATCHER!F297,MATCHER!$K$5:K297,"Ja",MATCHER!$J$5:J297,MATCHER!F297)+COUNTIFS(MATCHER!$B$5:B297,MATCHER!B297,MATCHER!$D$5:D297,MATCHER!D297,MATCHER!$F$5:F297,MATCHER!F297,MATCHER!$K$5:K297,"Ja",MATCHER!$J$5:J297,MATCHER!F297&amp;" *")+COUNTIFS(MATCHER!$B$5:B297,MATCHER!B297,MATCHER!$D$5:D297,MATCHER!D297,MATCHER!$F$5:F297,MATCHER!F297,MATCHER!$K$5:K297,"Ja",MATCHER!$E$5:E297,"Arrangörsskap*")=1,MATCHER!F297,""))</f>
        <v/>
      </c>
    </row>
    <row r="298" spans="17:17">
      <c r="Q298" s="138" t="str">
        <f>IF(OR(MATCHER!A298="",MATCHER!K298&lt;&gt;"Ja",AND(MATCHER!J298&lt;&gt;MATCHER!F298,LEFT(MATCHER!J298,LEN(MATCHER!F298)+1)&lt;&gt;MATCHER!F298&amp;" ",LEFT(MATCHER!E298,13)&lt;&gt;"Arrangörsskap")),"",IF(COUNTIFS(MATCHER!$B$5:B298,MATCHER!B298,MATCHER!$D$5:D298,MATCHER!D298,MATCHER!$F$5:F298,MATCHER!F298,MATCHER!$K$5:K298,"Ja",MATCHER!$J$5:J298,MATCHER!F298)+COUNTIFS(MATCHER!$B$5:B298,MATCHER!B298,MATCHER!$D$5:D298,MATCHER!D298,MATCHER!$F$5:F298,MATCHER!F298,MATCHER!$K$5:K298,"Ja",MATCHER!$J$5:J298,MATCHER!F298&amp;" *")+COUNTIFS(MATCHER!$B$5:B298,MATCHER!B298,MATCHER!$D$5:D298,MATCHER!D298,MATCHER!$F$5:F298,MATCHER!F298,MATCHER!$K$5:K298,"Ja",MATCHER!$E$5:E298,"Arrangörsskap*")=1,MATCHER!F298,""))</f>
        <v/>
      </c>
    </row>
    <row r="299" spans="17:17">
      <c r="Q299" s="138" t="str">
        <f>IF(OR(MATCHER!A299="",MATCHER!K299&lt;&gt;"Ja",AND(MATCHER!J299&lt;&gt;MATCHER!F299,LEFT(MATCHER!J299,LEN(MATCHER!F299)+1)&lt;&gt;MATCHER!F299&amp;" ",LEFT(MATCHER!E299,13)&lt;&gt;"Arrangörsskap")),"",IF(COUNTIFS(MATCHER!$B$5:B299,MATCHER!B299,MATCHER!$D$5:D299,MATCHER!D299,MATCHER!$F$5:F299,MATCHER!F299,MATCHER!$K$5:K299,"Ja",MATCHER!$J$5:J299,MATCHER!F299)+COUNTIFS(MATCHER!$B$5:B299,MATCHER!B299,MATCHER!$D$5:D299,MATCHER!D299,MATCHER!$F$5:F299,MATCHER!F299,MATCHER!$K$5:K299,"Ja",MATCHER!$J$5:J299,MATCHER!F299&amp;" *")+COUNTIFS(MATCHER!$B$5:B299,MATCHER!B299,MATCHER!$D$5:D299,MATCHER!D299,MATCHER!$F$5:F299,MATCHER!F299,MATCHER!$K$5:K299,"Ja",MATCHER!$E$5:E299,"Arrangörsskap*")=1,MATCHER!F299,""))</f>
        <v/>
      </c>
    </row>
    <row r="300" spans="17:17">
      <c r="Q300" s="138" t="str">
        <f>IF(OR(MATCHER!A300="",MATCHER!K300&lt;&gt;"Ja",AND(MATCHER!J300&lt;&gt;MATCHER!F300,LEFT(MATCHER!J300,LEN(MATCHER!F300)+1)&lt;&gt;MATCHER!F300&amp;" ",LEFT(MATCHER!E300,13)&lt;&gt;"Arrangörsskap")),"",IF(COUNTIFS(MATCHER!$B$5:B300,MATCHER!B300,MATCHER!$D$5:D300,MATCHER!D300,MATCHER!$F$5:F300,MATCHER!F300,MATCHER!$K$5:K300,"Ja",MATCHER!$J$5:J300,MATCHER!F300)+COUNTIFS(MATCHER!$B$5:B300,MATCHER!B300,MATCHER!$D$5:D300,MATCHER!D300,MATCHER!$F$5:F300,MATCHER!F300,MATCHER!$K$5:K300,"Ja",MATCHER!$J$5:J300,MATCHER!F300&amp;" *")+COUNTIFS(MATCHER!$B$5:B300,MATCHER!B300,MATCHER!$D$5:D300,MATCHER!D300,MATCHER!$F$5:F300,MATCHER!F300,MATCHER!$K$5:K300,"Ja",MATCHER!$E$5:E300,"Arrangörsskap*")=1,MATCHER!F300,""))</f>
        <v/>
      </c>
    </row>
    <row r="301" spans="17:17">
      <c r="Q301" s="138" t="str">
        <f>IF(OR(MATCHER!A301="",MATCHER!K301&lt;&gt;"Ja",AND(MATCHER!J301&lt;&gt;MATCHER!F301,LEFT(MATCHER!J301,LEN(MATCHER!F301)+1)&lt;&gt;MATCHER!F301&amp;" ",LEFT(MATCHER!E301,13)&lt;&gt;"Arrangörsskap")),"",IF(COUNTIFS(MATCHER!$B$5:B301,MATCHER!B301,MATCHER!$D$5:D301,MATCHER!D301,MATCHER!$F$5:F301,MATCHER!F301,MATCHER!$K$5:K301,"Ja",MATCHER!$J$5:J301,MATCHER!F301)+COUNTIFS(MATCHER!$B$5:B301,MATCHER!B301,MATCHER!$D$5:D301,MATCHER!D301,MATCHER!$F$5:F301,MATCHER!F301,MATCHER!$K$5:K301,"Ja",MATCHER!$J$5:J301,MATCHER!F301&amp;" *")+COUNTIFS(MATCHER!$B$5:B301,MATCHER!B301,MATCHER!$D$5:D301,MATCHER!D301,MATCHER!$F$5:F301,MATCHER!F301,MATCHER!$K$5:K301,"Ja",MATCHER!$E$5:E301,"Arrangörsskap*")=1,MATCHER!F301,""))</f>
        <v/>
      </c>
    </row>
    <row r="302" spans="17:17">
      <c r="Q302" s="138" t="str">
        <f>IF(OR(MATCHER!A302="",MATCHER!K302&lt;&gt;"Ja",AND(MATCHER!J302&lt;&gt;MATCHER!F302,LEFT(MATCHER!J302,LEN(MATCHER!F302)+1)&lt;&gt;MATCHER!F302&amp;" ",LEFT(MATCHER!E302,13)&lt;&gt;"Arrangörsskap")),"",IF(COUNTIFS(MATCHER!$B$5:B302,MATCHER!B302,MATCHER!$D$5:D302,MATCHER!D302,MATCHER!$F$5:F302,MATCHER!F302,MATCHER!$K$5:K302,"Ja",MATCHER!$J$5:J302,MATCHER!F302)+COUNTIFS(MATCHER!$B$5:B302,MATCHER!B302,MATCHER!$D$5:D302,MATCHER!D302,MATCHER!$F$5:F302,MATCHER!F302,MATCHER!$K$5:K302,"Ja",MATCHER!$J$5:J302,MATCHER!F302&amp;" *")+COUNTIFS(MATCHER!$B$5:B302,MATCHER!B302,MATCHER!$D$5:D302,MATCHER!D302,MATCHER!$F$5:F302,MATCHER!F302,MATCHER!$K$5:K302,"Ja",MATCHER!$E$5:E302,"Arrangörsskap*")=1,MATCHER!F302,""))</f>
        <v/>
      </c>
    </row>
    <row r="303" spans="17:17">
      <c r="Q303" s="138" t="str">
        <f>IF(OR(MATCHER!A303="",MATCHER!K303&lt;&gt;"Ja",AND(MATCHER!J303&lt;&gt;MATCHER!F303,LEFT(MATCHER!J303,LEN(MATCHER!F303)+1)&lt;&gt;MATCHER!F303&amp;" ",LEFT(MATCHER!E303,13)&lt;&gt;"Arrangörsskap")),"",IF(COUNTIFS(MATCHER!$B$5:B303,MATCHER!B303,MATCHER!$D$5:D303,MATCHER!D303,MATCHER!$F$5:F303,MATCHER!F303,MATCHER!$K$5:K303,"Ja",MATCHER!$J$5:J303,MATCHER!F303)+COUNTIFS(MATCHER!$B$5:B303,MATCHER!B303,MATCHER!$D$5:D303,MATCHER!D303,MATCHER!$F$5:F303,MATCHER!F303,MATCHER!$K$5:K303,"Ja",MATCHER!$J$5:J303,MATCHER!F303&amp;" *")+COUNTIFS(MATCHER!$B$5:B303,MATCHER!B303,MATCHER!$D$5:D303,MATCHER!D303,MATCHER!$F$5:F303,MATCHER!F303,MATCHER!$K$5:K303,"Ja",MATCHER!$E$5:E303,"Arrangörsskap*")=1,MATCHER!F303,""))</f>
        <v/>
      </c>
    </row>
    <row r="304" spans="17:17">
      <c r="Q304" s="138" t="str">
        <f>IF(OR(MATCHER!A304="",MATCHER!K304&lt;&gt;"Ja",AND(MATCHER!J304&lt;&gt;MATCHER!F304,LEFT(MATCHER!J304,LEN(MATCHER!F304)+1)&lt;&gt;MATCHER!F304&amp;" ",LEFT(MATCHER!E304,13)&lt;&gt;"Arrangörsskap")),"",IF(COUNTIFS(MATCHER!$B$5:B304,MATCHER!B304,MATCHER!$D$5:D304,MATCHER!D304,MATCHER!$F$5:F304,MATCHER!F304,MATCHER!$K$5:K304,"Ja",MATCHER!$J$5:J304,MATCHER!F304)+COUNTIFS(MATCHER!$B$5:B304,MATCHER!B304,MATCHER!$D$5:D304,MATCHER!D304,MATCHER!$F$5:F304,MATCHER!F304,MATCHER!$K$5:K304,"Ja",MATCHER!$J$5:J304,MATCHER!F304&amp;" *")+COUNTIFS(MATCHER!$B$5:B304,MATCHER!B304,MATCHER!$D$5:D304,MATCHER!D304,MATCHER!$F$5:F304,MATCHER!F304,MATCHER!$K$5:K304,"Ja",MATCHER!$E$5:E304,"Arrangörsskap*")=1,MATCHER!F304,""))</f>
        <v/>
      </c>
    </row>
    <row r="305" spans="17:17">
      <c r="Q305" s="138" t="str">
        <f>IF(OR(MATCHER!A305="",MATCHER!K305&lt;&gt;"Ja",AND(MATCHER!J305&lt;&gt;MATCHER!F305,LEFT(MATCHER!J305,LEN(MATCHER!F305)+1)&lt;&gt;MATCHER!F305&amp;" ",LEFT(MATCHER!E305,13)&lt;&gt;"Arrangörsskap")),"",IF(COUNTIFS(MATCHER!$B$5:B305,MATCHER!B305,MATCHER!$D$5:D305,MATCHER!D305,MATCHER!$F$5:F305,MATCHER!F305,MATCHER!$K$5:K305,"Ja",MATCHER!$J$5:J305,MATCHER!F305)+COUNTIFS(MATCHER!$B$5:B305,MATCHER!B305,MATCHER!$D$5:D305,MATCHER!D305,MATCHER!$F$5:F305,MATCHER!F305,MATCHER!$K$5:K305,"Ja",MATCHER!$J$5:J305,MATCHER!F305&amp;" *")+COUNTIFS(MATCHER!$B$5:B305,MATCHER!B305,MATCHER!$D$5:D305,MATCHER!D305,MATCHER!$F$5:F305,MATCHER!F305,MATCHER!$K$5:K305,"Ja",MATCHER!$E$5:E305,"Arrangörsskap*")=1,MATCHER!F305,""))</f>
        <v/>
      </c>
    </row>
    <row r="306" spans="17:17">
      <c r="Q306" s="138" t="str">
        <f>IF(OR(MATCHER!A306="",MATCHER!K306&lt;&gt;"Ja",AND(MATCHER!J306&lt;&gt;MATCHER!F306,LEFT(MATCHER!J306,LEN(MATCHER!F306)+1)&lt;&gt;MATCHER!F306&amp;" ",LEFT(MATCHER!E306,13)&lt;&gt;"Arrangörsskap")),"",IF(COUNTIFS(MATCHER!$B$5:B306,MATCHER!B306,MATCHER!$D$5:D306,MATCHER!D306,MATCHER!$F$5:F306,MATCHER!F306,MATCHER!$K$5:K306,"Ja",MATCHER!$J$5:J306,MATCHER!F306)+COUNTIFS(MATCHER!$B$5:B306,MATCHER!B306,MATCHER!$D$5:D306,MATCHER!D306,MATCHER!$F$5:F306,MATCHER!F306,MATCHER!$K$5:K306,"Ja",MATCHER!$J$5:J306,MATCHER!F306&amp;" *")+COUNTIFS(MATCHER!$B$5:B306,MATCHER!B306,MATCHER!$D$5:D306,MATCHER!D306,MATCHER!$F$5:F306,MATCHER!F306,MATCHER!$K$5:K306,"Ja",MATCHER!$E$5:E306,"Arrangörsskap*")=1,MATCHER!F306,""))</f>
        <v/>
      </c>
    </row>
    <row r="307" spans="17:17">
      <c r="Q307" s="138" t="str">
        <f>IF(OR(MATCHER!A307="",MATCHER!K307&lt;&gt;"Ja",AND(MATCHER!J307&lt;&gt;MATCHER!F307,LEFT(MATCHER!J307,LEN(MATCHER!F307)+1)&lt;&gt;MATCHER!F307&amp;" ",LEFT(MATCHER!E307,13)&lt;&gt;"Arrangörsskap")),"",IF(COUNTIFS(MATCHER!$B$5:B307,MATCHER!B307,MATCHER!$D$5:D307,MATCHER!D307,MATCHER!$F$5:F307,MATCHER!F307,MATCHER!$K$5:K307,"Ja",MATCHER!$J$5:J307,MATCHER!F307)+COUNTIFS(MATCHER!$B$5:B307,MATCHER!B307,MATCHER!$D$5:D307,MATCHER!D307,MATCHER!$F$5:F307,MATCHER!F307,MATCHER!$K$5:K307,"Ja",MATCHER!$J$5:J307,MATCHER!F307&amp;" *")+COUNTIFS(MATCHER!$B$5:B307,MATCHER!B307,MATCHER!$D$5:D307,MATCHER!D307,MATCHER!$F$5:F307,MATCHER!F307,MATCHER!$K$5:K307,"Ja",MATCHER!$E$5:E307,"Arrangörsskap*")=1,MATCHER!F307,""))</f>
        <v/>
      </c>
    </row>
    <row r="308" spans="17:17">
      <c r="Q308" s="138" t="str">
        <f>IF(OR(MATCHER!A308="",MATCHER!K308&lt;&gt;"Ja",AND(MATCHER!J308&lt;&gt;MATCHER!F308,LEFT(MATCHER!J308,LEN(MATCHER!F308)+1)&lt;&gt;MATCHER!F308&amp;" ",LEFT(MATCHER!E308,13)&lt;&gt;"Arrangörsskap")),"",IF(COUNTIFS(MATCHER!$B$5:B308,MATCHER!B308,MATCHER!$D$5:D308,MATCHER!D308,MATCHER!$F$5:F308,MATCHER!F308,MATCHER!$K$5:K308,"Ja",MATCHER!$J$5:J308,MATCHER!F308)+COUNTIFS(MATCHER!$B$5:B308,MATCHER!B308,MATCHER!$D$5:D308,MATCHER!D308,MATCHER!$F$5:F308,MATCHER!F308,MATCHER!$K$5:K308,"Ja",MATCHER!$J$5:J308,MATCHER!F308&amp;" *")+COUNTIFS(MATCHER!$B$5:B308,MATCHER!B308,MATCHER!$D$5:D308,MATCHER!D308,MATCHER!$F$5:F308,MATCHER!F308,MATCHER!$K$5:K308,"Ja",MATCHER!$E$5:E308,"Arrangörsskap*")=1,MATCHER!F308,""))</f>
        <v/>
      </c>
    </row>
    <row r="309" spans="17:17">
      <c r="Q309" s="138" t="str">
        <f>IF(OR(MATCHER!A309="",MATCHER!K309&lt;&gt;"Ja",AND(MATCHER!J309&lt;&gt;MATCHER!F309,LEFT(MATCHER!J309,LEN(MATCHER!F309)+1)&lt;&gt;MATCHER!F309&amp;" ",LEFT(MATCHER!E309,13)&lt;&gt;"Arrangörsskap")),"",IF(COUNTIFS(MATCHER!$B$5:B309,MATCHER!B309,MATCHER!$D$5:D309,MATCHER!D309,MATCHER!$F$5:F309,MATCHER!F309,MATCHER!$K$5:K309,"Ja",MATCHER!$J$5:J309,MATCHER!F309)+COUNTIFS(MATCHER!$B$5:B309,MATCHER!B309,MATCHER!$D$5:D309,MATCHER!D309,MATCHER!$F$5:F309,MATCHER!F309,MATCHER!$K$5:K309,"Ja",MATCHER!$J$5:J309,MATCHER!F309&amp;" *")+COUNTIFS(MATCHER!$B$5:B309,MATCHER!B309,MATCHER!$D$5:D309,MATCHER!D309,MATCHER!$F$5:F309,MATCHER!F309,MATCHER!$K$5:K309,"Ja",MATCHER!$E$5:E309,"Arrangörsskap*")=1,MATCHER!F309,""))</f>
        <v/>
      </c>
    </row>
    <row r="310" spans="17:17">
      <c r="Q310" s="138" t="str">
        <f>IF(OR(MATCHER!A310="",MATCHER!K310&lt;&gt;"Ja",AND(MATCHER!J310&lt;&gt;MATCHER!F310,LEFT(MATCHER!J310,LEN(MATCHER!F310)+1)&lt;&gt;MATCHER!F310&amp;" ",LEFT(MATCHER!E310,13)&lt;&gt;"Arrangörsskap")),"",IF(COUNTIFS(MATCHER!$B$5:B310,MATCHER!B310,MATCHER!$D$5:D310,MATCHER!D310,MATCHER!$F$5:F310,MATCHER!F310,MATCHER!$K$5:K310,"Ja",MATCHER!$J$5:J310,MATCHER!F310)+COUNTIFS(MATCHER!$B$5:B310,MATCHER!B310,MATCHER!$D$5:D310,MATCHER!D310,MATCHER!$F$5:F310,MATCHER!F310,MATCHER!$K$5:K310,"Ja",MATCHER!$J$5:J310,MATCHER!F310&amp;" *")+COUNTIFS(MATCHER!$B$5:B310,MATCHER!B310,MATCHER!$D$5:D310,MATCHER!D310,MATCHER!$F$5:F310,MATCHER!F310,MATCHER!$K$5:K310,"Ja",MATCHER!$E$5:E310,"Arrangörsskap*")=1,MATCHER!F310,""))</f>
        <v/>
      </c>
    </row>
    <row r="311" spans="17:17">
      <c r="Q311" s="138" t="str">
        <f>IF(OR(MATCHER!A311="",MATCHER!K311&lt;&gt;"Ja",AND(MATCHER!J311&lt;&gt;MATCHER!F311,LEFT(MATCHER!J311,LEN(MATCHER!F311)+1)&lt;&gt;MATCHER!F311&amp;" ",LEFT(MATCHER!E311,13)&lt;&gt;"Arrangörsskap")),"",IF(COUNTIFS(MATCHER!$B$5:B311,MATCHER!B311,MATCHER!$D$5:D311,MATCHER!D311,MATCHER!$F$5:F311,MATCHER!F311,MATCHER!$K$5:K311,"Ja",MATCHER!$J$5:J311,MATCHER!F311)+COUNTIFS(MATCHER!$B$5:B311,MATCHER!B311,MATCHER!$D$5:D311,MATCHER!D311,MATCHER!$F$5:F311,MATCHER!F311,MATCHER!$K$5:K311,"Ja",MATCHER!$J$5:J311,MATCHER!F311&amp;" *")+COUNTIFS(MATCHER!$B$5:B311,MATCHER!B311,MATCHER!$D$5:D311,MATCHER!D311,MATCHER!$F$5:F311,MATCHER!F311,MATCHER!$K$5:K311,"Ja",MATCHER!$E$5:E311,"Arrangörsskap*")=1,MATCHER!F311,""))</f>
        <v/>
      </c>
    </row>
    <row r="312" spans="17:17">
      <c r="Q312" s="138" t="str">
        <f>IF(OR(MATCHER!A312="",MATCHER!K312&lt;&gt;"Ja",AND(MATCHER!J312&lt;&gt;MATCHER!F312,LEFT(MATCHER!J312,LEN(MATCHER!F312)+1)&lt;&gt;MATCHER!F312&amp;" ",LEFT(MATCHER!E312,13)&lt;&gt;"Arrangörsskap")),"",IF(COUNTIFS(MATCHER!$B$5:B312,MATCHER!B312,MATCHER!$D$5:D312,MATCHER!D312,MATCHER!$F$5:F312,MATCHER!F312,MATCHER!$K$5:K312,"Ja",MATCHER!$J$5:J312,MATCHER!F312)+COUNTIFS(MATCHER!$B$5:B312,MATCHER!B312,MATCHER!$D$5:D312,MATCHER!D312,MATCHER!$F$5:F312,MATCHER!F312,MATCHER!$K$5:K312,"Ja",MATCHER!$J$5:J312,MATCHER!F312&amp;" *")+COUNTIFS(MATCHER!$B$5:B312,MATCHER!B312,MATCHER!$D$5:D312,MATCHER!D312,MATCHER!$F$5:F312,MATCHER!F312,MATCHER!$K$5:K312,"Ja",MATCHER!$E$5:E312,"Arrangörsskap*")=1,MATCHER!F312,""))</f>
        <v/>
      </c>
    </row>
    <row r="313" spans="17:17">
      <c r="Q313" s="138" t="str">
        <f>IF(OR(MATCHER!A313="",MATCHER!K313&lt;&gt;"Ja",AND(MATCHER!J313&lt;&gt;MATCHER!F313,LEFT(MATCHER!J313,LEN(MATCHER!F313)+1)&lt;&gt;MATCHER!F313&amp;" ",LEFT(MATCHER!E313,13)&lt;&gt;"Arrangörsskap")),"",IF(COUNTIFS(MATCHER!$B$5:B313,MATCHER!B313,MATCHER!$D$5:D313,MATCHER!D313,MATCHER!$F$5:F313,MATCHER!F313,MATCHER!$K$5:K313,"Ja",MATCHER!$J$5:J313,MATCHER!F313)+COUNTIFS(MATCHER!$B$5:B313,MATCHER!B313,MATCHER!$D$5:D313,MATCHER!D313,MATCHER!$F$5:F313,MATCHER!F313,MATCHER!$K$5:K313,"Ja",MATCHER!$J$5:J313,MATCHER!F313&amp;" *")+COUNTIFS(MATCHER!$B$5:B313,MATCHER!B313,MATCHER!$D$5:D313,MATCHER!D313,MATCHER!$F$5:F313,MATCHER!F313,MATCHER!$K$5:K313,"Ja",MATCHER!$E$5:E313,"Arrangörsskap*")=1,MATCHER!F313,""))</f>
        <v/>
      </c>
    </row>
    <row r="314" spans="17:17">
      <c r="Q314" s="138" t="str">
        <f>IF(OR(MATCHER!A314="",MATCHER!K314&lt;&gt;"Ja",AND(MATCHER!J314&lt;&gt;MATCHER!F314,LEFT(MATCHER!J314,LEN(MATCHER!F314)+1)&lt;&gt;MATCHER!F314&amp;" ",LEFT(MATCHER!E314,13)&lt;&gt;"Arrangörsskap")),"",IF(COUNTIFS(MATCHER!$B$5:B314,MATCHER!B314,MATCHER!$D$5:D314,MATCHER!D314,MATCHER!$F$5:F314,MATCHER!F314,MATCHER!$K$5:K314,"Ja",MATCHER!$J$5:J314,MATCHER!F314)+COUNTIFS(MATCHER!$B$5:B314,MATCHER!B314,MATCHER!$D$5:D314,MATCHER!D314,MATCHER!$F$5:F314,MATCHER!F314,MATCHER!$K$5:K314,"Ja",MATCHER!$J$5:J314,MATCHER!F314&amp;" *")+COUNTIFS(MATCHER!$B$5:B314,MATCHER!B314,MATCHER!$D$5:D314,MATCHER!D314,MATCHER!$F$5:F314,MATCHER!F314,MATCHER!$K$5:K314,"Ja",MATCHER!$E$5:E314,"Arrangörsskap*")=1,MATCHER!F314,""))</f>
        <v/>
      </c>
    </row>
    <row r="315" spans="17:17">
      <c r="Q315" s="138" t="str">
        <f>IF(OR(MATCHER!A315="",MATCHER!K315&lt;&gt;"Ja",AND(MATCHER!J315&lt;&gt;MATCHER!F315,LEFT(MATCHER!J315,LEN(MATCHER!F315)+1)&lt;&gt;MATCHER!F315&amp;" ",LEFT(MATCHER!E315,13)&lt;&gt;"Arrangörsskap")),"",IF(COUNTIFS(MATCHER!$B$5:B315,MATCHER!B315,MATCHER!$D$5:D315,MATCHER!D315,MATCHER!$F$5:F315,MATCHER!F315,MATCHER!$K$5:K315,"Ja",MATCHER!$J$5:J315,MATCHER!F315)+COUNTIFS(MATCHER!$B$5:B315,MATCHER!B315,MATCHER!$D$5:D315,MATCHER!D315,MATCHER!$F$5:F315,MATCHER!F315,MATCHER!$K$5:K315,"Ja",MATCHER!$J$5:J315,MATCHER!F315&amp;" *")+COUNTIFS(MATCHER!$B$5:B315,MATCHER!B315,MATCHER!$D$5:D315,MATCHER!D315,MATCHER!$F$5:F315,MATCHER!F315,MATCHER!$K$5:K315,"Ja",MATCHER!$E$5:E315,"Arrangörsskap*")=1,MATCHER!F315,""))</f>
        <v/>
      </c>
    </row>
    <row r="316" spans="17:17">
      <c r="Q316" s="138" t="str">
        <f>IF(OR(MATCHER!A316="",MATCHER!K316&lt;&gt;"Ja",AND(MATCHER!J316&lt;&gt;MATCHER!F316,LEFT(MATCHER!J316,LEN(MATCHER!F316)+1)&lt;&gt;MATCHER!F316&amp;" ",LEFT(MATCHER!E316,13)&lt;&gt;"Arrangörsskap")),"",IF(COUNTIFS(MATCHER!$B$5:B316,MATCHER!B316,MATCHER!$D$5:D316,MATCHER!D316,MATCHER!$F$5:F316,MATCHER!F316,MATCHER!$K$5:K316,"Ja",MATCHER!$J$5:J316,MATCHER!F316)+COUNTIFS(MATCHER!$B$5:B316,MATCHER!B316,MATCHER!$D$5:D316,MATCHER!D316,MATCHER!$F$5:F316,MATCHER!F316,MATCHER!$K$5:K316,"Ja",MATCHER!$J$5:J316,MATCHER!F316&amp;" *")+COUNTIFS(MATCHER!$B$5:B316,MATCHER!B316,MATCHER!$D$5:D316,MATCHER!D316,MATCHER!$F$5:F316,MATCHER!F316,MATCHER!$K$5:K316,"Ja",MATCHER!$E$5:E316,"Arrangörsskap*")=1,MATCHER!F316,""))</f>
        <v/>
      </c>
    </row>
    <row r="317" spans="17:17">
      <c r="Q317" s="138" t="str">
        <f>IF(OR(MATCHER!A317="",MATCHER!K317&lt;&gt;"Ja",AND(MATCHER!J317&lt;&gt;MATCHER!F317,LEFT(MATCHER!J317,LEN(MATCHER!F317)+1)&lt;&gt;MATCHER!F317&amp;" ",LEFT(MATCHER!E317,13)&lt;&gt;"Arrangörsskap")),"",IF(COUNTIFS(MATCHER!$B$5:B317,MATCHER!B317,MATCHER!$D$5:D317,MATCHER!D317,MATCHER!$F$5:F317,MATCHER!F317,MATCHER!$K$5:K317,"Ja",MATCHER!$J$5:J317,MATCHER!F317)+COUNTIFS(MATCHER!$B$5:B317,MATCHER!B317,MATCHER!$D$5:D317,MATCHER!D317,MATCHER!$F$5:F317,MATCHER!F317,MATCHER!$K$5:K317,"Ja",MATCHER!$J$5:J317,MATCHER!F317&amp;" *")+COUNTIFS(MATCHER!$B$5:B317,MATCHER!B317,MATCHER!$D$5:D317,MATCHER!D317,MATCHER!$F$5:F317,MATCHER!F317,MATCHER!$K$5:K317,"Ja",MATCHER!$E$5:E317,"Arrangörsskap*")=1,MATCHER!F317,""))</f>
        <v/>
      </c>
    </row>
    <row r="318" spans="17:17">
      <c r="Q318" s="138" t="str">
        <f>IF(OR(MATCHER!A318="",MATCHER!K318&lt;&gt;"Ja",AND(MATCHER!J318&lt;&gt;MATCHER!F318,LEFT(MATCHER!J318,LEN(MATCHER!F318)+1)&lt;&gt;MATCHER!F318&amp;" ",LEFT(MATCHER!E318,13)&lt;&gt;"Arrangörsskap")),"",IF(COUNTIFS(MATCHER!$B$5:B318,MATCHER!B318,MATCHER!$D$5:D318,MATCHER!D318,MATCHER!$F$5:F318,MATCHER!F318,MATCHER!$K$5:K318,"Ja",MATCHER!$J$5:J318,MATCHER!F318)+COUNTIFS(MATCHER!$B$5:B318,MATCHER!B318,MATCHER!$D$5:D318,MATCHER!D318,MATCHER!$F$5:F318,MATCHER!F318,MATCHER!$K$5:K318,"Ja",MATCHER!$J$5:J318,MATCHER!F318&amp;" *")+COUNTIFS(MATCHER!$B$5:B318,MATCHER!B318,MATCHER!$D$5:D318,MATCHER!D318,MATCHER!$F$5:F318,MATCHER!F318,MATCHER!$K$5:K318,"Ja",MATCHER!$E$5:E318,"Arrangörsskap*")=1,MATCHER!F318,""))</f>
        <v/>
      </c>
    </row>
    <row r="319" spans="17:17">
      <c r="Q319" s="138" t="str">
        <f>IF(OR(MATCHER!A319="",MATCHER!K319&lt;&gt;"Ja",AND(MATCHER!J319&lt;&gt;MATCHER!F319,LEFT(MATCHER!J319,LEN(MATCHER!F319)+1)&lt;&gt;MATCHER!F319&amp;" ",LEFT(MATCHER!E319,13)&lt;&gt;"Arrangörsskap")),"",IF(COUNTIFS(MATCHER!$B$5:B319,MATCHER!B319,MATCHER!$D$5:D319,MATCHER!D319,MATCHER!$F$5:F319,MATCHER!F319,MATCHER!$K$5:K319,"Ja",MATCHER!$J$5:J319,MATCHER!F319)+COUNTIFS(MATCHER!$B$5:B319,MATCHER!B319,MATCHER!$D$5:D319,MATCHER!D319,MATCHER!$F$5:F319,MATCHER!F319,MATCHER!$K$5:K319,"Ja",MATCHER!$J$5:J319,MATCHER!F319&amp;" *")+COUNTIFS(MATCHER!$B$5:B319,MATCHER!B319,MATCHER!$D$5:D319,MATCHER!D319,MATCHER!$F$5:F319,MATCHER!F319,MATCHER!$K$5:K319,"Ja",MATCHER!$E$5:E319,"Arrangörsskap*")=1,MATCHER!F319,""))</f>
        <v/>
      </c>
    </row>
    <row r="320" spans="17:17">
      <c r="Q320" s="138" t="str">
        <f>IF(OR(MATCHER!A320="",MATCHER!K320&lt;&gt;"Ja",AND(MATCHER!J320&lt;&gt;MATCHER!F320,LEFT(MATCHER!J320,LEN(MATCHER!F320)+1)&lt;&gt;MATCHER!F320&amp;" ",LEFT(MATCHER!E320,13)&lt;&gt;"Arrangörsskap")),"",IF(COUNTIFS(MATCHER!$B$5:B320,MATCHER!B320,MATCHER!$D$5:D320,MATCHER!D320,MATCHER!$F$5:F320,MATCHER!F320,MATCHER!$K$5:K320,"Ja",MATCHER!$J$5:J320,MATCHER!F320)+COUNTIFS(MATCHER!$B$5:B320,MATCHER!B320,MATCHER!$D$5:D320,MATCHER!D320,MATCHER!$F$5:F320,MATCHER!F320,MATCHER!$K$5:K320,"Ja",MATCHER!$J$5:J320,MATCHER!F320&amp;" *")+COUNTIFS(MATCHER!$B$5:B320,MATCHER!B320,MATCHER!$D$5:D320,MATCHER!D320,MATCHER!$F$5:F320,MATCHER!F320,MATCHER!$K$5:K320,"Ja",MATCHER!$E$5:E320,"Arrangörsskap*")=1,MATCHER!F320,""))</f>
        <v/>
      </c>
    </row>
    <row r="321" spans="17:17">
      <c r="Q321" s="138" t="str">
        <f>IF(OR(MATCHER!A321="",MATCHER!K321&lt;&gt;"Ja",AND(MATCHER!J321&lt;&gt;MATCHER!F321,LEFT(MATCHER!J321,LEN(MATCHER!F321)+1)&lt;&gt;MATCHER!F321&amp;" ",LEFT(MATCHER!E321,13)&lt;&gt;"Arrangörsskap")),"",IF(COUNTIFS(MATCHER!$B$5:B321,MATCHER!B321,MATCHER!$D$5:D321,MATCHER!D321,MATCHER!$F$5:F321,MATCHER!F321,MATCHER!$K$5:K321,"Ja",MATCHER!$J$5:J321,MATCHER!F321)+COUNTIFS(MATCHER!$B$5:B321,MATCHER!B321,MATCHER!$D$5:D321,MATCHER!D321,MATCHER!$F$5:F321,MATCHER!F321,MATCHER!$K$5:K321,"Ja",MATCHER!$J$5:J321,MATCHER!F321&amp;" *")+COUNTIFS(MATCHER!$B$5:B321,MATCHER!B321,MATCHER!$D$5:D321,MATCHER!D321,MATCHER!$F$5:F321,MATCHER!F321,MATCHER!$K$5:K321,"Ja",MATCHER!$E$5:E321,"Arrangörsskap*")=1,MATCHER!F321,""))</f>
        <v/>
      </c>
    </row>
    <row r="322" spans="17:17">
      <c r="Q322" s="138" t="str">
        <f>IF(OR(MATCHER!A322="",MATCHER!K322&lt;&gt;"Ja",AND(MATCHER!J322&lt;&gt;MATCHER!F322,LEFT(MATCHER!J322,LEN(MATCHER!F322)+1)&lt;&gt;MATCHER!F322&amp;" ",LEFT(MATCHER!E322,13)&lt;&gt;"Arrangörsskap")),"",IF(COUNTIFS(MATCHER!$B$5:B322,MATCHER!B322,MATCHER!$D$5:D322,MATCHER!D322,MATCHER!$F$5:F322,MATCHER!F322,MATCHER!$K$5:K322,"Ja",MATCHER!$J$5:J322,MATCHER!F322)+COUNTIFS(MATCHER!$B$5:B322,MATCHER!B322,MATCHER!$D$5:D322,MATCHER!D322,MATCHER!$F$5:F322,MATCHER!F322,MATCHER!$K$5:K322,"Ja",MATCHER!$J$5:J322,MATCHER!F322&amp;" *")+COUNTIFS(MATCHER!$B$5:B322,MATCHER!B322,MATCHER!$D$5:D322,MATCHER!D322,MATCHER!$F$5:F322,MATCHER!F322,MATCHER!$K$5:K322,"Ja",MATCHER!$E$5:E322,"Arrangörsskap*")=1,MATCHER!F322,""))</f>
        <v/>
      </c>
    </row>
    <row r="323" spans="17:17">
      <c r="Q323" s="138" t="str">
        <f>IF(OR(MATCHER!A323="",MATCHER!K323&lt;&gt;"Ja",AND(MATCHER!J323&lt;&gt;MATCHER!F323,LEFT(MATCHER!J323,LEN(MATCHER!F323)+1)&lt;&gt;MATCHER!F323&amp;" ",LEFT(MATCHER!E323,13)&lt;&gt;"Arrangörsskap")),"",IF(COUNTIFS(MATCHER!$B$5:B323,MATCHER!B323,MATCHER!$D$5:D323,MATCHER!D323,MATCHER!$F$5:F323,MATCHER!F323,MATCHER!$K$5:K323,"Ja",MATCHER!$J$5:J323,MATCHER!F323)+COUNTIFS(MATCHER!$B$5:B323,MATCHER!B323,MATCHER!$D$5:D323,MATCHER!D323,MATCHER!$F$5:F323,MATCHER!F323,MATCHER!$K$5:K323,"Ja",MATCHER!$J$5:J323,MATCHER!F323&amp;" *")+COUNTIFS(MATCHER!$B$5:B323,MATCHER!B323,MATCHER!$D$5:D323,MATCHER!D323,MATCHER!$F$5:F323,MATCHER!F323,MATCHER!$K$5:K323,"Ja",MATCHER!$E$5:E323,"Arrangörsskap*")=1,MATCHER!F323,""))</f>
        <v/>
      </c>
    </row>
    <row r="324" spans="17:17">
      <c r="Q324" s="138" t="str">
        <f>IF(OR(MATCHER!A324="",MATCHER!K324&lt;&gt;"Ja",AND(MATCHER!J324&lt;&gt;MATCHER!F324,LEFT(MATCHER!J324,LEN(MATCHER!F324)+1)&lt;&gt;MATCHER!F324&amp;" ",LEFT(MATCHER!E324,13)&lt;&gt;"Arrangörsskap")),"",IF(COUNTIFS(MATCHER!$B$5:B324,MATCHER!B324,MATCHER!$D$5:D324,MATCHER!D324,MATCHER!$F$5:F324,MATCHER!F324,MATCHER!$K$5:K324,"Ja",MATCHER!$J$5:J324,MATCHER!F324)+COUNTIFS(MATCHER!$B$5:B324,MATCHER!B324,MATCHER!$D$5:D324,MATCHER!D324,MATCHER!$F$5:F324,MATCHER!F324,MATCHER!$K$5:K324,"Ja",MATCHER!$J$5:J324,MATCHER!F324&amp;" *")+COUNTIFS(MATCHER!$B$5:B324,MATCHER!B324,MATCHER!$D$5:D324,MATCHER!D324,MATCHER!$F$5:F324,MATCHER!F324,MATCHER!$K$5:K324,"Ja",MATCHER!$E$5:E324,"Arrangörsskap*")=1,MATCHER!F324,""))</f>
        <v/>
      </c>
    </row>
    <row r="325" spans="17:17">
      <c r="Q325" s="138" t="str">
        <f>IF(OR(MATCHER!A325="",MATCHER!K325&lt;&gt;"Ja",AND(MATCHER!J325&lt;&gt;MATCHER!F325,LEFT(MATCHER!J325,LEN(MATCHER!F325)+1)&lt;&gt;MATCHER!F325&amp;" ",LEFT(MATCHER!E325,13)&lt;&gt;"Arrangörsskap")),"",IF(COUNTIFS(MATCHER!$B$5:B325,MATCHER!B325,MATCHER!$D$5:D325,MATCHER!D325,MATCHER!$F$5:F325,MATCHER!F325,MATCHER!$K$5:K325,"Ja",MATCHER!$J$5:J325,MATCHER!F325)+COUNTIFS(MATCHER!$B$5:B325,MATCHER!B325,MATCHER!$D$5:D325,MATCHER!D325,MATCHER!$F$5:F325,MATCHER!F325,MATCHER!$K$5:K325,"Ja",MATCHER!$J$5:J325,MATCHER!F325&amp;" *")+COUNTIFS(MATCHER!$B$5:B325,MATCHER!B325,MATCHER!$D$5:D325,MATCHER!D325,MATCHER!$F$5:F325,MATCHER!F325,MATCHER!$K$5:K325,"Ja",MATCHER!$E$5:E325,"Arrangörsskap*")=1,MATCHER!F325,""))</f>
        <v/>
      </c>
    </row>
    <row r="326" spans="17:17">
      <c r="Q326" s="138" t="str">
        <f>IF(OR(MATCHER!A326="",MATCHER!K326&lt;&gt;"Ja",AND(MATCHER!J326&lt;&gt;MATCHER!F326,LEFT(MATCHER!J326,LEN(MATCHER!F326)+1)&lt;&gt;MATCHER!F326&amp;" ",LEFT(MATCHER!E326,13)&lt;&gt;"Arrangörsskap")),"",IF(COUNTIFS(MATCHER!$B$5:B326,MATCHER!B326,MATCHER!$D$5:D326,MATCHER!D326,MATCHER!$F$5:F326,MATCHER!F326,MATCHER!$K$5:K326,"Ja",MATCHER!$J$5:J326,MATCHER!F326)+COUNTIFS(MATCHER!$B$5:B326,MATCHER!B326,MATCHER!$D$5:D326,MATCHER!D326,MATCHER!$F$5:F326,MATCHER!F326,MATCHER!$K$5:K326,"Ja",MATCHER!$J$5:J326,MATCHER!F326&amp;" *")+COUNTIFS(MATCHER!$B$5:B326,MATCHER!B326,MATCHER!$D$5:D326,MATCHER!D326,MATCHER!$F$5:F326,MATCHER!F326,MATCHER!$K$5:K326,"Ja",MATCHER!$E$5:E326,"Arrangörsskap*")=1,MATCHER!F326,""))</f>
        <v/>
      </c>
    </row>
    <row r="327" spans="17:17">
      <c r="Q327" s="138" t="str">
        <f>IF(OR(MATCHER!A327="",MATCHER!K327&lt;&gt;"Ja",AND(MATCHER!J327&lt;&gt;MATCHER!F327,LEFT(MATCHER!J327,LEN(MATCHER!F327)+1)&lt;&gt;MATCHER!F327&amp;" ",LEFT(MATCHER!E327,13)&lt;&gt;"Arrangörsskap")),"",IF(COUNTIFS(MATCHER!$B$5:B327,MATCHER!B327,MATCHER!$D$5:D327,MATCHER!D327,MATCHER!$F$5:F327,MATCHER!F327,MATCHER!$K$5:K327,"Ja",MATCHER!$J$5:J327,MATCHER!F327)+COUNTIFS(MATCHER!$B$5:B327,MATCHER!B327,MATCHER!$D$5:D327,MATCHER!D327,MATCHER!$F$5:F327,MATCHER!F327,MATCHER!$K$5:K327,"Ja",MATCHER!$J$5:J327,MATCHER!F327&amp;" *")+COUNTIFS(MATCHER!$B$5:B327,MATCHER!B327,MATCHER!$D$5:D327,MATCHER!D327,MATCHER!$F$5:F327,MATCHER!F327,MATCHER!$K$5:K327,"Ja",MATCHER!$E$5:E327,"Arrangörsskap*")=1,MATCHER!F327,""))</f>
        <v/>
      </c>
    </row>
    <row r="328" spans="17:17">
      <c r="Q328" s="138" t="str">
        <f>IF(OR(MATCHER!A328="",MATCHER!K328&lt;&gt;"Ja",AND(MATCHER!J328&lt;&gt;MATCHER!F328,LEFT(MATCHER!J328,LEN(MATCHER!F328)+1)&lt;&gt;MATCHER!F328&amp;" ",LEFT(MATCHER!E328,13)&lt;&gt;"Arrangörsskap")),"",IF(COUNTIFS(MATCHER!$B$5:B328,MATCHER!B328,MATCHER!$D$5:D328,MATCHER!D328,MATCHER!$F$5:F328,MATCHER!F328,MATCHER!$K$5:K328,"Ja",MATCHER!$J$5:J328,MATCHER!F328)+COUNTIFS(MATCHER!$B$5:B328,MATCHER!B328,MATCHER!$D$5:D328,MATCHER!D328,MATCHER!$F$5:F328,MATCHER!F328,MATCHER!$K$5:K328,"Ja",MATCHER!$J$5:J328,MATCHER!F328&amp;" *")+COUNTIFS(MATCHER!$B$5:B328,MATCHER!B328,MATCHER!$D$5:D328,MATCHER!D328,MATCHER!$F$5:F328,MATCHER!F328,MATCHER!$K$5:K328,"Ja",MATCHER!$E$5:E328,"Arrangörsskap*")=1,MATCHER!F328,""))</f>
        <v/>
      </c>
    </row>
    <row r="329" spans="17:17">
      <c r="Q329" s="138" t="str">
        <f>IF(OR(MATCHER!A329="",MATCHER!K329&lt;&gt;"Ja",AND(MATCHER!J329&lt;&gt;MATCHER!F329,LEFT(MATCHER!J329,LEN(MATCHER!F329)+1)&lt;&gt;MATCHER!F329&amp;" ",LEFT(MATCHER!E329,13)&lt;&gt;"Arrangörsskap")),"",IF(COUNTIFS(MATCHER!$B$5:B329,MATCHER!B329,MATCHER!$D$5:D329,MATCHER!D329,MATCHER!$F$5:F329,MATCHER!F329,MATCHER!$K$5:K329,"Ja",MATCHER!$J$5:J329,MATCHER!F329)+COUNTIFS(MATCHER!$B$5:B329,MATCHER!B329,MATCHER!$D$5:D329,MATCHER!D329,MATCHER!$F$5:F329,MATCHER!F329,MATCHER!$K$5:K329,"Ja",MATCHER!$J$5:J329,MATCHER!F329&amp;" *")+COUNTIFS(MATCHER!$B$5:B329,MATCHER!B329,MATCHER!$D$5:D329,MATCHER!D329,MATCHER!$F$5:F329,MATCHER!F329,MATCHER!$K$5:K329,"Ja",MATCHER!$E$5:E329,"Arrangörsskap*")=1,MATCHER!F329,""))</f>
        <v/>
      </c>
    </row>
    <row r="330" spans="17:17">
      <c r="Q330" s="138" t="str">
        <f>IF(OR(MATCHER!A330="",MATCHER!K330&lt;&gt;"Ja",AND(MATCHER!J330&lt;&gt;MATCHER!F330,LEFT(MATCHER!J330,LEN(MATCHER!F330)+1)&lt;&gt;MATCHER!F330&amp;" ",LEFT(MATCHER!E330,13)&lt;&gt;"Arrangörsskap")),"",IF(COUNTIFS(MATCHER!$B$5:B330,MATCHER!B330,MATCHER!$D$5:D330,MATCHER!D330,MATCHER!$F$5:F330,MATCHER!F330,MATCHER!$K$5:K330,"Ja",MATCHER!$J$5:J330,MATCHER!F330)+COUNTIFS(MATCHER!$B$5:B330,MATCHER!B330,MATCHER!$D$5:D330,MATCHER!D330,MATCHER!$F$5:F330,MATCHER!F330,MATCHER!$K$5:K330,"Ja",MATCHER!$J$5:J330,MATCHER!F330&amp;" *")+COUNTIFS(MATCHER!$B$5:B330,MATCHER!B330,MATCHER!$D$5:D330,MATCHER!D330,MATCHER!$F$5:F330,MATCHER!F330,MATCHER!$K$5:K330,"Ja",MATCHER!$E$5:E330,"Arrangörsskap*")=1,MATCHER!F330,""))</f>
        <v/>
      </c>
    </row>
    <row r="331" spans="17:17">
      <c r="Q331" s="138" t="str">
        <f>IF(OR(MATCHER!A331="",MATCHER!K331&lt;&gt;"Ja",AND(MATCHER!J331&lt;&gt;MATCHER!F331,LEFT(MATCHER!J331,LEN(MATCHER!F331)+1)&lt;&gt;MATCHER!F331&amp;" ",LEFT(MATCHER!E331,13)&lt;&gt;"Arrangörsskap")),"",IF(COUNTIFS(MATCHER!$B$5:B331,MATCHER!B331,MATCHER!$D$5:D331,MATCHER!D331,MATCHER!$F$5:F331,MATCHER!F331,MATCHER!$K$5:K331,"Ja",MATCHER!$J$5:J331,MATCHER!F331)+COUNTIFS(MATCHER!$B$5:B331,MATCHER!B331,MATCHER!$D$5:D331,MATCHER!D331,MATCHER!$F$5:F331,MATCHER!F331,MATCHER!$K$5:K331,"Ja",MATCHER!$J$5:J331,MATCHER!F331&amp;" *")+COUNTIFS(MATCHER!$B$5:B331,MATCHER!B331,MATCHER!$D$5:D331,MATCHER!D331,MATCHER!$F$5:F331,MATCHER!F331,MATCHER!$K$5:K331,"Ja",MATCHER!$E$5:E331,"Arrangörsskap*")=1,MATCHER!F331,""))</f>
        <v/>
      </c>
    </row>
    <row r="332" spans="17:17">
      <c r="Q332" s="138" t="str">
        <f>IF(OR(MATCHER!A332="",MATCHER!K332&lt;&gt;"Ja",AND(MATCHER!J332&lt;&gt;MATCHER!F332,LEFT(MATCHER!J332,LEN(MATCHER!F332)+1)&lt;&gt;MATCHER!F332&amp;" ",LEFT(MATCHER!E332,13)&lt;&gt;"Arrangörsskap")),"",IF(COUNTIFS(MATCHER!$B$5:B332,MATCHER!B332,MATCHER!$D$5:D332,MATCHER!D332,MATCHER!$F$5:F332,MATCHER!F332,MATCHER!$K$5:K332,"Ja",MATCHER!$J$5:J332,MATCHER!F332)+COUNTIFS(MATCHER!$B$5:B332,MATCHER!B332,MATCHER!$D$5:D332,MATCHER!D332,MATCHER!$F$5:F332,MATCHER!F332,MATCHER!$K$5:K332,"Ja",MATCHER!$J$5:J332,MATCHER!F332&amp;" *")+COUNTIFS(MATCHER!$B$5:B332,MATCHER!B332,MATCHER!$D$5:D332,MATCHER!D332,MATCHER!$F$5:F332,MATCHER!F332,MATCHER!$K$5:K332,"Ja",MATCHER!$E$5:E332,"Arrangörsskap*")=1,MATCHER!F332,""))</f>
        <v/>
      </c>
    </row>
    <row r="333" spans="17:17">
      <c r="Q333" s="138" t="str">
        <f>IF(OR(MATCHER!A333="",MATCHER!K333&lt;&gt;"Ja",AND(MATCHER!J333&lt;&gt;MATCHER!F333,LEFT(MATCHER!J333,LEN(MATCHER!F333)+1)&lt;&gt;MATCHER!F333&amp;" ",LEFT(MATCHER!E333,13)&lt;&gt;"Arrangörsskap")),"",IF(COUNTIFS(MATCHER!$B$5:B333,MATCHER!B333,MATCHER!$D$5:D333,MATCHER!D333,MATCHER!$F$5:F333,MATCHER!F333,MATCHER!$K$5:K333,"Ja",MATCHER!$J$5:J333,MATCHER!F333)+COUNTIFS(MATCHER!$B$5:B333,MATCHER!B333,MATCHER!$D$5:D333,MATCHER!D333,MATCHER!$F$5:F333,MATCHER!F333,MATCHER!$K$5:K333,"Ja",MATCHER!$J$5:J333,MATCHER!F333&amp;" *")+COUNTIFS(MATCHER!$B$5:B333,MATCHER!B333,MATCHER!$D$5:D333,MATCHER!D333,MATCHER!$F$5:F333,MATCHER!F333,MATCHER!$K$5:K333,"Ja",MATCHER!$E$5:E333,"Arrangörsskap*")=1,MATCHER!F333,""))</f>
        <v/>
      </c>
    </row>
    <row r="334" spans="17:17">
      <c r="Q334" s="138" t="str">
        <f>IF(OR(MATCHER!A334="",MATCHER!K334&lt;&gt;"Ja",AND(MATCHER!J334&lt;&gt;MATCHER!F334,LEFT(MATCHER!J334,LEN(MATCHER!F334)+1)&lt;&gt;MATCHER!F334&amp;" ",LEFT(MATCHER!E334,13)&lt;&gt;"Arrangörsskap")),"",IF(COUNTIFS(MATCHER!$B$5:B334,MATCHER!B334,MATCHER!$D$5:D334,MATCHER!D334,MATCHER!$F$5:F334,MATCHER!F334,MATCHER!$K$5:K334,"Ja",MATCHER!$J$5:J334,MATCHER!F334)+COUNTIFS(MATCHER!$B$5:B334,MATCHER!B334,MATCHER!$D$5:D334,MATCHER!D334,MATCHER!$F$5:F334,MATCHER!F334,MATCHER!$K$5:K334,"Ja",MATCHER!$J$5:J334,MATCHER!F334&amp;" *")+COUNTIFS(MATCHER!$B$5:B334,MATCHER!B334,MATCHER!$D$5:D334,MATCHER!D334,MATCHER!$F$5:F334,MATCHER!F334,MATCHER!$K$5:K334,"Ja",MATCHER!$E$5:E334,"Arrangörsskap*")=1,MATCHER!F334,""))</f>
        <v/>
      </c>
    </row>
    <row r="335" spans="17:17">
      <c r="Q335" s="138" t="str">
        <f>IF(OR(MATCHER!A335="",MATCHER!K335&lt;&gt;"Ja",AND(MATCHER!J335&lt;&gt;MATCHER!F335,LEFT(MATCHER!J335,LEN(MATCHER!F335)+1)&lt;&gt;MATCHER!F335&amp;" ",LEFT(MATCHER!E335,13)&lt;&gt;"Arrangörsskap")),"",IF(COUNTIFS(MATCHER!$B$5:B335,MATCHER!B335,MATCHER!$D$5:D335,MATCHER!D335,MATCHER!$F$5:F335,MATCHER!F335,MATCHER!$K$5:K335,"Ja",MATCHER!$J$5:J335,MATCHER!F335)+COUNTIFS(MATCHER!$B$5:B335,MATCHER!B335,MATCHER!$D$5:D335,MATCHER!D335,MATCHER!$F$5:F335,MATCHER!F335,MATCHER!$K$5:K335,"Ja",MATCHER!$J$5:J335,MATCHER!F335&amp;" *")+COUNTIFS(MATCHER!$B$5:B335,MATCHER!B335,MATCHER!$D$5:D335,MATCHER!D335,MATCHER!$F$5:F335,MATCHER!F335,MATCHER!$K$5:K335,"Ja",MATCHER!$E$5:E335,"Arrangörsskap*")=1,MATCHER!F335,""))</f>
        <v/>
      </c>
    </row>
    <row r="336" spans="17:17">
      <c r="Q336" s="138" t="str">
        <f>IF(OR(MATCHER!A336="",MATCHER!K336&lt;&gt;"Ja",AND(MATCHER!J336&lt;&gt;MATCHER!F336,LEFT(MATCHER!J336,LEN(MATCHER!F336)+1)&lt;&gt;MATCHER!F336&amp;" ",LEFT(MATCHER!E336,13)&lt;&gt;"Arrangörsskap")),"",IF(COUNTIFS(MATCHER!$B$5:B336,MATCHER!B336,MATCHER!$D$5:D336,MATCHER!D336,MATCHER!$F$5:F336,MATCHER!F336,MATCHER!$K$5:K336,"Ja",MATCHER!$J$5:J336,MATCHER!F336)+COUNTIFS(MATCHER!$B$5:B336,MATCHER!B336,MATCHER!$D$5:D336,MATCHER!D336,MATCHER!$F$5:F336,MATCHER!F336,MATCHER!$K$5:K336,"Ja",MATCHER!$J$5:J336,MATCHER!F336&amp;" *")+COUNTIFS(MATCHER!$B$5:B336,MATCHER!B336,MATCHER!$D$5:D336,MATCHER!D336,MATCHER!$F$5:F336,MATCHER!F336,MATCHER!$K$5:K336,"Ja",MATCHER!$E$5:E336,"Arrangörsskap*")=1,MATCHER!F336,""))</f>
        <v/>
      </c>
    </row>
    <row r="337" spans="17:17">
      <c r="Q337" s="138" t="str">
        <f>IF(OR(MATCHER!A337="",MATCHER!K337&lt;&gt;"Ja",AND(MATCHER!J337&lt;&gt;MATCHER!F337,LEFT(MATCHER!J337,LEN(MATCHER!F337)+1)&lt;&gt;MATCHER!F337&amp;" ",LEFT(MATCHER!E337,13)&lt;&gt;"Arrangörsskap")),"",IF(COUNTIFS(MATCHER!$B$5:B337,MATCHER!B337,MATCHER!$D$5:D337,MATCHER!D337,MATCHER!$F$5:F337,MATCHER!F337,MATCHER!$K$5:K337,"Ja",MATCHER!$J$5:J337,MATCHER!F337)+COUNTIFS(MATCHER!$B$5:B337,MATCHER!B337,MATCHER!$D$5:D337,MATCHER!D337,MATCHER!$F$5:F337,MATCHER!F337,MATCHER!$K$5:K337,"Ja",MATCHER!$J$5:J337,MATCHER!F337&amp;" *")+COUNTIFS(MATCHER!$B$5:B337,MATCHER!B337,MATCHER!$D$5:D337,MATCHER!D337,MATCHER!$F$5:F337,MATCHER!F337,MATCHER!$K$5:K337,"Ja",MATCHER!$E$5:E337,"Arrangörsskap*")=1,MATCHER!F337,""))</f>
        <v/>
      </c>
    </row>
    <row r="338" spans="17:17">
      <c r="Q338" s="138" t="str">
        <f>IF(OR(MATCHER!A338="",MATCHER!K338&lt;&gt;"Ja",AND(MATCHER!J338&lt;&gt;MATCHER!F338,LEFT(MATCHER!J338,LEN(MATCHER!F338)+1)&lt;&gt;MATCHER!F338&amp;" ",LEFT(MATCHER!E338,13)&lt;&gt;"Arrangörsskap")),"",IF(COUNTIFS(MATCHER!$B$5:B338,MATCHER!B338,MATCHER!$D$5:D338,MATCHER!D338,MATCHER!$F$5:F338,MATCHER!F338,MATCHER!$K$5:K338,"Ja",MATCHER!$J$5:J338,MATCHER!F338)+COUNTIFS(MATCHER!$B$5:B338,MATCHER!B338,MATCHER!$D$5:D338,MATCHER!D338,MATCHER!$F$5:F338,MATCHER!F338,MATCHER!$K$5:K338,"Ja",MATCHER!$J$5:J338,MATCHER!F338&amp;" *")+COUNTIFS(MATCHER!$B$5:B338,MATCHER!B338,MATCHER!$D$5:D338,MATCHER!D338,MATCHER!$F$5:F338,MATCHER!F338,MATCHER!$K$5:K338,"Ja",MATCHER!$E$5:E338,"Arrangörsskap*")=1,MATCHER!F338,""))</f>
        <v/>
      </c>
    </row>
    <row r="339" spans="17:17">
      <c r="Q339" s="138" t="str">
        <f>IF(OR(MATCHER!A339="",MATCHER!K339&lt;&gt;"Ja",AND(MATCHER!J339&lt;&gt;MATCHER!F339,LEFT(MATCHER!J339,LEN(MATCHER!F339)+1)&lt;&gt;MATCHER!F339&amp;" ",LEFT(MATCHER!E339,13)&lt;&gt;"Arrangörsskap")),"",IF(COUNTIFS(MATCHER!$B$5:B339,MATCHER!B339,MATCHER!$D$5:D339,MATCHER!D339,MATCHER!$F$5:F339,MATCHER!F339,MATCHER!$K$5:K339,"Ja",MATCHER!$J$5:J339,MATCHER!F339)+COUNTIFS(MATCHER!$B$5:B339,MATCHER!B339,MATCHER!$D$5:D339,MATCHER!D339,MATCHER!$F$5:F339,MATCHER!F339,MATCHER!$K$5:K339,"Ja",MATCHER!$J$5:J339,MATCHER!F339&amp;" *")+COUNTIFS(MATCHER!$B$5:B339,MATCHER!B339,MATCHER!$D$5:D339,MATCHER!D339,MATCHER!$F$5:F339,MATCHER!F339,MATCHER!$K$5:K339,"Ja",MATCHER!$E$5:E339,"Arrangörsskap*")=1,MATCHER!F339,""))</f>
        <v/>
      </c>
    </row>
    <row r="340" spans="17:17">
      <c r="Q340" s="138" t="str">
        <f>IF(OR(MATCHER!A340="",MATCHER!K340&lt;&gt;"Ja",AND(MATCHER!J340&lt;&gt;MATCHER!F340,LEFT(MATCHER!J340,LEN(MATCHER!F340)+1)&lt;&gt;MATCHER!F340&amp;" ",LEFT(MATCHER!E340,13)&lt;&gt;"Arrangörsskap")),"",IF(COUNTIFS(MATCHER!$B$5:B340,MATCHER!B340,MATCHER!$D$5:D340,MATCHER!D340,MATCHER!$F$5:F340,MATCHER!F340,MATCHER!$K$5:K340,"Ja",MATCHER!$J$5:J340,MATCHER!F340)+COUNTIFS(MATCHER!$B$5:B340,MATCHER!B340,MATCHER!$D$5:D340,MATCHER!D340,MATCHER!$F$5:F340,MATCHER!F340,MATCHER!$K$5:K340,"Ja",MATCHER!$J$5:J340,MATCHER!F340&amp;" *")+COUNTIFS(MATCHER!$B$5:B340,MATCHER!B340,MATCHER!$D$5:D340,MATCHER!D340,MATCHER!$F$5:F340,MATCHER!F340,MATCHER!$K$5:K340,"Ja",MATCHER!$E$5:E340,"Arrangörsskap*")=1,MATCHER!F340,""))</f>
        <v/>
      </c>
    </row>
    <row r="341" spans="17:17">
      <c r="Q341" s="138" t="str">
        <f>IF(OR(MATCHER!A341="",MATCHER!K341&lt;&gt;"Ja",AND(MATCHER!J341&lt;&gt;MATCHER!F341,LEFT(MATCHER!J341,LEN(MATCHER!F341)+1)&lt;&gt;MATCHER!F341&amp;" ",LEFT(MATCHER!E341,13)&lt;&gt;"Arrangörsskap")),"",IF(COUNTIFS(MATCHER!$B$5:B341,MATCHER!B341,MATCHER!$D$5:D341,MATCHER!D341,MATCHER!$F$5:F341,MATCHER!F341,MATCHER!$K$5:K341,"Ja",MATCHER!$J$5:J341,MATCHER!F341)+COUNTIFS(MATCHER!$B$5:B341,MATCHER!B341,MATCHER!$D$5:D341,MATCHER!D341,MATCHER!$F$5:F341,MATCHER!F341,MATCHER!$K$5:K341,"Ja",MATCHER!$J$5:J341,MATCHER!F341&amp;" *")+COUNTIFS(MATCHER!$B$5:B341,MATCHER!B341,MATCHER!$D$5:D341,MATCHER!D341,MATCHER!$F$5:F341,MATCHER!F341,MATCHER!$K$5:K341,"Ja",MATCHER!$E$5:E341,"Arrangörsskap*")=1,MATCHER!F341,""))</f>
        <v/>
      </c>
    </row>
    <row r="342" spans="17:17">
      <c r="Q342" s="138" t="str">
        <f>IF(OR(MATCHER!A342="",MATCHER!K342&lt;&gt;"Ja",AND(MATCHER!J342&lt;&gt;MATCHER!F342,LEFT(MATCHER!J342,LEN(MATCHER!F342)+1)&lt;&gt;MATCHER!F342&amp;" ",LEFT(MATCHER!E342,13)&lt;&gt;"Arrangörsskap")),"",IF(COUNTIFS(MATCHER!$B$5:B342,MATCHER!B342,MATCHER!$D$5:D342,MATCHER!D342,MATCHER!$F$5:F342,MATCHER!F342,MATCHER!$K$5:K342,"Ja",MATCHER!$J$5:J342,MATCHER!F342)+COUNTIFS(MATCHER!$B$5:B342,MATCHER!B342,MATCHER!$D$5:D342,MATCHER!D342,MATCHER!$F$5:F342,MATCHER!F342,MATCHER!$K$5:K342,"Ja",MATCHER!$J$5:J342,MATCHER!F342&amp;" *")+COUNTIFS(MATCHER!$B$5:B342,MATCHER!B342,MATCHER!$D$5:D342,MATCHER!D342,MATCHER!$F$5:F342,MATCHER!F342,MATCHER!$K$5:K342,"Ja",MATCHER!$E$5:E342,"Arrangörsskap*")=1,MATCHER!F342,""))</f>
        <v/>
      </c>
    </row>
    <row r="343" spans="17:17">
      <c r="Q343" s="138" t="str">
        <f>IF(OR(MATCHER!A343="",MATCHER!K343&lt;&gt;"Ja",AND(MATCHER!J343&lt;&gt;MATCHER!F343,LEFT(MATCHER!J343,LEN(MATCHER!F343)+1)&lt;&gt;MATCHER!F343&amp;" ",LEFT(MATCHER!E343,13)&lt;&gt;"Arrangörsskap")),"",IF(COUNTIFS(MATCHER!$B$5:B343,MATCHER!B343,MATCHER!$D$5:D343,MATCHER!D343,MATCHER!$F$5:F343,MATCHER!F343,MATCHER!$K$5:K343,"Ja",MATCHER!$J$5:J343,MATCHER!F343)+COUNTIFS(MATCHER!$B$5:B343,MATCHER!B343,MATCHER!$D$5:D343,MATCHER!D343,MATCHER!$F$5:F343,MATCHER!F343,MATCHER!$K$5:K343,"Ja",MATCHER!$J$5:J343,MATCHER!F343&amp;" *")+COUNTIFS(MATCHER!$B$5:B343,MATCHER!B343,MATCHER!$D$5:D343,MATCHER!D343,MATCHER!$F$5:F343,MATCHER!F343,MATCHER!$K$5:K343,"Ja",MATCHER!$E$5:E343,"Arrangörsskap*")=1,MATCHER!F343,""))</f>
        <v/>
      </c>
    </row>
    <row r="344" spans="17:17">
      <c r="Q344" s="138" t="str">
        <f>IF(OR(MATCHER!A344="",MATCHER!K344&lt;&gt;"Ja",AND(MATCHER!J344&lt;&gt;MATCHER!F344,LEFT(MATCHER!J344,LEN(MATCHER!F344)+1)&lt;&gt;MATCHER!F344&amp;" ",LEFT(MATCHER!E344,13)&lt;&gt;"Arrangörsskap")),"",IF(COUNTIFS(MATCHER!$B$5:B344,MATCHER!B344,MATCHER!$D$5:D344,MATCHER!D344,MATCHER!$F$5:F344,MATCHER!F344,MATCHER!$K$5:K344,"Ja",MATCHER!$J$5:J344,MATCHER!F344)+COUNTIFS(MATCHER!$B$5:B344,MATCHER!B344,MATCHER!$D$5:D344,MATCHER!D344,MATCHER!$F$5:F344,MATCHER!F344,MATCHER!$K$5:K344,"Ja",MATCHER!$J$5:J344,MATCHER!F344&amp;" *")+COUNTIFS(MATCHER!$B$5:B344,MATCHER!B344,MATCHER!$D$5:D344,MATCHER!D344,MATCHER!$F$5:F344,MATCHER!F344,MATCHER!$K$5:K344,"Ja",MATCHER!$E$5:E344,"Arrangörsskap*")=1,MATCHER!F344,""))</f>
        <v/>
      </c>
    </row>
    <row r="345" spans="17:17">
      <c r="Q345" s="138" t="str">
        <f>IF(OR(MATCHER!A345="",MATCHER!K345&lt;&gt;"Ja",AND(MATCHER!J345&lt;&gt;MATCHER!F345,LEFT(MATCHER!J345,LEN(MATCHER!F345)+1)&lt;&gt;MATCHER!F345&amp;" ",LEFT(MATCHER!E345,13)&lt;&gt;"Arrangörsskap")),"",IF(COUNTIFS(MATCHER!$B$5:B345,MATCHER!B345,MATCHER!$D$5:D345,MATCHER!D345,MATCHER!$F$5:F345,MATCHER!F345,MATCHER!$K$5:K345,"Ja",MATCHER!$J$5:J345,MATCHER!F345)+COUNTIFS(MATCHER!$B$5:B345,MATCHER!B345,MATCHER!$D$5:D345,MATCHER!D345,MATCHER!$F$5:F345,MATCHER!F345,MATCHER!$K$5:K345,"Ja",MATCHER!$J$5:J345,MATCHER!F345&amp;" *")+COUNTIFS(MATCHER!$B$5:B345,MATCHER!B345,MATCHER!$D$5:D345,MATCHER!D345,MATCHER!$F$5:F345,MATCHER!F345,MATCHER!$K$5:K345,"Ja",MATCHER!$E$5:E345,"Arrangörsskap*")=1,MATCHER!F345,""))</f>
        <v/>
      </c>
    </row>
    <row r="346" spans="17:17">
      <c r="Q346" s="138" t="str">
        <f>IF(OR(MATCHER!A346="",MATCHER!K346&lt;&gt;"Ja",AND(MATCHER!J346&lt;&gt;MATCHER!F346,LEFT(MATCHER!J346,LEN(MATCHER!F346)+1)&lt;&gt;MATCHER!F346&amp;" ",LEFT(MATCHER!E346,13)&lt;&gt;"Arrangörsskap")),"",IF(COUNTIFS(MATCHER!$B$5:B346,MATCHER!B346,MATCHER!$D$5:D346,MATCHER!D346,MATCHER!$F$5:F346,MATCHER!F346,MATCHER!$K$5:K346,"Ja",MATCHER!$J$5:J346,MATCHER!F346)+COUNTIFS(MATCHER!$B$5:B346,MATCHER!B346,MATCHER!$D$5:D346,MATCHER!D346,MATCHER!$F$5:F346,MATCHER!F346,MATCHER!$K$5:K346,"Ja",MATCHER!$J$5:J346,MATCHER!F346&amp;" *")+COUNTIFS(MATCHER!$B$5:B346,MATCHER!B346,MATCHER!$D$5:D346,MATCHER!D346,MATCHER!$F$5:F346,MATCHER!F346,MATCHER!$K$5:K346,"Ja",MATCHER!$E$5:E346,"Arrangörsskap*")=1,MATCHER!F346,""))</f>
        <v/>
      </c>
    </row>
    <row r="347" spans="17:17">
      <c r="Q347" s="138" t="str">
        <f>IF(OR(MATCHER!A347="",MATCHER!K347&lt;&gt;"Ja",AND(MATCHER!J347&lt;&gt;MATCHER!F347,LEFT(MATCHER!J347,LEN(MATCHER!F347)+1)&lt;&gt;MATCHER!F347&amp;" ",LEFT(MATCHER!E347,13)&lt;&gt;"Arrangörsskap")),"",IF(COUNTIFS(MATCHER!$B$5:B347,MATCHER!B347,MATCHER!$D$5:D347,MATCHER!D347,MATCHER!$F$5:F347,MATCHER!F347,MATCHER!$K$5:K347,"Ja",MATCHER!$J$5:J347,MATCHER!F347)+COUNTIFS(MATCHER!$B$5:B347,MATCHER!B347,MATCHER!$D$5:D347,MATCHER!D347,MATCHER!$F$5:F347,MATCHER!F347,MATCHER!$K$5:K347,"Ja",MATCHER!$J$5:J347,MATCHER!F347&amp;" *")+COUNTIFS(MATCHER!$B$5:B347,MATCHER!B347,MATCHER!$D$5:D347,MATCHER!D347,MATCHER!$F$5:F347,MATCHER!F347,MATCHER!$K$5:K347,"Ja",MATCHER!$E$5:E347,"Arrangörsskap*")=1,MATCHER!F347,""))</f>
        <v/>
      </c>
    </row>
    <row r="348" spans="17:17">
      <c r="Q348" s="138" t="str">
        <f>IF(OR(MATCHER!A348="",MATCHER!K348&lt;&gt;"Ja",AND(MATCHER!J348&lt;&gt;MATCHER!F348,LEFT(MATCHER!J348,LEN(MATCHER!F348)+1)&lt;&gt;MATCHER!F348&amp;" ",LEFT(MATCHER!E348,13)&lt;&gt;"Arrangörsskap")),"",IF(COUNTIFS(MATCHER!$B$5:B348,MATCHER!B348,MATCHER!$D$5:D348,MATCHER!D348,MATCHER!$F$5:F348,MATCHER!F348,MATCHER!$K$5:K348,"Ja",MATCHER!$J$5:J348,MATCHER!F348)+COUNTIFS(MATCHER!$B$5:B348,MATCHER!B348,MATCHER!$D$5:D348,MATCHER!D348,MATCHER!$F$5:F348,MATCHER!F348,MATCHER!$K$5:K348,"Ja",MATCHER!$J$5:J348,MATCHER!F348&amp;" *")+COUNTIFS(MATCHER!$B$5:B348,MATCHER!B348,MATCHER!$D$5:D348,MATCHER!D348,MATCHER!$F$5:F348,MATCHER!F348,MATCHER!$K$5:K348,"Ja",MATCHER!$E$5:E348,"Arrangörsskap*")=1,MATCHER!F348,""))</f>
        <v/>
      </c>
    </row>
    <row r="349" spans="17:17">
      <c r="Q349" s="138" t="str">
        <f>IF(OR(MATCHER!A349="",MATCHER!K349&lt;&gt;"Ja",AND(MATCHER!J349&lt;&gt;MATCHER!F349,LEFT(MATCHER!J349,LEN(MATCHER!F349)+1)&lt;&gt;MATCHER!F349&amp;" ",LEFT(MATCHER!E349,13)&lt;&gt;"Arrangörsskap")),"",IF(COUNTIFS(MATCHER!$B$5:B349,MATCHER!B349,MATCHER!$D$5:D349,MATCHER!D349,MATCHER!$F$5:F349,MATCHER!F349,MATCHER!$K$5:K349,"Ja",MATCHER!$J$5:J349,MATCHER!F349)+COUNTIFS(MATCHER!$B$5:B349,MATCHER!B349,MATCHER!$D$5:D349,MATCHER!D349,MATCHER!$F$5:F349,MATCHER!F349,MATCHER!$K$5:K349,"Ja",MATCHER!$J$5:J349,MATCHER!F349&amp;" *")+COUNTIFS(MATCHER!$B$5:B349,MATCHER!B349,MATCHER!$D$5:D349,MATCHER!D349,MATCHER!$F$5:F349,MATCHER!F349,MATCHER!$K$5:K349,"Ja",MATCHER!$E$5:E349,"Arrangörsskap*")=1,MATCHER!F349,""))</f>
        <v/>
      </c>
    </row>
    <row r="350" spans="17:17">
      <c r="Q350" s="138" t="str">
        <f>IF(OR(MATCHER!A350="",MATCHER!K350&lt;&gt;"Ja",AND(MATCHER!J350&lt;&gt;MATCHER!F350,LEFT(MATCHER!J350,LEN(MATCHER!F350)+1)&lt;&gt;MATCHER!F350&amp;" ",LEFT(MATCHER!E350,13)&lt;&gt;"Arrangörsskap")),"",IF(COUNTIFS(MATCHER!$B$5:B350,MATCHER!B350,MATCHER!$D$5:D350,MATCHER!D350,MATCHER!$F$5:F350,MATCHER!F350,MATCHER!$K$5:K350,"Ja",MATCHER!$J$5:J350,MATCHER!F350)+COUNTIFS(MATCHER!$B$5:B350,MATCHER!B350,MATCHER!$D$5:D350,MATCHER!D350,MATCHER!$F$5:F350,MATCHER!F350,MATCHER!$K$5:K350,"Ja",MATCHER!$J$5:J350,MATCHER!F350&amp;" *")+COUNTIFS(MATCHER!$B$5:B350,MATCHER!B350,MATCHER!$D$5:D350,MATCHER!D350,MATCHER!$F$5:F350,MATCHER!F350,MATCHER!$K$5:K350,"Ja",MATCHER!$E$5:E350,"Arrangörsskap*")=1,MATCHER!F350,""))</f>
        <v/>
      </c>
    </row>
    <row r="351" spans="17:17">
      <c r="Q351" s="138" t="str">
        <f>IF(OR(MATCHER!A351="",MATCHER!K351&lt;&gt;"Ja",AND(MATCHER!J351&lt;&gt;MATCHER!F351,LEFT(MATCHER!J351,LEN(MATCHER!F351)+1)&lt;&gt;MATCHER!F351&amp;" ",LEFT(MATCHER!E351,13)&lt;&gt;"Arrangörsskap")),"",IF(COUNTIFS(MATCHER!$B$5:B351,MATCHER!B351,MATCHER!$D$5:D351,MATCHER!D351,MATCHER!$F$5:F351,MATCHER!F351,MATCHER!$K$5:K351,"Ja",MATCHER!$J$5:J351,MATCHER!F351)+COUNTIFS(MATCHER!$B$5:B351,MATCHER!B351,MATCHER!$D$5:D351,MATCHER!D351,MATCHER!$F$5:F351,MATCHER!F351,MATCHER!$K$5:K351,"Ja",MATCHER!$J$5:J351,MATCHER!F351&amp;" *")+COUNTIFS(MATCHER!$B$5:B351,MATCHER!B351,MATCHER!$D$5:D351,MATCHER!D351,MATCHER!$F$5:F351,MATCHER!F351,MATCHER!$K$5:K351,"Ja",MATCHER!$E$5:E351,"Arrangörsskap*")=1,MATCHER!F351,""))</f>
        <v/>
      </c>
    </row>
    <row r="352" spans="17:17">
      <c r="Q352" s="138" t="str">
        <f>IF(OR(MATCHER!A352="",MATCHER!K352&lt;&gt;"Ja",AND(MATCHER!J352&lt;&gt;MATCHER!F352,LEFT(MATCHER!J352,LEN(MATCHER!F352)+1)&lt;&gt;MATCHER!F352&amp;" ",LEFT(MATCHER!E352,13)&lt;&gt;"Arrangörsskap")),"",IF(COUNTIFS(MATCHER!$B$5:B352,MATCHER!B352,MATCHER!$D$5:D352,MATCHER!D352,MATCHER!$F$5:F352,MATCHER!F352,MATCHER!$K$5:K352,"Ja",MATCHER!$J$5:J352,MATCHER!F352)+COUNTIFS(MATCHER!$B$5:B352,MATCHER!B352,MATCHER!$D$5:D352,MATCHER!D352,MATCHER!$F$5:F352,MATCHER!F352,MATCHER!$K$5:K352,"Ja",MATCHER!$J$5:J352,MATCHER!F352&amp;" *")+COUNTIFS(MATCHER!$B$5:B352,MATCHER!B352,MATCHER!$D$5:D352,MATCHER!D352,MATCHER!$F$5:F352,MATCHER!F352,MATCHER!$K$5:K352,"Ja",MATCHER!$E$5:E352,"Arrangörsskap*")=1,MATCHER!F352,""))</f>
        <v/>
      </c>
    </row>
    <row r="353" spans="17:17">
      <c r="Q353" s="138" t="str">
        <f>IF(OR(MATCHER!A353="",MATCHER!K353&lt;&gt;"Ja",AND(MATCHER!J353&lt;&gt;MATCHER!F353,LEFT(MATCHER!J353,LEN(MATCHER!F353)+1)&lt;&gt;MATCHER!F353&amp;" ",LEFT(MATCHER!E353,13)&lt;&gt;"Arrangörsskap")),"",IF(COUNTIFS(MATCHER!$B$5:B353,MATCHER!B353,MATCHER!$D$5:D353,MATCHER!D353,MATCHER!$F$5:F353,MATCHER!F353,MATCHER!$K$5:K353,"Ja",MATCHER!$J$5:J353,MATCHER!F353)+COUNTIFS(MATCHER!$B$5:B353,MATCHER!B353,MATCHER!$D$5:D353,MATCHER!D353,MATCHER!$F$5:F353,MATCHER!F353,MATCHER!$K$5:K353,"Ja",MATCHER!$J$5:J353,MATCHER!F353&amp;" *")+COUNTIFS(MATCHER!$B$5:B353,MATCHER!B353,MATCHER!$D$5:D353,MATCHER!D353,MATCHER!$F$5:F353,MATCHER!F353,MATCHER!$K$5:K353,"Ja",MATCHER!$E$5:E353,"Arrangörsskap*")=1,MATCHER!F353,""))</f>
        <v/>
      </c>
    </row>
    <row r="354" spans="17:17">
      <c r="Q354" s="138" t="str">
        <f>IF(OR(MATCHER!A354="",MATCHER!K354&lt;&gt;"Ja",AND(MATCHER!J354&lt;&gt;MATCHER!F354,LEFT(MATCHER!J354,LEN(MATCHER!F354)+1)&lt;&gt;MATCHER!F354&amp;" ",LEFT(MATCHER!E354,13)&lt;&gt;"Arrangörsskap")),"",IF(COUNTIFS(MATCHER!$B$5:B354,MATCHER!B354,MATCHER!$D$5:D354,MATCHER!D354,MATCHER!$F$5:F354,MATCHER!F354,MATCHER!$K$5:K354,"Ja",MATCHER!$J$5:J354,MATCHER!F354)+COUNTIFS(MATCHER!$B$5:B354,MATCHER!B354,MATCHER!$D$5:D354,MATCHER!D354,MATCHER!$F$5:F354,MATCHER!F354,MATCHER!$K$5:K354,"Ja",MATCHER!$J$5:J354,MATCHER!F354&amp;" *")+COUNTIFS(MATCHER!$B$5:B354,MATCHER!B354,MATCHER!$D$5:D354,MATCHER!D354,MATCHER!$F$5:F354,MATCHER!F354,MATCHER!$K$5:K354,"Ja",MATCHER!$E$5:E354,"Arrangörsskap*")=1,MATCHER!F354,""))</f>
        <v/>
      </c>
    </row>
    <row r="355" spans="17:17">
      <c r="Q355" s="138" t="str">
        <f>IF(OR(MATCHER!A355="",MATCHER!K355&lt;&gt;"Ja",AND(MATCHER!J355&lt;&gt;MATCHER!F355,LEFT(MATCHER!J355,LEN(MATCHER!F355)+1)&lt;&gt;MATCHER!F355&amp;" ",LEFT(MATCHER!E355,13)&lt;&gt;"Arrangörsskap")),"",IF(COUNTIFS(MATCHER!$B$5:B355,MATCHER!B355,MATCHER!$D$5:D355,MATCHER!D355,MATCHER!$F$5:F355,MATCHER!F355,MATCHER!$K$5:K355,"Ja",MATCHER!$J$5:J355,MATCHER!F355)+COUNTIFS(MATCHER!$B$5:B355,MATCHER!B355,MATCHER!$D$5:D355,MATCHER!D355,MATCHER!$F$5:F355,MATCHER!F355,MATCHER!$K$5:K355,"Ja",MATCHER!$J$5:J355,MATCHER!F355&amp;" *")+COUNTIFS(MATCHER!$B$5:B355,MATCHER!B355,MATCHER!$D$5:D355,MATCHER!D355,MATCHER!$F$5:F355,MATCHER!F355,MATCHER!$K$5:K355,"Ja",MATCHER!$E$5:E355,"Arrangörsskap*")=1,MATCHER!F355,""))</f>
        <v/>
      </c>
    </row>
    <row r="356" spans="17:17">
      <c r="Q356" s="138" t="str">
        <f>IF(OR(MATCHER!A356="",MATCHER!K356&lt;&gt;"Ja",AND(MATCHER!J356&lt;&gt;MATCHER!F356,LEFT(MATCHER!J356,LEN(MATCHER!F356)+1)&lt;&gt;MATCHER!F356&amp;" ",LEFT(MATCHER!E356,13)&lt;&gt;"Arrangörsskap")),"",IF(COUNTIFS(MATCHER!$B$5:B356,MATCHER!B356,MATCHER!$D$5:D356,MATCHER!D356,MATCHER!$F$5:F356,MATCHER!F356,MATCHER!$K$5:K356,"Ja",MATCHER!$J$5:J356,MATCHER!F356)+COUNTIFS(MATCHER!$B$5:B356,MATCHER!B356,MATCHER!$D$5:D356,MATCHER!D356,MATCHER!$F$5:F356,MATCHER!F356,MATCHER!$K$5:K356,"Ja",MATCHER!$J$5:J356,MATCHER!F356&amp;" *")+COUNTIFS(MATCHER!$B$5:B356,MATCHER!B356,MATCHER!$D$5:D356,MATCHER!D356,MATCHER!$F$5:F356,MATCHER!F356,MATCHER!$K$5:K356,"Ja",MATCHER!$E$5:E356,"Arrangörsskap*")=1,MATCHER!F356,""))</f>
        <v/>
      </c>
    </row>
    <row r="357" spans="17:17">
      <c r="Q357" s="138" t="str">
        <f>IF(OR(MATCHER!A357="",MATCHER!K357&lt;&gt;"Ja",AND(MATCHER!J357&lt;&gt;MATCHER!F357,LEFT(MATCHER!J357,LEN(MATCHER!F357)+1)&lt;&gt;MATCHER!F357&amp;" ",LEFT(MATCHER!E357,13)&lt;&gt;"Arrangörsskap")),"",IF(COUNTIFS(MATCHER!$B$5:B357,MATCHER!B357,MATCHER!$D$5:D357,MATCHER!D357,MATCHER!$F$5:F357,MATCHER!F357,MATCHER!$K$5:K357,"Ja",MATCHER!$J$5:J357,MATCHER!F357)+COUNTIFS(MATCHER!$B$5:B357,MATCHER!B357,MATCHER!$D$5:D357,MATCHER!D357,MATCHER!$F$5:F357,MATCHER!F357,MATCHER!$K$5:K357,"Ja",MATCHER!$J$5:J357,MATCHER!F357&amp;" *")+COUNTIFS(MATCHER!$B$5:B357,MATCHER!B357,MATCHER!$D$5:D357,MATCHER!D357,MATCHER!$F$5:F357,MATCHER!F357,MATCHER!$K$5:K357,"Ja",MATCHER!$E$5:E357,"Arrangörsskap*")=1,MATCHER!F357,""))</f>
        <v/>
      </c>
    </row>
    <row r="358" spans="17:17">
      <c r="Q358" s="138" t="str">
        <f>IF(OR(MATCHER!A358="",MATCHER!K358&lt;&gt;"Ja",AND(MATCHER!J358&lt;&gt;MATCHER!F358,LEFT(MATCHER!J358,LEN(MATCHER!F358)+1)&lt;&gt;MATCHER!F358&amp;" ",LEFT(MATCHER!E358,13)&lt;&gt;"Arrangörsskap")),"",IF(COUNTIFS(MATCHER!$B$5:B358,MATCHER!B358,MATCHER!$D$5:D358,MATCHER!D358,MATCHER!$F$5:F358,MATCHER!F358,MATCHER!$K$5:K358,"Ja",MATCHER!$J$5:J358,MATCHER!F358)+COUNTIFS(MATCHER!$B$5:B358,MATCHER!B358,MATCHER!$D$5:D358,MATCHER!D358,MATCHER!$F$5:F358,MATCHER!F358,MATCHER!$K$5:K358,"Ja",MATCHER!$J$5:J358,MATCHER!F358&amp;" *")+COUNTIFS(MATCHER!$B$5:B358,MATCHER!B358,MATCHER!$D$5:D358,MATCHER!D358,MATCHER!$F$5:F358,MATCHER!F358,MATCHER!$K$5:K358,"Ja",MATCHER!$E$5:E358,"Arrangörsskap*")=1,MATCHER!F358,""))</f>
        <v/>
      </c>
    </row>
    <row r="359" spans="17:17">
      <c r="Q359" s="138" t="str">
        <f>IF(OR(MATCHER!A359="",MATCHER!K359&lt;&gt;"Ja",AND(MATCHER!J359&lt;&gt;MATCHER!F359,LEFT(MATCHER!J359,LEN(MATCHER!F359)+1)&lt;&gt;MATCHER!F359&amp;" ",LEFT(MATCHER!E359,13)&lt;&gt;"Arrangörsskap")),"",IF(COUNTIFS(MATCHER!$B$5:B359,MATCHER!B359,MATCHER!$D$5:D359,MATCHER!D359,MATCHER!$F$5:F359,MATCHER!F359,MATCHER!$K$5:K359,"Ja",MATCHER!$J$5:J359,MATCHER!F359)+COUNTIFS(MATCHER!$B$5:B359,MATCHER!B359,MATCHER!$D$5:D359,MATCHER!D359,MATCHER!$F$5:F359,MATCHER!F359,MATCHER!$K$5:K359,"Ja",MATCHER!$J$5:J359,MATCHER!F359&amp;" *")+COUNTIFS(MATCHER!$B$5:B359,MATCHER!B359,MATCHER!$D$5:D359,MATCHER!D359,MATCHER!$F$5:F359,MATCHER!F359,MATCHER!$K$5:K359,"Ja",MATCHER!$E$5:E359,"Arrangörsskap*")=1,MATCHER!F359,""))</f>
        <v/>
      </c>
    </row>
    <row r="360" spans="17:17">
      <c r="Q360" s="138" t="str">
        <f>IF(OR(MATCHER!A360="",MATCHER!K360&lt;&gt;"Ja",AND(MATCHER!J360&lt;&gt;MATCHER!F360,LEFT(MATCHER!J360,LEN(MATCHER!F360)+1)&lt;&gt;MATCHER!F360&amp;" ",LEFT(MATCHER!E360,13)&lt;&gt;"Arrangörsskap")),"",IF(COUNTIFS(MATCHER!$B$5:B360,MATCHER!B360,MATCHER!$D$5:D360,MATCHER!D360,MATCHER!$F$5:F360,MATCHER!F360,MATCHER!$K$5:K360,"Ja",MATCHER!$J$5:J360,MATCHER!F360)+COUNTIFS(MATCHER!$B$5:B360,MATCHER!B360,MATCHER!$D$5:D360,MATCHER!D360,MATCHER!$F$5:F360,MATCHER!F360,MATCHER!$K$5:K360,"Ja",MATCHER!$J$5:J360,MATCHER!F360&amp;" *")+COUNTIFS(MATCHER!$B$5:B360,MATCHER!B360,MATCHER!$D$5:D360,MATCHER!D360,MATCHER!$F$5:F360,MATCHER!F360,MATCHER!$K$5:K360,"Ja",MATCHER!$E$5:E360,"Arrangörsskap*")=1,MATCHER!F360,""))</f>
        <v/>
      </c>
    </row>
    <row r="361" spans="17:17">
      <c r="Q361" s="138" t="str">
        <f>IF(OR(MATCHER!A361="",MATCHER!K361&lt;&gt;"Ja",AND(MATCHER!J361&lt;&gt;MATCHER!F361,LEFT(MATCHER!J361,LEN(MATCHER!F361)+1)&lt;&gt;MATCHER!F361&amp;" ",LEFT(MATCHER!E361,13)&lt;&gt;"Arrangörsskap")),"",IF(COUNTIFS(MATCHER!$B$5:B361,MATCHER!B361,MATCHER!$D$5:D361,MATCHER!D361,MATCHER!$F$5:F361,MATCHER!F361,MATCHER!$K$5:K361,"Ja",MATCHER!$J$5:J361,MATCHER!F361)+COUNTIFS(MATCHER!$B$5:B361,MATCHER!B361,MATCHER!$D$5:D361,MATCHER!D361,MATCHER!$F$5:F361,MATCHER!F361,MATCHER!$K$5:K361,"Ja",MATCHER!$J$5:J361,MATCHER!F361&amp;" *")+COUNTIFS(MATCHER!$B$5:B361,MATCHER!B361,MATCHER!$D$5:D361,MATCHER!D361,MATCHER!$F$5:F361,MATCHER!F361,MATCHER!$K$5:K361,"Ja",MATCHER!$E$5:E361,"Arrangörsskap*")=1,MATCHER!F361,""))</f>
        <v/>
      </c>
    </row>
    <row r="362" spans="17:17">
      <c r="Q362" s="138" t="str">
        <f>IF(OR(MATCHER!A362="",MATCHER!K362&lt;&gt;"Ja",AND(MATCHER!J362&lt;&gt;MATCHER!F362,LEFT(MATCHER!J362,LEN(MATCHER!F362)+1)&lt;&gt;MATCHER!F362&amp;" ",LEFT(MATCHER!E362,13)&lt;&gt;"Arrangörsskap")),"",IF(COUNTIFS(MATCHER!$B$5:B362,MATCHER!B362,MATCHER!$D$5:D362,MATCHER!D362,MATCHER!$F$5:F362,MATCHER!F362,MATCHER!$K$5:K362,"Ja",MATCHER!$J$5:J362,MATCHER!F362)+COUNTIFS(MATCHER!$B$5:B362,MATCHER!B362,MATCHER!$D$5:D362,MATCHER!D362,MATCHER!$F$5:F362,MATCHER!F362,MATCHER!$K$5:K362,"Ja",MATCHER!$J$5:J362,MATCHER!F362&amp;" *")+COUNTIFS(MATCHER!$B$5:B362,MATCHER!B362,MATCHER!$D$5:D362,MATCHER!D362,MATCHER!$F$5:F362,MATCHER!F362,MATCHER!$K$5:K362,"Ja",MATCHER!$E$5:E362,"Arrangörsskap*")=1,MATCHER!F362,""))</f>
        <v/>
      </c>
    </row>
    <row r="363" spans="17:17">
      <c r="Q363" s="138" t="str">
        <f>IF(OR(MATCHER!A363="",MATCHER!K363&lt;&gt;"Ja",AND(MATCHER!J363&lt;&gt;MATCHER!F363,LEFT(MATCHER!J363,LEN(MATCHER!F363)+1)&lt;&gt;MATCHER!F363&amp;" ",LEFT(MATCHER!E363,13)&lt;&gt;"Arrangörsskap")),"",IF(COUNTIFS(MATCHER!$B$5:B363,MATCHER!B363,MATCHER!$D$5:D363,MATCHER!D363,MATCHER!$F$5:F363,MATCHER!F363,MATCHER!$K$5:K363,"Ja",MATCHER!$J$5:J363,MATCHER!F363)+COUNTIFS(MATCHER!$B$5:B363,MATCHER!B363,MATCHER!$D$5:D363,MATCHER!D363,MATCHER!$F$5:F363,MATCHER!F363,MATCHER!$K$5:K363,"Ja",MATCHER!$J$5:J363,MATCHER!F363&amp;" *")+COUNTIFS(MATCHER!$B$5:B363,MATCHER!B363,MATCHER!$D$5:D363,MATCHER!D363,MATCHER!$F$5:F363,MATCHER!F363,MATCHER!$K$5:K363,"Ja",MATCHER!$E$5:E363,"Arrangörsskap*")=1,MATCHER!F363,""))</f>
        <v/>
      </c>
    </row>
    <row r="364" spans="17:17">
      <c r="Q364" s="138" t="str">
        <f>IF(OR(MATCHER!A364="",MATCHER!K364&lt;&gt;"Ja",AND(MATCHER!J364&lt;&gt;MATCHER!F364,LEFT(MATCHER!J364,LEN(MATCHER!F364)+1)&lt;&gt;MATCHER!F364&amp;" ",LEFT(MATCHER!E364,13)&lt;&gt;"Arrangörsskap")),"",IF(COUNTIFS(MATCHER!$B$5:B364,MATCHER!B364,MATCHER!$D$5:D364,MATCHER!D364,MATCHER!$F$5:F364,MATCHER!F364,MATCHER!$K$5:K364,"Ja",MATCHER!$J$5:J364,MATCHER!F364)+COUNTIFS(MATCHER!$B$5:B364,MATCHER!B364,MATCHER!$D$5:D364,MATCHER!D364,MATCHER!$F$5:F364,MATCHER!F364,MATCHER!$K$5:K364,"Ja",MATCHER!$J$5:J364,MATCHER!F364&amp;" *")+COUNTIFS(MATCHER!$B$5:B364,MATCHER!B364,MATCHER!$D$5:D364,MATCHER!D364,MATCHER!$F$5:F364,MATCHER!F364,MATCHER!$K$5:K364,"Ja",MATCHER!$E$5:E364,"Arrangörsskap*")=1,MATCHER!F364,""))</f>
        <v/>
      </c>
    </row>
    <row r="365" spans="17:17">
      <c r="Q365" s="138" t="str">
        <f>IF(OR(MATCHER!A365="",MATCHER!K365&lt;&gt;"Ja",AND(MATCHER!J365&lt;&gt;MATCHER!F365,LEFT(MATCHER!J365,LEN(MATCHER!F365)+1)&lt;&gt;MATCHER!F365&amp;" ",LEFT(MATCHER!E365,13)&lt;&gt;"Arrangörsskap")),"",IF(COUNTIFS(MATCHER!$B$5:B365,MATCHER!B365,MATCHER!$D$5:D365,MATCHER!D365,MATCHER!$F$5:F365,MATCHER!F365,MATCHER!$K$5:K365,"Ja",MATCHER!$J$5:J365,MATCHER!F365)+COUNTIFS(MATCHER!$B$5:B365,MATCHER!B365,MATCHER!$D$5:D365,MATCHER!D365,MATCHER!$F$5:F365,MATCHER!F365,MATCHER!$K$5:K365,"Ja",MATCHER!$J$5:J365,MATCHER!F365&amp;" *")+COUNTIFS(MATCHER!$B$5:B365,MATCHER!B365,MATCHER!$D$5:D365,MATCHER!D365,MATCHER!$F$5:F365,MATCHER!F365,MATCHER!$K$5:K365,"Ja",MATCHER!$E$5:E365,"Arrangörsskap*")=1,MATCHER!F365,""))</f>
        <v/>
      </c>
    </row>
    <row r="366" spans="17:17">
      <c r="Q366" s="138" t="str">
        <f>IF(OR(MATCHER!A366="",MATCHER!K366&lt;&gt;"Ja",AND(MATCHER!J366&lt;&gt;MATCHER!F366,LEFT(MATCHER!J366,LEN(MATCHER!F366)+1)&lt;&gt;MATCHER!F366&amp;" ",LEFT(MATCHER!E366,13)&lt;&gt;"Arrangörsskap")),"",IF(COUNTIFS(MATCHER!$B$5:B366,MATCHER!B366,MATCHER!$D$5:D366,MATCHER!D366,MATCHER!$F$5:F366,MATCHER!F366,MATCHER!$K$5:K366,"Ja",MATCHER!$J$5:J366,MATCHER!F366)+COUNTIFS(MATCHER!$B$5:B366,MATCHER!B366,MATCHER!$D$5:D366,MATCHER!D366,MATCHER!$F$5:F366,MATCHER!F366,MATCHER!$K$5:K366,"Ja",MATCHER!$J$5:J366,MATCHER!F366&amp;" *")+COUNTIFS(MATCHER!$B$5:B366,MATCHER!B366,MATCHER!$D$5:D366,MATCHER!D366,MATCHER!$F$5:F366,MATCHER!F366,MATCHER!$K$5:K366,"Ja",MATCHER!$E$5:E366,"Arrangörsskap*")=1,MATCHER!F366,""))</f>
        <v/>
      </c>
    </row>
    <row r="367" spans="17:17">
      <c r="Q367" s="138" t="str">
        <f>IF(OR(MATCHER!A367="",MATCHER!K367&lt;&gt;"Ja",AND(MATCHER!J367&lt;&gt;MATCHER!F367,LEFT(MATCHER!J367,LEN(MATCHER!F367)+1)&lt;&gt;MATCHER!F367&amp;" ",LEFT(MATCHER!E367,13)&lt;&gt;"Arrangörsskap")),"",IF(COUNTIFS(MATCHER!$B$5:B367,MATCHER!B367,MATCHER!$D$5:D367,MATCHER!D367,MATCHER!$F$5:F367,MATCHER!F367,MATCHER!$K$5:K367,"Ja",MATCHER!$J$5:J367,MATCHER!F367)+COUNTIFS(MATCHER!$B$5:B367,MATCHER!B367,MATCHER!$D$5:D367,MATCHER!D367,MATCHER!$F$5:F367,MATCHER!F367,MATCHER!$K$5:K367,"Ja",MATCHER!$J$5:J367,MATCHER!F367&amp;" *")+COUNTIFS(MATCHER!$B$5:B367,MATCHER!B367,MATCHER!$D$5:D367,MATCHER!D367,MATCHER!$F$5:F367,MATCHER!F367,MATCHER!$K$5:K367,"Ja",MATCHER!$E$5:E367,"Arrangörsskap*")=1,MATCHER!F367,""))</f>
        <v/>
      </c>
    </row>
    <row r="368" spans="17:17">
      <c r="Q368" s="138" t="str">
        <f>IF(OR(MATCHER!A368="",MATCHER!K368&lt;&gt;"Ja",AND(MATCHER!J368&lt;&gt;MATCHER!F368,LEFT(MATCHER!J368,LEN(MATCHER!F368)+1)&lt;&gt;MATCHER!F368&amp;" ",LEFT(MATCHER!E368,13)&lt;&gt;"Arrangörsskap")),"",IF(COUNTIFS(MATCHER!$B$5:B368,MATCHER!B368,MATCHER!$D$5:D368,MATCHER!D368,MATCHER!$F$5:F368,MATCHER!F368,MATCHER!$K$5:K368,"Ja",MATCHER!$J$5:J368,MATCHER!F368)+COUNTIFS(MATCHER!$B$5:B368,MATCHER!B368,MATCHER!$D$5:D368,MATCHER!D368,MATCHER!$F$5:F368,MATCHER!F368,MATCHER!$K$5:K368,"Ja",MATCHER!$J$5:J368,MATCHER!F368&amp;" *")+COUNTIFS(MATCHER!$B$5:B368,MATCHER!B368,MATCHER!$D$5:D368,MATCHER!D368,MATCHER!$F$5:F368,MATCHER!F368,MATCHER!$K$5:K368,"Ja",MATCHER!$E$5:E368,"Arrangörsskap*")=1,MATCHER!F368,""))</f>
        <v/>
      </c>
    </row>
    <row r="369" spans="17:17">
      <c r="Q369" s="138" t="str">
        <f>IF(OR(MATCHER!A369="",MATCHER!K369&lt;&gt;"Ja",AND(MATCHER!J369&lt;&gt;MATCHER!F369,LEFT(MATCHER!J369,LEN(MATCHER!F369)+1)&lt;&gt;MATCHER!F369&amp;" ",LEFT(MATCHER!E369,13)&lt;&gt;"Arrangörsskap")),"",IF(COUNTIFS(MATCHER!$B$5:B369,MATCHER!B369,MATCHER!$D$5:D369,MATCHER!D369,MATCHER!$F$5:F369,MATCHER!F369,MATCHER!$K$5:K369,"Ja",MATCHER!$J$5:J369,MATCHER!F369)+COUNTIFS(MATCHER!$B$5:B369,MATCHER!B369,MATCHER!$D$5:D369,MATCHER!D369,MATCHER!$F$5:F369,MATCHER!F369,MATCHER!$K$5:K369,"Ja",MATCHER!$J$5:J369,MATCHER!F369&amp;" *")+COUNTIFS(MATCHER!$B$5:B369,MATCHER!B369,MATCHER!$D$5:D369,MATCHER!D369,MATCHER!$F$5:F369,MATCHER!F369,MATCHER!$K$5:K369,"Ja",MATCHER!$E$5:E369,"Arrangörsskap*")=1,MATCHER!F369,""))</f>
        <v/>
      </c>
    </row>
    <row r="370" spans="17:17">
      <c r="Q370" s="138" t="str">
        <f>IF(OR(MATCHER!A370="",MATCHER!K370&lt;&gt;"Ja",AND(MATCHER!J370&lt;&gt;MATCHER!F370,LEFT(MATCHER!J370,LEN(MATCHER!F370)+1)&lt;&gt;MATCHER!F370&amp;" ",LEFT(MATCHER!E370,13)&lt;&gt;"Arrangörsskap")),"",IF(COUNTIFS(MATCHER!$B$5:B370,MATCHER!B370,MATCHER!$D$5:D370,MATCHER!D370,MATCHER!$F$5:F370,MATCHER!F370,MATCHER!$K$5:K370,"Ja",MATCHER!$J$5:J370,MATCHER!F370)+COUNTIFS(MATCHER!$B$5:B370,MATCHER!B370,MATCHER!$D$5:D370,MATCHER!D370,MATCHER!$F$5:F370,MATCHER!F370,MATCHER!$K$5:K370,"Ja",MATCHER!$J$5:J370,MATCHER!F370&amp;" *")+COUNTIFS(MATCHER!$B$5:B370,MATCHER!B370,MATCHER!$D$5:D370,MATCHER!D370,MATCHER!$F$5:F370,MATCHER!F370,MATCHER!$K$5:K370,"Ja",MATCHER!$E$5:E370,"Arrangörsskap*")=1,MATCHER!F370,""))</f>
        <v/>
      </c>
    </row>
    <row r="371" spans="17:17">
      <c r="Q371" s="138" t="str">
        <f>IF(OR(MATCHER!A371="",MATCHER!K371&lt;&gt;"Ja",AND(MATCHER!J371&lt;&gt;MATCHER!F371,LEFT(MATCHER!J371,LEN(MATCHER!F371)+1)&lt;&gt;MATCHER!F371&amp;" ",LEFT(MATCHER!E371,13)&lt;&gt;"Arrangörsskap")),"",IF(COUNTIFS(MATCHER!$B$5:B371,MATCHER!B371,MATCHER!$D$5:D371,MATCHER!D371,MATCHER!$F$5:F371,MATCHER!F371,MATCHER!$K$5:K371,"Ja",MATCHER!$J$5:J371,MATCHER!F371)+COUNTIFS(MATCHER!$B$5:B371,MATCHER!B371,MATCHER!$D$5:D371,MATCHER!D371,MATCHER!$F$5:F371,MATCHER!F371,MATCHER!$K$5:K371,"Ja",MATCHER!$J$5:J371,MATCHER!F371&amp;" *")+COUNTIFS(MATCHER!$B$5:B371,MATCHER!B371,MATCHER!$D$5:D371,MATCHER!D371,MATCHER!$F$5:F371,MATCHER!F371,MATCHER!$K$5:K371,"Ja",MATCHER!$E$5:E371,"Arrangörsskap*")=1,MATCHER!F371,""))</f>
        <v/>
      </c>
    </row>
    <row r="372" spans="17:17">
      <c r="Q372" s="138" t="str">
        <f>IF(OR(MATCHER!A372="",MATCHER!K372&lt;&gt;"Ja",AND(MATCHER!J372&lt;&gt;MATCHER!F372,LEFT(MATCHER!J372,LEN(MATCHER!F372)+1)&lt;&gt;MATCHER!F372&amp;" ",LEFT(MATCHER!E372,13)&lt;&gt;"Arrangörsskap")),"",IF(COUNTIFS(MATCHER!$B$5:B372,MATCHER!B372,MATCHER!$D$5:D372,MATCHER!D372,MATCHER!$F$5:F372,MATCHER!F372,MATCHER!$K$5:K372,"Ja",MATCHER!$J$5:J372,MATCHER!F372)+COUNTIFS(MATCHER!$B$5:B372,MATCHER!B372,MATCHER!$D$5:D372,MATCHER!D372,MATCHER!$F$5:F372,MATCHER!F372,MATCHER!$K$5:K372,"Ja",MATCHER!$J$5:J372,MATCHER!F372&amp;" *")+COUNTIFS(MATCHER!$B$5:B372,MATCHER!B372,MATCHER!$D$5:D372,MATCHER!D372,MATCHER!$F$5:F372,MATCHER!F372,MATCHER!$K$5:K372,"Ja",MATCHER!$E$5:E372,"Arrangörsskap*")=1,MATCHER!F372,""))</f>
        <v/>
      </c>
    </row>
    <row r="373" spans="17:17">
      <c r="Q373" s="138" t="str">
        <f>IF(OR(MATCHER!A373="",MATCHER!K373&lt;&gt;"Ja",AND(MATCHER!J373&lt;&gt;MATCHER!F373,LEFT(MATCHER!J373,LEN(MATCHER!F373)+1)&lt;&gt;MATCHER!F373&amp;" ",LEFT(MATCHER!E373,13)&lt;&gt;"Arrangörsskap")),"",IF(COUNTIFS(MATCHER!$B$5:B373,MATCHER!B373,MATCHER!$D$5:D373,MATCHER!D373,MATCHER!$F$5:F373,MATCHER!F373,MATCHER!$K$5:K373,"Ja",MATCHER!$J$5:J373,MATCHER!F373)+COUNTIFS(MATCHER!$B$5:B373,MATCHER!B373,MATCHER!$D$5:D373,MATCHER!D373,MATCHER!$F$5:F373,MATCHER!F373,MATCHER!$K$5:K373,"Ja",MATCHER!$J$5:J373,MATCHER!F373&amp;" *")+COUNTIFS(MATCHER!$B$5:B373,MATCHER!B373,MATCHER!$D$5:D373,MATCHER!D373,MATCHER!$F$5:F373,MATCHER!F373,MATCHER!$K$5:K373,"Ja",MATCHER!$E$5:E373,"Arrangörsskap*")=1,MATCHER!F373,""))</f>
        <v/>
      </c>
    </row>
    <row r="374" spans="17:17">
      <c r="Q374" s="138" t="str">
        <f>IF(OR(MATCHER!A374="",MATCHER!K374&lt;&gt;"Ja",AND(MATCHER!J374&lt;&gt;MATCHER!F374,LEFT(MATCHER!J374,LEN(MATCHER!F374)+1)&lt;&gt;MATCHER!F374&amp;" ",LEFT(MATCHER!E374,13)&lt;&gt;"Arrangörsskap")),"",IF(COUNTIFS(MATCHER!$B$5:B374,MATCHER!B374,MATCHER!$D$5:D374,MATCHER!D374,MATCHER!$F$5:F374,MATCHER!F374,MATCHER!$K$5:K374,"Ja",MATCHER!$J$5:J374,MATCHER!F374)+COUNTIFS(MATCHER!$B$5:B374,MATCHER!B374,MATCHER!$D$5:D374,MATCHER!D374,MATCHER!$F$5:F374,MATCHER!F374,MATCHER!$K$5:K374,"Ja",MATCHER!$J$5:J374,MATCHER!F374&amp;" *")+COUNTIFS(MATCHER!$B$5:B374,MATCHER!B374,MATCHER!$D$5:D374,MATCHER!D374,MATCHER!$F$5:F374,MATCHER!F374,MATCHER!$K$5:K374,"Ja",MATCHER!$E$5:E374,"Arrangörsskap*")=1,MATCHER!F374,""))</f>
        <v/>
      </c>
    </row>
    <row r="375" spans="17:17">
      <c r="Q375" s="138" t="str">
        <f>IF(OR(MATCHER!A375="",MATCHER!K375&lt;&gt;"Ja",AND(MATCHER!J375&lt;&gt;MATCHER!F375,LEFT(MATCHER!J375,LEN(MATCHER!F375)+1)&lt;&gt;MATCHER!F375&amp;" ",LEFT(MATCHER!E375,13)&lt;&gt;"Arrangörsskap")),"",IF(COUNTIFS(MATCHER!$B$5:B375,MATCHER!B375,MATCHER!$D$5:D375,MATCHER!D375,MATCHER!$F$5:F375,MATCHER!F375,MATCHER!$K$5:K375,"Ja",MATCHER!$J$5:J375,MATCHER!F375)+COUNTIFS(MATCHER!$B$5:B375,MATCHER!B375,MATCHER!$D$5:D375,MATCHER!D375,MATCHER!$F$5:F375,MATCHER!F375,MATCHER!$K$5:K375,"Ja",MATCHER!$J$5:J375,MATCHER!F375&amp;" *")+COUNTIFS(MATCHER!$B$5:B375,MATCHER!B375,MATCHER!$D$5:D375,MATCHER!D375,MATCHER!$F$5:F375,MATCHER!F375,MATCHER!$K$5:K375,"Ja",MATCHER!$E$5:E375,"Arrangörsskap*")=1,MATCHER!F375,""))</f>
        <v/>
      </c>
    </row>
    <row r="376" spans="17:17">
      <c r="Q376" s="138" t="str">
        <f>IF(OR(MATCHER!A376="",MATCHER!K376&lt;&gt;"Ja",AND(MATCHER!J376&lt;&gt;MATCHER!F376,LEFT(MATCHER!J376,LEN(MATCHER!F376)+1)&lt;&gt;MATCHER!F376&amp;" ",LEFT(MATCHER!E376,13)&lt;&gt;"Arrangörsskap")),"",IF(COUNTIFS(MATCHER!$B$5:B376,MATCHER!B376,MATCHER!$D$5:D376,MATCHER!D376,MATCHER!$F$5:F376,MATCHER!F376,MATCHER!$K$5:K376,"Ja",MATCHER!$J$5:J376,MATCHER!F376)+COUNTIFS(MATCHER!$B$5:B376,MATCHER!B376,MATCHER!$D$5:D376,MATCHER!D376,MATCHER!$F$5:F376,MATCHER!F376,MATCHER!$K$5:K376,"Ja",MATCHER!$J$5:J376,MATCHER!F376&amp;" *")+COUNTIFS(MATCHER!$B$5:B376,MATCHER!B376,MATCHER!$D$5:D376,MATCHER!D376,MATCHER!$F$5:F376,MATCHER!F376,MATCHER!$K$5:K376,"Ja",MATCHER!$E$5:E376,"Arrangörsskap*")=1,MATCHER!F376,""))</f>
        <v/>
      </c>
    </row>
    <row r="377" spans="17:17">
      <c r="Q377" s="138" t="str">
        <f>IF(OR(MATCHER!A377="",MATCHER!K377&lt;&gt;"Ja",AND(MATCHER!J377&lt;&gt;MATCHER!F377,LEFT(MATCHER!J377,LEN(MATCHER!F377)+1)&lt;&gt;MATCHER!F377&amp;" ",LEFT(MATCHER!E377,13)&lt;&gt;"Arrangörsskap")),"",IF(COUNTIFS(MATCHER!$B$5:B377,MATCHER!B377,MATCHER!$D$5:D377,MATCHER!D377,MATCHER!$F$5:F377,MATCHER!F377,MATCHER!$K$5:K377,"Ja",MATCHER!$J$5:J377,MATCHER!F377)+COUNTIFS(MATCHER!$B$5:B377,MATCHER!B377,MATCHER!$D$5:D377,MATCHER!D377,MATCHER!$F$5:F377,MATCHER!F377,MATCHER!$K$5:K377,"Ja",MATCHER!$J$5:J377,MATCHER!F377&amp;" *")+COUNTIFS(MATCHER!$B$5:B377,MATCHER!B377,MATCHER!$D$5:D377,MATCHER!D377,MATCHER!$F$5:F377,MATCHER!F377,MATCHER!$K$5:K377,"Ja",MATCHER!$E$5:E377,"Arrangörsskap*")=1,MATCHER!F377,""))</f>
        <v/>
      </c>
    </row>
    <row r="378" spans="17:17">
      <c r="Q378" s="138" t="str">
        <f>IF(OR(MATCHER!A378="",MATCHER!K378&lt;&gt;"Ja",AND(MATCHER!J378&lt;&gt;MATCHER!F378,LEFT(MATCHER!J378,LEN(MATCHER!F378)+1)&lt;&gt;MATCHER!F378&amp;" ",LEFT(MATCHER!E378,13)&lt;&gt;"Arrangörsskap")),"",IF(COUNTIFS(MATCHER!$B$5:B378,MATCHER!B378,MATCHER!$D$5:D378,MATCHER!D378,MATCHER!$F$5:F378,MATCHER!F378,MATCHER!$K$5:K378,"Ja",MATCHER!$J$5:J378,MATCHER!F378)+COUNTIFS(MATCHER!$B$5:B378,MATCHER!B378,MATCHER!$D$5:D378,MATCHER!D378,MATCHER!$F$5:F378,MATCHER!F378,MATCHER!$K$5:K378,"Ja",MATCHER!$J$5:J378,MATCHER!F378&amp;" *")+COUNTIFS(MATCHER!$B$5:B378,MATCHER!B378,MATCHER!$D$5:D378,MATCHER!D378,MATCHER!$F$5:F378,MATCHER!F378,MATCHER!$K$5:K378,"Ja",MATCHER!$E$5:E378,"Arrangörsskap*")=1,MATCHER!F378,""))</f>
        <v/>
      </c>
    </row>
    <row r="379" spans="17:17">
      <c r="Q379" s="138" t="str">
        <f>IF(OR(MATCHER!A379="",MATCHER!K379&lt;&gt;"Ja",AND(MATCHER!J379&lt;&gt;MATCHER!F379,LEFT(MATCHER!J379,LEN(MATCHER!F379)+1)&lt;&gt;MATCHER!F379&amp;" ",LEFT(MATCHER!E379,13)&lt;&gt;"Arrangörsskap")),"",IF(COUNTIFS(MATCHER!$B$5:B379,MATCHER!B379,MATCHER!$D$5:D379,MATCHER!D379,MATCHER!$F$5:F379,MATCHER!F379,MATCHER!$K$5:K379,"Ja",MATCHER!$J$5:J379,MATCHER!F379)+COUNTIFS(MATCHER!$B$5:B379,MATCHER!B379,MATCHER!$D$5:D379,MATCHER!D379,MATCHER!$F$5:F379,MATCHER!F379,MATCHER!$K$5:K379,"Ja",MATCHER!$J$5:J379,MATCHER!F379&amp;" *")+COUNTIFS(MATCHER!$B$5:B379,MATCHER!B379,MATCHER!$D$5:D379,MATCHER!D379,MATCHER!$F$5:F379,MATCHER!F379,MATCHER!$K$5:K379,"Ja",MATCHER!$E$5:E379,"Arrangörsskap*")=1,MATCHER!F379,""))</f>
        <v/>
      </c>
    </row>
    <row r="380" spans="17:17">
      <c r="Q380" s="138" t="str">
        <f>IF(OR(MATCHER!A380="",MATCHER!K380&lt;&gt;"Ja",AND(MATCHER!J380&lt;&gt;MATCHER!F380,LEFT(MATCHER!J380,LEN(MATCHER!F380)+1)&lt;&gt;MATCHER!F380&amp;" ",LEFT(MATCHER!E380,13)&lt;&gt;"Arrangörsskap")),"",IF(COUNTIFS(MATCHER!$B$5:B380,MATCHER!B380,MATCHER!$D$5:D380,MATCHER!D380,MATCHER!$F$5:F380,MATCHER!F380,MATCHER!$K$5:K380,"Ja",MATCHER!$J$5:J380,MATCHER!F380)+COUNTIFS(MATCHER!$B$5:B380,MATCHER!B380,MATCHER!$D$5:D380,MATCHER!D380,MATCHER!$F$5:F380,MATCHER!F380,MATCHER!$K$5:K380,"Ja",MATCHER!$J$5:J380,MATCHER!F380&amp;" *")+COUNTIFS(MATCHER!$B$5:B380,MATCHER!B380,MATCHER!$D$5:D380,MATCHER!D380,MATCHER!$F$5:F380,MATCHER!F380,MATCHER!$K$5:K380,"Ja",MATCHER!$E$5:E380,"Arrangörsskap*")=1,MATCHER!F380,""))</f>
        <v/>
      </c>
    </row>
    <row r="381" spans="17:17">
      <c r="Q381" s="138" t="str">
        <f>IF(OR(MATCHER!A381="",MATCHER!K381&lt;&gt;"Ja",AND(MATCHER!J381&lt;&gt;MATCHER!F381,LEFT(MATCHER!J381,LEN(MATCHER!F381)+1)&lt;&gt;MATCHER!F381&amp;" ",LEFT(MATCHER!E381,13)&lt;&gt;"Arrangörsskap")),"",IF(COUNTIFS(MATCHER!$B$5:B381,MATCHER!B381,MATCHER!$D$5:D381,MATCHER!D381,MATCHER!$F$5:F381,MATCHER!F381,MATCHER!$K$5:K381,"Ja",MATCHER!$J$5:J381,MATCHER!F381)+COUNTIFS(MATCHER!$B$5:B381,MATCHER!B381,MATCHER!$D$5:D381,MATCHER!D381,MATCHER!$F$5:F381,MATCHER!F381,MATCHER!$K$5:K381,"Ja",MATCHER!$J$5:J381,MATCHER!F381&amp;" *")+COUNTIFS(MATCHER!$B$5:B381,MATCHER!B381,MATCHER!$D$5:D381,MATCHER!D381,MATCHER!$F$5:F381,MATCHER!F381,MATCHER!$K$5:K381,"Ja",MATCHER!$E$5:E381,"Arrangörsskap*")=1,MATCHER!F381,""))</f>
        <v/>
      </c>
    </row>
    <row r="382" spans="17:17">
      <c r="Q382" s="138" t="str">
        <f>IF(OR(MATCHER!A382="",MATCHER!K382&lt;&gt;"Ja",AND(MATCHER!J382&lt;&gt;MATCHER!F382,LEFT(MATCHER!J382,LEN(MATCHER!F382)+1)&lt;&gt;MATCHER!F382&amp;" ",LEFT(MATCHER!E382,13)&lt;&gt;"Arrangörsskap")),"",IF(COUNTIFS(MATCHER!$B$5:B382,MATCHER!B382,MATCHER!$D$5:D382,MATCHER!D382,MATCHER!$F$5:F382,MATCHER!F382,MATCHER!$K$5:K382,"Ja",MATCHER!$J$5:J382,MATCHER!F382)+COUNTIFS(MATCHER!$B$5:B382,MATCHER!B382,MATCHER!$D$5:D382,MATCHER!D382,MATCHER!$F$5:F382,MATCHER!F382,MATCHER!$K$5:K382,"Ja",MATCHER!$J$5:J382,MATCHER!F382&amp;" *")+COUNTIFS(MATCHER!$B$5:B382,MATCHER!B382,MATCHER!$D$5:D382,MATCHER!D382,MATCHER!$F$5:F382,MATCHER!F382,MATCHER!$K$5:K382,"Ja",MATCHER!$E$5:E382,"Arrangörsskap*")=1,MATCHER!F382,""))</f>
        <v/>
      </c>
    </row>
    <row r="383" spans="17:17">
      <c r="Q383" s="138" t="str">
        <f>IF(OR(MATCHER!A383="",MATCHER!K383&lt;&gt;"Ja",AND(MATCHER!J383&lt;&gt;MATCHER!F383,LEFT(MATCHER!J383,LEN(MATCHER!F383)+1)&lt;&gt;MATCHER!F383&amp;" ",LEFT(MATCHER!E383,13)&lt;&gt;"Arrangörsskap")),"",IF(COUNTIFS(MATCHER!$B$5:B383,MATCHER!B383,MATCHER!$D$5:D383,MATCHER!D383,MATCHER!$F$5:F383,MATCHER!F383,MATCHER!$K$5:K383,"Ja",MATCHER!$J$5:J383,MATCHER!F383)+COUNTIFS(MATCHER!$B$5:B383,MATCHER!B383,MATCHER!$D$5:D383,MATCHER!D383,MATCHER!$F$5:F383,MATCHER!F383,MATCHER!$K$5:K383,"Ja",MATCHER!$J$5:J383,MATCHER!F383&amp;" *")+COUNTIFS(MATCHER!$B$5:B383,MATCHER!B383,MATCHER!$D$5:D383,MATCHER!D383,MATCHER!$F$5:F383,MATCHER!F383,MATCHER!$K$5:K383,"Ja",MATCHER!$E$5:E383,"Arrangörsskap*")=1,MATCHER!F383,""))</f>
        <v/>
      </c>
    </row>
    <row r="384" spans="17:17">
      <c r="Q384" s="138" t="str">
        <f>IF(OR(MATCHER!A384="",MATCHER!K384&lt;&gt;"Ja",AND(MATCHER!J384&lt;&gt;MATCHER!F384,LEFT(MATCHER!J384,LEN(MATCHER!F384)+1)&lt;&gt;MATCHER!F384&amp;" ",LEFT(MATCHER!E384,13)&lt;&gt;"Arrangörsskap")),"",IF(COUNTIFS(MATCHER!$B$5:B384,MATCHER!B384,MATCHER!$D$5:D384,MATCHER!D384,MATCHER!$F$5:F384,MATCHER!F384,MATCHER!$K$5:K384,"Ja",MATCHER!$J$5:J384,MATCHER!F384)+COUNTIFS(MATCHER!$B$5:B384,MATCHER!B384,MATCHER!$D$5:D384,MATCHER!D384,MATCHER!$F$5:F384,MATCHER!F384,MATCHER!$K$5:K384,"Ja",MATCHER!$J$5:J384,MATCHER!F384&amp;" *")+COUNTIFS(MATCHER!$B$5:B384,MATCHER!B384,MATCHER!$D$5:D384,MATCHER!D384,MATCHER!$F$5:F384,MATCHER!F384,MATCHER!$K$5:K384,"Ja",MATCHER!$E$5:E384,"Arrangörsskap*")=1,MATCHER!F384,""))</f>
        <v/>
      </c>
    </row>
    <row r="385" spans="17:17">
      <c r="Q385" s="138" t="str">
        <f>IF(OR(MATCHER!A385="",MATCHER!K385&lt;&gt;"Ja",AND(MATCHER!J385&lt;&gt;MATCHER!F385,LEFT(MATCHER!J385,LEN(MATCHER!F385)+1)&lt;&gt;MATCHER!F385&amp;" ",LEFT(MATCHER!E385,13)&lt;&gt;"Arrangörsskap")),"",IF(COUNTIFS(MATCHER!$B$5:B385,MATCHER!B385,MATCHER!$D$5:D385,MATCHER!D385,MATCHER!$F$5:F385,MATCHER!F385,MATCHER!$K$5:K385,"Ja",MATCHER!$J$5:J385,MATCHER!F385)+COUNTIFS(MATCHER!$B$5:B385,MATCHER!B385,MATCHER!$D$5:D385,MATCHER!D385,MATCHER!$F$5:F385,MATCHER!F385,MATCHER!$K$5:K385,"Ja",MATCHER!$J$5:J385,MATCHER!F385&amp;" *")+COUNTIFS(MATCHER!$B$5:B385,MATCHER!B385,MATCHER!$D$5:D385,MATCHER!D385,MATCHER!$F$5:F385,MATCHER!F385,MATCHER!$K$5:K385,"Ja",MATCHER!$E$5:E385,"Arrangörsskap*")=1,MATCHER!F385,""))</f>
        <v/>
      </c>
    </row>
    <row r="386" spans="17:17">
      <c r="Q386" s="138" t="str">
        <f>IF(OR(MATCHER!A386="",MATCHER!K386&lt;&gt;"Ja",AND(MATCHER!J386&lt;&gt;MATCHER!F386,LEFT(MATCHER!J386,LEN(MATCHER!F386)+1)&lt;&gt;MATCHER!F386&amp;" ",LEFT(MATCHER!E386,13)&lt;&gt;"Arrangörsskap")),"",IF(COUNTIFS(MATCHER!$B$5:B386,MATCHER!B386,MATCHER!$D$5:D386,MATCHER!D386,MATCHER!$F$5:F386,MATCHER!F386,MATCHER!$K$5:K386,"Ja",MATCHER!$J$5:J386,MATCHER!F386)+COUNTIFS(MATCHER!$B$5:B386,MATCHER!B386,MATCHER!$D$5:D386,MATCHER!D386,MATCHER!$F$5:F386,MATCHER!F386,MATCHER!$K$5:K386,"Ja",MATCHER!$J$5:J386,MATCHER!F386&amp;" *")+COUNTIFS(MATCHER!$B$5:B386,MATCHER!B386,MATCHER!$D$5:D386,MATCHER!D386,MATCHER!$F$5:F386,MATCHER!F386,MATCHER!$K$5:K386,"Ja",MATCHER!$E$5:E386,"Arrangörsskap*")=1,MATCHER!F386,""))</f>
        <v/>
      </c>
    </row>
    <row r="387" spans="17:17">
      <c r="Q387" s="138" t="str">
        <f>IF(OR(MATCHER!A387="",MATCHER!K387&lt;&gt;"Ja",AND(MATCHER!J387&lt;&gt;MATCHER!F387,LEFT(MATCHER!J387,LEN(MATCHER!F387)+1)&lt;&gt;MATCHER!F387&amp;" ",LEFT(MATCHER!E387,13)&lt;&gt;"Arrangörsskap")),"",IF(COUNTIFS(MATCHER!$B$5:B387,MATCHER!B387,MATCHER!$D$5:D387,MATCHER!D387,MATCHER!$F$5:F387,MATCHER!F387,MATCHER!$K$5:K387,"Ja",MATCHER!$J$5:J387,MATCHER!F387)+COUNTIFS(MATCHER!$B$5:B387,MATCHER!B387,MATCHER!$D$5:D387,MATCHER!D387,MATCHER!$F$5:F387,MATCHER!F387,MATCHER!$K$5:K387,"Ja",MATCHER!$J$5:J387,MATCHER!F387&amp;" *")+COUNTIFS(MATCHER!$B$5:B387,MATCHER!B387,MATCHER!$D$5:D387,MATCHER!D387,MATCHER!$F$5:F387,MATCHER!F387,MATCHER!$K$5:K387,"Ja",MATCHER!$E$5:E387,"Arrangörsskap*")=1,MATCHER!F387,""))</f>
        <v/>
      </c>
    </row>
    <row r="388" spans="17:17">
      <c r="Q388" s="138" t="str">
        <f>IF(OR(MATCHER!A388="",MATCHER!K388&lt;&gt;"Ja",AND(MATCHER!J388&lt;&gt;MATCHER!F388,LEFT(MATCHER!J388,LEN(MATCHER!F388)+1)&lt;&gt;MATCHER!F388&amp;" ",LEFT(MATCHER!E388,13)&lt;&gt;"Arrangörsskap")),"",IF(COUNTIFS(MATCHER!$B$5:B388,MATCHER!B388,MATCHER!$D$5:D388,MATCHER!D388,MATCHER!$F$5:F388,MATCHER!F388,MATCHER!$K$5:K388,"Ja",MATCHER!$J$5:J388,MATCHER!F388)+COUNTIFS(MATCHER!$B$5:B388,MATCHER!B388,MATCHER!$D$5:D388,MATCHER!D388,MATCHER!$F$5:F388,MATCHER!F388,MATCHER!$K$5:K388,"Ja",MATCHER!$J$5:J388,MATCHER!F388&amp;" *")+COUNTIFS(MATCHER!$B$5:B388,MATCHER!B388,MATCHER!$D$5:D388,MATCHER!D388,MATCHER!$F$5:F388,MATCHER!F388,MATCHER!$K$5:K388,"Ja",MATCHER!$E$5:E388,"Arrangörsskap*")=1,MATCHER!F388,""))</f>
        <v/>
      </c>
    </row>
    <row r="389" spans="17:17">
      <c r="Q389" s="138" t="str">
        <f>IF(OR(MATCHER!A389="",MATCHER!K389&lt;&gt;"Ja",AND(MATCHER!J389&lt;&gt;MATCHER!F389,LEFT(MATCHER!J389,LEN(MATCHER!F389)+1)&lt;&gt;MATCHER!F389&amp;" ",LEFT(MATCHER!E389,13)&lt;&gt;"Arrangörsskap")),"",IF(COUNTIFS(MATCHER!$B$5:B389,MATCHER!B389,MATCHER!$D$5:D389,MATCHER!D389,MATCHER!$F$5:F389,MATCHER!F389,MATCHER!$K$5:K389,"Ja",MATCHER!$J$5:J389,MATCHER!F389)+COUNTIFS(MATCHER!$B$5:B389,MATCHER!B389,MATCHER!$D$5:D389,MATCHER!D389,MATCHER!$F$5:F389,MATCHER!F389,MATCHER!$K$5:K389,"Ja",MATCHER!$J$5:J389,MATCHER!F389&amp;" *")+COUNTIFS(MATCHER!$B$5:B389,MATCHER!B389,MATCHER!$D$5:D389,MATCHER!D389,MATCHER!$F$5:F389,MATCHER!F389,MATCHER!$K$5:K389,"Ja",MATCHER!$E$5:E389,"Arrangörsskap*")=1,MATCHER!F389,""))</f>
        <v/>
      </c>
    </row>
    <row r="390" spans="17:17">
      <c r="Q390" s="138" t="str">
        <f>IF(OR(MATCHER!A390="",MATCHER!K390&lt;&gt;"Ja",AND(MATCHER!J390&lt;&gt;MATCHER!F390,LEFT(MATCHER!J390,LEN(MATCHER!F390)+1)&lt;&gt;MATCHER!F390&amp;" ",LEFT(MATCHER!E390,13)&lt;&gt;"Arrangörsskap")),"",IF(COUNTIFS(MATCHER!$B$5:B390,MATCHER!B390,MATCHER!$D$5:D390,MATCHER!D390,MATCHER!$F$5:F390,MATCHER!F390,MATCHER!$K$5:K390,"Ja",MATCHER!$J$5:J390,MATCHER!F390)+COUNTIFS(MATCHER!$B$5:B390,MATCHER!B390,MATCHER!$D$5:D390,MATCHER!D390,MATCHER!$F$5:F390,MATCHER!F390,MATCHER!$K$5:K390,"Ja",MATCHER!$J$5:J390,MATCHER!F390&amp;" *")+COUNTIFS(MATCHER!$B$5:B390,MATCHER!B390,MATCHER!$D$5:D390,MATCHER!D390,MATCHER!$F$5:F390,MATCHER!F390,MATCHER!$K$5:K390,"Ja",MATCHER!$E$5:E390,"Arrangörsskap*")=1,MATCHER!F390,""))</f>
        <v/>
      </c>
    </row>
    <row r="391" spans="17:17">
      <c r="Q391" s="138" t="str">
        <f>IF(OR(MATCHER!A391="",MATCHER!K391&lt;&gt;"Ja",AND(MATCHER!J391&lt;&gt;MATCHER!F391,LEFT(MATCHER!J391,LEN(MATCHER!F391)+1)&lt;&gt;MATCHER!F391&amp;" ",LEFT(MATCHER!E391,13)&lt;&gt;"Arrangörsskap")),"",IF(COUNTIFS(MATCHER!$B$5:B391,MATCHER!B391,MATCHER!$D$5:D391,MATCHER!D391,MATCHER!$F$5:F391,MATCHER!F391,MATCHER!$K$5:K391,"Ja",MATCHER!$J$5:J391,MATCHER!F391)+COUNTIFS(MATCHER!$B$5:B391,MATCHER!B391,MATCHER!$D$5:D391,MATCHER!D391,MATCHER!$F$5:F391,MATCHER!F391,MATCHER!$K$5:K391,"Ja",MATCHER!$J$5:J391,MATCHER!F391&amp;" *")+COUNTIFS(MATCHER!$B$5:B391,MATCHER!B391,MATCHER!$D$5:D391,MATCHER!D391,MATCHER!$F$5:F391,MATCHER!F391,MATCHER!$K$5:K391,"Ja",MATCHER!$E$5:E391,"Arrangörsskap*")=1,MATCHER!F391,""))</f>
        <v/>
      </c>
    </row>
    <row r="392" spans="17:17">
      <c r="Q392" s="138" t="str">
        <f>IF(OR(MATCHER!A392="",MATCHER!K392&lt;&gt;"Ja",AND(MATCHER!J392&lt;&gt;MATCHER!F392,LEFT(MATCHER!J392,LEN(MATCHER!F392)+1)&lt;&gt;MATCHER!F392&amp;" ",LEFT(MATCHER!E392,13)&lt;&gt;"Arrangörsskap")),"",IF(COUNTIFS(MATCHER!$B$5:B392,MATCHER!B392,MATCHER!$D$5:D392,MATCHER!D392,MATCHER!$F$5:F392,MATCHER!F392,MATCHER!$K$5:K392,"Ja",MATCHER!$J$5:J392,MATCHER!F392)+COUNTIFS(MATCHER!$B$5:B392,MATCHER!B392,MATCHER!$D$5:D392,MATCHER!D392,MATCHER!$F$5:F392,MATCHER!F392,MATCHER!$K$5:K392,"Ja",MATCHER!$J$5:J392,MATCHER!F392&amp;" *")+COUNTIFS(MATCHER!$B$5:B392,MATCHER!B392,MATCHER!$D$5:D392,MATCHER!D392,MATCHER!$F$5:F392,MATCHER!F392,MATCHER!$K$5:K392,"Ja",MATCHER!$E$5:E392,"Arrangörsskap*")=1,MATCHER!F392,""))</f>
        <v/>
      </c>
    </row>
    <row r="393" spans="17:17">
      <c r="Q393" s="138" t="str">
        <f>IF(OR(MATCHER!A393="",MATCHER!K393&lt;&gt;"Ja",AND(MATCHER!J393&lt;&gt;MATCHER!F393,LEFT(MATCHER!J393,LEN(MATCHER!F393)+1)&lt;&gt;MATCHER!F393&amp;" ",LEFT(MATCHER!E393,13)&lt;&gt;"Arrangörsskap")),"",IF(COUNTIFS(MATCHER!$B$5:B393,MATCHER!B393,MATCHER!$D$5:D393,MATCHER!D393,MATCHER!$F$5:F393,MATCHER!F393,MATCHER!$K$5:K393,"Ja",MATCHER!$J$5:J393,MATCHER!F393)+COUNTIFS(MATCHER!$B$5:B393,MATCHER!B393,MATCHER!$D$5:D393,MATCHER!D393,MATCHER!$F$5:F393,MATCHER!F393,MATCHER!$K$5:K393,"Ja",MATCHER!$J$5:J393,MATCHER!F393&amp;" *")+COUNTIFS(MATCHER!$B$5:B393,MATCHER!B393,MATCHER!$D$5:D393,MATCHER!D393,MATCHER!$F$5:F393,MATCHER!F393,MATCHER!$K$5:K393,"Ja",MATCHER!$E$5:E393,"Arrangörsskap*")=1,MATCHER!F393,""))</f>
        <v/>
      </c>
    </row>
    <row r="394" spans="17:17">
      <c r="Q394" s="138" t="str">
        <f>IF(OR(MATCHER!A394="",MATCHER!K394&lt;&gt;"Ja",AND(MATCHER!J394&lt;&gt;MATCHER!F394,LEFT(MATCHER!J394,LEN(MATCHER!F394)+1)&lt;&gt;MATCHER!F394&amp;" ",LEFT(MATCHER!E394,13)&lt;&gt;"Arrangörsskap")),"",IF(COUNTIFS(MATCHER!$B$5:B394,MATCHER!B394,MATCHER!$D$5:D394,MATCHER!D394,MATCHER!$F$5:F394,MATCHER!F394,MATCHER!$K$5:K394,"Ja",MATCHER!$J$5:J394,MATCHER!F394)+COUNTIFS(MATCHER!$B$5:B394,MATCHER!B394,MATCHER!$D$5:D394,MATCHER!D394,MATCHER!$F$5:F394,MATCHER!F394,MATCHER!$K$5:K394,"Ja",MATCHER!$J$5:J394,MATCHER!F394&amp;" *")+COUNTIFS(MATCHER!$B$5:B394,MATCHER!B394,MATCHER!$D$5:D394,MATCHER!D394,MATCHER!$F$5:F394,MATCHER!F394,MATCHER!$K$5:K394,"Ja",MATCHER!$E$5:E394,"Arrangörsskap*")=1,MATCHER!F394,""))</f>
        <v/>
      </c>
    </row>
    <row r="395" spans="17:17">
      <c r="Q395" s="138" t="str">
        <f>IF(OR(MATCHER!A395="",MATCHER!K395&lt;&gt;"Ja",AND(MATCHER!J395&lt;&gt;MATCHER!F395,LEFT(MATCHER!J395,LEN(MATCHER!F395)+1)&lt;&gt;MATCHER!F395&amp;" ",LEFT(MATCHER!E395,13)&lt;&gt;"Arrangörsskap")),"",IF(COUNTIFS(MATCHER!$B$5:B395,MATCHER!B395,MATCHER!$D$5:D395,MATCHER!D395,MATCHER!$F$5:F395,MATCHER!F395,MATCHER!$K$5:K395,"Ja",MATCHER!$J$5:J395,MATCHER!F395)+COUNTIFS(MATCHER!$B$5:B395,MATCHER!B395,MATCHER!$D$5:D395,MATCHER!D395,MATCHER!$F$5:F395,MATCHER!F395,MATCHER!$K$5:K395,"Ja",MATCHER!$J$5:J395,MATCHER!F395&amp;" *")+COUNTIFS(MATCHER!$B$5:B395,MATCHER!B395,MATCHER!$D$5:D395,MATCHER!D395,MATCHER!$F$5:F395,MATCHER!F395,MATCHER!$K$5:K395,"Ja",MATCHER!$E$5:E395,"Arrangörsskap*")=1,MATCHER!F395,""))</f>
        <v/>
      </c>
    </row>
    <row r="396" spans="17:17">
      <c r="Q396" s="138" t="str">
        <f>IF(OR(MATCHER!A396="",MATCHER!K396&lt;&gt;"Ja",AND(MATCHER!J396&lt;&gt;MATCHER!F396,LEFT(MATCHER!J396,LEN(MATCHER!F396)+1)&lt;&gt;MATCHER!F396&amp;" ",LEFT(MATCHER!E396,13)&lt;&gt;"Arrangörsskap")),"",IF(COUNTIFS(MATCHER!$B$5:B396,MATCHER!B396,MATCHER!$D$5:D396,MATCHER!D396,MATCHER!$F$5:F396,MATCHER!F396,MATCHER!$K$5:K396,"Ja",MATCHER!$J$5:J396,MATCHER!F396)+COUNTIFS(MATCHER!$B$5:B396,MATCHER!B396,MATCHER!$D$5:D396,MATCHER!D396,MATCHER!$F$5:F396,MATCHER!F396,MATCHER!$K$5:K396,"Ja",MATCHER!$J$5:J396,MATCHER!F396&amp;" *")+COUNTIFS(MATCHER!$B$5:B396,MATCHER!B396,MATCHER!$D$5:D396,MATCHER!D396,MATCHER!$F$5:F396,MATCHER!F396,MATCHER!$K$5:K396,"Ja",MATCHER!$E$5:E396,"Arrangörsskap*")=1,MATCHER!F396,""))</f>
        <v/>
      </c>
    </row>
    <row r="397" spans="17:17">
      <c r="Q397" s="138" t="str">
        <f>IF(OR(MATCHER!A397="",MATCHER!K397&lt;&gt;"Ja",AND(MATCHER!J397&lt;&gt;MATCHER!F397,LEFT(MATCHER!J397,LEN(MATCHER!F397)+1)&lt;&gt;MATCHER!F397&amp;" ",LEFT(MATCHER!E397,13)&lt;&gt;"Arrangörsskap")),"",IF(COUNTIFS(MATCHER!$B$5:B397,MATCHER!B397,MATCHER!$D$5:D397,MATCHER!D397,MATCHER!$F$5:F397,MATCHER!F397,MATCHER!$K$5:K397,"Ja",MATCHER!$J$5:J397,MATCHER!F397)+COUNTIFS(MATCHER!$B$5:B397,MATCHER!B397,MATCHER!$D$5:D397,MATCHER!D397,MATCHER!$F$5:F397,MATCHER!F397,MATCHER!$K$5:K397,"Ja",MATCHER!$J$5:J397,MATCHER!F397&amp;" *")+COUNTIFS(MATCHER!$B$5:B397,MATCHER!B397,MATCHER!$D$5:D397,MATCHER!D397,MATCHER!$F$5:F397,MATCHER!F397,MATCHER!$K$5:K397,"Ja",MATCHER!$E$5:E397,"Arrangörsskap*")=1,MATCHER!F397,""))</f>
        <v/>
      </c>
    </row>
    <row r="398" spans="17:17">
      <c r="Q398" s="138" t="str">
        <f>IF(OR(MATCHER!A398="",MATCHER!K398&lt;&gt;"Ja",AND(MATCHER!J398&lt;&gt;MATCHER!F398,LEFT(MATCHER!J398,LEN(MATCHER!F398)+1)&lt;&gt;MATCHER!F398&amp;" ",LEFT(MATCHER!E398,13)&lt;&gt;"Arrangörsskap")),"",IF(COUNTIFS(MATCHER!$B$5:B398,MATCHER!B398,MATCHER!$D$5:D398,MATCHER!D398,MATCHER!$F$5:F398,MATCHER!F398,MATCHER!$K$5:K398,"Ja",MATCHER!$J$5:J398,MATCHER!F398)+COUNTIFS(MATCHER!$B$5:B398,MATCHER!B398,MATCHER!$D$5:D398,MATCHER!D398,MATCHER!$F$5:F398,MATCHER!F398,MATCHER!$K$5:K398,"Ja",MATCHER!$J$5:J398,MATCHER!F398&amp;" *")+COUNTIFS(MATCHER!$B$5:B398,MATCHER!B398,MATCHER!$D$5:D398,MATCHER!D398,MATCHER!$F$5:F398,MATCHER!F398,MATCHER!$K$5:K398,"Ja",MATCHER!$E$5:E398,"Arrangörsskap*")=1,MATCHER!F398,""))</f>
        <v/>
      </c>
    </row>
    <row r="399" spans="17:17">
      <c r="Q399" s="138" t="str">
        <f>IF(OR(MATCHER!A399="",MATCHER!K399&lt;&gt;"Ja",AND(MATCHER!J399&lt;&gt;MATCHER!F399,LEFT(MATCHER!J399,LEN(MATCHER!F399)+1)&lt;&gt;MATCHER!F399&amp;" ",LEFT(MATCHER!E399,13)&lt;&gt;"Arrangörsskap")),"",IF(COUNTIFS(MATCHER!$B$5:B399,MATCHER!B399,MATCHER!$D$5:D399,MATCHER!D399,MATCHER!$F$5:F399,MATCHER!F399,MATCHER!$K$5:K399,"Ja",MATCHER!$J$5:J399,MATCHER!F399)+COUNTIFS(MATCHER!$B$5:B399,MATCHER!B399,MATCHER!$D$5:D399,MATCHER!D399,MATCHER!$F$5:F399,MATCHER!F399,MATCHER!$K$5:K399,"Ja",MATCHER!$J$5:J399,MATCHER!F399&amp;" *")+COUNTIFS(MATCHER!$B$5:B399,MATCHER!B399,MATCHER!$D$5:D399,MATCHER!D399,MATCHER!$F$5:F399,MATCHER!F399,MATCHER!$K$5:K399,"Ja",MATCHER!$E$5:E399,"Arrangörsskap*")=1,MATCHER!F399,""))</f>
        <v/>
      </c>
    </row>
    <row r="400" spans="17:17">
      <c r="Q400" s="138" t="str">
        <f>IF(OR(MATCHER!A400="",MATCHER!K400&lt;&gt;"Ja",AND(MATCHER!J400&lt;&gt;MATCHER!F400,LEFT(MATCHER!J400,LEN(MATCHER!F400)+1)&lt;&gt;MATCHER!F400&amp;" ",LEFT(MATCHER!E400,13)&lt;&gt;"Arrangörsskap")),"",IF(COUNTIFS(MATCHER!$B$5:B400,MATCHER!B400,MATCHER!$D$5:D400,MATCHER!D400,MATCHER!$F$5:F400,MATCHER!F400,MATCHER!$K$5:K400,"Ja",MATCHER!$J$5:J400,MATCHER!F400)+COUNTIFS(MATCHER!$B$5:B400,MATCHER!B400,MATCHER!$D$5:D400,MATCHER!D400,MATCHER!$F$5:F400,MATCHER!F400,MATCHER!$K$5:K400,"Ja",MATCHER!$J$5:J400,MATCHER!F400&amp;" *")+COUNTIFS(MATCHER!$B$5:B400,MATCHER!B400,MATCHER!$D$5:D400,MATCHER!D400,MATCHER!$F$5:F400,MATCHER!F400,MATCHER!$K$5:K400,"Ja",MATCHER!$E$5:E400,"Arrangörsskap*")=1,MATCHER!F400,""))</f>
        <v/>
      </c>
    </row>
    <row r="401" spans="17:17">
      <c r="Q401" s="138" t="str">
        <f>IF(OR(MATCHER!A401="",MATCHER!K401&lt;&gt;"Ja",AND(MATCHER!J401&lt;&gt;MATCHER!F401,LEFT(MATCHER!J401,LEN(MATCHER!F401)+1)&lt;&gt;MATCHER!F401&amp;" ",LEFT(MATCHER!E401,13)&lt;&gt;"Arrangörsskap")),"",IF(COUNTIFS(MATCHER!$B$5:B401,MATCHER!B401,MATCHER!$D$5:D401,MATCHER!D401,MATCHER!$F$5:F401,MATCHER!F401,MATCHER!$K$5:K401,"Ja",MATCHER!$J$5:J401,MATCHER!F401)+COUNTIFS(MATCHER!$B$5:B401,MATCHER!B401,MATCHER!$D$5:D401,MATCHER!D401,MATCHER!$F$5:F401,MATCHER!F401,MATCHER!$K$5:K401,"Ja",MATCHER!$J$5:J401,MATCHER!F401&amp;" *")+COUNTIFS(MATCHER!$B$5:B401,MATCHER!B401,MATCHER!$D$5:D401,MATCHER!D401,MATCHER!$F$5:F401,MATCHER!F401,MATCHER!$K$5:K401,"Ja",MATCHER!$E$5:E401,"Arrangörsskap*")=1,MATCHER!F401,""))</f>
        <v/>
      </c>
    </row>
    <row r="402" spans="17:17">
      <c r="Q402" s="138" t="str">
        <f>IF(OR(MATCHER!A402="",MATCHER!K402&lt;&gt;"Ja",AND(MATCHER!J402&lt;&gt;MATCHER!F402,LEFT(MATCHER!J402,LEN(MATCHER!F402)+1)&lt;&gt;MATCHER!F402&amp;" ",LEFT(MATCHER!E402,13)&lt;&gt;"Arrangörsskap")),"",IF(COUNTIFS(MATCHER!$B$5:B402,MATCHER!B402,MATCHER!$D$5:D402,MATCHER!D402,MATCHER!$F$5:F402,MATCHER!F402,MATCHER!$K$5:K402,"Ja",MATCHER!$J$5:J402,MATCHER!F402)+COUNTIFS(MATCHER!$B$5:B402,MATCHER!B402,MATCHER!$D$5:D402,MATCHER!D402,MATCHER!$F$5:F402,MATCHER!F402,MATCHER!$K$5:K402,"Ja",MATCHER!$J$5:J402,MATCHER!F402&amp;" *")+COUNTIFS(MATCHER!$B$5:B402,MATCHER!B402,MATCHER!$D$5:D402,MATCHER!D402,MATCHER!$F$5:F402,MATCHER!F402,MATCHER!$K$5:K402,"Ja",MATCHER!$E$5:E402,"Arrangörsskap*")=1,MATCHER!F402,""))</f>
        <v/>
      </c>
    </row>
    <row r="403" spans="17:17">
      <c r="Q403" s="138" t="str">
        <f>IF(OR(MATCHER!A403="",MATCHER!K403&lt;&gt;"Ja",AND(MATCHER!J403&lt;&gt;MATCHER!F403,LEFT(MATCHER!J403,LEN(MATCHER!F403)+1)&lt;&gt;MATCHER!F403&amp;" ",LEFT(MATCHER!E403,13)&lt;&gt;"Arrangörsskap")),"",IF(COUNTIFS(MATCHER!$B$5:B403,MATCHER!B403,MATCHER!$D$5:D403,MATCHER!D403,MATCHER!$F$5:F403,MATCHER!F403,MATCHER!$K$5:K403,"Ja",MATCHER!$J$5:J403,MATCHER!F403)+COUNTIFS(MATCHER!$B$5:B403,MATCHER!B403,MATCHER!$D$5:D403,MATCHER!D403,MATCHER!$F$5:F403,MATCHER!F403,MATCHER!$K$5:K403,"Ja",MATCHER!$J$5:J403,MATCHER!F403&amp;" *")+COUNTIFS(MATCHER!$B$5:B403,MATCHER!B403,MATCHER!$D$5:D403,MATCHER!D403,MATCHER!$F$5:F403,MATCHER!F403,MATCHER!$K$5:K403,"Ja",MATCHER!$E$5:E403,"Arrangörsskap*")=1,MATCHER!F403,""))</f>
        <v/>
      </c>
    </row>
    <row r="404" spans="17:17">
      <c r="Q404" s="138" t="str">
        <f>IF(OR(MATCHER!A404="",MATCHER!K404&lt;&gt;"Ja",AND(MATCHER!J404&lt;&gt;MATCHER!F404,LEFT(MATCHER!J404,LEN(MATCHER!F404)+1)&lt;&gt;MATCHER!F404&amp;" ",LEFT(MATCHER!E404,13)&lt;&gt;"Arrangörsskap")),"",IF(COUNTIFS(MATCHER!$B$5:B404,MATCHER!B404,MATCHER!$D$5:D404,MATCHER!D404,MATCHER!$F$5:F404,MATCHER!F404,MATCHER!$K$5:K404,"Ja",MATCHER!$J$5:J404,MATCHER!F404)+COUNTIFS(MATCHER!$B$5:B404,MATCHER!B404,MATCHER!$D$5:D404,MATCHER!D404,MATCHER!$F$5:F404,MATCHER!F404,MATCHER!$K$5:K404,"Ja",MATCHER!$J$5:J404,MATCHER!F404&amp;" *")+COUNTIFS(MATCHER!$B$5:B404,MATCHER!B404,MATCHER!$D$5:D404,MATCHER!D404,MATCHER!$F$5:F404,MATCHER!F404,MATCHER!$K$5:K404,"Ja",MATCHER!$E$5:E404,"Arrangörsskap*")=1,MATCHER!F404,""))</f>
        <v/>
      </c>
    </row>
    <row r="405" spans="17:17">
      <c r="Q405" s="138" t="str">
        <f>IF(OR(MATCHER!A405="",MATCHER!K405&lt;&gt;"Ja",AND(MATCHER!J405&lt;&gt;MATCHER!F405,LEFT(MATCHER!J405,LEN(MATCHER!F405)+1)&lt;&gt;MATCHER!F405&amp;" ",LEFT(MATCHER!E405,13)&lt;&gt;"Arrangörsskap")),"",IF(COUNTIFS(MATCHER!$B$5:B405,MATCHER!B405,MATCHER!$D$5:D405,MATCHER!D405,MATCHER!$F$5:F405,MATCHER!F405,MATCHER!$K$5:K405,"Ja",MATCHER!$J$5:J405,MATCHER!F405)+COUNTIFS(MATCHER!$B$5:B405,MATCHER!B405,MATCHER!$D$5:D405,MATCHER!D405,MATCHER!$F$5:F405,MATCHER!F405,MATCHER!$K$5:K405,"Ja",MATCHER!$J$5:J405,MATCHER!F405&amp;" *")+COUNTIFS(MATCHER!$B$5:B405,MATCHER!B405,MATCHER!$D$5:D405,MATCHER!D405,MATCHER!$F$5:F405,MATCHER!F405,MATCHER!$K$5:K405,"Ja",MATCHER!$E$5:E405,"Arrangörsskap*")=1,MATCHER!F405,""))</f>
        <v/>
      </c>
    </row>
    <row r="406" spans="17:17">
      <c r="Q406" s="138" t="str">
        <f>IF(OR(MATCHER!A406="",MATCHER!K406&lt;&gt;"Ja",AND(MATCHER!J406&lt;&gt;MATCHER!F406,LEFT(MATCHER!J406,LEN(MATCHER!F406)+1)&lt;&gt;MATCHER!F406&amp;" ",LEFT(MATCHER!E406,13)&lt;&gt;"Arrangörsskap")),"",IF(COUNTIFS(MATCHER!$B$5:B406,MATCHER!B406,MATCHER!$D$5:D406,MATCHER!D406,MATCHER!$F$5:F406,MATCHER!F406,MATCHER!$K$5:K406,"Ja",MATCHER!$J$5:J406,MATCHER!F406)+COUNTIFS(MATCHER!$B$5:B406,MATCHER!B406,MATCHER!$D$5:D406,MATCHER!D406,MATCHER!$F$5:F406,MATCHER!F406,MATCHER!$K$5:K406,"Ja",MATCHER!$J$5:J406,MATCHER!F406&amp;" *")+COUNTIFS(MATCHER!$B$5:B406,MATCHER!B406,MATCHER!$D$5:D406,MATCHER!D406,MATCHER!$F$5:F406,MATCHER!F406,MATCHER!$K$5:K406,"Ja",MATCHER!$E$5:E406,"Arrangörsskap*")=1,MATCHER!F406,""))</f>
        <v/>
      </c>
    </row>
    <row r="407" spans="17:17">
      <c r="Q407" s="138" t="str">
        <f>IF(OR(MATCHER!A407="",MATCHER!K407&lt;&gt;"Ja",AND(MATCHER!J407&lt;&gt;MATCHER!F407,LEFT(MATCHER!J407,LEN(MATCHER!F407)+1)&lt;&gt;MATCHER!F407&amp;" ",LEFT(MATCHER!E407,13)&lt;&gt;"Arrangörsskap")),"",IF(COUNTIFS(MATCHER!$B$5:B407,MATCHER!B407,MATCHER!$D$5:D407,MATCHER!D407,MATCHER!$F$5:F407,MATCHER!F407,MATCHER!$K$5:K407,"Ja",MATCHER!$J$5:J407,MATCHER!F407)+COUNTIFS(MATCHER!$B$5:B407,MATCHER!B407,MATCHER!$D$5:D407,MATCHER!D407,MATCHER!$F$5:F407,MATCHER!F407,MATCHER!$K$5:K407,"Ja",MATCHER!$J$5:J407,MATCHER!F407&amp;" *")+COUNTIFS(MATCHER!$B$5:B407,MATCHER!B407,MATCHER!$D$5:D407,MATCHER!D407,MATCHER!$F$5:F407,MATCHER!F407,MATCHER!$K$5:K407,"Ja",MATCHER!$E$5:E407,"Arrangörsskap*")=1,MATCHER!F407,""))</f>
        <v/>
      </c>
    </row>
    <row r="408" spans="17:17">
      <c r="Q408" s="138" t="str">
        <f>IF(OR(MATCHER!A408="",MATCHER!K408&lt;&gt;"Ja",AND(MATCHER!J408&lt;&gt;MATCHER!F408,LEFT(MATCHER!J408,LEN(MATCHER!F408)+1)&lt;&gt;MATCHER!F408&amp;" ",LEFT(MATCHER!E408,13)&lt;&gt;"Arrangörsskap")),"",IF(COUNTIFS(MATCHER!$B$5:B408,MATCHER!B408,MATCHER!$D$5:D408,MATCHER!D408,MATCHER!$F$5:F408,MATCHER!F408,MATCHER!$K$5:K408,"Ja",MATCHER!$J$5:J408,MATCHER!F408)+COUNTIFS(MATCHER!$B$5:B408,MATCHER!B408,MATCHER!$D$5:D408,MATCHER!D408,MATCHER!$F$5:F408,MATCHER!F408,MATCHER!$K$5:K408,"Ja",MATCHER!$J$5:J408,MATCHER!F408&amp;" *")+COUNTIFS(MATCHER!$B$5:B408,MATCHER!B408,MATCHER!$D$5:D408,MATCHER!D408,MATCHER!$F$5:F408,MATCHER!F408,MATCHER!$K$5:K408,"Ja",MATCHER!$E$5:E408,"Arrangörsskap*")=1,MATCHER!F408,""))</f>
        <v/>
      </c>
    </row>
    <row r="409" spans="17:17">
      <c r="Q409" s="138" t="str">
        <f>IF(OR(MATCHER!A409="",MATCHER!K409&lt;&gt;"Ja",AND(MATCHER!J409&lt;&gt;MATCHER!F409,LEFT(MATCHER!J409,LEN(MATCHER!F409)+1)&lt;&gt;MATCHER!F409&amp;" ",LEFT(MATCHER!E409,13)&lt;&gt;"Arrangörsskap")),"",IF(COUNTIFS(MATCHER!$B$5:B409,MATCHER!B409,MATCHER!$D$5:D409,MATCHER!D409,MATCHER!$F$5:F409,MATCHER!F409,MATCHER!$K$5:K409,"Ja",MATCHER!$J$5:J409,MATCHER!F409)+COUNTIFS(MATCHER!$B$5:B409,MATCHER!B409,MATCHER!$D$5:D409,MATCHER!D409,MATCHER!$F$5:F409,MATCHER!F409,MATCHER!$K$5:K409,"Ja",MATCHER!$J$5:J409,MATCHER!F409&amp;" *")+COUNTIFS(MATCHER!$B$5:B409,MATCHER!B409,MATCHER!$D$5:D409,MATCHER!D409,MATCHER!$F$5:F409,MATCHER!F409,MATCHER!$K$5:K409,"Ja",MATCHER!$E$5:E409,"Arrangörsskap*")=1,MATCHER!F409,""))</f>
        <v/>
      </c>
    </row>
    <row r="410" spans="17:17">
      <c r="Q410" s="138" t="str">
        <f>IF(OR(MATCHER!A410="",MATCHER!K410&lt;&gt;"Ja",AND(MATCHER!J410&lt;&gt;MATCHER!F410,LEFT(MATCHER!J410,LEN(MATCHER!F410)+1)&lt;&gt;MATCHER!F410&amp;" ",LEFT(MATCHER!E410,13)&lt;&gt;"Arrangörsskap")),"",IF(COUNTIFS(MATCHER!$B$5:B410,MATCHER!B410,MATCHER!$D$5:D410,MATCHER!D410,MATCHER!$F$5:F410,MATCHER!F410,MATCHER!$K$5:K410,"Ja",MATCHER!$J$5:J410,MATCHER!F410)+COUNTIFS(MATCHER!$B$5:B410,MATCHER!B410,MATCHER!$D$5:D410,MATCHER!D410,MATCHER!$F$5:F410,MATCHER!F410,MATCHER!$K$5:K410,"Ja",MATCHER!$J$5:J410,MATCHER!F410&amp;" *")+COUNTIFS(MATCHER!$B$5:B410,MATCHER!B410,MATCHER!$D$5:D410,MATCHER!D410,MATCHER!$F$5:F410,MATCHER!F410,MATCHER!$K$5:K410,"Ja",MATCHER!$E$5:E410,"Arrangörsskap*")=1,MATCHER!F410,""))</f>
        <v/>
      </c>
    </row>
    <row r="411" spans="17:17">
      <c r="Q411" s="138" t="str">
        <f>IF(OR(MATCHER!A411="",MATCHER!K411&lt;&gt;"Ja",AND(MATCHER!J411&lt;&gt;MATCHER!F411,LEFT(MATCHER!J411,LEN(MATCHER!F411)+1)&lt;&gt;MATCHER!F411&amp;" ",LEFT(MATCHER!E411,13)&lt;&gt;"Arrangörsskap")),"",IF(COUNTIFS(MATCHER!$B$5:B411,MATCHER!B411,MATCHER!$D$5:D411,MATCHER!D411,MATCHER!$F$5:F411,MATCHER!F411,MATCHER!$K$5:K411,"Ja",MATCHER!$J$5:J411,MATCHER!F411)+COUNTIFS(MATCHER!$B$5:B411,MATCHER!B411,MATCHER!$D$5:D411,MATCHER!D411,MATCHER!$F$5:F411,MATCHER!F411,MATCHER!$K$5:K411,"Ja",MATCHER!$J$5:J411,MATCHER!F411&amp;" *")+COUNTIFS(MATCHER!$B$5:B411,MATCHER!B411,MATCHER!$D$5:D411,MATCHER!D411,MATCHER!$F$5:F411,MATCHER!F411,MATCHER!$K$5:K411,"Ja",MATCHER!$E$5:E411,"Arrangörsskap*")=1,MATCHER!F411,""))</f>
        <v/>
      </c>
    </row>
    <row r="412" spans="17:17">
      <c r="Q412" s="138" t="str">
        <f>IF(OR(MATCHER!A412="",MATCHER!K412&lt;&gt;"Ja",AND(MATCHER!J412&lt;&gt;MATCHER!F412,LEFT(MATCHER!J412,LEN(MATCHER!F412)+1)&lt;&gt;MATCHER!F412&amp;" ",LEFT(MATCHER!E412,13)&lt;&gt;"Arrangörsskap")),"",IF(COUNTIFS(MATCHER!$B$5:B412,MATCHER!B412,MATCHER!$D$5:D412,MATCHER!D412,MATCHER!$F$5:F412,MATCHER!F412,MATCHER!$K$5:K412,"Ja",MATCHER!$J$5:J412,MATCHER!F412)+COUNTIFS(MATCHER!$B$5:B412,MATCHER!B412,MATCHER!$D$5:D412,MATCHER!D412,MATCHER!$F$5:F412,MATCHER!F412,MATCHER!$K$5:K412,"Ja",MATCHER!$J$5:J412,MATCHER!F412&amp;" *")+COUNTIFS(MATCHER!$B$5:B412,MATCHER!B412,MATCHER!$D$5:D412,MATCHER!D412,MATCHER!$F$5:F412,MATCHER!F412,MATCHER!$K$5:K412,"Ja",MATCHER!$E$5:E412,"Arrangörsskap*")=1,MATCHER!F412,""))</f>
        <v/>
      </c>
    </row>
    <row r="413" spans="17:17">
      <c r="Q413" s="138" t="str">
        <f>IF(OR(MATCHER!A413="",MATCHER!K413&lt;&gt;"Ja",AND(MATCHER!J413&lt;&gt;MATCHER!F413,LEFT(MATCHER!J413,LEN(MATCHER!F413)+1)&lt;&gt;MATCHER!F413&amp;" ",LEFT(MATCHER!E413,13)&lt;&gt;"Arrangörsskap")),"",IF(COUNTIFS(MATCHER!$B$5:B413,MATCHER!B413,MATCHER!$D$5:D413,MATCHER!D413,MATCHER!$F$5:F413,MATCHER!F413,MATCHER!$K$5:K413,"Ja",MATCHER!$J$5:J413,MATCHER!F413)+COUNTIFS(MATCHER!$B$5:B413,MATCHER!B413,MATCHER!$D$5:D413,MATCHER!D413,MATCHER!$F$5:F413,MATCHER!F413,MATCHER!$K$5:K413,"Ja",MATCHER!$J$5:J413,MATCHER!F413&amp;" *")+COUNTIFS(MATCHER!$B$5:B413,MATCHER!B413,MATCHER!$D$5:D413,MATCHER!D413,MATCHER!$F$5:F413,MATCHER!F413,MATCHER!$K$5:K413,"Ja",MATCHER!$E$5:E413,"Arrangörsskap*")=1,MATCHER!F413,""))</f>
        <v/>
      </c>
    </row>
    <row r="414" spans="17:17">
      <c r="Q414" s="138" t="str">
        <f>IF(OR(MATCHER!A414="",MATCHER!K414&lt;&gt;"Ja",AND(MATCHER!J414&lt;&gt;MATCHER!F414,LEFT(MATCHER!J414,LEN(MATCHER!F414)+1)&lt;&gt;MATCHER!F414&amp;" ",LEFT(MATCHER!E414,13)&lt;&gt;"Arrangörsskap")),"",IF(COUNTIFS(MATCHER!$B$5:B414,MATCHER!B414,MATCHER!$D$5:D414,MATCHER!D414,MATCHER!$F$5:F414,MATCHER!F414,MATCHER!$K$5:K414,"Ja",MATCHER!$J$5:J414,MATCHER!F414)+COUNTIFS(MATCHER!$B$5:B414,MATCHER!B414,MATCHER!$D$5:D414,MATCHER!D414,MATCHER!$F$5:F414,MATCHER!F414,MATCHER!$K$5:K414,"Ja",MATCHER!$J$5:J414,MATCHER!F414&amp;" *")+COUNTIFS(MATCHER!$B$5:B414,MATCHER!B414,MATCHER!$D$5:D414,MATCHER!D414,MATCHER!$F$5:F414,MATCHER!F414,MATCHER!$K$5:K414,"Ja",MATCHER!$E$5:E414,"Arrangörsskap*")=1,MATCHER!F414,""))</f>
        <v/>
      </c>
    </row>
    <row r="415" spans="17:17">
      <c r="Q415" s="138" t="str">
        <f>IF(OR(MATCHER!A415="",MATCHER!K415&lt;&gt;"Ja",AND(MATCHER!J415&lt;&gt;MATCHER!F415,LEFT(MATCHER!J415,LEN(MATCHER!F415)+1)&lt;&gt;MATCHER!F415&amp;" ",LEFT(MATCHER!E415,13)&lt;&gt;"Arrangörsskap")),"",IF(COUNTIFS(MATCHER!$B$5:B415,MATCHER!B415,MATCHER!$D$5:D415,MATCHER!D415,MATCHER!$F$5:F415,MATCHER!F415,MATCHER!$K$5:K415,"Ja",MATCHER!$J$5:J415,MATCHER!F415)+COUNTIFS(MATCHER!$B$5:B415,MATCHER!B415,MATCHER!$D$5:D415,MATCHER!D415,MATCHER!$F$5:F415,MATCHER!F415,MATCHER!$K$5:K415,"Ja",MATCHER!$J$5:J415,MATCHER!F415&amp;" *")+COUNTIFS(MATCHER!$B$5:B415,MATCHER!B415,MATCHER!$D$5:D415,MATCHER!D415,MATCHER!$F$5:F415,MATCHER!F415,MATCHER!$K$5:K415,"Ja",MATCHER!$E$5:E415,"Arrangörsskap*")=1,MATCHER!F415,""))</f>
        <v/>
      </c>
    </row>
    <row r="416" spans="17:17">
      <c r="Q416" s="138" t="str">
        <f>IF(OR(MATCHER!A416="",MATCHER!K416&lt;&gt;"Ja",AND(MATCHER!J416&lt;&gt;MATCHER!F416,LEFT(MATCHER!J416,LEN(MATCHER!F416)+1)&lt;&gt;MATCHER!F416&amp;" ",LEFT(MATCHER!E416,13)&lt;&gt;"Arrangörsskap")),"",IF(COUNTIFS(MATCHER!$B$5:B416,MATCHER!B416,MATCHER!$D$5:D416,MATCHER!D416,MATCHER!$F$5:F416,MATCHER!F416,MATCHER!$K$5:K416,"Ja",MATCHER!$J$5:J416,MATCHER!F416)+COUNTIFS(MATCHER!$B$5:B416,MATCHER!B416,MATCHER!$D$5:D416,MATCHER!D416,MATCHER!$F$5:F416,MATCHER!F416,MATCHER!$K$5:K416,"Ja",MATCHER!$J$5:J416,MATCHER!F416&amp;" *")+COUNTIFS(MATCHER!$B$5:B416,MATCHER!B416,MATCHER!$D$5:D416,MATCHER!D416,MATCHER!$F$5:F416,MATCHER!F416,MATCHER!$K$5:K416,"Ja",MATCHER!$E$5:E416,"Arrangörsskap*")=1,MATCHER!F416,""))</f>
        <v/>
      </c>
    </row>
    <row r="417" spans="17:17">
      <c r="Q417" s="138" t="str">
        <f>IF(OR(MATCHER!A417="",MATCHER!K417&lt;&gt;"Ja",AND(MATCHER!J417&lt;&gt;MATCHER!F417,LEFT(MATCHER!J417,LEN(MATCHER!F417)+1)&lt;&gt;MATCHER!F417&amp;" ",LEFT(MATCHER!E417,13)&lt;&gt;"Arrangörsskap")),"",IF(COUNTIFS(MATCHER!$B$5:B417,MATCHER!B417,MATCHER!$D$5:D417,MATCHER!D417,MATCHER!$F$5:F417,MATCHER!F417,MATCHER!$K$5:K417,"Ja",MATCHER!$J$5:J417,MATCHER!F417)+COUNTIFS(MATCHER!$B$5:B417,MATCHER!B417,MATCHER!$D$5:D417,MATCHER!D417,MATCHER!$F$5:F417,MATCHER!F417,MATCHER!$K$5:K417,"Ja",MATCHER!$J$5:J417,MATCHER!F417&amp;" *")+COUNTIFS(MATCHER!$B$5:B417,MATCHER!B417,MATCHER!$D$5:D417,MATCHER!D417,MATCHER!$F$5:F417,MATCHER!F417,MATCHER!$K$5:K417,"Ja",MATCHER!$E$5:E417,"Arrangörsskap*")=1,MATCHER!F417,""))</f>
        <v/>
      </c>
    </row>
    <row r="418" spans="17:17">
      <c r="Q418" s="138" t="str">
        <f>IF(OR(MATCHER!A418="",MATCHER!K418&lt;&gt;"Ja",AND(MATCHER!J418&lt;&gt;MATCHER!F418,LEFT(MATCHER!J418,LEN(MATCHER!F418)+1)&lt;&gt;MATCHER!F418&amp;" ",LEFT(MATCHER!E418,13)&lt;&gt;"Arrangörsskap")),"",IF(COUNTIFS(MATCHER!$B$5:B418,MATCHER!B418,MATCHER!$D$5:D418,MATCHER!D418,MATCHER!$F$5:F418,MATCHER!F418,MATCHER!$K$5:K418,"Ja",MATCHER!$J$5:J418,MATCHER!F418)+COUNTIFS(MATCHER!$B$5:B418,MATCHER!B418,MATCHER!$D$5:D418,MATCHER!D418,MATCHER!$F$5:F418,MATCHER!F418,MATCHER!$K$5:K418,"Ja",MATCHER!$J$5:J418,MATCHER!F418&amp;" *")+COUNTIFS(MATCHER!$B$5:B418,MATCHER!B418,MATCHER!$D$5:D418,MATCHER!D418,MATCHER!$F$5:F418,MATCHER!F418,MATCHER!$K$5:K418,"Ja",MATCHER!$E$5:E418,"Arrangörsskap*")=1,MATCHER!F418,""))</f>
        <v/>
      </c>
    </row>
    <row r="419" spans="17:17">
      <c r="Q419" s="138" t="str">
        <f>IF(OR(MATCHER!A419="",MATCHER!K419&lt;&gt;"Ja",AND(MATCHER!J419&lt;&gt;MATCHER!F419,LEFT(MATCHER!J419,LEN(MATCHER!F419)+1)&lt;&gt;MATCHER!F419&amp;" ",LEFT(MATCHER!E419,13)&lt;&gt;"Arrangörsskap")),"",IF(COUNTIFS(MATCHER!$B$5:B419,MATCHER!B419,MATCHER!$D$5:D419,MATCHER!D419,MATCHER!$F$5:F419,MATCHER!F419,MATCHER!$K$5:K419,"Ja",MATCHER!$J$5:J419,MATCHER!F419)+COUNTIFS(MATCHER!$B$5:B419,MATCHER!B419,MATCHER!$D$5:D419,MATCHER!D419,MATCHER!$F$5:F419,MATCHER!F419,MATCHER!$K$5:K419,"Ja",MATCHER!$J$5:J419,MATCHER!F419&amp;" *")+COUNTIFS(MATCHER!$B$5:B419,MATCHER!B419,MATCHER!$D$5:D419,MATCHER!D419,MATCHER!$F$5:F419,MATCHER!F419,MATCHER!$K$5:K419,"Ja",MATCHER!$E$5:E419,"Arrangörsskap*")=1,MATCHER!F419,""))</f>
        <v/>
      </c>
    </row>
    <row r="420" spans="17:17">
      <c r="Q420" s="138" t="str">
        <f>IF(OR(MATCHER!A420="",MATCHER!K420&lt;&gt;"Ja",AND(MATCHER!J420&lt;&gt;MATCHER!F420,LEFT(MATCHER!J420,LEN(MATCHER!F420)+1)&lt;&gt;MATCHER!F420&amp;" ",LEFT(MATCHER!E420,13)&lt;&gt;"Arrangörsskap")),"",IF(COUNTIFS(MATCHER!$B$5:B420,MATCHER!B420,MATCHER!$D$5:D420,MATCHER!D420,MATCHER!$F$5:F420,MATCHER!F420,MATCHER!$K$5:K420,"Ja",MATCHER!$J$5:J420,MATCHER!F420)+COUNTIFS(MATCHER!$B$5:B420,MATCHER!B420,MATCHER!$D$5:D420,MATCHER!D420,MATCHER!$F$5:F420,MATCHER!F420,MATCHER!$K$5:K420,"Ja",MATCHER!$J$5:J420,MATCHER!F420&amp;" *")+COUNTIFS(MATCHER!$B$5:B420,MATCHER!B420,MATCHER!$D$5:D420,MATCHER!D420,MATCHER!$F$5:F420,MATCHER!F420,MATCHER!$K$5:K420,"Ja",MATCHER!$E$5:E420,"Arrangörsskap*")=1,MATCHER!F420,""))</f>
        <v/>
      </c>
    </row>
    <row r="421" spans="17:17">
      <c r="Q421" s="138" t="str">
        <f>IF(OR(MATCHER!A421="",MATCHER!K421&lt;&gt;"Ja",AND(MATCHER!J421&lt;&gt;MATCHER!F421,LEFT(MATCHER!J421,LEN(MATCHER!F421)+1)&lt;&gt;MATCHER!F421&amp;" ",LEFT(MATCHER!E421,13)&lt;&gt;"Arrangörsskap")),"",IF(COUNTIFS(MATCHER!$B$5:B421,MATCHER!B421,MATCHER!$D$5:D421,MATCHER!D421,MATCHER!$F$5:F421,MATCHER!F421,MATCHER!$K$5:K421,"Ja",MATCHER!$J$5:J421,MATCHER!F421)+COUNTIFS(MATCHER!$B$5:B421,MATCHER!B421,MATCHER!$D$5:D421,MATCHER!D421,MATCHER!$F$5:F421,MATCHER!F421,MATCHER!$K$5:K421,"Ja",MATCHER!$J$5:J421,MATCHER!F421&amp;" *")+COUNTIFS(MATCHER!$B$5:B421,MATCHER!B421,MATCHER!$D$5:D421,MATCHER!D421,MATCHER!$F$5:F421,MATCHER!F421,MATCHER!$K$5:K421,"Ja",MATCHER!$E$5:E421,"Arrangörsskap*")=1,MATCHER!F421,""))</f>
        <v/>
      </c>
    </row>
    <row r="422" spans="17:17">
      <c r="Q422" s="138" t="str">
        <f>IF(OR(MATCHER!A422="",MATCHER!K422&lt;&gt;"Ja",AND(MATCHER!J422&lt;&gt;MATCHER!F422,LEFT(MATCHER!J422,LEN(MATCHER!F422)+1)&lt;&gt;MATCHER!F422&amp;" ",LEFT(MATCHER!E422,13)&lt;&gt;"Arrangörsskap")),"",IF(COUNTIFS(MATCHER!$B$5:B422,MATCHER!B422,MATCHER!$D$5:D422,MATCHER!D422,MATCHER!$F$5:F422,MATCHER!F422,MATCHER!$K$5:K422,"Ja",MATCHER!$J$5:J422,MATCHER!F422)+COUNTIFS(MATCHER!$B$5:B422,MATCHER!B422,MATCHER!$D$5:D422,MATCHER!D422,MATCHER!$F$5:F422,MATCHER!F422,MATCHER!$K$5:K422,"Ja",MATCHER!$J$5:J422,MATCHER!F422&amp;" *")+COUNTIFS(MATCHER!$B$5:B422,MATCHER!B422,MATCHER!$D$5:D422,MATCHER!D422,MATCHER!$F$5:F422,MATCHER!F422,MATCHER!$K$5:K422,"Ja",MATCHER!$E$5:E422,"Arrangörsskap*")=1,MATCHER!F422,""))</f>
        <v/>
      </c>
    </row>
    <row r="423" spans="17:17">
      <c r="Q423" s="138" t="str">
        <f>IF(OR(MATCHER!A423="",MATCHER!K423&lt;&gt;"Ja",AND(MATCHER!J423&lt;&gt;MATCHER!F423,LEFT(MATCHER!J423,LEN(MATCHER!F423)+1)&lt;&gt;MATCHER!F423&amp;" ",LEFT(MATCHER!E423,13)&lt;&gt;"Arrangörsskap")),"",IF(COUNTIFS(MATCHER!$B$5:B423,MATCHER!B423,MATCHER!$D$5:D423,MATCHER!D423,MATCHER!$F$5:F423,MATCHER!F423,MATCHER!$K$5:K423,"Ja",MATCHER!$J$5:J423,MATCHER!F423)+COUNTIFS(MATCHER!$B$5:B423,MATCHER!B423,MATCHER!$D$5:D423,MATCHER!D423,MATCHER!$F$5:F423,MATCHER!F423,MATCHER!$K$5:K423,"Ja",MATCHER!$J$5:J423,MATCHER!F423&amp;" *")+COUNTIFS(MATCHER!$B$5:B423,MATCHER!B423,MATCHER!$D$5:D423,MATCHER!D423,MATCHER!$F$5:F423,MATCHER!F423,MATCHER!$K$5:K423,"Ja",MATCHER!$E$5:E423,"Arrangörsskap*")=1,MATCHER!F423,""))</f>
        <v/>
      </c>
    </row>
    <row r="424" spans="17:17">
      <c r="Q424" s="138" t="str">
        <f>IF(OR(MATCHER!A424="",MATCHER!K424&lt;&gt;"Ja",AND(MATCHER!J424&lt;&gt;MATCHER!F424,LEFT(MATCHER!J424,LEN(MATCHER!F424)+1)&lt;&gt;MATCHER!F424&amp;" ",LEFT(MATCHER!E424,13)&lt;&gt;"Arrangörsskap")),"",IF(COUNTIFS(MATCHER!$B$5:B424,MATCHER!B424,MATCHER!$D$5:D424,MATCHER!D424,MATCHER!$F$5:F424,MATCHER!F424,MATCHER!$K$5:K424,"Ja",MATCHER!$J$5:J424,MATCHER!F424)+COUNTIFS(MATCHER!$B$5:B424,MATCHER!B424,MATCHER!$D$5:D424,MATCHER!D424,MATCHER!$F$5:F424,MATCHER!F424,MATCHER!$K$5:K424,"Ja",MATCHER!$J$5:J424,MATCHER!F424&amp;" *")+COUNTIFS(MATCHER!$B$5:B424,MATCHER!B424,MATCHER!$D$5:D424,MATCHER!D424,MATCHER!$F$5:F424,MATCHER!F424,MATCHER!$K$5:K424,"Ja",MATCHER!$E$5:E424,"Arrangörsskap*")=1,MATCHER!F424,""))</f>
        <v/>
      </c>
    </row>
    <row r="425" spans="17:17">
      <c r="Q425" s="138" t="str">
        <f>IF(OR(MATCHER!A425="",MATCHER!K425&lt;&gt;"Ja",AND(MATCHER!J425&lt;&gt;MATCHER!F425,LEFT(MATCHER!J425,LEN(MATCHER!F425)+1)&lt;&gt;MATCHER!F425&amp;" ",LEFT(MATCHER!E425,13)&lt;&gt;"Arrangörsskap")),"",IF(COUNTIFS(MATCHER!$B$5:B425,MATCHER!B425,MATCHER!$D$5:D425,MATCHER!D425,MATCHER!$F$5:F425,MATCHER!F425,MATCHER!$K$5:K425,"Ja",MATCHER!$J$5:J425,MATCHER!F425)+COUNTIFS(MATCHER!$B$5:B425,MATCHER!B425,MATCHER!$D$5:D425,MATCHER!D425,MATCHER!$F$5:F425,MATCHER!F425,MATCHER!$K$5:K425,"Ja",MATCHER!$J$5:J425,MATCHER!F425&amp;" *")+COUNTIFS(MATCHER!$B$5:B425,MATCHER!B425,MATCHER!$D$5:D425,MATCHER!D425,MATCHER!$F$5:F425,MATCHER!F425,MATCHER!$K$5:K425,"Ja",MATCHER!$E$5:E425,"Arrangörsskap*")=1,MATCHER!F425,""))</f>
        <v/>
      </c>
    </row>
    <row r="426" spans="17:17">
      <c r="Q426" s="138" t="str">
        <f>IF(OR(MATCHER!A426="",MATCHER!K426&lt;&gt;"Ja",AND(MATCHER!J426&lt;&gt;MATCHER!F426,LEFT(MATCHER!J426,LEN(MATCHER!F426)+1)&lt;&gt;MATCHER!F426&amp;" ",LEFT(MATCHER!E426,13)&lt;&gt;"Arrangörsskap")),"",IF(COUNTIFS(MATCHER!$B$5:B426,MATCHER!B426,MATCHER!$D$5:D426,MATCHER!D426,MATCHER!$F$5:F426,MATCHER!F426,MATCHER!$K$5:K426,"Ja",MATCHER!$J$5:J426,MATCHER!F426)+COUNTIFS(MATCHER!$B$5:B426,MATCHER!B426,MATCHER!$D$5:D426,MATCHER!D426,MATCHER!$F$5:F426,MATCHER!F426,MATCHER!$K$5:K426,"Ja",MATCHER!$J$5:J426,MATCHER!F426&amp;" *")+COUNTIFS(MATCHER!$B$5:B426,MATCHER!B426,MATCHER!$D$5:D426,MATCHER!D426,MATCHER!$F$5:F426,MATCHER!F426,MATCHER!$K$5:K426,"Ja",MATCHER!$E$5:E426,"Arrangörsskap*")=1,MATCHER!F426,""))</f>
        <v/>
      </c>
    </row>
    <row r="427" spans="17:17">
      <c r="Q427" s="138" t="str">
        <f>IF(OR(MATCHER!A427="",MATCHER!K427&lt;&gt;"Ja",AND(MATCHER!J427&lt;&gt;MATCHER!F427,LEFT(MATCHER!J427,LEN(MATCHER!F427)+1)&lt;&gt;MATCHER!F427&amp;" ",LEFT(MATCHER!E427,13)&lt;&gt;"Arrangörsskap")),"",IF(COUNTIFS(MATCHER!$B$5:B427,MATCHER!B427,MATCHER!$D$5:D427,MATCHER!D427,MATCHER!$F$5:F427,MATCHER!F427,MATCHER!$K$5:K427,"Ja",MATCHER!$J$5:J427,MATCHER!F427)+COUNTIFS(MATCHER!$B$5:B427,MATCHER!B427,MATCHER!$D$5:D427,MATCHER!D427,MATCHER!$F$5:F427,MATCHER!F427,MATCHER!$K$5:K427,"Ja",MATCHER!$J$5:J427,MATCHER!F427&amp;" *")+COUNTIFS(MATCHER!$B$5:B427,MATCHER!B427,MATCHER!$D$5:D427,MATCHER!D427,MATCHER!$F$5:F427,MATCHER!F427,MATCHER!$K$5:K427,"Ja",MATCHER!$E$5:E427,"Arrangörsskap*")=1,MATCHER!F427,""))</f>
        <v/>
      </c>
    </row>
    <row r="428" spans="17:17">
      <c r="Q428" s="138" t="str">
        <f>IF(OR(MATCHER!A428="",MATCHER!K428&lt;&gt;"Ja",AND(MATCHER!J428&lt;&gt;MATCHER!F428,LEFT(MATCHER!J428,LEN(MATCHER!F428)+1)&lt;&gt;MATCHER!F428&amp;" ",LEFT(MATCHER!E428,13)&lt;&gt;"Arrangörsskap")),"",IF(COUNTIFS(MATCHER!$B$5:B428,MATCHER!B428,MATCHER!$D$5:D428,MATCHER!D428,MATCHER!$F$5:F428,MATCHER!F428,MATCHER!$K$5:K428,"Ja",MATCHER!$J$5:J428,MATCHER!F428)+COUNTIFS(MATCHER!$B$5:B428,MATCHER!B428,MATCHER!$D$5:D428,MATCHER!D428,MATCHER!$F$5:F428,MATCHER!F428,MATCHER!$K$5:K428,"Ja",MATCHER!$J$5:J428,MATCHER!F428&amp;" *")+COUNTIFS(MATCHER!$B$5:B428,MATCHER!B428,MATCHER!$D$5:D428,MATCHER!D428,MATCHER!$F$5:F428,MATCHER!F428,MATCHER!$K$5:K428,"Ja",MATCHER!$E$5:E428,"Arrangörsskap*")=1,MATCHER!F428,""))</f>
        <v/>
      </c>
    </row>
    <row r="429" spans="17:17">
      <c r="Q429" s="138" t="str">
        <f>IF(OR(MATCHER!A429="",MATCHER!K429&lt;&gt;"Ja",AND(MATCHER!J429&lt;&gt;MATCHER!F429,LEFT(MATCHER!J429,LEN(MATCHER!F429)+1)&lt;&gt;MATCHER!F429&amp;" ",LEFT(MATCHER!E429,13)&lt;&gt;"Arrangörsskap")),"",IF(COUNTIFS(MATCHER!$B$5:B429,MATCHER!B429,MATCHER!$D$5:D429,MATCHER!D429,MATCHER!$F$5:F429,MATCHER!F429,MATCHER!$K$5:K429,"Ja",MATCHER!$J$5:J429,MATCHER!F429)+COUNTIFS(MATCHER!$B$5:B429,MATCHER!B429,MATCHER!$D$5:D429,MATCHER!D429,MATCHER!$F$5:F429,MATCHER!F429,MATCHER!$K$5:K429,"Ja",MATCHER!$J$5:J429,MATCHER!F429&amp;" *")+COUNTIFS(MATCHER!$B$5:B429,MATCHER!B429,MATCHER!$D$5:D429,MATCHER!D429,MATCHER!$F$5:F429,MATCHER!F429,MATCHER!$K$5:K429,"Ja",MATCHER!$E$5:E429,"Arrangörsskap*")=1,MATCHER!F429,""))</f>
        <v/>
      </c>
    </row>
    <row r="430" spans="17:17">
      <c r="Q430" s="138" t="str">
        <f>IF(OR(MATCHER!A430="",MATCHER!K430&lt;&gt;"Ja",AND(MATCHER!J430&lt;&gt;MATCHER!F430,LEFT(MATCHER!J430,LEN(MATCHER!F430)+1)&lt;&gt;MATCHER!F430&amp;" ",LEFT(MATCHER!E430,13)&lt;&gt;"Arrangörsskap")),"",IF(COUNTIFS(MATCHER!$B$5:B430,MATCHER!B430,MATCHER!$D$5:D430,MATCHER!D430,MATCHER!$F$5:F430,MATCHER!F430,MATCHER!$K$5:K430,"Ja",MATCHER!$J$5:J430,MATCHER!F430)+COUNTIFS(MATCHER!$B$5:B430,MATCHER!B430,MATCHER!$D$5:D430,MATCHER!D430,MATCHER!$F$5:F430,MATCHER!F430,MATCHER!$K$5:K430,"Ja",MATCHER!$J$5:J430,MATCHER!F430&amp;" *")+COUNTIFS(MATCHER!$B$5:B430,MATCHER!B430,MATCHER!$D$5:D430,MATCHER!D430,MATCHER!$F$5:F430,MATCHER!F430,MATCHER!$K$5:K430,"Ja",MATCHER!$E$5:E430,"Arrangörsskap*")=1,MATCHER!F430,""))</f>
        <v/>
      </c>
    </row>
    <row r="431" spans="17:17">
      <c r="Q431" s="138" t="str">
        <f>IF(OR(MATCHER!A431="",MATCHER!K431&lt;&gt;"Ja",AND(MATCHER!J431&lt;&gt;MATCHER!F431,LEFT(MATCHER!J431,LEN(MATCHER!F431)+1)&lt;&gt;MATCHER!F431&amp;" ",LEFT(MATCHER!E431,13)&lt;&gt;"Arrangörsskap")),"",IF(COUNTIFS(MATCHER!$B$5:B431,MATCHER!B431,MATCHER!$D$5:D431,MATCHER!D431,MATCHER!$F$5:F431,MATCHER!F431,MATCHER!$K$5:K431,"Ja",MATCHER!$J$5:J431,MATCHER!F431)+COUNTIFS(MATCHER!$B$5:B431,MATCHER!B431,MATCHER!$D$5:D431,MATCHER!D431,MATCHER!$F$5:F431,MATCHER!F431,MATCHER!$K$5:K431,"Ja",MATCHER!$J$5:J431,MATCHER!F431&amp;" *")+COUNTIFS(MATCHER!$B$5:B431,MATCHER!B431,MATCHER!$D$5:D431,MATCHER!D431,MATCHER!$F$5:F431,MATCHER!F431,MATCHER!$K$5:K431,"Ja",MATCHER!$E$5:E431,"Arrangörsskap*")=1,MATCHER!F431,""))</f>
        <v/>
      </c>
    </row>
    <row r="432" spans="17:17">
      <c r="Q432" s="138" t="str">
        <f>IF(OR(MATCHER!A432="",MATCHER!K432&lt;&gt;"Ja",AND(MATCHER!J432&lt;&gt;MATCHER!F432,LEFT(MATCHER!J432,LEN(MATCHER!F432)+1)&lt;&gt;MATCHER!F432&amp;" ",LEFT(MATCHER!E432,13)&lt;&gt;"Arrangörsskap")),"",IF(COUNTIFS(MATCHER!$B$5:B432,MATCHER!B432,MATCHER!$D$5:D432,MATCHER!D432,MATCHER!$F$5:F432,MATCHER!F432,MATCHER!$K$5:K432,"Ja",MATCHER!$J$5:J432,MATCHER!F432)+COUNTIFS(MATCHER!$B$5:B432,MATCHER!B432,MATCHER!$D$5:D432,MATCHER!D432,MATCHER!$F$5:F432,MATCHER!F432,MATCHER!$K$5:K432,"Ja",MATCHER!$J$5:J432,MATCHER!F432&amp;" *")+COUNTIFS(MATCHER!$B$5:B432,MATCHER!B432,MATCHER!$D$5:D432,MATCHER!D432,MATCHER!$F$5:F432,MATCHER!F432,MATCHER!$K$5:K432,"Ja",MATCHER!$E$5:E432,"Arrangörsskap*")=1,MATCHER!F432,""))</f>
        <v/>
      </c>
    </row>
    <row r="433" spans="17:17">
      <c r="Q433" s="138" t="str">
        <f>IF(OR(MATCHER!A433="",MATCHER!K433&lt;&gt;"Ja",AND(MATCHER!J433&lt;&gt;MATCHER!F433,LEFT(MATCHER!J433,LEN(MATCHER!F433)+1)&lt;&gt;MATCHER!F433&amp;" ",LEFT(MATCHER!E433,13)&lt;&gt;"Arrangörsskap")),"",IF(COUNTIFS(MATCHER!$B$5:B433,MATCHER!B433,MATCHER!$D$5:D433,MATCHER!D433,MATCHER!$F$5:F433,MATCHER!F433,MATCHER!$K$5:K433,"Ja",MATCHER!$J$5:J433,MATCHER!F433)+COUNTIFS(MATCHER!$B$5:B433,MATCHER!B433,MATCHER!$D$5:D433,MATCHER!D433,MATCHER!$F$5:F433,MATCHER!F433,MATCHER!$K$5:K433,"Ja",MATCHER!$J$5:J433,MATCHER!F433&amp;" *")+COUNTIFS(MATCHER!$B$5:B433,MATCHER!B433,MATCHER!$D$5:D433,MATCHER!D433,MATCHER!$F$5:F433,MATCHER!F433,MATCHER!$K$5:K433,"Ja",MATCHER!$E$5:E433,"Arrangörsskap*")=1,MATCHER!F433,""))</f>
        <v/>
      </c>
    </row>
    <row r="434" spans="17:17">
      <c r="Q434" s="138" t="str">
        <f>IF(OR(MATCHER!A434="",MATCHER!K434&lt;&gt;"Ja",AND(MATCHER!J434&lt;&gt;MATCHER!F434,LEFT(MATCHER!J434,LEN(MATCHER!F434)+1)&lt;&gt;MATCHER!F434&amp;" ",LEFT(MATCHER!E434,13)&lt;&gt;"Arrangörsskap")),"",IF(COUNTIFS(MATCHER!$B$5:B434,MATCHER!B434,MATCHER!$D$5:D434,MATCHER!D434,MATCHER!$F$5:F434,MATCHER!F434,MATCHER!$K$5:K434,"Ja",MATCHER!$J$5:J434,MATCHER!F434)+COUNTIFS(MATCHER!$B$5:B434,MATCHER!B434,MATCHER!$D$5:D434,MATCHER!D434,MATCHER!$F$5:F434,MATCHER!F434,MATCHER!$K$5:K434,"Ja",MATCHER!$J$5:J434,MATCHER!F434&amp;" *")+COUNTIFS(MATCHER!$B$5:B434,MATCHER!B434,MATCHER!$D$5:D434,MATCHER!D434,MATCHER!$F$5:F434,MATCHER!F434,MATCHER!$K$5:K434,"Ja",MATCHER!$E$5:E434,"Arrangörsskap*")=1,MATCHER!F434,""))</f>
        <v/>
      </c>
    </row>
    <row r="435" spans="17:17">
      <c r="Q435" s="138" t="str">
        <f>IF(OR(MATCHER!A435="",MATCHER!K435&lt;&gt;"Ja",AND(MATCHER!J435&lt;&gt;MATCHER!F435,LEFT(MATCHER!J435,LEN(MATCHER!F435)+1)&lt;&gt;MATCHER!F435&amp;" ",LEFT(MATCHER!E435,13)&lt;&gt;"Arrangörsskap")),"",IF(COUNTIFS(MATCHER!$B$5:B435,MATCHER!B435,MATCHER!$D$5:D435,MATCHER!D435,MATCHER!$F$5:F435,MATCHER!F435,MATCHER!$K$5:K435,"Ja",MATCHER!$J$5:J435,MATCHER!F435)+COUNTIFS(MATCHER!$B$5:B435,MATCHER!B435,MATCHER!$D$5:D435,MATCHER!D435,MATCHER!$F$5:F435,MATCHER!F435,MATCHER!$K$5:K435,"Ja",MATCHER!$J$5:J435,MATCHER!F435&amp;" *")+COUNTIFS(MATCHER!$B$5:B435,MATCHER!B435,MATCHER!$D$5:D435,MATCHER!D435,MATCHER!$F$5:F435,MATCHER!F435,MATCHER!$K$5:K435,"Ja",MATCHER!$E$5:E435,"Arrangörsskap*")=1,MATCHER!F435,""))</f>
        <v/>
      </c>
    </row>
    <row r="436" spans="17:17">
      <c r="Q436" s="138" t="str">
        <f>IF(OR(MATCHER!A436="",MATCHER!K436&lt;&gt;"Ja",AND(MATCHER!J436&lt;&gt;MATCHER!F436,LEFT(MATCHER!J436,LEN(MATCHER!F436)+1)&lt;&gt;MATCHER!F436&amp;" ",LEFT(MATCHER!E436,13)&lt;&gt;"Arrangörsskap")),"",IF(COUNTIFS(MATCHER!$B$5:B436,MATCHER!B436,MATCHER!$D$5:D436,MATCHER!D436,MATCHER!$F$5:F436,MATCHER!F436,MATCHER!$K$5:K436,"Ja",MATCHER!$J$5:J436,MATCHER!F436)+COUNTIFS(MATCHER!$B$5:B436,MATCHER!B436,MATCHER!$D$5:D436,MATCHER!D436,MATCHER!$F$5:F436,MATCHER!F436,MATCHER!$K$5:K436,"Ja",MATCHER!$J$5:J436,MATCHER!F436&amp;" *")+COUNTIFS(MATCHER!$B$5:B436,MATCHER!B436,MATCHER!$D$5:D436,MATCHER!D436,MATCHER!$F$5:F436,MATCHER!F436,MATCHER!$K$5:K436,"Ja",MATCHER!$E$5:E436,"Arrangörsskap*")=1,MATCHER!F436,""))</f>
        <v/>
      </c>
    </row>
    <row r="437" spans="17:17">
      <c r="Q437" s="138" t="str">
        <f>IF(OR(MATCHER!A437="",MATCHER!K437&lt;&gt;"Ja",AND(MATCHER!J437&lt;&gt;MATCHER!F437,LEFT(MATCHER!J437,LEN(MATCHER!F437)+1)&lt;&gt;MATCHER!F437&amp;" ",LEFT(MATCHER!E437,13)&lt;&gt;"Arrangörsskap")),"",IF(COUNTIFS(MATCHER!$B$5:B437,MATCHER!B437,MATCHER!$D$5:D437,MATCHER!D437,MATCHER!$F$5:F437,MATCHER!F437,MATCHER!$K$5:K437,"Ja",MATCHER!$J$5:J437,MATCHER!F437)+COUNTIFS(MATCHER!$B$5:B437,MATCHER!B437,MATCHER!$D$5:D437,MATCHER!D437,MATCHER!$F$5:F437,MATCHER!F437,MATCHER!$K$5:K437,"Ja",MATCHER!$J$5:J437,MATCHER!F437&amp;" *")+COUNTIFS(MATCHER!$B$5:B437,MATCHER!B437,MATCHER!$D$5:D437,MATCHER!D437,MATCHER!$F$5:F437,MATCHER!F437,MATCHER!$K$5:K437,"Ja",MATCHER!$E$5:E437,"Arrangörsskap*")=1,MATCHER!F437,""))</f>
        <v/>
      </c>
    </row>
    <row r="438" spans="17:17">
      <c r="Q438" s="138" t="str">
        <f>IF(OR(MATCHER!A438="",MATCHER!K438&lt;&gt;"Ja",AND(MATCHER!J438&lt;&gt;MATCHER!F438,LEFT(MATCHER!J438,LEN(MATCHER!F438)+1)&lt;&gt;MATCHER!F438&amp;" ",LEFT(MATCHER!E438,13)&lt;&gt;"Arrangörsskap")),"",IF(COUNTIFS(MATCHER!$B$5:B438,MATCHER!B438,MATCHER!$D$5:D438,MATCHER!D438,MATCHER!$F$5:F438,MATCHER!F438,MATCHER!$K$5:K438,"Ja",MATCHER!$J$5:J438,MATCHER!F438)+COUNTIFS(MATCHER!$B$5:B438,MATCHER!B438,MATCHER!$D$5:D438,MATCHER!D438,MATCHER!$F$5:F438,MATCHER!F438,MATCHER!$K$5:K438,"Ja",MATCHER!$J$5:J438,MATCHER!F438&amp;" *")+COUNTIFS(MATCHER!$B$5:B438,MATCHER!B438,MATCHER!$D$5:D438,MATCHER!D438,MATCHER!$F$5:F438,MATCHER!F438,MATCHER!$K$5:K438,"Ja",MATCHER!$E$5:E438,"Arrangörsskap*")=1,MATCHER!F438,""))</f>
        <v/>
      </c>
    </row>
    <row r="439" spans="17:17">
      <c r="Q439" s="138" t="str">
        <f>IF(OR(MATCHER!A439="",MATCHER!K439&lt;&gt;"Ja",AND(MATCHER!J439&lt;&gt;MATCHER!F439,LEFT(MATCHER!J439,LEN(MATCHER!F439)+1)&lt;&gt;MATCHER!F439&amp;" ",LEFT(MATCHER!E439,13)&lt;&gt;"Arrangörsskap")),"",IF(COUNTIFS(MATCHER!$B$5:B439,MATCHER!B439,MATCHER!$D$5:D439,MATCHER!D439,MATCHER!$F$5:F439,MATCHER!F439,MATCHER!$K$5:K439,"Ja",MATCHER!$J$5:J439,MATCHER!F439)+COUNTIFS(MATCHER!$B$5:B439,MATCHER!B439,MATCHER!$D$5:D439,MATCHER!D439,MATCHER!$F$5:F439,MATCHER!F439,MATCHER!$K$5:K439,"Ja",MATCHER!$J$5:J439,MATCHER!F439&amp;" *")+COUNTIFS(MATCHER!$B$5:B439,MATCHER!B439,MATCHER!$D$5:D439,MATCHER!D439,MATCHER!$F$5:F439,MATCHER!F439,MATCHER!$K$5:K439,"Ja",MATCHER!$E$5:E439,"Arrangörsskap*")=1,MATCHER!F439,""))</f>
        <v/>
      </c>
    </row>
    <row r="440" spans="17:17">
      <c r="Q440" s="138" t="str">
        <f>IF(OR(MATCHER!A440="",MATCHER!K440&lt;&gt;"Ja",AND(MATCHER!J440&lt;&gt;MATCHER!F440,LEFT(MATCHER!J440,LEN(MATCHER!F440)+1)&lt;&gt;MATCHER!F440&amp;" ",LEFT(MATCHER!E440,13)&lt;&gt;"Arrangörsskap")),"",IF(COUNTIFS(MATCHER!$B$5:B440,MATCHER!B440,MATCHER!$D$5:D440,MATCHER!D440,MATCHER!$F$5:F440,MATCHER!F440,MATCHER!$K$5:K440,"Ja",MATCHER!$J$5:J440,MATCHER!F440)+COUNTIFS(MATCHER!$B$5:B440,MATCHER!B440,MATCHER!$D$5:D440,MATCHER!D440,MATCHER!$F$5:F440,MATCHER!F440,MATCHER!$K$5:K440,"Ja",MATCHER!$J$5:J440,MATCHER!F440&amp;" *")+COUNTIFS(MATCHER!$B$5:B440,MATCHER!B440,MATCHER!$D$5:D440,MATCHER!D440,MATCHER!$F$5:F440,MATCHER!F440,MATCHER!$K$5:K440,"Ja",MATCHER!$E$5:E440,"Arrangörsskap*")=1,MATCHER!F440,""))</f>
        <v/>
      </c>
    </row>
    <row r="441" spans="17:17">
      <c r="Q441" s="138" t="str">
        <f>IF(OR(MATCHER!A441="",MATCHER!K441&lt;&gt;"Ja",AND(MATCHER!J441&lt;&gt;MATCHER!F441,LEFT(MATCHER!J441,LEN(MATCHER!F441)+1)&lt;&gt;MATCHER!F441&amp;" ",LEFT(MATCHER!E441,13)&lt;&gt;"Arrangörsskap")),"",IF(COUNTIFS(MATCHER!$B$5:B441,MATCHER!B441,MATCHER!$D$5:D441,MATCHER!D441,MATCHER!$F$5:F441,MATCHER!F441,MATCHER!$K$5:K441,"Ja",MATCHER!$J$5:J441,MATCHER!F441)+COUNTIFS(MATCHER!$B$5:B441,MATCHER!B441,MATCHER!$D$5:D441,MATCHER!D441,MATCHER!$F$5:F441,MATCHER!F441,MATCHER!$K$5:K441,"Ja",MATCHER!$J$5:J441,MATCHER!F441&amp;" *")+COUNTIFS(MATCHER!$B$5:B441,MATCHER!B441,MATCHER!$D$5:D441,MATCHER!D441,MATCHER!$F$5:F441,MATCHER!F441,MATCHER!$K$5:K441,"Ja",MATCHER!$E$5:E441,"Arrangörsskap*")=1,MATCHER!F441,""))</f>
        <v/>
      </c>
    </row>
    <row r="442" spans="17:17">
      <c r="Q442" s="138" t="str">
        <f>IF(OR(MATCHER!A442="",MATCHER!K442&lt;&gt;"Ja",AND(MATCHER!J442&lt;&gt;MATCHER!F442,LEFT(MATCHER!J442,LEN(MATCHER!F442)+1)&lt;&gt;MATCHER!F442&amp;" ",LEFT(MATCHER!E442,13)&lt;&gt;"Arrangörsskap")),"",IF(COUNTIFS(MATCHER!$B$5:B442,MATCHER!B442,MATCHER!$D$5:D442,MATCHER!D442,MATCHER!$F$5:F442,MATCHER!F442,MATCHER!$K$5:K442,"Ja",MATCHER!$J$5:J442,MATCHER!F442)+COUNTIFS(MATCHER!$B$5:B442,MATCHER!B442,MATCHER!$D$5:D442,MATCHER!D442,MATCHER!$F$5:F442,MATCHER!F442,MATCHER!$K$5:K442,"Ja",MATCHER!$J$5:J442,MATCHER!F442&amp;" *")+COUNTIFS(MATCHER!$B$5:B442,MATCHER!B442,MATCHER!$D$5:D442,MATCHER!D442,MATCHER!$F$5:F442,MATCHER!F442,MATCHER!$K$5:K442,"Ja",MATCHER!$E$5:E442,"Arrangörsskap*")=1,MATCHER!F442,""))</f>
        <v/>
      </c>
    </row>
    <row r="443" spans="17:17">
      <c r="Q443" s="138" t="str">
        <f>IF(OR(MATCHER!A443="",MATCHER!K443&lt;&gt;"Ja",AND(MATCHER!J443&lt;&gt;MATCHER!F443,LEFT(MATCHER!J443,LEN(MATCHER!F443)+1)&lt;&gt;MATCHER!F443&amp;" ",LEFT(MATCHER!E443,13)&lt;&gt;"Arrangörsskap")),"",IF(COUNTIFS(MATCHER!$B$5:B443,MATCHER!B443,MATCHER!$D$5:D443,MATCHER!D443,MATCHER!$F$5:F443,MATCHER!F443,MATCHER!$K$5:K443,"Ja",MATCHER!$J$5:J443,MATCHER!F443)+COUNTIFS(MATCHER!$B$5:B443,MATCHER!B443,MATCHER!$D$5:D443,MATCHER!D443,MATCHER!$F$5:F443,MATCHER!F443,MATCHER!$K$5:K443,"Ja",MATCHER!$J$5:J443,MATCHER!F443&amp;" *")+COUNTIFS(MATCHER!$B$5:B443,MATCHER!B443,MATCHER!$D$5:D443,MATCHER!D443,MATCHER!$F$5:F443,MATCHER!F443,MATCHER!$K$5:K443,"Ja",MATCHER!$E$5:E443,"Arrangörsskap*")=1,MATCHER!F443,""))</f>
        <v/>
      </c>
    </row>
    <row r="444" spans="17:17">
      <c r="Q444" s="138" t="str">
        <f>IF(OR(MATCHER!A444="",MATCHER!K444&lt;&gt;"Ja",AND(MATCHER!J444&lt;&gt;MATCHER!F444,LEFT(MATCHER!J444,LEN(MATCHER!F444)+1)&lt;&gt;MATCHER!F444&amp;" ",LEFT(MATCHER!E444,13)&lt;&gt;"Arrangörsskap")),"",IF(COUNTIFS(MATCHER!$B$5:B444,MATCHER!B444,MATCHER!$D$5:D444,MATCHER!D444,MATCHER!$F$5:F444,MATCHER!F444,MATCHER!$K$5:K444,"Ja",MATCHER!$J$5:J444,MATCHER!F444)+COUNTIFS(MATCHER!$B$5:B444,MATCHER!B444,MATCHER!$D$5:D444,MATCHER!D444,MATCHER!$F$5:F444,MATCHER!F444,MATCHER!$K$5:K444,"Ja",MATCHER!$J$5:J444,MATCHER!F444&amp;" *")+COUNTIFS(MATCHER!$B$5:B444,MATCHER!B444,MATCHER!$D$5:D444,MATCHER!D444,MATCHER!$F$5:F444,MATCHER!F444,MATCHER!$K$5:K444,"Ja",MATCHER!$E$5:E444,"Arrangörsskap*")=1,MATCHER!F444,""))</f>
        <v/>
      </c>
    </row>
    <row r="445" spans="17:17">
      <c r="Q445" s="138" t="str">
        <f>IF(OR(MATCHER!A445="",MATCHER!K445&lt;&gt;"Ja",AND(MATCHER!J445&lt;&gt;MATCHER!F445,LEFT(MATCHER!J445,LEN(MATCHER!F445)+1)&lt;&gt;MATCHER!F445&amp;" ",LEFT(MATCHER!E445,13)&lt;&gt;"Arrangörsskap")),"",IF(COUNTIFS(MATCHER!$B$5:B445,MATCHER!B445,MATCHER!$D$5:D445,MATCHER!D445,MATCHER!$F$5:F445,MATCHER!F445,MATCHER!$K$5:K445,"Ja",MATCHER!$J$5:J445,MATCHER!F445)+COUNTIFS(MATCHER!$B$5:B445,MATCHER!B445,MATCHER!$D$5:D445,MATCHER!D445,MATCHER!$F$5:F445,MATCHER!F445,MATCHER!$K$5:K445,"Ja",MATCHER!$J$5:J445,MATCHER!F445&amp;" *")+COUNTIFS(MATCHER!$B$5:B445,MATCHER!B445,MATCHER!$D$5:D445,MATCHER!D445,MATCHER!$F$5:F445,MATCHER!F445,MATCHER!$K$5:K445,"Ja",MATCHER!$E$5:E445,"Arrangörsskap*")=1,MATCHER!F445,""))</f>
        <v/>
      </c>
    </row>
    <row r="446" spans="17:17">
      <c r="Q446" s="138" t="str">
        <f>IF(OR(MATCHER!A446="",MATCHER!K446&lt;&gt;"Ja",AND(MATCHER!J446&lt;&gt;MATCHER!F446,LEFT(MATCHER!J446,LEN(MATCHER!F446)+1)&lt;&gt;MATCHER!F446&amp;" ",LEFT(MATCHER!E446,13)&lt;&gt;"Arrangörsskap")),"",IF(COUNTIFS(MATCHER!$B$5:B446,MATCHER!B446,MATCHER!$D$5:D446,MATCHER!D446,MATCHER!$F$5:F446,MATCHER!F446,MATCHER!$K$5:K446,"Ja",MATCHER!$J$5:J446,MATCHER!F446)+COUNTIFS(MATCHER!$B$5:B446,MATCHER!B446,MATCHER!$D$5:D446,MATCHER!D446,MATCHER!$F$5:F446,MATCHER!F446,MATCHER!$K$5:K446,"Ja",MATCHER!$J$5:J446,MATCHER!F446&amp;" *")+COUNTIFS(MATCHER!$B$5:B446,MATCHER!B446,MATCHER!$D$5:D446,MATCHER!D446,MATCHER!$F$5:F446,MATCHER!F446,MATCHER!$K$5:K446,"Ja",MATCHER!$E$5:E446,"Arrangörsskap*")=1,MATCHER!F446,""))</f>
        <v/>
      </c>
    </row>
    <row r="447" spans="17:17">
      <c r="Q447" s="138" t="str">
        <f>IF(OR(MATCHER!A447="",MATCHER!K447&lt;&gt;"Ja",AND(MATCHER!J447&lt;&gt;MATCHER!F447,LEFT(MATCHER!J447,LEN(MATCHER!F447)+1)&lt;&gt;MATCHER!F447&amp;" ",LEFT(MATCHER!E447,13)&lt;&gt;"Arrangörsskap")),"",IF(COUNTIFS(MATCHER!$B$5:B447,MATCHER!B447,MATCHER!$D$5:D447,MATCHER!D447,MATCHER!$F$5:F447,MATCHER!F447,MATCHER!$K$5:K447,"Ja",MATCHER!$J$5:J447,MATCHER!F447)+COUNTIFS(MATCHER!$B$5:B447,MATCHER!B447,MATCHER!$D$5:D447,MATCHER!D447,MATCHER!$F$5:F447,MATCHER!F447,MATCHER!$K$5:K447,"Ja",MATCHER!$J$5:J447,MATCHER!F447&amp;" *")+COUNTIFS(MATCHER!$B$5:B447,MATCHER!B447,MATCHER!$D$5:D447,MATCHER!D447,MATCHER!$F$5:F447,MATCHER!F447,MATCHER!$K$5:K447,"Ja",MATCHER!$E$5:E447,"Arrangörsskap*")=1,MATCHER!F447,""))</f>
        <v/>
      </c>
    </row>
    <row r="448" spans="17:17">
      <c r="Q448" s="138" t="str">
        <f>IF(OR(MATCHER!A448="",MATCHER!K448&lt;&gt;"Ja",AND(MATCHER!J448&lt;&gt;MATCHER!F448,LEFT(MATCHER!J448,LEN(MATCHER!F448)+1)&lt;&gt;MATCHER!F448&amp;" ",LEFT(MATCHER!E448,13)&lt;&gt;"Arrangörsskap")),"",IF(COUNTIFS(MATCHER!$B$5:B448,MATCHER!B448,MATCHER!$D$5:D448,MATCHER!D448,MATCHER!$F$5:F448,MATCHER!F448,MATCHER!$K$5:K448,"Ja",MATCHER!$J$5:J448,MATCHER!F448)+COUNTIFS(MATCHER!$B$5:B448,MATCHER!B448,MATCHER!$D$5:D448,MATCHER!D448,MATCHER!$F$5:F448,MATCHER!F448,MATCHER!$K$5:K448,"Ja",MATCHER!$J$5:J448,MATCHER!F448&amp;" *")+COUNTIFS(MATCHER!$B$5:B448,MATCHER!B448,MATCHER!$D$5:D448,MATCHER!D448,MATCHER!$F$5:F448,MATCHER!F448,MATCHER!$K$5:K448,"Ja",MATCHER!$E$5:E448,"Arrangörsskap*")=1,MATCHER!F448,""))</f>
        <v/>
      </c>
    </row>
    <row r="449" spans="17:17">
      <c r="Q449" s="138" t="str">
        <f>IF(OR(MATCHER!A449="",MATCHER!K449&lt;&gt;"Ja",AND(MATCHER!J449&lt;&gt;MATCHER!F449,LEFT(MATCHER!J449,LEN(MATCHER!F449)+1)&lt;&gt;MATCHER!F449&amp;" ",LEFT(MATCHER!E449,13)&lt;&gt;"Arrangörsskap")),"",IF(COUNTIFS(MATCHER!$B$5:B449,MATCHER!B449,MATCHER!$D$5:D449,MATCHER!D449,MATCHER!$F$5:F449,MATCHER!F449,MATCHER!$K$5:K449,"Ja",MATCHER!$J$5:J449,MATCHER!F449)+COUNTIFS(MATCHER!$B$5:B449,MATCHER!B449,MATCHER!$D$5:D449,MATCHER!D449,MATCHER!$F$5:F449,MATCHER!F449,MATCHER!$K$5:K449,"Ja",MATCHER!$J$5:J449,MATCHER!F449&amp;" *")+COUNTIFS(MATCHER!$B$5:B449,MATCHER!B449,MATCHER!$D$5:D449,MATCHER!D449,MATCHER!$F$5:F449,MATCHER!F449,MATCHER!$K$5:K449,"Ja",MATCHER!$E$5:E449,"Arrangörsskap*")=1,MATCHER!F449,""))</f>
        <v/>
      </c>
    </row>
    <row r="450" spans="17:17">
      <c r="Q450" s="138" t="str">
        <f>IF(OR(MATCHER!A450="",MATCHER!K450&lt;&gt;"Ja",AND(MATCHER!J450&lt;&gt;MATCHER!F450,LEFT(MATCHER!J450,LEN(MATCHER!F450)+1)&lt;&gt;MATCHER!F450&amp;" ",LEFT(MATCHER!E450,13)&lt;&gt;"Arrangörsskap")),"",IF(COUNTIFS(MATCHER!$B$5:B450,MATCHER!B450,MATCHER!$D$5:D450,MATCHER!D450,MATCHER!$F$5:F450,MATCHER!F450,MATCHER!$K$5:K450,"Ja",MATCHER!$J$5:J450,MATCHER!F450)+COUNTIFS(MATCHER!$B$5:B450,MATCHER!B450,MATCHER!$D$5:D450,MATCHER!D450,MATCHER!$F$5:F450,MATCHER!F450,MATCHER!$K$5:K450,"Ja",MATCHER!$J$5:J450,MATCHER!F450&amp;" *")+COUNTIFS(MATCHER!$B$5:B450,MATCHER!B450,MATCHER!$D$5:D450,MATCHER!D450,MATCHER!$F$5:F450,MATCHER!F450,MATCHER!$K$5:K450,"Ja",MATCHER!$E$5:E450,"Arrangörsskap*")=1,MATCHER!F450,""))</f>
        <v/>
      </c>
    </row>
    <row r="451" spans="17:17">
      <c r="Q451" s="138" t="str">
        <f>IF(OR(MATCHER!A451="",MATCHER!K451&lt;&gt;"Ja",AND(MATCHER!J451&lt;&gt;MATCHER!F451,LEFT(MATCHER!J451,LEN(MATCHER!F451)+1)&lt;&gt;MATCHER!F451&amp;" ",LEFT(MATCHER!E451,13)&lt;&gt;"Arrangörsskap")),"",IF(COUNTIFS(MATCHER!$B$5:B451,MATCHER!B451,MATCHER!$D$5:D451,MATCHER!D451,MATCHER!$F$5:F451,MATCHER!F451,MATCHER!$K$5:K451,"Ja",MATCHER!$J$5:J451,MATCHER!F451)+COUNTIFS(MATCHER!$B$5:B451,MATCHER!B451,MATCHER!$D$5:D451,MATCHER!D451,MATCHER!$F$5:F451,MATCHER!F451,MATCHER!$K$5:K451,"Ja",MATCHER!$J$5:J451,MATCHER!F451&amp;" *")+COUNTIFS(MATCHER!$B$5:B451,MATCHER!B451,MATCHER!$D$5:D451,MATCHER!D451,MATCHER!$F$5:F451,MATCHER!F451,MATCHER!$K$5:K451,"Ja",MATCHER!$E$5:E451,"Arrangörsskap*")=1,MATCHER!F451,""))</f>
        <v/>
      </c>
    </row>
    <row r="452" spans="17:17">
      <c r="Q452" s="138" t="str">
        <f>IF(OR(MATCHER!A452="",MATCHER!K452&lt;&gt;"Ja",AND(MATCHER!J452&lt;&gt;MATCHER!F452,LEFT(MATCHER!J452,LEN(MATCHER!F452)+1)&lt;&gt;MATCHER!F452&amp;" ",LEFT(MATCHER!E452,13)&lt;&gt;"Arrangörsskap")),"",IF(COUNTIFS(MATCHER!$B$5:B452,MATCHER!B452,MATCHER!$D$5:D452,MATCHER!D452,MATCHER!$F$5:F452,MATCHER!F452,MATCHER!$K$5:K452,"Ja",MATCHER!$J$5:J452,MATCHER!F452)+COUNTIFS(MATCHER!$B$5:B452,MATCHER!B452,MATCHER!$D$5:D452,MATCHER!D452,MATCHER!$F$5:F452,MATCHER!F452,MATCHER!$K$5:K452,"Ja",MATCHER!$J$5:J452,MATCHER!F452&amp;" *")+COUNTIFS(MATCHER!$B$5:B452,MATCHER!B452,MATCHER!$D$5:D452,MATCHER!D452,MATCHER!$F$5:F452,MATCHER!F452,MATCHER!$K$5:K452,"Ja",MATCHER!$E$5:E452,"Arrangörsskap*")=1,MATCHER!F452,""))</f>
        <v/>
      </c>
    </row>
    <row r="453" spans="17:17">
      <c r="Q453" s="138" t="str">
        <f>IF(OR(MATCHER!A453="",MATCHER!K453&lt;&gt;"Ja",AND(MATCHER!J453&lt;&gt;MATCHER!F453,LEFT(MATCHER!J453,LEN(MATCHER!F453)+1)&lt;&gt;MATCHER!F453&amp;" ",LEFT(MATCHER!E453,13)&lt;&gt;"Arrangörsskap")),"",IF(COUNTIFS(MATCHER!$B$5:B453,MATCHER!B453,MATCHER!$D$5:D453,MATCHER!D453,MATCHER!$F$5:F453,MATCHER!F453,MATCHER!$K$5:K453,"Ja",MATCHER!$J$5:J453,MATCHER!F453)+COUNTIFS(MATCHER!$B$5:B453,MATCHER!B453,MATCHER!$D$5:D453,MATCHER!D453,MATCHER!$F$5:F453,MATCHER!F453,MATCHER!$K$5:K453,"Ja",MATCHER!$J$5:J453,MATCHER!F453&amp;" *")+COUNTIFS(MATCHER!$B$5:B453,MATCHER!B453,MATCHER!$D$5:D453,MATCHER!D453,MATCHER!$F$5:F453,MATCHER!F453,MATCHER!$K$5:K453,"Ja",MATCHER!$E$5:E453,"Arrangörsskap*")=1,MATCHER!F453,""))</f>
        <v/>
      </c>
    </row>
    <row r="454" spans="17:17">
      <c r="Q454" s="138" t="str">
        <f>IF(OR(MATCHER!A454="",MATCHER!K454&lt;&gt;"Ja",AND(MATCHER!J454&lt;&gt;MATCHER!F454,LEFT(MATCHER!J454,LEN(MATCHER!F454)+1)&lt;&gt;MATCHER!F454&amp;" ",LEFT(MATCHER!E454,13)&lt;&gt;"Arrangörsskap")),"",IF(COUNTIFS(MATCHER!$B$5:B454,MATCHER!B454,MATCHER!$D$5:D454,MATCHER!D454,MATCHER!$F$5:F454,MATCHER!F454,MATCHER!$K$5:K454,"Ja",MATCHER!$J$5:J454,MATCHER!F454)+COUNTIFS(MATCHER!$B$5:B454,MATCHER!B454,MATCHER!$D$5:D454,MATCHER!D454,MATCHER!$F$5:F454,MATCHER!F454,MATCHER!$K$5:K454,"Ja",MATCHER!$J$5:J454,MATCHER!F454&amp;" *")+COUNTIFS(MATCHER!$B$5:B454,MATCHER!B454,MATCHER!$D$5:D454,MATCHER!D454,MATCHER!$F$5:F454,MATCHER!F454,MATCHER!$K$5:K454,"Ja",MATCHER!$E$5:E454,"Arrangörsskap*")=1,MATCHER!F454,""))</f>
        <v/>
      </c>
    </row>
    <row r="455" spans="17:17">
      <c r="Q455" s="138" t="str">
        <f>IF(OR(MATCHER!A455="",MATCHER!K455&lt;&gt;"Ja",AND(MATCHER!J455&lt;&gt;MATCHER!F455,LEFT(MATCHER!J455,LEN(MATCHER!F455)+1)&lt;&gt;MATCHER!F455&amp;" ",LEFT(MATCHER!E455,13)&lt;&gt;"Arrangörsskap")),"",IF(COUNTIFS(MATCHER!$B$5:B455,MATCHER!B455,MATCHER!$D$5:D455,MATCHER!D455,MATCHER!$F$5:F455,MATCHER!F455,MATCHER!$K$5:K455,"Ja",MATCHER!$J$5:J455,MATCHER!F455)+COUNTIFS(MATCHER!$B$5:B455,MATCHER!B455,MATCHER!$D$5:D455,MATCHER!D455,MATCHER!$F$5:F455,MATCHER!F455,MATCHER!$K$5:K455,"Ja",MATCHER!$J$5:J455,MATCHER!F455&amp;" *")+COUNTIFS(MATCHER!$B$5:B455,MATCHER!B455,MATCHER!$D$5:D455,MATCHER!D455,MATCHER!$F$5:F455,MATCHER!F455,MATCHER!$K$5:K455,"Ja",MATCHER!$E$5:E455,"Arrangörsskap*")=1,MATCHER!F455,""))</f>
        <v/>
      </c>
    </row>
    <row r="456" spans="17:17">
      <c r="Q456" s="138" t="str">
        <f>IF(OR(MATCHER!A456="",MATCHER!K456&lt;&gt;"Ja",AND(MATCHER!J456&lt;&gt;MATCHER!F456,LEFT(MATCHER!J456,LEN(MATCHER!F456)+1)&lt;&gt;MATCHER!F456&amp;" ",LEFT(MATCHER!E456,13)&lt;&gt;"Arrangörsskap")),"",IF(COUNTIFS(MATCHER!$B$5:B456,MATCHER!B456,MATCHER!$D$5:D456,MATCHER!D456,MATCHER!$F$5:F456,MATCHER!F456,MATCHER!$K$5:K456,"Ja",MATCHER!$J$5:J456,MATCHER!F456)+COUNTIFS(MATCHER!$B$5:B456,MATCHER!B456,MATCHER!$D$5:D456,MATCHER!D456,MATCHER!$F$5:F456,MATCHER!F456,MATCHER!$K$5:K456,"Ja",MATCHER!$J$5:J456,MATCHER!F456&amp;" *")+COUNTIFS(MATCHER!$B$5:B456,MATCHER!B456,MATCHER!$D$5:D456,MATCHER!D456,MATCHER!$F$5:F456,MATCHER!F456,MATCHER!$K$5:K456,"Ja",MATCHER!$E$5:E456,"Arrangörsskap*")=1,MATCHER!F456,""))</f>
        <v/>
      </c>
    </row>
    <row r="457" spans="17:17">
      <c r="Q457" s="138" t="str">
        <f>IF(OR(MATCHER!A457="",MATCHER!K457&lt;&gt;"Ja",AND(MATCHER!J457&lt;&gt;MATCHER!F457,LEFT(MATCHER!J457,LEN(MATCHER!F457)+1)&lt;&gt;MATCHER!F457&amp;" ",LEFT(MATCHER!E457,13)&lt;&gt;"Arrangörsskap")),"",IF(COUNTIFS(MATCHER!$B$5:B457,MATCHER!B457,MATCHER!$D$5:D457,MATCHER!D457,MATCHER!$F$5:F457,MATCHER!F457,MATCHER!$K$5:K457,"Ja",MATCHER!$J$5:J457,MATCHER!F457)+COUNTIFS(MATCHER!$B$5:B457,MATCHER!B457,MATCHER!$D$5:D457,MATCHER!D457,MATCHER!$F$5:F457,MATCHER!F457,MATCHER!$K$5:K457,"Ja",MATCHER!$J$5:J457,MATCHER!F457&amp;" *")+COUNTIFS(MATCHER!$B$5:B457,MATCHER!B457,MATCHER!$D$5:D457,MATCHER!D457,MATCHER!$F$5:F457,MATCHER!F457,MATCHER!$K$5:K457,"Ja",MATCHER!$E$5:E457,"Arrangörsskap*")=1,MATCHER!F457,""))</f>
        <v/>
      </c>
    </row>
    <row r="458" spans="17:17">
      <c r="Q458" s="138" t="str">
        <f>IF(OR(MATCHER!A458="",MATCHER!K458&lt;&gt;"Ja",AND(MATCHER!J458&lt;&gt;MATCHER!F458,LEFT(MATCHER!J458,LEN(MATCHER!F458)+1)&lt;&gt;MATCHER!F458&amp;" ",LEFT(MATCHER!E458,13)&lt;&gt;"Arrangörsskap")),"",IF(COUNTIFS(MATCHER!$B$5:B458,MATCHER!B458,MATCHER!$D$5:D458,MATCHER!D458,MATCHER!$F$5:F458,MATCHER!F458,MATCHER!$K$5:K458,"Ja",MATCHER!$J$5:J458,MATCHER!F458)+COUNTIFS(MATCHER!$B$5:B458,MATCHER!B458,MATCHER!$D$5:D458,MATCHER!D458,MATCHER!$F$5:F458,MATCHER!F458,MATCHER!$K$5:K458,"Ja",MATCHER!$J$5:J458,MATCHER!F458&amp;" *")+COUNTIFS(MATCHER!$B$5:B458,MATCHER!B458,MATCHER!$D$5:D458,MATCHER!D458,MATCHER!$F$5:F458,MATCHER!F458,MATCHER!$K$5:K458,"Ja",MATCHER!$E$5:E458,"Arrangörsskap*")=1,MATCHER!F458,""))</f>
        <v/>
      </c>
    </row>
    <row r="459" spans="17:17">
      <c r="Q459" s="138" t="str">
        <f>IF(OR(MATCHER!A459="",MATCHER!K459&lt;&gt;"Ja",AND(MATCHER!J459&lt;&gt;MATCHER!F459,LEFT(MATCHER!J459,LEN(MATCHER!F459)+1)&lt;&gt;MATCHER!F459&amp;" ",LEFT(MATCHER!E459,13)&lt;&gt;"Arrangörsskap")),"",IF(COUNTIFS(MATCHER!$B$5:B459,MATCHER!B459,MATCHER!$D$5:D459,MATCHER!D459,MATCHER!$F$5:F459,MATCHER!F459,MATCHER!$K$5:K459,"Ja",MATCHER!$J$5:J459,MATCHER!F459)+COUNTIFS(MATCHER!$B$5:B459,MATCHER!B459,MATCHER!$D$5:D459,MATCHER!D459,MATCHER!$F$5:F459,MATCHER!F459,MATCHER!$K$5:K459,"Ja",MATCHER!$J$5:J459,MATCHER!F459&amp;" *")+COUNTIFS(MATCHER!$B$5:B459,MATCHER!B459,MATCHER!$D$5:D459,MATCHER!D459,MATCHER!$F$5:F459,MATCHER!F459,MATCHER!$K$5:K459,"Ja",MATCHER!$E$5:E459,"Arrangörsskap*")=1,MATCHER!F459,""))</f>
        <v/>
      </c>
    </row>
    <row r="460" spans="17:17">
      <c r="Q460" s="138" t="str">
        <f>IF(OR(MATCHER!A460="",MATCHER!K460&lt;&gt;"Ja",AND(MATCHER!J460&lt;&gt;MATCHER!F460,LEFT(MATCHER!J460,LEN(MATCHER!F460)+1)&lt;&gt;MATCHER!F460&amp;" ",LEFT(MATCHER!E460,13)&lt;&gt;"Arrangörsskap")),"",IF(COUNTIFS(MATCHER!$B$5:B460,MATCHER!B460,MATCHER!$D$5:D460,MATCHER!D460,MATCHER!$F$5:F460,MATCHER!F460,MATCHER!$K$5:K460,"Ja",MATCHER!$J$5:J460,MATCHER!F460)+COUNTIFS(MATCHER!$B$5:B460,MATCHER!B460,MATCHER!$D$5:D460,MATCHER!D460,MATCHER!$F$5:F460,MATCHER!F460,MATCHER!$K$5:K460,"Ja",MATCHER!$J$5:J460,MATCHER!F460&amp;" *")+COUNTIFS(MATCHER!$B$5:B460,MATCHER!B460,MATCHER!$D$5:D460,MATCHER!D460,MATCHER!$F$5:F460,MATCHER!F460,MATCHER!$K$5:K460,"Ja",MATCHER!$E$5:E460,"Arrangörsskap*")=1,MATCHER!F460,""))</f>
        <v/>
      </c>
    </row>
    <row r="461" spans="17:17">
      <c r="Q461" s="138" t="str">
        <f>IF(OR(MATCHER!A461="",MATCHER!K461&lt;&gt;"Ja",AND(MATCHER!J461&lt;&gt;MATCHER!F461,LEFT(MATCHER!J461,LEN(MATCHER!F461)+1)&lt;&gt;MATCHER!F461&amp;" ",LEFT(MATCHER!E461,13)&lt;&gt;"Arrangörsskap")),"",IF(COUNTIFS(MATCHER!$B$5:B461,MATCHER!B461,MATCHER!$D$5:D461,MATCHER!D461,MATCHER!$F$5:F461,MATCHER!F461,MATCHER!$K$5:K461,"Ja",MATCHER!$J$5:J461,MATCHER!F461)+COUNTIFS(MATCHER!$B$5:B461,MATCHER!B461,MATCHER!$D$5:D461,MATCHER!D461,MATCHER!$F$5:F461,MATCHER!F461,MATCHER!$K$5:K461,"Ja",MATCHER!$J$5:J461,MATCHER!F461&amp;" *")+COUNTIFS(MATCHER!$B$5:B461,MATCHER!B461,MATCHER!$D$5:D461,MATCHER!D461,MATCHER!$F$5:F461,MATCHER!F461,MATCHER!$K$5:K461,"Ja",MATCHER!$E$5:E461,"Arrangörsskap*")=1,MATCHER!F461,""))</f>
        <v/>
      </c>
    </row>
    <row r="462" spans="17:17">
      <c r="Q462" s="138" t="str">
        <f>IF(OR(MATCHER!A462="",MATCHER!K462&lt;&gt;"Ja",AND(MATCHER!J462&lt;&gt;MATCHER!F462,LEFT(MATCHER!J462,LEN(MATCHER!F462)+1)&lt;&gt;MATCHER!F462&amp;" ",LEFT(MATCHER!E462,13)&lt;&gt;"Arrangörsskap")),"",IF(COUNTIFS(MATCHER!$B$5:B462,MATCHER!B462,MATCHER!$D$5:D462,MATCHER!D462,MATCHER!$F$5:F462,MATCHER!F462,MATCHER!$K$5:K462,"Ja",MATCHER!$J$5:J462,MATCHER!F462)+COUNTIFS(MATCHER!$B$5:B462,MATCHER!B462,MATCHER!$D$5:D462,MATCHER!D462,MATCHER!$F$5:F462,MATCHER!F462,MATCHER!$K$5:K462,"Ja",MATCHER!$J$5:J462,MATCHER!F462&amp;" *")+COUNTIFS(MATCHER!$B$5:B462,MATCHER!B462,MATCHER!$D$5:D462,MATCHER!D462,MATCHER!$F$5:F462,MATCHER!F462,MATCHER!$K$5:K462,"Ja",MATCHER!$E$5:E462,"Arrangörsskap*")=1,MATCHER!F462,""))</f>
        <v/>
      </c>
    </row>
    <row r="463" spans="17:17">
      <c r="Q463" s="138" t="str">
        <f>IF(OR(MATCHER!A463="",MATCHER!K463&lt;&gt;"Ja",AND(MATCHER!J463&lt;&gt;MATCHER!F463,LEFT(MATCHER!J463,LEN(MATCHER!F463)+1)&lt;&gt;MATCHER!F463&amp;" ",LEFT(MATCHER!E463,13)&lt;&gt;"Arrangörsskap")),"",IF(COUNTIFS(MATCHER!$B$5:B463,MATCHER!B463,MATCHER!$D$5:D463,MATCHER!D463,MATCHER!$F$5:F463,MATCHER!F463,MATCHER!$K$5:K463,"Ja",MATCHER!$J$5:J463,MATCHER!F463)+COUNTIFS(MATCHER!$B$5:B463,MATCHER!B463,MATCHER!$D$5:D463,MATCHER!D463,MATCHER!$F$5:F463,MATCHER!F463,MATCHER!$K$5:K463,"Ja",MATCHER!$J$5:J463,MATCHER!F463&amp;" *")+COUNTIFS(MATCHER!$B$5:B463,MATCHER!B463,MATCHER!$D$5:D463,MATCHER!D463,MATCHER!$F$5:F463,MATCHER!F463,MATCHER!$K$5:K463,"Ja",MATCHER!$E$5:E463,"Arrangörsskap*")=1,MATCHER!F463,""))</f>
        <v/>
      </c>
    </row>
    <row r="464" spans="17:17">
      <c r="Q464" s="138" t="str">
        <f>IF(OR(MATCHER!A464="",MATCHER!K464&lt;&gt;"Ja",AND(MATCHER!J464&lt;&gt;MATCHER!F464,LEFT(MATCHER!J464,LEN(MATCHER!F464)+1)&lt;&gt;MATCHER!F464&amp;" ",LEFT(MATCHER!E464,13)&lt;&gt;"Arrangörsskap")),"",IF(COUNTIFS(MATCHER!$B$5:B464,MATCHER!B464,MATCHER!$D$5:D464,MATCHER!D464,MATCHER!$F$5:F464,MATCHER!F464,MATCHER!$K$5:K464,"Ja",MATCHER!$J$5:J464,MATCHER!F464)+COUNTIFS(MATCHER!$B$5:B464,MATCHER!B464,MATCHER!$D$5:D464,MATCHER!D464,MATCHER!$F$5:F464,MATCHER!F464,MATCHER!$K$5:K464,"Ja",MATCHER!$J$5:J464,MATCHER!F464&amp;" *")+COUNTIFS(MATCHER!$B$5:B464,MATCHER!B464,MATCHER!$D$5:D464,MATCHER!D464,MATCHER!$F$5:F464,MATCHER!F464,MATCHER!$K$5:K464,"Ja",MATCHER!$E$5:E464,"Arrangörsskap*")=1,MATCHER!F464,""))</f>
        <v/>
      </c>
    </row>
    <row r="465" spans="17:17">
      <c r="Q465" s="138" t="str">
        <f>IF(OR(MATCHER!A465="",MATCHER!K465&lt;&gt;"Ja",AND(MATCHER!J465&lt;&gt;MATCHER!F465,LEFT(MATCHER!J465,LEN(MATCHER!F465)+1)&lt;&gt;MATCHER!F465&amp;" ",LEFT(MATCHER!E465,13)&lt;&gt;"Arrangörsskap")),"",IF(COUNTIFS(MATCHER!$B$5:B465,MATCHER!B465,MATCHER!$D$5:D465,MATCHER!D465,MATCHER!$F$5:F465,MATCHER!F465,MATCHER!$K$5:K465,"Ja",MATCHER!$J$5:J465,MATCHER!F465)+COUNTIFS(MATCHER!$B$5:B465,MATCHER!B465,MATCHER!$D$5:D465,MATCHER!D465,MATCHER!$F$5:F465,MATCHER!F465,MATCHER!$K$5:K465,"Ja",MATCHER!$J$5:J465,MATCHER!F465&amp;" *")+COUNTIFS(MATCHER!$B$5:B465,MATCHER!B465,MATCHER!$D$5:D465,MATCHER!D465,MATCHER!$F$5:F465,MATCHER!F465,MATCHER!$K$5:K465,"Ja",MATCHER!$E$5:E465,"Arrangörsskap*")=1,MATCHER!F465,""))</f>
        <v/>
      </c>
    </row>
    <row r="466" spans="17:17">
      <c r="Q466" s="138" t="str">
        <f>IF(OR(MATCHER!A466="",MATCHER!K466&lt;&gt;"Ja",AND(MATCHER!J466&lt;&gt;MATCHER!F466,LEFT(MATCHER!J466,LEN(MATCHER!F466)+1)&lt;&gt;MATCHER!F466&amp;" ",LEFT(MATCHER!E466,13)&lt;&gt;"Arrangörsskap")),"",IF(COUNTIFS(MATCHER!$B$5:B466,MATCHER!B466,MATCHER!$D$5:D466,MATCHER!D466,MATCHER!$F$5:F466,MATCHER!F466,MATCHER!$K$5:K466,"Ja",MATCHER!$J$5:J466,MATCHER!F466)+COUNTIFS(MATCHER!$B$5:B466,MATCHER!B466,MATCHER!$D$5:D466,MATCHER!D466,MATCHER!$F$5:F466,MATCHER!F466,MATCHER!$K$5:K466,"Ja",MATCHER!$J$5:J466,MATCHER!F466&amp;" *")+COUNTIFS(MATCHER!$B$5:B466,MATCHER!B466,MATCHER!$D$5:D466,MATCHER!D466,MATCHER!$F$5:F466,MATCHER!F466,MATCHER!$K$5:K466,"Ja",MATCHER!$E$5:E466,"Arrangörsskap*")=1,MATCHER!F466,""))</f>
        <v/>
      </c>
    </row>
    <row r="467" spans="17:17">
      <c r="Q467" s="138" t="str">
        <f>IF(OR(MATCHER!A467="",MATCHER!K467&lt;&gt;"Ja",AND(MATCHER!J467&lt;&gt;MATCHER!F467,LEFT(MATCHER!J467,LEN(MATCHER!F467)+1)&lt;&gt;MATCHER!F467&amp;" ",LEFT(MATCHER!E467,13)&lt;&gt;"Arrangörsskap")),"",IF(COUNTIFS(MATCHER!$B$5:B467,MATCHER!B467,MATCHER!$D$5:D467,MATCHER!D467,MATCHER!$F$5:F467,MATCHER!F467,MATCHER!$K$5:K467,"Ja",MATCHER!$J$5:J467,MATCHER!F467)+COUNTIFS(MATCHER!$B$5:B467,MATCHER!B467,MATCHER!$D$5:D467,MATCHER!D467,MATCHER!$F$5:F467,MATCHER!F467,MATCHER!$K$5:K467,"Ja",MATCHER!$J$5:J467,MATCHER!F467&amp;" *")+COUNTIFS(MATCHER!$B$5:B467,MATCHER!B467,MATCHER!$D$5:D467,MATCHER!D467,MATCHER!$F$5:F467,MATCHER!F467,MATCHER!$K$5:K467,"Ja",MATCHER!$E$5:E467,"Arrangörsskap*")=1,MATCHER!F467,""))</f>
        <v/>
      </c>
    </row>
    <row r="468" spans="17:17">
      <c r="Q468" s="138" t="str">
        <f>IF(OR(MATCHER!A468="",MATCHER!K468&lt;&gt;"Ja",AND(MATCHER!J468&lt;&gt;MATCHER!F468,LEFT(MATCHER!J468,LEN(MATCHER!F468)+1)&lt;&gt;MATCHER!F468&amp;" ",LEFT(MATCHER!E468,13)&lt;&gt;"Arrangörsskap")),"",IF(COUNTIFS(MATCHER!$B$5:B468,MATCHER!B468,MATCHER!$D$5:D468,MATCHER!D468,MATCHER!$F$5:F468,MATCHER!F468,MATCHER!$K$5:K468,"Ja",MATCHER!$J$5:J468,MATCHER!F468)+COUNTIFS(MATCHER!$B$5:B468,MATCHER!B468,MATCHER!$D$5:D468,MATCHER!D468,MATCHER!$F$5:F468,MATCHER!F468,MATCHER!$K$5:K468,"Ja",MATCHER!$J$5:J468,MATCHER!F468&amp;" *")+COUNTIFS(MATCHER!$B$5:B468,MATCHER!B468,MATCHER!$D$5:D468,MATCHER!D468,MATCHER!$F$5:F468,MATCHER!F468,MATCHER!$K$5:K468,"Ja",MATCHER!$E$5:E468,"Arrangörsskap*")=1,MATCHER!F468,""))</f>
        <v/>
      </c>
    </row>
    <row r="469" spans="17:17">
      <c r="Q469" s="138" t="str">
        <f>IF(OR(MATCHER!A469="",MATCHER!K469&lt;&gt;"Ja",AND(MATCHER!J469&lt;&gt;MATCHER!F469,LEFT(MATCHER!J469,LEN(MATCHER!F469)+1)&lt;&gt;MATCHER!F469&amp;" ",LEFT(MATCHER!E469,13)&lt;&gt;"Arrangörsskap")),"",IF(COUNTIFS(MATCHER!$B$5:B469,MATCHER!B469,MATCHER!$D$5:D469,MATCHER!D469,MATCHER!$F$5:F469,MATCHER!F469,MATCHER!$K$5:K469,"Ja",MATCHER!$J$5:J469,MATCHER!F469)+COUNTIFS(MATCHER!$B$5:B469,MATCHER!B469,MATCHER!$D$5:D469,MATCHER!D469,MATCHER!$F$5:F469,MATCHER!F469,MATCHER!$K$5:K469,"Ja",MATCHER!$J$5:J469,MATCHER!F469&amp;" *")+COUNTIFS(MATCHER!$B$5:B469,MATCHER!B469,MATCHER!$D$5:D469,MATCHER!D469,MATCHER!$F$5:F469,MATCHER!F469,MATCHER!$K$5:K469,"Ja",MATCHER!$E$5:E469,"Arrangörsskap*")=1,MATCHER!F469,""))</f>
        <v/>
      </c>
    </row>
    <row r="470" spans="17:17">
      <c r="Q470" s="138" t="str">
        <f>IF(OR(MATCHER!A470="",MATCHER!K470&lt;&gt;"Ja",AND(MATCHER!J470&lt;&gt;MATCHER!F470,LEFT(MATCHER!J470,LEN(MATCHER!F470)+1)&lt;&gt;MATCHER!F470&amp;" ",LEFT(MATCHER!E470,13)&lt;&gt;"Arrangörsskap")),"",IF(COUNTIFS(MATCHER!$B$5:B470,MATCHER!B470,MATCHER!$D$5:D470,MATCHER!D470,MATCHER!$F$5:F470,MATCHER!F470,MATCHER!$K$5:K470,"Ja",MATCHER!$J$5:J470,MATCHER!F470)+COUNTIFS(MATCHER!$B$5:B470,MATCHER!B470,MATCHER!$D$5:D470,MATCHER!D470,MATCHER!$F$5:F470,MATCHER!F470,MATCHER!$K$5:K470,"Ja",MATCHER!$J$5:J470,MATCHER!F470&amp;" *")+COUNTIFS(MATCHER!$B$5:B470,MATCHER!B470,MATCHER!$D$5:D470,MATCHER!D470,MATCHER!$F$5:F470,MATCHER!F470,MATCHER!$K$5:K470,"Ja",MATCHER!$E$5:E470,"Arrangörsskap*")=1,MATCHER!F470,""))</f>
        <v/>
      </c>
    </row>
    <row r="471" spans="17:17">
      <c r="Q471" s="138" t="str">
        <f>IF(OR(MATCHER!A471="",MATCHER!K471&lt;&gt;"Ja",AND(MATCHER!J471&lt;&gt;MATCHER!F471,LEFT(MATCHER!J471,LEN(MATCHER!F471)+1)&lt;&gt;MATCHER!F471&amp;" ",LEFT(MATCHER!E471,13)&lt;&gt;"Arrangörsskap")),"",IF(COUNTIFS(MATCHER!$B$5:B471,MATCHER!B471,MATCHER!$D$5:D471,MATCHER!D471,MATCHER!$F$5:F471,MATCHER!F471,MATCHER!$K$5:K471,"Ja",MATCHER!$J$5:J471,MATCHER!F471)+COUNTIFS(MATCHER!$B$5:B471,MATCHER!B471,MATCHER!$D$5:D471,MATCHER!D471,MATCHER!$F$5:F471,MATCHER!F471,MATCHER!$K$5:K471,"Ja",MATCHER!$J$5:J471,MATCHER!F471&amp;" *")+COUNTIFS(MATCHER!$B$5:B471,MATCHER!B471,MATCHER!$D$5:D471,MATCHER!D471,MATCHER!$F$5:F471,MATCHER!F471,MATCHER!$K$5:K471,"Ja",MATCHER!$E$5:E471,"Arrangörsskap*")=1,MATCHER!F471,""))</f>
        <v/>
      </c>
    </row>
    <row r="472" spans="17:17">
      <c r="Q472" s="138" t="str">
        <f>IF(OR(MATCHER!A472="",MATCHER!K472&lt;&gt;"Ja",AND(MATCHER!J472&lt;&gt;MATCHER!F472,LEFT(MATCHER!J472,LEN(MATCHER!F472)+1)&lt;&gt;MATCHER!F472&amp;" ",LEFT(MATCHER!E472,13)&lt;&gt;"Arrangörsskap")),"",IF(COUNTIFS(MATCHER!$B$5:B472,MATCHER!B472,MATCHER!$D$5:D472,MATCHER!D472,MATCHER!$F$5:F472,MATCHER!F472,MATCHER!$K$5:K472,"Ja",MATCHER!$J$5:J472,MATCHER!F472)+COUNTIFS(MATCHER!$B$5:B472,MATCHER!B472,MATCHER!$D$5:D472,MATCHER!D472,MATCHER!$F$5:F472,MATCHER!F472,MATCHER!$K$5:K472,"Ja",MATCHER!$J$5:J472,MATCHER!F472&amp;" *")+COUNTIFS(MATCHER!$B$5:B472,MATCHER!B472,MATCHER!$D$5:D472,MATCHER!D472,MATCHER!$F$5:F472,MATCHER!F472,MATCHER!$K$5:K472,"Ja",MATCHER!$E$5:E472,"Arrangörsskap*")=1,MATCHER!F472,""))</f>
        <v/>
      </c>
    </row>
    <row r="473" spans="17:17">
      <c r="Q473" s="138" t="str">
        <f>IF(OR(MATCHER!A473="",MATCHER!K473&lt;&gt;"Ja",AND(MATCHER!J473&lt;&gt;MATCHER!F473,LEFT(MATCHER!J473,LEN(MATCHER!F473)+1)&lt;&gt;MATCHER!F473&amp;" ",LEFT(MATCHER!E473,13)&lt;&gt;"Arrangörsskap")),"",IF(COUNTIFS(MATCHER!$B$5:B473,MATCHER!B473,MATCHER!$D$5:D473,MATCHER!D473,MATCHER!$F$5:F473,MATCHER!F473,MATCHER!$K$5:K473,"Ja",MATCHER!$J$5:J473,MATCHER!F473)+COUNTIFS(MATCHER!$B$5:B473,MATCHER!B473,MATCHER!$D$5:D473,MATCHER!D473,MATCHER!$F$5:F473,MATCHER!F473,MATCHER!$K$5:K473,"Ja",MATCHER!$J$5:J473,MATCHER!F473&amp;" *")+COUNTIFS(MATCHER!$B$5:B473,MATCHER!B473,MATCHER!$D$5:D473,MATCHER!D473,MATCHER!$F$5:F473,MATCHER!F473,MATCHER!$K$5:K473,"Ja",MATCHER!$E$5:E473,"Arrangörsskap*")=1,MATCHER!F473,""))</f>
        <v/>
      </c>
    </row>
    <row r="474" spans="17:17">
      <c r="Q474" s="138" t="str">
        <f>IF(OR(MATCHER!A474="",MATCHER!K474&lt;&gt;"Ja",AND(MATCHER!J474&lt;&gt;MATCHER!F474,LEFT(MATCHER!J474,LEN(MATCHER!F474)+1)&lt;&gt;MATCHER!F474&amp;" ",LEFT(MATCHER!E474,13)&lt;&gt;"Arrangörsskap")),"",IF(COUNTIFS(MATCHER!$B$5:B474,MATCHER!B474,MATCHER!$D$5:D474,MATCHER!D474,MATCHER!$F$5:F474,MATCHER!F474,MATCHER!$K$5:K474,"Ja",MATCHER!$J$5:J474,MATCHER!F474)+COUNTIFS(MATCHER!$B$5:B474,MATCHER!B474,MATCHER!$D$5:D474,MATCHER!D474,MATCHER!$F$5:F474,MATCHER!F474,MATCHER!$K$5:K474,"Ja",MATCHER!$J$5:J474,MATCHER!F474&amp;" *")+COUNTIFS(MATCHER!$B$5:B474,MATCHER!B474,MATCHER!$D$5:D474,MATCHER!D474,MATCHER!$F$5:F474,MATCHER!F474,MATCHER!$K$5:K474,"Ja",MATCHER!$E$5:E474,"Arrangörsskap*")=1,MATCHER!F474,""))</f>
        <v/>
      </c>
    </row>
    <row r="475" spans="17:17">
      <c r="Q475" s="138" t="str">
        <f>IF(OR(MATCHER!A475="",MATCHER!K475&lt;&gt;"Ja",AND(MATCHER!J475&lt;&gt;MATCHER!F475,LEFT(MATCHER!J475,LEN(MATCHER!F475)+1)&lt;&gt;MATCHER!F475&amp;" ",LEFT(MATCHER!E475,13)&lt;&gt;"Arrangörsskap")),"",IF(COUNTIFS(MATCHER!$B$5:B475,MATCHER!B475,MATCHER!$D$5:D475,MATCHER!D475,MATCHER!$F$5:F475,MATCHER!F475,MATCHER!$K$5:K475,"Ja",MATCHER!$J$5:J475,MATCHER!F475)+COUNTIFS(MATCHER!$B$5:B475,MATCHER!B475,MATCHER!$D$5:D475,MATCHER!D475,MATCHER!$F$5:F475,MATCHER!F475,MATCHER!$K$5:K475,"Ja",MATCHER!$J$5:J475,MATCHER!F475&amp;" *")+COUNTIFS(MATCHER!$B$5:B475,MATCHER!B475,MATCHER!$D$5:D475,MATCHER!D475,MATCHER!$F$5:F475,MATCHER!F475,MATCHER!$K$5:K475,"Ja",MATCHER!$E$5:E475,"Arrangörsskap*")=1,MATCHER!F475,""))</f>
        <v/>
      </c>
    </row>
    <row r="476" spans="17:17">
      <c r="Q476" s="138" t="str">
        <f>IF(OR(MATCHER!A476="",MATCHER!K476&lt;&gt;"Ja",AND(MATCHER!J476&lt;&gt;MATCHER!F476,LEFT(MATCHER!J476,LEN(MATCHER!F476)+1)&lt;&gt;MATCHER!F476&amp;" ",LEFT(MATCHER!E476,13)&lt;&gt;"Arrangörsskap")),"",IF(COUNTIFS(MATCHER!$B$5:B476,MATCHER!B476,MATCHER!$D$5:D476,MATCHER!D476,MATCHER!$F$5:F476,MATCHER!F476,MATCHER!$K$5:K476,"Ja",MATCHER!$J$5:J476,MATCHER!F476)+COUNTIFS(MATCHER!$B$5:B476,MATCHER!B476,MATCHER!$D$5:D476,MATCHER!D476,MATCHER!$F$5:F476,MATCHER!F476,MATCHER!$K$5:K476,"Ja",MATCHER!$J$5:J476,MATCHER!F476&amp;" *")+COUNTIFS(MATCHER!$B$5:B476,MATCHER!B476,MATCHER!$D$5:D476,MATCHER!D476,MATCHER!$F$5:F476,MATCHER!F476,MATCHER!$K$5:K476,"Ja",MATCHER!$E$5:E476,"Arrangörsskap*")=1,MATCHER!F476,""))</f>
        <v/>
      </c>
    </row>
    <row r="477" spans="17:17">
      <c r="Q477" s="138" t="str">
        <f>IF(OR(MATCHER!A477="",MATCHER!K477&lt;&gt;"Ja",AND(MATCHER!J477&lt;&gt;MATCHER!F477,LEFT(MATCHER!J477,LEN(MATCHER!F477)+1)&lt;&gt;MATCHER!F477&amp;" ",LEFT(MATCHER!E477,13)&lt;&gt;"Arrangörsskap")),"",IF(COUNTIFS(MATCHER!$B$5:B477,MATCHER!B477,MATCHER!$D$5:D477,MATCHER!D477,MATCHER!$F$5:F477,MATCHER!F477,MATCHER!$K$5:K477,"Ja",MATCHER!$J$5:J477,MATCHER!F477)+COUNTIFS(MATCHER!$B$5:B477,MATCHER!B477,MATCHER!$D$5:D477,MATCHER!D477,MATCHER!$F$5:F477,MATCHER!F477,MATCHER!$K$5:K477,"Ja",MATCHER!$J$5:J477,MATCHER!F477&amp;" *")+COUNTIFS(MATCHER!$B$5:B477,MATCHER!B477,MATCHER!$D$5:D477,MATCHER!D477,MATCHER!$F$5:F477,MATCHER!F477,MATCHER!$K$5:K477,"Ja",MATCHER!$E$5:E477,"Arrangörsskap*")=1,MATCHER!F477,""))</f>
        <v/>
      </c>
    </row>
    <row r="478" spans="17:17">
      <c r="Q478" s="138" t="str">
        <f>IF(OR(MATCHER!A478="",MATCHER!K478&lt;&gt;"Ja",AND(MATCHER!J478&lt;&gt;MATCHER!F478,LEFT(MATCHER!J478,LEN(MATCHER!F478)+1)&lt;&gt;MATCHER!F478&amp;" ",LEFT(MATCHER!E478,13)&lt;&gt;"Arrangörsskap")),"",IF(COUNTIFS(MATCHER!$B$5:B478,MATCHER!B478,MATCHER!$D$5:D478,MATCHER!D478,MATCHER!$F$5:F478,MATCHER!F478,MATCHER!$K$5:K478,"Ja",MATCHER!$J$5:J478,MATCHER!F478)+COUNTIFS(MATCHER!$B$5:B478,MATCHER!B478,MATCHER!$D$5:D478,MATCHER!D478,MATCHER!$F$5:F478,MATCHER!F478,MATCHER!$K$5:K478,"Ja",MATCHER!$J$5:J478,MATCHER!F478&amp;" *")+COUNTIFS(MATCHER!$B$5:B478,MATCHER!B478,MATCHER!$D$5:D478,MATCHER!D478,MATCHER!$F$5:F478,MATCHER!F478,MATCHER!$K$5:K478,"Ja",MATCHER!$E$5:E478,"Arrangörsskap*")=1,MATCHER!F478,""))</f>
        <v/>
      </c>
    </row>
    <row r="479" spans="17:17">
      <c r="Q479" s="138" t="str">
        <f>IF(OR(MATCHER!A479="",MATCHER!K479&lt;&gt;"Ja",AND(MATCHER!J479&lt;&gt;MATCHER!F479,LEFT(MATCHER!J479,LEN(MATCHER!F479)+1)&lt;&gt;MATCHER!F479&amp;" ",LEFT(MATCHER!E479,13)&lt;&gt;"Arrangörsskap")),"",IF(COUNTIFS(MATCHER!$B$5:B479,MATCHER!B479,MATCHER!$D$5:D479,MATCHER!D479,MATCHER!$F$5:F479,MATCHER!F479,MATCHER!$K$5:K479,"Ja",MATCHER!$J$5:J479,MATCHER!F479)+COUNTIFS(MATCHER!$B$5:B479,MATCHER!B479,MATCHER!$D$5:D479,MATCHER!D479,MATCHER!$F$5:F479,MATCHER!F479,MATCHER!$K$5:K479,"Ja",MATCHER!$J$5:J479,MATCHER!F479&amp;" *")+COUNTIFS(MATCHER!$B$5:B479,MATCHER!B479,MATCHER!$D$5:D479,MATCHER!D479,MATCHER!$F$5:F479,MATCHER!F479,MATCHER!$K$5:K479,"Ja",MATCHER!$E$5:E479,"Arrangörsskap*")=1,MATCHER!F479,""))</f>
        <v/>
      </c>
    </row>
    <row r="480" spans="17:17">
      <c r="Q480" s="138" t="str">
        <f>IF(OR(MATCHER!A480="",MATCHER!K480&lt;&gt;"Ja",AND(MATCHER!J480&lt;&gt;MATCHER!F480,LEFT(MATCHER!J480,LEN(MATCHER!F480)+1)&lt;&gt;MATCHER!F480&amp;" ",LEFT(MATCHER!E480,13)&lt;&gt;"Arrangörsskap")),"",IF(COUNTIFS(MATCHER!$B$5:B480,MATCHER!B480,MATCHER!$D$5:D480,MATCHER!D480,MATCHER!$F$5:F480,MATCHER!F480,MATCHER!$K$5:K480,"Ja",MATCHER!$J$5:J480,MATCHER!F480)+COUNTIFS(MATCHER!$B$5:B480,MATCHER!B480,MATCHER!$D$5:D480,MATCHER!D480,MATCHER!$F$5:F480,MATCHER!F480,MATCHER!$K$5:K480,"Ja",MATCHER!$J$5:J480,MATCHER!F480&amp;" *")+COUNTIFS(MATCHER!$B$5:B480,MATCHER!B480,MATCHER!$D$5:D480,MATCHER!D480,MATCHER!$F$5:F480,MATCHER!F480,MATCHER!$K$5:K480,"Ja",MATCHER!$E$5:E480,"Arrangörsskap*")=1,MATCHER!F480,""))</f>
        <v/>
      </c>
    </row>
    <row r="481" spans="17:17">
      <c r="Q481" s="138" t="str">
        <f>IF(OR(MATCHER!A481="",MATCHER!K481&lt;&gt;"Ja",AND(MATCHER!J481&lt;&gt;MATCHER!F481,LEFT(MATCHER!J481,LEN(MATCHER!F481)+1)&lt;&gt;MATCHER!F481&amp;" ",LEFT(MATCHER!E481,13)&lt;&gt;"Arrangörsskap")),"",IF(COUNTIFS(MATCHER!$B$5:B481,MATCHER!B481,MATCHER!$D$5:D481,MATCHER!D481,MATCHER!$F$5:F481,MATCHER!F481,MATCHER!$K$5:K481,"Ja",MATCHER!$J$5:J481,MATCHER!F481)+COUNTIFS(MATCHER!$B$5:B481,MATCHER!B481,MATCHER!$D$5:D481,MATCHER!D481,MATCHER!$F$5:F481,MATCHER!F481,MATCHER!$K$5:K481,"Ja",MATCHER!$J$5:J481,MATCHER!F481&amp;" *")+COUNTIFS(MATCHER!$B$5:B481,MATCHER!B481,MATCHER!$D$5:D481,MATCHER!D481,MATCHER!$F$5:F481,MATCHER!F481,MATCHER!$K$5:K481,"Ja",MATCHER!$E$5:E481,"Arrangörsskap*")=1,MATCHER!F481,""))</f>
        <v/>
      </c>
    </row>
    <row r="482" spans="17:17">
      <c r="Q482" s="138" t="str">
        <f>IF(OR(MATCHER!A482="",MATCHER!K482&lt;&gt;"Ja",AND(MATCHER!J482&lt;&gt;MATCHER!F482,LEFT(MATCHER!J482,LEN(MATCHER!F482)+1)&lt;&gt;MATCHER!F482&amp;" ",LEFT(MATCHER!E482,13)&lt;&gt;"Arrangörsskap")),"",IF(COUNTIFS(MATCHER!$B$5:B482,MATCHER!B482,MATCHER!$D$5:D482,MATCHER!D482,MATCHER!$F$5:F482,MATCHER!F482,MATCHER!$K$5:K482,"Ja",MATCHER!$J$5:J482,MATCHER!F482)+COUNTIFS(MATCHER!$B$5:B482,MATCHER!B482,MATCHER!$D$5:D482,MATCHER!D482,MATCHER!$F$5:F482,MATCHER!F482,MATCHER!$K$5:K482,"Ja",MATCHER!$J$5:J482,MATCHER!F482&amp;" *")+COUNTIFS(MATCHER!$B$5:B482,MATCHER!B482,MATCHER!$D$5:D482,MATCHER!D482,MATCHER!$F$5:F482,MATCHER!F482,MATCHER!$K$5:K482,"Ja",MATCHER!$E$5:E482,"Arrangörsskap*")=1,MATCHER!F482,""))</f>
        <v/>
      </c>
    </row>
    <row r="483" spans="17:17">
      <c r="Q483" s="138" t="str">
        <f>IF(OR(MATCHER!A483="",MATCHER!K483&lt;&gt;"Ja",AND(MATCHER!J483&lt;&gt;MATCHER!F483,LEFT(MATCHER!J483,LEN(MATCHER!F483)+1)&lt;&gt;MATCHER!F483&amp;" ",LEFT(MATCHER!E483,13)&lt;&gt;"Arrangörsskap")),"",IF(COUNTIFS(MATCHER!$B$5:B483,MATCHER!B483,MATCHER!$D$5:D483,MATCHER!D483,MATCHER!$F$5:F483,MATCHER!F483,MATCHER!$K$5:K483,"Ja",MATCHER!$J$5:J483,MATCHER!F483)+COUNTIFS(MATCHER!$B$5:B483,MATCHER!B483,MATCHER!$D$5:D483,MATCHER!D483,MATCHER!$F$5:F483,MATCHER!F483,MATCHER!$K$5:K483,"Ja",MATCHER!$J$5:J483,MATCHER!F483&amp;" *")+COUNTIFS(MATCHER!$B$5:B483,MATCHER!B483,MATCHER!$D$5:D483,MATCHER!D483,MATCHER!$F$5:F483,MATCHER!F483,MATCHER!$K$5:K483,"Ja",MATCHER!$E$5:E483,"Arrangörsskap*")=1,MATCHER!F483,""))</f>
        <v/>
      </c>
    </row>
    <row r="484" spans="17:17">
      <c r="Q484" s="138" t="str">
        <f>IF(OR(MATCHER!A484="",MATCHER!K484&lt;&gt;"Ja",AND(MATCHER!J484&lt;&gt;MATCHER!F484,LEFT(MATCHER!J484,LEN(MATCHER!F484)+1)&lt;&gt;MATCHER!F484&amp;" ",LEFT(MATCHER!E484,13)&lt;&gt;"Arrangörsskap")),"",IF(COUNTIFS(MATCHER!$B$5:B484,MATCHER!B484,MATCHER!$D$5:D484,MATCHER!D484,MATCHER!$F$5:F484,MATCHER!F484,MATCHER!$K$5:K484,"Ja",MATCHER!$J$5:J484,MATCHER!F484)+COUNTIFS(MATCHER!$B$5:B484,MATCHER!B484,MATCHER!$D$5:D484,MATCHER!D484,MATCHER!$F$5:F484,MATCHER!F484,MATCHER!$K$5:K484,"Ja",MATCHER!$J$5:J484,MATCHER!F484&amp;" *")+COUNTIFS(MATCHER!$B$5:B484,MATCHER!B484,MATCHER!$D$5:D484,MATCHER!D484,MATCHER!$F$5:F484,MATCHER!F484,MATCHER!$K$5:K484,"Ja",MATCHER!$E$5:E484,"Arrangörsskap*")=1,MATCHER!F484,""))</f>
        <v/>
      </c>
    </row>
    <row r="485" spans="17:17">
      <c r="Q485" s="138" t="str">
        <f>IF(OR(MATCHER!A485="",MATCHER!K485&lt;&gt;"Ja",AND(MATCHER!J485&lt;&gt;MATCHER!F485,LEFT(MATCHER!J485,LEN(MATCHER!F485)+1)&lt;&gt;MATCHER!F485&amp;" ",LEFT(MATCHER!E485,13)&lt;&gt;"Arrangörsskap")),"",IF(COUNTIFS(MATCHER!$B$5:B485,MATCHER!B485,MATCHER!$D$5:D485,MATCHER!D485,MATCHER!$F$5:F485,MATCHER!F485,MATCHER!$K$5:K485,"Ja",MATCHER!$J$5:J485,MATCHER!F485)+COUNTIFS(MATCHER!$B$5:B485,MATCHER!B485,MATCHER!$D$5:D485,MATCHER!D485,MATCHER!$F$5:F485,MATCHER!F485,MATCHER!$K$5:K485,"Ja",MATCHER!$J$5:J485,MATCHER!F485&amp;" *")+COUNTIFS(MATCHER!$B$5:B485,MATCHER!B485,MATCHER!$D$5:D485,MATCHER!D485,MATCHER!$F$5:F485,MATCHER!F485,MATCHER!$K$5:K485,"Ja",MATCHER!$E$5:E485,"Arrangörsskap*")=1,MATCHER!F485,""))</f>
        <v/>
      </c>
    </row>
    <row r="486" spans="17:17">
      <c r="Q486" s="138" t="str">
        <f>IF(OR(MATCHER!A486="",MATCHER!K486&lt;&gt;"Ja",AND(MATCHER!J486&lt;&gt;MATCHER!F486,LEFT(MATCHER!J486,LEN(MATCHER!F486)+1)&lt;&gt;MATCHER!F486&amp;" ",LEFT(MATCHER!E486,13)&lt;&gt;"Arrangörsskap")),"",IF(COUNTIFS(MATCHER!$B$5:B486,MATCHER!B486,MATCHER!$D$5:D486,MATCHER!D486,MATCHER!$F$5:F486,MATCHER!F486,MATCHER!$K$5:K486,"Ja",MATCHER!$J$5:J486,MATCHER!F486)+COUNTIFS(MATCHER!$B$5:B486,MATCHER!B486,MATCHER!$D$5:D486,MATCHER!D486,MATCHER!$F$5:F486,MATCHER!F486,MATCHER!$K$5:K486,"Ja",MATCHER!$J$5:J486,MATCHER!F486&amp;" *")+COUNTIFS(MATCHER!$B$5:B486,MATCHER!B486,MATCHER!$D$5:D486,MATCHER!D486,MATCHER!$F$5:F486,MATCHER!F486,MATCHER!$K$5:K486,"Ja",MATCHER!$E$5:E486,"Arrangörsskap*")=1,MATCHER!F486,""))</f>
        <v/>
      </c>
    </row>
    <row r="487" spans="17:17">
      <c r="Q487" s="138" t="str">
        <f>IF(OR(MATCHER!A487="",MATCHER!K487&lt;&gt;"Ja",AND(MATCHER!J487&lt;&gt;MATCHER!F487,LEFT(MATCHER!J487,LEN(MATCHER!F487)+1)&lt;&gt;MATCHER!F487&amp;" ",LEFT(MATCHER!E487,13)&lt;&gt;"Arrangörsskap")),"",IF(COUNTIFS(MATCHER!$B$5:B487,MATCHER!B487,MATCHER!$D$5:D487,MATCHER!D487,MATCHER!$F$5:F487,MATCHER!F487,MATCHER!$K$5:K487,"Ja",MATCHER!$J$5:J487,MATCHER!F487)+COUNTIFS(MATCHER!$B$5:B487,MATCHER!B487,MATCHER!$D$5:D487,MATCHER!D487,MATCHER!$F$5:F487,MATCHER!F487,MATCHER!$K$5:K487,"Ja",MATCHER!$J$5:J487,MATCHER!F487&amp;" *")+COUNTIFS(MATCHER!$B$5:B487,MATCHER!B487,MATCHER!$D$5:D487,MATCHER!D487,MATCHER!$F$5:F487,MATCHER!F487,MATCHER!$K$5:K487,"Ja",MATCHER!$E$5:E487,"Arrangörsskap*")=1,MATCHER!F487,""))</f>
        <v/>
      </c>
    </row>
    <row r="488" spans="17:17">
      <c r="Q488" s="138" t="str">
        <f>IF(OR(MATCHER!A488="",MATCHER!K488&lt;&gt;"Ja",AND(MATCHER!J488&lt;&gt;MATCHER!F488,LEFT(MATCHER!J488,LEN(MATCHER!F488)+1)&lt;&gt;MATCHER!F488&amp;" ",LEFT(MATCHER!E488,13)&lt;&gt;"Arrangörsskap")),"",IF(COUNTIFS(MATCHER!$B$5:B488,MATCHER!B488,MATCHER!$D$5:D488,MATCHER!D488,MATCHER!$F$5:F488,MATCHER!F488,MATCHER!$K$5:K488,"Ja",MATCHER!$J$5:J488,MATCHER!F488)+COUNTIFS(MATCHER!$B$5:B488,MATCHER!B488,MATCHER!$D$5:D488,MATCHER!D488,MATCHER!$F$5:F488,MATCHER!F488,MATCHER!$K$5:K488,"Ja",MATCHER!$J$5:J488,MATCHER!F488&amp;" *")+COUNTIFS(MATCHER!$B$5:B488,MATCHER!B488,MATCHER!$D$5:D488,MATCHER!D488,MATCHER!$F$5:F488,MATCHER!F488,MATCHER!$K$5:K488,"Ja",MATCHER!$E$5:E488,"Arrangörsskap*")=1,MATCHER!F488,""))</f>
        <v/>
      </c>
    </row>
    <row r="489" spans="17:17">
      <c r="Q489" s="138" t="str">
        <f>IF(OR(MATCHER!A489="",MATCHER!K489&lt;&gt;"Ja",AND(MATCHER!J489&lt;&gt;MATCHER!F489,LEFT(MATCHER!J489,LEN(MATCHER!F489)+1)&lt;&gt;MATCHER!F489&amp;" ",LEFT(MATCHER!E489,13)&lt;&gt;"Arrangörsskap")),"",IF(COUNTIFS(MATCHER!$B$5:B489,MATCHER!B489,MATCHER!$D$5:D489,MATCHER!D489,MATCHER!$F$5:F489,MATCHER!F489,MATCHER!$K$5:K489,"Ja",MATCHER!$J$5:J489,MATCHER!F489)+COUNTIFS(MATCHER!$B$5:B489,MATCHER!B489,MATCHER!$D$5:D489,MATCHER!D489,MATCHER!$F$5:F489,MATCHER!F489,MATCHER!$K$5:K489,"Ja",MATCHER!$J$5:J489,MATCHER!F489&amp;" *")+COUNTIFS(MATCHER!$B$5:B489,MATCHER!B489,MATCHER!$D$5:D489,MATCHER!D489,MATCHER!$F$5:F489,MATCHER!F489,MATCHER!$K$5:K489,"Ja",MATCHER!$E$5:E489,"Arrangörsskap*")=1,MATCHER!F489,""))</f>
        <v/>
      </c>
    </row>
    <row r="490" spans="17:17">
      <c r="Q490" s="138" t="str">
        <f>IF(OR(MATCHER!A490="",MATCHER!K490&lt;&gt;"Ja",AND(MATCHER!J490&lt;&gt;MATCHER!F490,LEFT(MATCHER!J490,LEN(MATCHER!F490)+1)&lt;&gt;MATCHER!F490&amp;" ",LEFT(MATCHER!E490,13)&lt;&gt;"Arrangörsskap")),"",IF(COUNTIFS(MATCHER!$B$5:B490,MATCHER!B490,MATCHER!$D$5:D490,MATCHER!D490,MATCHER!$F$5:F490,MATCHER!F490,MATCHER!$K$5:K490,"Ja",MATCHER!$J$5:J490,MATCHER!F490)+COUNTIFS(MATCHER!$B$5:B490,MATCHER!B490,MATCHER!$D$5:D490,MATCHER!D490,MATCHER!$F$5:F490,MATCHER!F490,MATCHER!$K$5:K490,"Ja",MATCHER!$J$5:J490,MATCHER!F490&amp;" *")+COUNTIFS(MATCHER!$B$5:B490,MATCHER!B490,MATCHER!$D$5:D490,MATCHER!D490,MATCHER!$F$5:F490,MATCHER!F490,MATCHER!$K$5:K490,"Ja",MATCHER!$E$5:E490,"Arrangörsskap*")=1,MATCHER!F490,""))</f>
        <v/>
      </c>
    </row>
    <row r="491" spans="17:17">
      <c r="Q491" s="138" t="str">
        <f>IF(OR(MATCHER!A491="",MATCHER!K491&lt;&gt;"Ja",AND(MATCHER!J491&lt;&gt;MATCHER!F491,LEFT(MATCHER!J491,LEN(MATCHER!F491)+1)&lt;&gt;MATCHER!F491&amp;" ",LEFT(MATCHER!E491,13)&lt;&gt;"Arrangörsskap")),"",IF(COUNTIFS(MATCHER!$B$5:B491,MATCHER!B491,MATCHER!$D$5:D491,MATCHER!D491,MATCHER!$F$5:F491,MATCHER!F491,MATCHER!$K$5:K491,"Ja",MATCHER!$J$5:J491,MATCHER!F491)+COUNTIFS(MATCHER!$B$5:B491,MATCHER!B491,MATCHER!$D$5:D491,MATCHER!D491,MATCHER!$F$5:F491,MATCHER!F491,MATCHER!$K$5:K491,"Ja",MATCHER!$J$5:J491,MATCHER!F491&amp;" *")+COUNTIFS(MATCHER!$B$5:B491,MATCHER!B491,MATCHER!$D$5:D491,MATCHER!D491,MATCHER!$F$5:F491,MATCHER!F491,MATCHER!$K$5:K491,"Ja",MATCHER!$E$5:E491,"Arrangörsskap*")=1,MATCHER!F491,""))</f>
        <v/>
      </c>
    </row>
    <row r="492" spans="17:17">
      <c r="Q492" s="138" t="str">
        <f>IF(OR(MATCHER!A492="",MATCHER!K492&lt;&gt;"Ja",AND(MATCHER!J492&lt;&gt;MATCHER!F492,LEFT(MATCHER!J492,LEN(MATCHER!F492)+1)&lt;&gt;MATCHER!F492&amp;" ",LEFT(MATCHER!E492,13)&lt;&gt;"Arrangörsskap")),"",IF(COUNTIFS(MATCHER!$B$5:B492,MATCHER!B492,MATCHER!$D$5:D492,MATCHER!D492,MATCHER!$F$5:F492,MATCHER!F492,MATCHER!$K$5:K492,"Ja",MATCHER!$J$5:J492,MATCHER!F492)+COUNTIFS(MATCHER!$B$5:B492,MATCHER!B492,MATCHER!$D$5:D492,MATCHER!D492,MATCHER!$F$5:F492,MATCHER!F492,MATCHER!$K$5:K492,"Ja",MATCHER!$J$5:J492,MATCHER!F492&amp;" *")+COUNTIFS(MATCHER!$B$5:B492,MATCHER!B492,MATCHER!$D$5:D492,MATCHER!D492,MATCHER!$F$5:F492,MATCHER!F492,MATCHER!$K$5:K492,"Ja",MATCHER!$E$5:E492,"Arrangörsskap*")=1,MATCHER!F492,""))</f>
        <v/>
      </c>
    </row>
    <row r="493" spans="17:17">
      <c r="Q493" s="138" t="str">
        <f>IF(OR(MATCHER!A493="",MATCHER!K493&lt;&gt;"Ja",AND(MATCHER!J493&lt;&gt;MATCHER!F493,LEFT(MATCHER!J493,LEN(MATCHER!F493)+1)&lt;&gt;MATCHER!F493&amp;" ",LEFT(MATCHER!E493,13)&lt;&gt;"Arrangörsskap")),"",IF(COUNTIFS(MATCHER!$B$5:B493,MATCHER!B493,MATCHER!$D$5:D493,MATCHER!D493,MATCHER!$F$5:F493,MATCHER!F493,MATCHER!$K$5:K493,"Ja",MATCHER!$J$5:J493,MATCHER!F493)+COUNTIFS(MATCHER!$B$5:B493,MATCHER!B493,MATCHER!$D$5:D493,MATCHER!D493,MATCHER!$F$5:F493,MATCHER!F493,MATCHER!$K$5:K493,"Ja",MATCHER!$J$5:J493,MATCHER!F493&amp;" *")+COUNTIFS(MATCHER!$B$5:B493,MATCHER!B493,MATCHER!$D$5:D493,MATCHER!D493,MATCHER!$F$5:F493,MATCHER!F493,MATCHER!$K$5:K493,"Ja",MATCHER!$E$5:E493,"Arrangörsskap*")=1,MATCHER!F493,""))</f>
        <v/>
      </c>
    </row>
    <row r="494" spans="17:17">
      <c r="Q494" s="138" t="str">
        <f>IF(OR(MATCHER!A494="",MATCHER!K494&lt;&gt;"Ja",AND(MATCHER!J494&lt;&gt;MATCHER!F494,LEFT(MATCHER!J494,LEN(MATCHER!F494)+1)&lt;&gt;MATCHER!F494&amp;" ",LEFT(MATCHER!E494,13)&lt;&gt;"Arrangörsskap")),"",IF(COUNTIFS(MATCHER!$B$5:B494,MATCHER!B494,MATCHER!$D$5:D494,MATCHER!D494,MATCHER!$F$5:F494,MATCHER!F494,MATCHER!$K$5:K494,"Ja",MATCHER!$J$5:J494,MATCHER!F494)+COUNTIFS(MATCHER!$B$5:B494,MATCHER!B494,MATCHER!$D$5:D494,MATCHER!D494,MATCHER!$F$5:F494,MATCHER!F494,MATCHER!$K$5:K494,"Ja",MATCHER!$J$5:J494,MATCHER!F494&amp;" *")+COUNTIFS(MATCHER!$B$5:B494,MATCHER!B494,MATCHER!$D$5:D494,MATCHER!D494,MATCHER!$F$5:F494,MATCHER!F494,MATCHER!$K$5:K494,"Ja",MATCHER!$E$5:E494,"Arrangörsskap*")=1,MATCHER!F494,""))</f>
        <v/>
      </c>
    </row>
    <row r="495" spans="17:17">
      <c r="Q495" s="138" t="str">
        <f>IF(OR(MATCHER!A495="",MATCHER!K495&lt;&gt;"Ja",AND(MATCHER!J495&lt;&gt;MATCHER!F495,LEFT(MATCHER!J495,LEN(MATCHER!F495)+1)&lt;&gt;MATCHER!F495&amp;" ",LEFT(MATCHER!E495,13)&lt;&gt;"Arrangörsskap")),"",IF(COUNTIFS(MATCHER!$B$5:B495,MATCHER!B495,MATCHER!$D$5:D495,MATCHER!D495,MATCHER!$F$5:F495,MATCHER!F495,MATCHER!$K$5:K495,"Ja",MATCHER!$J$5:J495,MATCHER!F495)+COUNTIFS(MATCHER!$B$5:B495,MATCHER!B495,MATCHER!$D$5:D495,MATCHER!D495,MATCHER!$F$5:F495,MATCHER!F495,MATCHER!$K$5:K495,"Ja",MATCHER!$J$5:J495,MATCHER!F495&amp;" *")+COUNTIFS(MATCHER!$B$5:B495,MATCHER!B495,MATCHER!$D$5:D495,MATCHER!D495,MATCHER!$F$5:F495,MATCHER!F495,MATCHER!$K$5:K495,"Ja",MATCHER!$E$5:E495,"Arrangörsskap*")=1,MATCHER!F495,""))</f>
        <v/>
      </c>
    </row>
    <row r="496" spans="17:17">
      <c r="Q496" s="138" t="str">
        <f>IF(OR(MATCHER!A496="",MATCHER!K496&lt;&gt;"Ja",AND(MATCHER!J496&lt;&gt;MATCHER!F496,LEFT(MATCHER!J496,LEN(MATCHER!F496)+1)&lt;&gt;MATCHER!F496&amp;" ",LEFT(MATCHER!E496,13)&lt;&gt;"Arrangörsskap")),"",IF(COUNTIFS(MATCHER!$B$5:B496,MATCHER!B496,MATCHER!$D$5:D496,MATCHER!D496,MATCHER!$F$5:F496,MATCHER!F496,MATCHER!$K$5:K496,"Ja",MATCHER!$J$5:J496,MATCHER!F496)+COUNTIFS(MATCHER!$B$5:B496,MATCHER!B496,MATCHER!$D$5:D496,MATCHER!D496,MATCHER!$F$5:F496,MATCHER!F496,MATCHER!$K$5:K496,"Ja",MATCHER!$J$5:J496,MATCHER!F496&amp;" *")+COUNTIFS(MATCHER!$B$5:B496,MATCHER!B496,MATCHER!$D$5:D496,MATCHER!D496,MATCHER!$F$5:F496,MATCHER!F496,MATCHER!$K$5:K496,"Ja",MATCHER!$E$5:E496,"Arrangörsskap*")=1,MATCHER!F496,""))</f>
        <v/>
      </c>
    </row>
    <row r="497" spans="17:17">
      <c r="Q497" s="138" t="str">
        <f>IF(OR(MATCHER!A497="",MATCHER!K497&lt;&gt;"Ja",AND(MATCHER!J497&lt;&gt;MATCHER!F497,LEFT(MATCHER!J497,LEN(MATCHER!F497)+1)&lt;&gt;MATCHER!F497&amp;" ",LEFT(MATCHER!E497,13)&lt;&gt;"Arrangörsskap")),"",IF(COUNTIFS(MATCHER!$B$5:B497,MATCHER!B497,MATCHER!$D$5:D497,MATCHER!D497,MATCHER!$F$5:F497,MATCHER!F497,MATCHER!$K$5:K497,"Ja",MATCHER!$J$5:J497,MATCHER!F497)+COUNTIFS(MATCHER!$B$5:B497,MATCHER!B497,MATCHER!$D$5:D497,MATCHER!D497,MATCHER!$F$5:F497,MATCHER!F497,MATCHER!$K$5:K497,"Ja",MATCHER!$J$5:J497,MATCHER!F497&amp;" *")+COUNTIFS(MATCHER!$B$5:B497,MATCHER!B497,MATCHER!$D$5:D497,MATCHER!D497,MATCHER!$F$5:F497,MATCHER!F497,MATCHER!$K$5:K497,"Ja",MATCHER!$E$5:E497,"Arrangörsskap*")=1,MATCHER!F497,""))</f>
        <v/>
      </c>
    </row>
    <row r="498" spans="17:17">
      <c r="Q498" s="138" t="str">
        <f>IF(OR(MATCHER!A498="",MATCHER!K498&lt;&gt;"Ja",AND(MATCHER!J498&lt;&gt;MATCHER!F498,LEFT(MATCHER!J498,LEN(MATCHER!F498)+1)&lt;&gt;MATCHER!F498&amp;" ",LEFT(MATCHER!E498,13)&lt;&gt;"Arrangörsskap")),"",IF(COUNTIFS(MATCHER!$B$5:B498,MATCHER!B498,MATCHER!$D$5:D498,MATCHER!D498,MATCHER!$F$5:F498,MATCHER!F498,MATCHER!$K$5:K498,"Ja",MATCHER!$J$5:J498,MATCHER!F498)+COUNTIFS(MATCHER!$B$5:B498,MATCHER!B498,MATCHER!$D$5:D498,MATCHER!D498,MATCHER!$F$5:F498,MATCHER!F498,MATCHER!$K$5:K498,"Ja",MATCHER!$J$5:J498,MATCHER!F498&amp;" *")+COUNTIFS(MATCHER!$B$5:B498,MATCHER!B498,MATCHER!$D$5:D498,MATCHER!D498,MATCHER!$F$5:F498,MATCHER!F498,MATCHER!$K$5:K498,"Ja",MATCHER!$E$5:E498,"Arrangörsskap*")=1,MATCHER!F498,""))</f>
        <v/>
      </c>
    </row>
    <row r="499" spans="17:17">
      <c r="Q499" s="138" t="str">
        <f>IF(OR(MATCHER!A499="",MATCHER!K499&lt;&gt;"Ja",AND(MATCHER!J499&lt;&gt;MATCHER!F499,LEFT(MATCHER!J499,LEN(MATCHER!F499)+1)&lt;&gt;MATCHER!F499&amp;" ",LEFT(MATCHER!E499,13)&lt;&gt;"Arrangörsskap")),"",IF(COUNTIFS(MATCHER!$B$5:B499,MATCHER!B499,MATCHER!$D$5:D499,MATCHER!D499,MATCHER!$F$5:F499,MATCHER!F499,MATCHER!$K$5:K499,"Ja",MATCHER!$J$5:J499,MATCHER!F499)+COUNTIFS(MATCHER!$B$5:B499,MATCHER!B499,MATCHER!$D$5:D499,MATCHER!D499,MATCHER!$F$5:F499,MATCHER!F499,MATCHER!$K$5:K499,"Ja",MATCHER!$J$5:J499,MATCHER!F499&amp;" *")+COUNTIFS(MATCHER!$B$5:B499,MATCHER!B499,MATCHER!$D$5:D499,MATCHER!D499,MATCHER!$F$5:F499,MATCHER!F499,MATCHER!$K$5:K499,"Ja",MATCHER!$E$5:E499,"Arrangörsskap*")=1,MATCHER!F499,""))</f>
        <v/>
      </c>
    </row>
    <row r="500" spans="17:17">
      <c r="Q500" s="138" t="str">
        <f>IF(OR(MATCHER!A500="",MATCHER!K500&lt;&gt;"Ja",AND(MATCHER!J500&lt;&gt;MATCHER!F500,LEFT(MATCHER!J500,LEN(MATCHER!F500)+1)&lt;&gt;MATCHER!F500&amp;" ",LEFT(MATCHER!E500,13)&lt;&gt;"Arrangörsskap")),"",IF(COUNTIFS(MATCHER!$B$5:B500,MATCHER!B500,MATCHER!$D$5:D500,MATCHER!D500,MATCHER!$F$5:F500,MATCHER!F500,MATCHER!$K$5:K500,"Ja",MATCHER!$J$5:J500,MATCHER!F500)+COUNTIFS(MATCHER!$B$5:B500,MATCHER!B500,MATCHER!$D$5:D500,MATCHER!D500,MATCHER!$F$5:F500,MATCHER!F500,MATCHER!$K$5:K500,"Ja",MATCHER!$J$5:J500,MATCHER!F500&amp;" *")+COUNTIFS(MATCHER!$B$5:B500,MATCHER!B500,MATCHER!$D$5:D500,MATCHER!D500,MATCHER!$F$5:F500,MATCHER!F500,MATCHER!$K$5:K500,"Ja",MATCHER!$E$5:E500,"Arrangörsskap*")=1,MATCHER!F500,""))</f>
        <v/>
      </c>
    </row>
    <row r="501" spans="17:17">
      <c r="Q501" s="138" t="str">
        <f>IF(OR(MATCHER!A501="",MATCHER!K501&lt;&gt;"Ja",AND(MATCHER!J501&lt;&gt;MATCHER!F501,LEFT(MATCHER!J501,LEN(MATCHER!F501)+1)&lt;&gt;MATCHER!F501&amp;" ",LEFT(MATCHER!E501,13)&lt;&gt;"Arrangörsskap")),"",IF(COUNTIFS(MATCHER!$B$5:B501,MATCHER!B501,MATCHER!$D$5:D501,MATCHER!D501,MATCHER!$F$5:F501,MATCHER!F501,MATCHER!$K$5:K501,"Ja",MATCHER!$J$5:J501,MATCHER!F501)+COUNTIFS(MATCHER!$B$5:B501,MATCHER!B501,MATCHER!$D$5:D501,MATCHER!D501,MATCHER!$F$5:F501,MATCHER!F501,MATCHER!$K$5:K501,"Ja",MATCHER!$J$5:J501,MATCHER!F501&amp;" *")+COUNTIFS(MATCHER!$B$5:B501,MATCHER!B501,MATCHER!$D$5:D501,MATCHER!D501,MATCHER!$F$5:F501,MATCHER!F501,MATCHER!$K$5:K501,"Ja",MATCHER!$E$5:E501,"Arrangörsskap*")=1,MATCHER!F501,""))</f>
        <v/>
      </c>
    </row>
    <row r="502" spans="17:17">
      <c r="Q502" s="138" t="str">
        <f>IF(OR(MATCHER!A502="",MATCHER!K502&lt;&gt;"Ja",AND(MATCHER!J502&lt;&gt;MATCHER!F502,LEFT(MATCHER!J502,LEN(MATCHER!F502)+1)&lt;&gt;MATCHER!F502&amp;" ",LEFT(MATCHER!E502,13)&lt;&gt;"Arrangörsskap")),"",IF(COUNTIFS(MATCHER!$B$5:B502,MATCHER!B502,MATCHER!$D$5:D502,MATCHER!D502,MATCHER!$F$5:F502,MATCHER!F502,MATCHER!$K$5:K502,"Ja",MATCHER!$J$5:J502,MATCHER!F502)+COUNTIFS(MATCHER!$B$5:B502,MATCHER!B502,MATCHER!$D$5:D502,MATCHER!D502,MATCHER!$F$5:F502,MATCHER!F502,MATCHER!$K$5:K502,"Ja",MATCHER!$J$5:J502,MATCHER!F502&amp;" *")+COUNTIFS(MATCHER!$B$5:B502,MATCHER!B502,MATCHER!$D$5:D502,MATCHER!D502,MATCHER!$F$5:F502,MATCHER!F502,MATCHER!$K$5:K502,"Ja",MATCHER!$E$5:E502,"Arrangörsskap*")=1,MATCHER!F502,""))</f>
        <v/>
      </c>
    </row>
    <row r="503" spans="17:17">
      <c r="Q503" s="138" t="str">
        <f>IF(OR(MATCHER!A503="",MATCHER!K503&lt;&gt;"Ja",AND(MATCHER!J503&lt;&gt;MATCHER!F503,LEFT(MATCHER!J503,LEN(MATCHER!F503)+1)&lt;&gt;MATCHER!F503&amp;" ",LEFT(MATCHER!E503,13)&lt;&gt;"Arrangörsskap")),"",IF(COUNTIFS(MATCHER!$B$5:B503,MATCHER!B503,MATCHER!$D$5:D503,MATCHER!D503,MATCHER!$F$5:F503,MATCHER!F503,MATCHER!$K$5:K503,"Ja",MATCHER!$J$5:J503,MATCHER!F503)+COUNTIFS(MATCHER!$B$5:B503,MATCHER!B503,MATCHER!$D$5:D503,MATCHER!D503,MATCHER!$F$5:F503,MATCHER!F503,MATCHER!$K$5:K503,"Ja",MATCHER!$J$5:J503,MATCHER!F503&amp;" *")+COUNTIFS(MATCHER!$B$5:B503,MATCHER!B503,MATCHER!$D$5:D503,MATCHER!D503,MATCHER!$F$5:F503,MATCHER!F503,MATCHER!$K$5:K503,"Ja",MATCHER!$E$5:E503,"Arrangörsskap*")=1,MATCHER!F503,""))</f>
        <v/>
      </c>
    </row>
    <row r="504" spans="17:17">
      <c r="Q504" s="138" t="str">
        <f>IF(OR(MATCHER!A504="",MATCHER!K504&lt;&gt;"Ja",AND(MATCHER!J504&lt;&gt;MATCHER!F504,LEFT(MATCHER!J504,LEN(MATCHER!F504)+1)&lt;&gt;MATCHER!F504&amp;" ",LEFT(MATCHER!E504,13)&lt;&gt;"Arrangörsskap")),"",IF(COUNTIFS(MATCHER!$B$5:B504,MATCHER!B504,MATCHER!$D$5:D504,MATCHER!D504,MATCHER!$F$5:F504,MATCHER!F504,MATCHER!$K$5:K504,"Ja",MATCHER!$J$5:J504,MATCHER!F504)+COUNTIFS(MATCHER!$B$5:B504,MATCHER!B504,MATCHER!$D$5:D504,MATCHER!D504,MATCHER!$F$5:F504,MATCHER!F504,MATCHER!$K$5:K504,"Ja",MATCHER!$J$5:J504,MATCHER!F504&amp;" *")+COUNTIFS(MATCHER!$B$5:B504,MATCHER!B504,MATCHER!$D$5:D504,MATCHER!D504,MATCHER!$F$5:F504,MATCHER!F504,MATCHER!$K$5:K504,"Ja",MATCHER!$E$5:E504,"Arrangörsskap*")=1,MATCHER!F504,""))</f>
        <v/>
      </c>
    </row>
    <row r="505" spans="17:17">
      <c r="Q505" s="138" t="str">
        <f>IF(OR(MATCHER!A505="",MATCHER!K505&lt;&gt;"Ja",AND(MATCHER!J505&lt;&gt;MATCHER!F505,LEFT(MATCHER!J505,LEN(MATCHER!F505)+1)&lt;&gt;MATCHER!F505&amp;" ",LEFT(MATCHER!E505,13)&lt;&gt;"Arrangörsskap")),"",IF(COUNTIFS(MATCHER!$B$5:B505,MATCHER!B505,MATCHER!$D$5:D505,MATCHER!D505,MATCHER!$F$5:F505,MATCHER!F505,MATCHER!$K$5:K505,"Ja",MATCHER!$J$5:J505,MATCHER!F505)+COUNTIFS(MATCHER!$B$5:B505,MATCHER!B505,MATCHER!$D$5:D505,MATCHER!D505,MATCHER!$F$5:F505,MATCHER!F505,MATCHER!$K$5:K505,"Ja",MATCHER!$J$5:J505,MATCHER!F505&amp;" *")+COUNTIFS(MATCHER!$B$5:B505,MATCHER!B505,MATCHER!$D$5:D505,MATCHER!D505,MATCHER!$F$5:F505,MATCHER!F505,MATCHER!$K$5:K505,"Ja",MATCHER!$E$5:E505,"Arrangörsskap*")=1,MATCHER!F505,""))</f>
        <v/>
      </c>
    </row>
    <row r="506" spans="17:17">
      <c r="Q506" s="138" t="str">
        <f>IF(OR(MATCHER!A506="",MATCHER!K506&lt;&gt;"Ja",AND(MATCHER!J506&lt;&gt;MATCHER!F506,LEFT(MATCHER!J506,LEN(MATCHER!F506)+1)&lt;&gt;MATCHER!F506&amp;" ",LEFT(MATCHER!E506,13)&lt;&gt;"Arrangörsskap")),"",IF(COUNTIFS(MATCHER!$B$5:B506,MATCHER!B506,MATCHER!$D$5:D506,MATCHER!D506,MATCHER!$F$5:F506,MATCHER!F506,MATCHER!$K$5:K506,"Ja",MATCHER!$J$5:J506,MATCHER!F506)+COUNTIFS(MATCHER!$B$5:B506,MATCHER!B506,MATCHER!$D$5:D506,MATCHER!D506,MATCHER!$F$5:F506,MATCHER!F506,MATCHER!$K$5:K506,"Ja",MATCHER!$J$5:J506,MATCHER!F506&amp;" *")+COUNTIFS(MATCHER!$B$5:B506,MATCHER!B506,MATCHER!$D$5:D506,MATCHER!D506,MATCHER!$F$5:F506,MATCHER!F506,MATCHER!$K$5:K506,"Ja",MATCHER!$E$5:E506,"Arrangörsskap*")=1,MATCHER!F506,""))</f>
        <v/>
      </c>
    </row>
    <row r="507" spans="17:17">
      <c r="Q507" s="138" t="str">
        <f>IF(OR(MATCHER!A507="",MATCHER!K507&lt;&gt;"Ja",AND(MATCHER!J507&lt;&gt;MATCHER!F507,LEFT(MATCHER!J507,LEN(MATCHER!F507)+1)&lt;&gt;MATCHER!F507&amp;" ",LEFT(MATCHER!E507,13)&lt;&gt;"Arrangörsskap")),"",IF(COUNTIFS(MATCHER!$B$5:B507,MATCHER!B507,MATCHER!$D$5:D507,MATCHER!D507,MATCHER!$F$5:F507,MATCHER!F507,MATCHER!$K$5:K507,"Ja",MATCHER!$J$5:J507,MATCHER!F507)+COUNTIFS(MATCHER!$B$5:B507,MATCHER!B507,MATCHER!$D$5:D507,MATCHER!D507,MATCHER!$F$5:F507,MATCHER!F507,MATCHER!$K$5:K507,"Ja",MATCHER!$J$5:J507,MATCHER!F507&amp;" *")+COUNTIFS(MATCHER!$B$5:B507,MATCHER!B507,MATCHER!$D$5:D507,MATCHER!D507,MATCHER!$F$5:F507,MATCHER!F507,MATCHER!$K$5:K507,"Ja",MATCHER!$E$5:E507,"Arrangörsskap*")=1,MATCHER!F507,""))</f>
        <v/>
      </c>
    </row>
    <row r="508" spans="17:17">
      <c r="Q508" s="138" t="str">
        <f>IF(OR(MATCHER!A508="",MATCHER!K508&lt;&gt;"Ja",AND(MATCHER!J508&lt;&gt;MATCHER!F508,LEFT(MATCHER!J508,LEN(MATCHER!F508)+1)&lt;&gt;MATCHER!F508&amp;" ",LEFT(MATCHER!E508,13)&lt;&gt;"Arrangörsskap")),"",IF(COUNTIFS(MATCHER!$B$5:B508,MATCHER!B508,MATCHER!$D$5:D508,MATCHER!D508,MATCHER!$F$5:F508,MATCHER!F508,MATCHER!$K$5:K508,"Ja",MATCHER!$J$5:J508,MATCHER!F508)+COUNTIFS(MATCHER!$B$5:B508,MATCHER!B508,MATCHER!$D$5:D508,MATCHER!D508,MATCHER!$F$5:F508,MATCHER!F508,MATCHER!$K$5:K508,"Ja",MATCHER!$J$5:J508,MATCHER!F508&amp;" *")+COUNTIFS(MATCHER!$B$5:B508,MATCHER!B508,MATCHER!$D$5:D508,MATCHER!D508,MATCHER!$F$5:F508,MATCHER!F508,MATCHER!$K$5:K508,"Ja",MATCHER!$E$5:E508,"Arrangörsskap*")=1,MATCHER!F508,""))</f>
        <v/>
      </c>
    </row>
    <row r="509" spans="17:17">
      <c r="Q509" s="138" t="str">
        <f>IF(OR(MATCHER!A509="",MATCHER!K509&lt;&gt;"Ja",AND(MATCHER!J509&lt;&gt;MATCHER!F509,LEFT(MATCHER!J509,LEN(MATCHER!F509)+1)&lt;&gt;MATCHER!F509&amp;" ",LEFT(MATCHER!E509,13)&lt;&gt;"Arrangörsskap")),"",IF(COUNTIFS(MATCHER!$B$5:B509,MATCHER!B509,MATCHER!$D$5:D509,MATCHER!D509,MATCHER!$F$5:F509,MATCHER!F509,MATCHER!$K$5:K509,"Ja",MATCHER!$J$5:J509,MATCHER!F509)+COUNTIFS(MATCHER!$B$5:B509,MATCHER!B509,MATCHER!$D$5:D509,MATCHER!D509,MATCHER!$F$5:F509,MATCHER!F509,MATCHER!$K$5:K509,"Ja",MATCHER!$J$5:J509,MATCHER!F509&amp;" *")+COUNTIFS(MATCHER!$B$5:B509,MATCHER!B509,MATCHER!$D$5:D509,MATCHER!D509,MATCHER!$F$5:F509,MATCHER!F509,MATCHER!$K$5:K509,"Ja",MATCHER!$E$5:E509,"Arrangörsskap*")=1,MATCHER!F509,""))</f>
        <v/>
      </c>
    </row>
    <row r="510" spans="17:17">
      <c r="Q510" s="138" t="str">
        <f>IF(OR(MATCHER!A510="",MATCHER!K510&lt;&gt;"Ja",AND(MATCHER!J510&lt;&gt;MATCHER!F510,LEFT(MATCHER!J510,LEN(MATCHER!F510)+1)&lt;&gt;MATCHER!F510&amp;" ",LEFT(MATCHER!E510,13)&lt;&gt;"Arrangörsskap")),"",IF(COUNTIFS(MATCHER!$B$5:B510,MATCHER!B510,MATCHER!$D$5:D510,MATCHER!D510,MATCHER!$F$5:F510,MATCHER!F510,MATCHER!$K$5:K510,"Ja",MATCHER!$J$5:J510,MATCHER!F510)+COUNTIFS(MATCHER!$B$5:B510,MATCHER!B510,MATCHER!$D$5:D510,MATCHER!D510,MATCHER!$F$5:F510,MATCHER!F510,MATCHER!$K$5:K510,"Ja",MATCHER!$J$5:J510,MATCHER!F510&amp;" *")+COUNTIFS(MATCHER!$B$5:B510,MATCHER!B510,MATCHER!$D$5:D510,MATCHER!D510,MATCHER!$F$5:F510,MATCHER!F510,MATCHER!$K$5:K510,"Ja",MATCHER!$E$5:E510,"Arrangörsskap*")=1,MATCHER!F510,""))</f>
        <v/>
      </c>
    </row>
    <row r="511" spans="17:17">
      <c r="Q511" s="138" t="str">
        <f>IF(OR(MATCHER!A511="",MATCHER!K511&lt;&gt;"Ja",AND(MATCHER!J511&lt;&gt;MATCHER!F511,LEFT(MATCHER!J511,LEN(MATCHER!F511)+1)&lt;&gt;MATCHER!F511&amp;" ",LEFT(MATCHER!E511,13)&lt;&gt;"Arrangörsskap")),"",IF(COUNTIFS(MATCHER!$B$5:B511,MATCHER!B511,MATCHER!$D$5:D511,MATCHER!D511,MATCHER!$F$5:F511,MATCHER!F511,MATCHER!$K$5:K511,"Ja",MATCHER!$J$5:J511,MATCHER!F511)+COUNTIFS(MATCHER!$B$5:B511,MATCHER!B511,MATCHER!$D$5:D511,MATCHER!D511,MATCHER!$F$5:F511,MATCHER!F511,MATCHER!$K$5:K511,"Ja",MATCHER!$J$5:J511,MATCHER!F511&amp;" *")+COUNTIFS(MATCHER!$B$5:B511,MATCHER!B511,MATCHER!$D$5:D511,MATCHER!D511,MATCHER!$F$5:F511,MATCHER!F511,MATCHER!$K$5:K511,"Ja",MATCHER!$E$5:E511,"Arrangörsskap*")=1,MATCHER!F511,""))</f>
        <v/>
      </c>
    </row>
  </sheetData>
  <mergeCells count="2">
    <mergeCell ref="A1:N1"/>
    <mergeCell ref="A2:N2"/>
  </mergeCells>
  <conditionalFormatting sqref="A5:N25">
    <cfRule type="expression" dxfId="9" priority="5">
      <formula>$B5=0</formula>
    </cfRule>
  </conditionalFormatting>
  <conditionalFormatting sqref="A5:N26">
    <cfRule type="expression" dxfId="8" priority="2">
      <formula>$B5=0</formula>
    </cfRule>
    <cfRule type="expression" dxfId="7" priority="3">
      <formula>"$B5=0"</formula>
    </cfRule>
  </conditionalFormatting>
  <conditionalFormatting sqref="A5:N29">
    <cfRule type="expression" dxfId="6" priority="4">
      <formula>$B5=0</formula>
    </cfRule>
  </conditionalFormatting>
  <pageMargins left="0.7" right="0.7" top="0.75" bottom="0.75" header="0.511811023622047" footer="0.511811023622047"/>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1D1D1"/>
  </sheetPr>
  <dimension ref="A1:R512"/>
  <sheetViews>
    <sheetView showGridLines="0" zoomScaleNormal="100" workbookViewId="0">
      <selection sqref="A1:N1"/>
    </sheetView>
  </sheetViews>
  <sheetFormatPr defaultColWidth="8.54296875" defaultRowHeight="12.5"/>
  <cols>
    <col min="1" max="1" width="18" customWidth="1"/>
    <col min="2" max="2" width="14" customWidth="1"/>
    <col min="3" max="3" width="11" customWidth="1"/>
    <col min="4" max="4" width="21" customWidth="1"/>
    <col min="5" max="5" width="44" customWidth="1"/>
    <col min="6" max="6" width="12" customWidth="1"/>
    <col min="7" max="7" width="14" customWidth="1"/>
    <col min="8" max="8" width="11" customWidth="1"/>
    <col min="9" max="9" width="21" customWidth="1"/>
    <col min="10" max="10" width="20" customWidth="1"/>
    <col min="11" max="11" width="18" customWidth="1"/>
    <col min="12" max="12" width="14" customWidth="1"/>
    <col min="13" max="13" width="11" customWidth="1"/>
    <col min="14" max="14" width="21" customWidth="1"/>
    <col min="15" max="15" width="44" customWidth="1"/>
    <col min="16" max="16" width="13" customWidth="1"/>
    <col min="17" max="17" width="12" customWidth="1"/>
    <col min="18" max="18" width="26" customWidth="1"/>
  </cols>
  <sheetData>
    <row r="1" spans="1:18" ht="22">
      <c r="A1" s="187" t="s">
        <v>181</v>
      </c>
      <c r="B1" s="187" t="s">
        <v>181</v>
      </c>
      <c r="C1" s="187" t="s">
        <v>181</v>
      </c>
      <c r="D1" s="187" t="s">
        <v>181</v>
      </c>
      <c r="E1" s="187" t="s">
        <v>181</v>
      </c>
      <c r="F1" s="187" t="s">
        <v>181</v>
      </c>
      <c r="G1" s="187" t="s">
        <v>181</v>
      </c>
      <c r="H1" s="187" t="s">
        <v>181</v>
      </c>
      <c r="I1" s="187" t="s">
        <v>181</v>
      </c>
      <c r="J1" s="187" t="s">
        <v>181</v>
      </c>
      <c r="K1" s="187" t="s">
        <v>181</v>
      </c>
      <c r="L1" s="187" t="s">
        <v>181</v>
      </c>
      <c r="M1" s="187" t="s">
        <v>181</v>
      </c>
      <c r="N1" s="187" t="s">
        <v>181</v>
      </c>
      <c r="O1" s="187" t="s">
        <v>181</v>
      </c>
      <c r="P1" s="187" t="s">
        <v>181</v>
      </c>
      <c r="Q1" s="187" t="s">
        <v>181</v>
      </c>
      <c r="R1" s="187" t="s">
        <v>181</v>
      </c>
    </row>
    <row r="2" spans="1:18" ht="14.9" customHeight="1">
      <c r="A2" s="189" t="s">
        <v>182</v>
      </c>
      <c r="B2" s="189" t="s">
        <v>182</v>
      </c>
      <c r="C2" s="189" t="s">
        <v>182</v>
      </c>
      <c r="D2" s="189" t="s">
        <v>182</v>
      </c>
      <c r="E2" s="189" t="s">
        <v>182</v>
      </c>
      <c r="F2" s="189" t="s">
        <v>182</v>
      </c>
      <c r="G2" s="189" t="s">
        <v>182</v>
      </c>
      <c r="H2" s="189" t="s">
        <v>182</v>
      </c>
      <c r="I2" s="189" t="s">
        <v>182</v>
      </c>
      <c r="J2" s="189" t="s">
        <v>182</v>
      </c>
      <c r="K2" s="189" t="s">
        <v>182</v>
      </c>
      <c r="L2" s="189" t="s">
        <v>182</v>
      </c>
      <c r="M2" s="189" t="s">
        <v>182</v>
      </c>
      <c r="N2" s="189" t="s">
        <v>182</v>
      </c>
      <c r="O2" s="189" t="s">
        <v>182</v>
      </c>
      <c r="P2" s="189" t="s">
        <v>182</v>
      </c>
      <c r="Q2" s="189" t="s">
        <v>182</v>
      </c>
      <c r="R2" s="189" t="s">
        <v>182</v>
      </c>
    </row>
    <row r="3" spans="1:18" ht="13">
      <c r="A3" s="1"/>
      <c r="B3" s="1"/>
      <c r="C3" s="1"/>
      <c r="D3" s="1"/>
      <c r="E3" s="1"/>
      <c r="F3" s="1"/>
      <c r="G3" s="1"/>
      <c r="H3" s="1"/>
      <c r="I3" s="1"/>
      <c r="J3" s="1"/>
      <c r="K3" s="1"/>
      <c r="L3" s="1"/>
      <c r="M3" s="1"/>
      <c r="N3" s="1"/>
      <c r="O3" s="1"/>
      <c r="P3" s="1"/>
      <c r="Q3" s="1"/>
      <c r="R3" s="1"/>
    </row>
    <row r="4" spans="1:18" ht="13">
      <c r="A4" s="29" t="s">
        <v>66</v>
      </c>
      <c r="B4" s="29" t="s">
        <v>183</v>
      </c>
      <c r="C4" s="29"/>
      <c r="D4" s="29" t="s">
        <v>184</v>
      </c>
      <c r="E4" s="29"/>
      <c r="F4" s="29"/>
      <c r="G4" s="29"/>
      <c r="H4" s="29"/>
      <c r="I4" s="1"/>
      <c r="J4" s="1"/>
      <c r="K4" s="1"/>
      <c r="L4" s="1"/>
      <c r="M4" s="1"/>
      <c r="N4" s="1"/>
      <c r="O4" s="1"/>
      <c r="P4" s="1"/>
      <c r="Q4" s="1"/>
      <c r="R4" s="1"/>
    </row>
    <row r="5" spans="1:18" ht="14.9" customHeight="1">
      <c r="A5" s="1" t="s">
        <v>185</v>
      </c>
      <c r="B5" s="34">
        <f>COUNTIF($J$13:$J$220,"ÄNDRAD TID")+COUNTIF($J$13:$J$220,"FLYTTAD MATCH")</f>
        <v>0</v>
      </c>
      <c r="C5" s="1"/>
      <c r="D5" s="190" t="s">
        <v>186</v>
      </c>
      <c r="E5" s="190"/>
      <c r="F5" s="190"/>
      <c r="G5" s="190"/>
      <c r="H5" s="190"/>
      <c r="I5" s="1"/>
      <c r="J5" s="1"/>
      <c r="K5" s="1"/>
      <c r="L5" s="1"/>
      <c r="M5" s="1"/>
      <c r="N5" s="1"/>
      <c r="O5" s="1"/>
      <c r="P5" s="1"/>
      <c r="Q5" s="1"/>
      <c r="R5" s="1"/>
    </row>
    <row r="6" spans="1:18" ht="14.9" customHeight="1">
      <c r="A6" s="1" t="s">
        <v>187</v>
      </c>
      <c r="B6" s="34">
        <f>COUNTIF($J$13:$J$220,"*BORTTAGEN*")</f>
        <v>0</v>
      </c>
      <c r="C6" s="1"/>
      <c r="D6" s="190" t="s">
        <v>188</v>
      </c>
      <c r="E6" s="190"/>
      <c r="F6" s="190"/>
      <c r="G6" s="190"/>
      <c r="H6" s="190"/>
      <c r="I6" s="1"/>
      <c r="J6" s="1"/>
      <c r="K6" s="1"/>
      <c r="L6" s="1"/>
      <c r="M6" s="1"/>
      <c r="N6" s="1"/>
      <c r="O6" s="1"/>
      <c r="P6" s="1"/>
      <c r="Q6" s="1"/>
      <c r="R6" s="1"/>
    </row>
    <row r="7" spans="1:18" ht="14.9" customHeight="1">
      <c r="A7" s="1" t="s">
        <v>189</v>
      </c>
      <c r="B7" s="34">
        <f>COUNTIF($R$13:$R$512,"*NY MATCH*")</f>
        <v>0</v>
      </c>
      <c r="C7" s="1"/>
      <c r="D7" s="190" t="s">
        <v>190</v>
      </c>
      <c r="E7" s="190"/>
      <c r="F7" s="190"/>
      <c r="G7" s="190"/>
      <c r="H7" s="190"/>
      <c r="I7" s="1"/>
      <c r="J7" s="1"/>
      <c r="K7" s="1"/>
      <c r="L7" s="1"/>
      <c r="M7" s="1"/>
      <c r="N7" s="1"/>
      <c r="O7" s="1"/>
      <c r="P7" s="1"/>
      <c r="Q7" s="1"/>
      <c r="R7" s="1"/>
    </row>
    <row r="8" spans="1:18" ht="14.9" customHeight="1">
      <c r="A8" s="1" t="s">
        <v>191</v>
      </c>
      <c r="B8" s="34">
        <f>COUNTIF($R$13:$R$512,"*TIDSRADER*")+COUNTIF($R$13:$R$512,"*NY KLASS*")+COUNTIF($R$13:$R$512,"*MATCHTID*")</f>
        <v>0</v>
      </c>
      <c r="C8" s="1"/>
      <c r="D8" s="190" t="s">
        <v>192</v>
      </c>
      <c r="E8" s="190"/>
      <c r="F8" s="190"/>
      <c r="G8" s="190"/>
      <c r="H8" s="190"/>
      <c r="I8" s="1"/>
      <c r="J8" s="1"/>
      <c r="K8" s="1"/>
      <c r="L8" s="1"/>
      <c r="M8" s="1"/>
      <c r="N8" s="1"/>
      <c r="O8" s="1"/>
      <c r="P8" s="1"/>
      <c r="Q8" s="1"/>
      <c r="R8" s="1"/>
    </row>
    <row r="9" spans="1:18" ht="13">
      <c r="A9" s="1"/>
      <c r="B9" s="1"/>
      <c r="C9" s="1"/>
      <c r="D9" s="1"/>
      <c r="E9" s="1"/>
      <c r="F9" s="1"/>
      <c r="G9" s="1"/>
      <c r="H9" s="1"/>
      <c r="I9" s="1"/>
      <c r="J9" s="1"/>
      <c r="K9" s="1"/>
      <c r="L9" s="1"/>
      <c r="M9" s="1"/>
      <c r="N9" s="1"/>
      <c r="O9" s="1"/>
      <c r="P9" s="1"/>
      <c r="Q9" s="1"/>
      <c r="R9" s="1"/>
    </row>
    <row r="10" spans="1:18" ht="13">
      <c r="A10" s="1"/>
      <c r="B10" s="1"/>
      <c r="C10" s="1"/>
      <c r="D10" s="1"/>
      <c r="E10" s="1"/>
      <c r="F10" s="1"/>
      <c r="G10" s="1"/>
      <c r="H10" s="1"/>
      <c r="I10" s="1"/>
      <c r="J10" s="1"/>
      <c r="K10" s="1"/>
      <c r="L10" s="1"/>
      <c r="M10" s="1"/>
      <c r="N10" s="1"/>
      <c r="O10" s="1"/>
      <c r="P10" s="1"/>
      <c r="Q10" s="1"/>
      <c r="R10" s="1"/>
    </row>
    <row r="11" spans="1:18" ht="13">
      <c r="A11" s="1"/>
      <c r="B11" s="1"/>
      <c r="C11" s="1"/>
      <c r="D11" s="1"/>
      <c r="E11" s="1"/>
      <c r="F11" s="1"/>
      <c r="G11" s="1"/>
      <c r="H11" s="1"/>
      <c r="I11" s="1"/>
      <c r="J11" s="1"/>
      <c r="K11" s="1"/>
      <c r="L11" s="1"/>
      <c r="M11" s="1"/>
      <c r="N11" s="1"/>
      <c r="O11" s="1"/>
      <c r="P11" s="1"/>
      <c r="Q11" s="1"/>
      <c r="R11" s="1"/>
    </row>
    <row r="12" spans="1:18" ht="26">
      <c r="A12" s="29" t="s">
        <v>193</v>
      </c>
      <c r="B12" s="29" t="s">
        <v>194</v>
      </c>
      <c r="C12" s="29" t="s">
        <v>195</v>
      </c>
      <c r="D12" s="29" t="s">
        <v>196</v>
      </c>
      <c r="E12" s="29" t="s">
        <v>197</v>
      </c>
      <c r="F12" s="29" t="s">
        <v>198</v>
      </c>
      <c r="G12" s="29" t="s">
        <v>199</v>
      </c>
      <c r="H12" s="29" t="s">
        <v>200</v>
      </c>
      <c r="I12" s="29" t="s">
        <v>201</v>
      </c>
      <c r="J12" s="29" t="s">
        <v>202</v>
      </c>
      <c r="K12" s="29" t="s">
        <v>203</v>
      </c>
      <c r="L12" s="29" t="s">
        <v>32</v>
      </c>
      <c r="M12" s="29" t="s">
        <v>46</v>
      </c>
      <c r="N12" s="29" t="s">
        <v>34</v>
      </c>
      <c r="O12" s="29" t="s">
        <v>197</v>
      </c>
      <c r="P12" s="29" t="s">
        <v>48</v>
      </c>
      <c r="Q12" s="29" t="s">
        <v>53</v>
      </c>
      <c r="R12" s="29" t="s">
        <v>66</v>
      </c>
    </row>
    <row r="13" spans="1:18" ht="13">
      <c r="A13" s="31" t="s">
        <v>204</v>
      </c>
      <c r="B13" s="89">
        <v>46284</v>
      </c>
      <c r="C13" s="90">
        <v>0.625</v>
      </c>
      <c r="D13" s="31" t="s">
        <v>86</v>
      </c>
      <c r="E13" s="31" t="s">
        <v>205</v>
      </c>
      <c r="F13" s="31" t="str">
        <f t="shared" ref="F13:F76" si="0">IF(A13="","",IF(D13="Solnahallen","Nej","Ja"))</f>
        <v>Ja</v>
      </c>
      <c r="G13" s="91">
        <f>IFERROR(VLOOKUP(A13,MATCHER!$A$5:$M$504,2,FALSE()),"")</f>
        <v>46284</v>
      </c>
      <c r="H13" s="92">
        <f>IFERROR(VLOOKUP(A13,MATCHER!$A$5:$M$504,3,FALSE()),"")</f>
        <v>0.625</v>
      </c>
      <c r="I13" s="34" t="str">
        <f>IFERROR(VLOOKUP(A13,MATCHER!$A$5:$M$504,4,FALSE()),"")</f>
        <v>Ulriksdalshallen</v>
      </c>
      <c r="J13" s="34" t="str">
        <f>IF(F13&lt;&gt;"Ja","Ej aktuell",IF(COUNTIF(MATCHER!$A$5:$A$504,A13)=0,"BORTTAGEN MATCH",IF(AND(B13=G13,C13=H13,D13=I13),"Oförändrad",IF(AND(B13=G13,D13=I13),"ÄNDRAD TID","FLYTTAD MATCH"))))</f>
        <v>Oförändrad</v>
      </c>
      <c r="K13" s="34" t="str">
        <f>IF(MATCHER!A5="","",MATCHER!A5)</f>
        <v>26 -1 48113 01</v>
      </c>
      <c r="L13" s="91">
        <f>IF(MATCHER!B5="","",MATCHER!B5)</f>
        <v>46284</v>
      </c>
      <c r="M13" s="92">
        <f>IF(MATCHER!C5="","",MATCHER!C5)</f>
        <v>0.625</v>
      </c>
      <c r="N13" s="34" t="str">
        <f>IF(MATCHER!D5="","",MATCHER!D5)</f>
        <v>Ulriksdalshallen</v>
      </c>
      <c r="O13" s="34" t="str">
        <f>IF(MATCHER!E5="","",MATCHER!E5)</f>
        <v>USM F18 - Steg 1</v>
      </c>
      <c r="P13" s="34" t="str">
        <f>IF(MATCHER!F5="","",MATCHER!F5)</f>
        <v>F19</v>
      </c>
      <c r="Q13" s="34" t="str">
        <f>IF(MATCHER!K5="","",MATCHER!K5)</f>
        <v>Ja</v>
      </c>
      <c r="R13" s="34" t="str">
        <f>IF(K13="","",IF(Q13&lt;&gt;"Ja","Ej aktuell",IF(P13="SAKNAS","NY KLASS",IF(MATCHER!N5&lt;&gt;"Ja",MATCHER!N5,IF(COUNTIF($A$13:$A$220,K13)=0,"NY MATCH","Matchdag finns")))))</f>
        <v>Matchdag finns</v>
      </c>
    </row>
    <row r="14" spans="1:18" ht="13">
      <c r="A14" s="31" t="s">
        <v>206</v>
      </c>
      <c r="B14" s="89">
        <v>46284</v>
      </c>
      <c r="C14" s="90">
        <v>0.6875</v>
      </c>
      <c r="D14" s="31" t="s">
        <v>86</v>
      </c>
      <c r="E14" s="31" t="s">
        <v>205</v>
      </c>
      <c r="F14" s="31" t="str">
        <f t="shared" si="0"/>
        <v>Ja</v>
      </c>
      <c r="G14" s="91">
        <f>IFERROR(VLOOKUP(A14,MATCHER!$A$5:$M$504,2,FALSE()),"")</f>
        <v>46284</v>
      </c>
      <c r="H14" s="92">
        <f>IFERROR(VLOOKUP(A14,MATCHER!$A$5:$M$504,3,FALSE()),"")</f>
        <v>0.6875</v>
      </c>
      <c r="I14" s="34" t="str">
        <f>IFERROR(VLOOKUP(A14,MATCHER!$A$5:$M$504,4,FALSE()),"")</f>
        <v>Ulriksdalshallen</v>
      </c>
      <c r="J14" s="34" t="str">
        <f>IF(F14&lt;&gt;"Ja","Ej aktuell",IF(COUNTIF(MATCHER!$A$5:$A$504,A14)=0,"BORTTAGEN MATCH",IF(AND(B14=G14,C14=H14,D14=I14),"Oförändrad",IF(AND(B14=G14,D14=I14),"ÄNDRAD TID","FLYTTAD MATCH"))))</f>
        <v>Oförändrad</v>
      </c>
      <c r="K14" s="34" t="str">
        <f>IF(MATCHER!A6="","",MATCHER!A6)</f>
        <v>26 -1 48113 02</v>
      </c>
      <c r="L14" s="91">
        <f>IF(MATCHER!B6="","",MATCHER!B6)</f>
        <v>46284</v>
      </c>
      <c r="M14" s="92">
        <f>IF(MATCHER!C6="","",MATCHER!C6)</f>
        <v>0.6875</v>
      </c>
      <c r="N14" s="34" t="str">
        <f>IF(MATCHER!D6="","",MATCHER!D6)</f>
        <v>Ulriksdalshallen</v>
      </c>
      <c r="O14" s="34" t="str">
        <f>IF(MATCHER!E6="","",MATCHER!E6)</f>
        <v>USM F18 - Steg 1</v>
      </c>
      <c r="P14" s="34" t="str">
        <f>IF(MATCHER!F6="","",MATCHER!F6)</f>
        <v>F19</v>
      </c>
      <c r="Q14" s="34" t="str">
        <f>IF(MATCHER!K6="","",MATCHER!K6)</f>
        <v>Ja</v>
      </c>
      <c r="R14" s="34" t="str">
        <f>IF(K14="","",IF(Q14&lt;&gt;"Ja","Ej aktuell",IF(P14="SAKNAS","NY KLASS",IF(MATCHER!N6&lt;&gt;"Ja",MATCHER!N6,IF(COUNTIF($A$13:$A$220,K14)=0,"NY MATCH","Matchdag finns")))))</f>
        <v>Matchdag finns</v>
      </c>
    </row>
    <row r="15" spans="1:18" ht="13">
      <c r="A15" s="31" t="s">
        <v>207</v>
      </c>
      <c r="B15" s="89">
        <v>46285</v>
      </c>
      <c r="C15" s="90">
        <v>0.39583333333333298</v>
      </c>
      <c r="D15" s="31" t="s">
        <v>86</v>
      </c>
      <c r="E15" s="31" t="s">
        <v>205</v>
      </c>
      <c r="F15" s="31" t="str">
        <f t="shared" si="0"/>
        <v>Ja</v>
      </c>
      <c r="G15" s="91">
        <f>IFERROR(VLOOKUP(A15,MATCHER!$A$5:$M$504,2,FALSE()),"")</f>
        <v>46285</v>
      </c>
      <c r="H15" s="92">
        <f>IFERROR(VLOOKUP(A15,MATCHER!$A$5:$M$504,3,FALSE()),"")</f>
        <v>0.39583333333333331</v>
      </c>
      <c r="I15" s="34" t="str">
        <f>IFERROR(VLOOKUP(A15,MATCHER!$A$5:$M$504,4,FALSE()),"")</f>
        <v>Ulriksdalshallen</v>
      </c>
      <c r="J15" s="34" t="str">
        <f>IF(F15&lt;&gt;"Ja","Ej aktuell",IF(COUNTIF(MATCHER!$A$5:$A$504,A15)=0,"BORTTAGEN MATCH",IF(AND(B15=G15,C15=H15,D15=I15),"Oförändrad",IF(AND(B15=G15,D15=I15),"ÄNDRAD TID","FLYTTAD MATCH"))))</f>
        <v>Oförändrad</v>
      </c>
      <c r="K15" s="34" t="str">
        <f>IF(MATCHER!A7="","",MATCHER!A7)</f>
        <v>26 -1 48113 03</v>
      </c>
      <c r="L15" s="91">
        <f>IF(MATCHER!B7="","",MATCHER!B7)</f>
        <v>46285</v>
      </c>
      <c r="M15" s="92">
        <f>IF(MATCHER!C7="","",MATCHER!C7)</f>
        <v>0.39583333333333331</v>
      </c>
      <c r="N15" s="34" t="str">
        <f>IF(MATCHER!D7="","",MATCHER!D7)</f>
        <v>Ulriksdalshallen</v>
      </c>
      <c r="O15" s="34" t="str">
        <f>IF(MATCHER!E7="","",MATCHER!E7)</f>
        <v>USM F18 - Steg 1</v>
      </c>
      <c r="P15" s="34" t="str">
        <f>IF(MATCHER!F7="","",MATCHER!F7)</f>
        <v>F19</v>
      </c>
      <c r="Q15" s="34" t="str">
        <f>IF(MATCHER!K7="","",MATCHER!K7)</f>
        <v>Ja</v>
      </c>
      <c r="R15" s="34" t="str">
        <f>IF(K15="","",IF(Q15&lt;&gt;"Ja","Ej aktuell",IF(P15="SAKNAS","NY KLASS",IF(MATCHER!N7&lt;&gt;"Ja",MATCHER!N7,IF(COUNTIF($A$13:$A$220,K15)=0,"NY MATCH","Matchdag finns")))))</f>
        <v>Matchdag finns</v>
      </c>
    </row>
    <row r="16" spans="1:18" ht="13">
      <c r="A16" s="31" t="s">
        <v>208</v>
      </c>
      <c r="B16" s="89">
        <v>46285</v>
      </c>
      <c r="C16" s="90">
        <v>0.45833333333333298</v>
      </c>
      <c r="D16" s="31" t="s">
        <v>86</v>
      </c>
      <c r="E16" s="31" t="s">
        <v>205</v>
      </c>
      <c r="F16" s="31" t="str">
        <f t="shared" si="0"/>
        <v>Ja</v>
      </c>
      <c r="G16" s="91">
        <f>IFERROR(VLOOKUP(A16,MATCHER!$A$5:$M$504,2,FALSE()),"")</f>
        <v>46285</v>
      </c>
      <c r="H16" s="92">
        <f>IFERROR(VLOOKUP(A16,MATCHER!$A$5:$M$504,3,FALSE()),"")</f>
        <v>0.45833333333333331</v>
      </c>
      <c r="I16" s="34" t="str">
        <f>IFERROR(VLOOKUP(A16,MATCHER!$A$5:$M$504,4,FALSE()),"")</f>
        <v>Ulriksdalshallen</v>
      </c>
      <c r="J16" s="34" t="str">
        <f>IF(F16&lt;&gt;"Ja","Ej aktuell",IF(COUNTIF(MATCHER!$A$5:$A$504,A16)=0,"BORTTAGEN MATCH",IF(AND(B16=G16,C16=H16,D16=I16),"Oförändrad",IF(AND(B16=G16,D16=I16),"ÄNDRAD TID","FLYTTAD MATCH"))))</f>
        <v>Oförändrad</v>
      </c>
      <c r="K16" s="34" t="str">
        <f>IF(MATCHER!A8="","",MATCHER!A8)</f>
        <v>26 -1 48113 04</v>
      </c>
      <c r="L16" s="91">
        <f>IF(MATCHER!B8="","",MATCHER!B8)</f>
        <v>46285</v>
      </c>
      <c r="M16" s="92">
        <f>IF(MATCHER!C8="","",MATCHER!C8)</f>
        <v>0.45833333333333331</v>
      </c>
      <c r="N16" s="34" t="str">
        <f>IF(MATCHER!D8="","",MATCHER!D8)</f>
        <v>Ulriksdalshallen</v>
      </c>
      <c r="O16" s="34" t="str">
        <f>IF(MATCHER!E8="","",MATCHER!E8)</f>
        <v>USM F18 - Steg 1</v>
      </c>
      <c r="P16" s="34" t="str">
        <f>IF(MATCHER!F8="","",MATCHER!F8)</f>
        <v>F19</v>
      </c>
      <c r="Q16" s="34" t="str">
        <f>IF(MATCHER!K8="","",MATCHER!K8)</f>
        <v>Ja</v>
      </c>
      <c r="R16" s="34" t="str">
        <f>IF(K16="","",IF(Q16&lt;&gt;"Ja","Ej aktuell",IF(P16="SAKNAS","NY KLASS",IF(MATCHER!N8&lt;&gt;"Ja",MATCHER!N8,IF(COUNTIF($A$13:$A$220,K16)=0,"NY MATCH","Matchdag finns")))))</f>
        <v>Matchdag finns</v>
      </c>
    </row>
    <row r="17" spans="1:18" ht="13">
      <c r="A17" s="31" t="s">
        <v>209</v>
      </c>
      <c r="B17" s="89">
        <v>46285</v>
      </c>
      <c r="C17" s="90">
        <v>0.5625</v>
      </c>
      <c r="D17" s="31" t="s">
        <v>86</v>
      </c>
      <c r="E17" s="31" t="s">
        <v>205</v>
      </c>
      <c r="F17" s="31" t="str">
        <f t="shared" si="0"/>
        <v>Ja</v>
      </c>
      <c r="G17" s="91">
        <f>IFERROR(VLOOKUP(A17,MATCHER!$A$5:$M$504,2,FALSE()),"")</f>
        <v>46285</v>
      </c>
      <c r="H17" s="92">
        <f>IFERROR(VLOOKUP(A17,MATCHER!$A$5:$M$504,3,FALSE()),"")</f>
        <v>0.5625</v>
      </c>
      <c r="I17" s="34" t="str">
        <f>IFERROR(VLOOKUP(A17,MATCHER!$A$5:$M$504,4,FALSE()),"")</f>
        <v>Ulriksdalshallen</v>
      </c>
      <c r="J17" s="34" t="str">
        <f>IF(F17&lt;&gt;"Ja","Ej aktuell",IF(COUNTIF(MATCHER!$A$5:$A$504,A17)=0,"BORTTAGEN MATCH",IF(AND(B17=G17,C17=H17,D17=I17),"Oförändrad",IF(AND(B17=G17,D17=I17),"ÄNDRAD TID","FLYTTAD MATCH"))))</f>
        <v>Oförändrad</v>
      </c>
      <c r="K17" s="34" t="str">
        <f>IF(MATCHER!A9="","",MATCHER!A9)</f>
        <v>26 -1 48113 05</v>
      </c>
      <c r="L17" s="91">
        <f>IF(MATCHER!B9="","",MATCHER!B9)</f>
        <v>46285</v>
      </c>
      <c r="M17" s="92">
        <f>IF(MATCHER!C9="","",MATCHER!C9)</f>
        <v>0.5625</v>
      </c>
      <c r="N17" s="34" t="str">
        <f>IF(MATCHER!D9="","",MATCHER!D9)</f>
        <v>Ulriksdalshallen</v>
      </c>
      <c r="O17" s="34" t="str">
        <f>IF(MATCHER!E9="","",MATCHER!E9)</f>
        <v>USM F18 - Steg 1</v>
      </c>
      <c r="P17" s="34" t="str">
        <f>IF(MATCHER!F9="","",MATCHER!F9)</f>
        <v>F19</v>
      </c>
      <c r="Q17" s="34" t="str">
        <f>IF(MATCHER!K9="","",MATCHER!K9)</f>
        <v>Ja</v>
      </c>
      <c r="R17" s="34" t="str">
        <f>IF(K17="","",IF(Q17&lt;&gt;"Ja","Ej aktuell",IF(P17="SAKNAS","NY KLASS",IF(MATCHER!N9&lt;&gt;"Ja",MATCHER!N9,IF(COUNTIF($A$13:$A$220,K17)=0,"NY MATCH","Matchdag finns")))))</f>
        <v>Matchdag finns</v>
      </c>
    </row>
    <row r="18" spans="1:18" ht="13">
      <c r="A18" s="31" t="s">
        <v>210</v>
      </c>
      <c r="B18" s="89">
        <v>46285</v>
      </c>
      <c r="C18" s="90">
        <v>0.625</v>
      </c>
      <c r="D18" s="31" t="s">
        <v>86</v>
      </c>
      <c r="E18" s="31" t="s">
        <v>205</v>
      </c>
      <c r="F18" s="31" t="str">
        <f t="shared" si="0"/>
        <v>Ja</v>
      </c>
      <c r="G18" s="91">
        <f>IFERROR(VLOOKUP(A18,MATCHER!$A$5:$M$504,2,FALSE()),"")</f>
        <v>46285</v>
      </c>
      <c r="H18" s="92">
        <f>IFERROR(VLOOKUP(A18,MATCHER!$A$5:$M$504,3,FALSE()),"")</f>
        <v>0.625</v>
      </c>
      <c r="I18" s="34" t="str">
        <f>IFERROR(VLOOKUP(A18,MATCHER!$A$5:$M$504,4,FALSE()),"")</f>
        <v>Ulriksdalshallen</v>
      </c>
      <c r="J18" s="34" t="str">
        <f>IF(F18&lt;&gt;"Ja","Ej aktuell",IF(COUNTIF(MATCHER!$A$5:$A$504,A18)=0,"BORTTAGEN MATCH",IF(AND(B18=G18,C18=H18,D18=I18),"Oförändrad",IF(AND(B18=G18,D18=I18),"ÄNDRAD TID","FLYTTAD MATCH"))))</f>
        <v>Oförändrad</v>
      </c>
      <c r="K18" s="34" t="str">
        <f>IF(MATCHER!A10="","",MATCHER!A10)</f>
        <v>26 -1 48113 06</v>
      </c>
      <c r="L18" s="91">
        <f>IF(MATCHER!B10="","",MATCHER!B10)</f>
        <v>46285</v>
      </c>
      <c r="M18" s="92">
        <f>IF(MATCHER!C10="","",MATCHER!C10)</f>
        <v>0.625</v>
      </c>
      <c r="N18" s="34" t="str">
        <f>IF(MATCHER!D10="","",MATCHER!D10)</f>
        <v>Ulriksdalshallen</v>
      </c>
      <c r="O18" s="34" t="str">
        <f>IF(MATCHER!E10="","",MATCHER!E10)</f>
        <v>USM F18 - Steg 1</v>
      </c>
      <c r="P18" s="34" t="str">
        <f>IF(MATCHER!F10="","",MATCHER!F10)</f>
        <v>F19</v>
      </c>
      <c r="Q18" s="34" t="str">
        <f>IF(MATCHER!K10="","",MATCHER!K10)</f>
        <v>Ja</v>
      </c>
      <c r="R18" s="34" t="str">
        <f>IF(K18="","",IF(Q18&lt;&gt;"Ja","Ej aktuell",IF(P18="SAKNAS","NY KLASS",IF(MATCHER!N10&lt;&gt;"Ja",MATCHER!N10,IF(COUNTIF($A$13:$A$220,K18)=0,"NY MATCH","Matchdag finns")))))</f>
        <v>Matchdag finns</v>
      </c>
    </row>
    <row r="19" spans="1:18" ht="13">
      <c r="A19" s="31" t="s">
        <v>211</v>
      </c>
      <c r="B19" s="89">
        <v>46288</v>
      </c>
      <c r="C19" s="90">
        <v>0.86458333333333304</v>
      </c>
      <c r="D19" s="31" t="s">
        <v>212</v>
      </c>
      <c r="E19" s="31" t="s">
        <v>213</v>
      </c>
      <c r="F19" s="31" t="str">
        <f t="shared" si="0"/>
        <v>Nej</v>
      </c>
      <c r="G19" s="91">
        <f>IFERROR(VLOOKUP(A19,MATCHER!$A$5:$M$504,2,FALSE()),"")</f>
        <v>46288</v>
      </c>
      <c r="H19" s="92">
        <f>IFERROR(VLOOKUP(A19,MATCHER!$A$5:$M$504,3,FALSE()),"")</f>
        <v>0.86458333333333337</v>
      </c>
      <c r="I19" s="34" t="str">
        <f>IFERROR(VLOOKUP(A19,MATCHER!$A$5:$M$504,4,FALSE()),"")</f>
        <v>Solnahallen</v>
      </c>
      <c r="J19" s="34" t="str">
        <f>IF(F19&lt;&gt;"Ja","Ej aktuell",IF(COUNTIF(MATCHER!$A$5:$A$504,A19)=0,"BORTTAGEN MATCH",IF(AND(B19=G19,C19=H19,D19=I19),"Oförändrad",IF(AND(B19=G19,D19=I19),"ÄNDRAD TID","FLYTTAD MATCH"))))</f>
        <v>Ej aktuell</v>
      </c>
      <c r="K19" s="34" t="str">
        <f>IF(MATCHER!A11="","",MATCHER!A11)</f>
        <v>26 6 1311 002</v>
      </c>
      <c r="L19" s="91">
        <f>IF(MATCHER!B11="","",MATCHER!B11)</f>
        <v>46288</v>
      </c>
      <c r="M19" s="92">
        <f>IF(MATCHER!C11="","",MATCHER!C11)</f>
        <v>0.86458333333333337</v>
      </c>
      <c r="N19" s="34" t="str">
        <f>IF(MATCHER!D11="","",MATCHER!D11)</f>
        <v>Solnahallen</v>
      </c>
      <c r="O19" s="34" t="str">
        <f>IF(MATCHER!E11="","",MATCHER!E11)</f>
        <v>Flickor - F19 Öst - F19 Nivå 1 Öst</v>
      </c>
      <c r="P19" s="34" t="str">
        <f>IF(MATCHER!F11="","",MATCHER!F11)</f>
        <v>F19</v>
      </c>
      <c r="Q19" s="34" t="str">
        <f>IF(MATCHER!K11="","",MATCHER!K11)</f>
        <v>Nej</v>
      </c>
      <c r="R19" s="34" t="str">
        <f>IF(K19="","",IF(Q19&lt;&gt;"Ja","Ej aktuell",IF(P19="SAKNAS","NY KLASS",IF(MATCHER!N11&lt;&gt;"Ja",MATCHER!N11,IF(COUNTIF($A$13:$A$220,K19)=0,"NY MATCH","Matchdag finns")))))</f>
        <v>Ej aktuell</v>
      </c>
    </row>
    <row r="20" spans="1:18" ht="13">
      <c r="A20" s="31" t="s">
        <v>214</v>
      </c>
      <c r="B20" s="89">
        <v>46291</v>
      </c>
      <c r="C20" s="90">
        <v>0.375</v>
      </c>
      <c r="D20" s="31" t="s">
        <v>94</v>
      </c>
      <c r="E20" s="31" t="s">
        <v>215</v>
      </c>
      <c r="F20" s="31" t="str">
        <f t="shared" si="0"/>
        <v>Ja</v>
      </c>
      <c r="G20" s="91">
        <f>IFERROR(VLOOKUP(A20,MATCHER!$A$5:$M$504,2,FALSE()),"")</f>
        <v>46291</v>
      </c>
      <c r="H20" s="92">
        <f>IFERROR(VLOOKUP(A20,MATCHER!$A$5:$M$504,3,FALSE()),"")</f>
        <v>0.375</v>
      </c>
      <c r="I20" s="34" t="str">
        <f>IFERROR(VLOOKUP(A20,MATCHER!$A$5:$M$504,4,FALSE()),"")</f>
        <v>Råsta Park</v>
      </c>
      <c r="J20" s="34" t="str">
        <f>IF(F20&lt;&gt;"Ja","Ej aktuell",IF(COUNTIF(MATCHER!$A$5:$A$504,A20)=0,"BORTTAGEN MATCH",IF(AND(B20=G20,C20=H20,D20=I20),"Oförändrad",IF(AND(B20=G20,D20=I20),"ÄNDRAD TID","FLYTTAD MATCH"))))</f>
        <v>Oförändrad</v>
      </c>
      <c r="K20" s="34" t="str">
        <f>IF(MATCHER!A12="","",MATCHER!A12)</f>
        <v>26 6 1373 004</v>
      </c>
      <c r="L20" s="91">
        <f>IF(MATCHER!B12="","",MATCHER!B12)</f>
        <v>46291</v>
      </c>
      <c r="M20" s="92">
        <f>IF(MATCHER!C12="","",MATCHER!C12)</f>
        <v>0.375</v>
      </c>
      <c r="N20" s="34" t="str">
        <f>IF(MATCHER!D12="","",MATCHER!D12)</f>
        <v>Råsta Park</v>
      </c>
      <c r="O20" s="34" t="str">
        <f>IF(MATCHER!E12="","",MATCHER!E12)</f>
        <v>Flickor - F11 Öst - F11 Nivå 2 Öst City</v>
      </c>
      <c r="P20" s="34" t="str">
        <f>IF(MATCHER!F12="","",MATCHER!F12)</f>
        <v>F11</v>
      </c>
      <c r="Q20" s="34" t="str">
        <f>IF(MATCHER!K12="","",MATCHER!K12)</f>
        <v>Ja</v>
      </c>
      <c r="R20" s="34" t="str">
        <f>IF(K20="","",IF(Q20&lt;&gt;"Ja","Ej aktuell",IF(P20="SAKNAS","NY KLASS",IF(MATCHER!N12&lt;&gt;"Ja",MATCHER!N12,IF(COUNTIF($A$13:$A$220,K20)=0,"NY MATCH","Matchdag finns")))))</f>
        <v>Matchdag finns</v>
      </c>
    </row>
    <row r="21" spans="1:18" ht="13">
      <c r="A21" s="31" t="s">
        <v>216</v>
      </c>
      <c r="B21" s="89">
        <v>46291</v>
      </c>
      <c r="C21" s="90">
        <v>0.42361111111111099</v>
      </c>
      <c r="D21" s="31" t="s">
        <v>94</v>
      </c>
      <c r="E21" s="31" t="s">
        <v>215</v>
      </c>
      <c r="F21" s="31" t="str">
        <f t="shared" si="0"/>
        <v>Ja</v>
      </c>
      <c r="G21" s="91">
        <f>IFERROR(VLOOKUP(A21,MATCHER!$A$5:$M$504,2,FALSE()),"")</f>
        <v>46291</v>
      </c>
      <c r="H21" s="92">
        <f>IFERROR(VLOOKUP(A21,MATCHER!$A$5:$M$504,3,FALSE()),"")</f>
        <v>0.4236111111111111</v>
      </c>
      <c r="I21" s="34" t="str">
        <f>IFERROR(VLOOKUP(A21,MATCHER!$A$5:$M$504,4,FALSE()),"")</f>
        <v>Råsta Park</v>
      </c>
      <c r="J21" s="34" t="str">
        <f>IF(F21&lt;&gt;"Ja","Ej aktuell",IF(COUNTIF(MATCHER!$A$5:$A$504,A21)=0,"BORTTAGEN MATCH",IF(AND(B21=G21,C21=H21,D21=I21),"Oförändrad",IF(AND(B21=G21,D21=I21),"ÄNDRAD TID","FLYTTAD MATCH"))))</f>
        <v>Oförändrad</v>
      </c>
      <c r="K21" s="34" t="str">
        <f>IF(MATCHER!A13="","",MATCHER!A13)</f>
        <v>26 6 1373 005</v>
      </c>
      <c r="L21" s="91">
        <f>IF(MATCHER!B13="","",MATCHER!B13)</f>
        <v>46291</v>
      </c>
      <c r="M21" s="92">
        <f>IF(MATCHER!C13="","",MATCHER!C13)</f>
        <v>0.4236111111111111</v>
      </c>
      <c r="N21" s="34" t="str">
        <f>IF(MATCHER!D13="","",MATCHER!D13)</f>
        <v>Råsta Park</v>
      </c>
      <c r="O21" s="34" t="str">
        <f>IF(MATCHER!E13="","",MATCHER!E13)</f>
        <v>Flickor - F11 Öst - F11 Nivå 2 Öst City</v>
      </c>
      <c r="P21" s="34" t="str">
        <f>IF(MATCHER!F13="","",MATCHER!F13)</f>
        <v>F11</v>
      </c>
      <c r="Q21" s="34" t="str">
        <f>IF(MATCHER!K13="","",MATCHER!K13)</f>
        <v>Ja</v>
      </c>
      <c r="R21" s="34" t="str">
        <f>IF(K21="","",IF(Q21&lt;&gt;"Ja","Ej aktuell",IF(P21="SAKNAS","NY KLASS",IF(MATCHER!N13&lt;&gt;"Ja",MATCHER!N13,IF(COUNTIF($A$13:$A$220,K21)=0,"NY MATCH","Matchdag finns")))))</f>
        <v>Matchdag finns</v>
      </c>
    </row>
    <row r="22" spans="1:18" ht="13">
      <c r="A22" s="31" t="s">
        <v>217</v>
      </c>
      <c r="B22" s="89">
        <v>46291</v>
      </c>
      <c r="C22" s="90">
        <v>0.47222222222222199</v>
      </c>
      <c r="D22" s="31" t="s">
        <v>94</v>
      </c>
      <c r="E22" s="31" t="s">
        <v>215</v>
      </c>
      <c r="F22" s="31" t="str">
        <f t="shared" si="0"/>
        <v>Ja</v>
      </c>
      <c r="G22" s="91">
        <f>IFERROR(VLOOKUP(A22,MATCHER!$A$5:$M$504,2,FALSE()),"")</f>
        <v>46291</v>
      </c>
      <c r="H22" s="92">
        <f>IFERROR(VLOOKUP(A22,MATCHER!$A$5:$M$504,3,FALSE()),"")</f>
        <v>0.47222222222222221</v>
      </c>
      <c r="I22" s="34" t="str">
        <f>IFERROR(VLOOKUP(A22,MATCHER!$A$5:$M$504,4,FALSE()),"")</f>
        <v>Råsta Park</v>
      </c>
      <c r="J22" s="34" t="str">
        <f>IF(F22&lt;&gt;"Ja","Ej aktuell",IF(COUNTIF(MATCHER!$A$5:$A$504,A22)=0,"BORTTAGEN MATCH",IF(AND(B22=G22,C22=H22,D22=I22),"Oförändrad",IF(AND(B22=G22,D22=I22),"ÄNDRAD TID","FLYTTAD MATCH"))))</f>
        <v>Oförändrad</v>
      </c>
      <c r="K22" s="34" t="str">
        <f>IF(MATCHER!A14="","",MATCHER!A14)</f>
        <v>26 6 1373 006</v>
      </c>
      <c r="L22" s="91">
        <f>IF(MATCHER!B14="","",MATCHER!B14)</f>
        <v>46291</v>
      </c>
      <c r="M22" s="92">
        <f>IF(MATCHER!C14="","",MATCHER!C14)</f>
        <v>0.47222222222222221</v>
      </c>
      <c r="N22" s="34" t="str">
        <f>IF(MATCHER!D14="","",MATCHER!D14)</f>
        <v>Råsta Park</v>
      </c>
      <c r="O22" s="34" t="str">
        <f>IF(MATCHER!E14="","",MATCHER!E14)</f>
        <v>Flickor - F11 Öst - F11 Nivå 2 Öst City</v>
      </c>
      <c r="P22" s="34" t="str">
        <f>IF(MATCHER!F14="","",MATCHER!F14)</f>
        <v>F11</v>
      </c>
      <c r="Q22" s="34" t="str">
        <f>IF(MATCHER!K14="","",MATCHER!K14)</f>
        <v>Ja</v>
      </c>
      <c r="R22" s="34" t="str">
        <f>IF(K22="","",IF(Q22&lt;&gt;"Ja","Ej aktuell",IF(P22="SAKNAS","NY KLASS",IF(MATCHER!N14&lt;&gt;"Ja",MATCHER!N14,IF(COUNTIF($A$13:$A$220,K22)=0,"NY MATCH","Matchdag finns")))))</f>
        <v>Matchdag finns</v>
      </c>
    </row>
    <row r="23" spans="1:18" ht="13">
      <c r="A23" s="31" t="s">
        <v>218</v>
      </c>
      <c r="B23" s="89">
        <v>46291</v>
      </c>
      <c r="C23" s="90">
        <v>0.51388888888888895</v>
      </c>
      <c r="D23" s="31" t="s">
        <v>94</v>
      </c>
      <c r="E23" s="31" t="s">
        <v>219</v>
      </c>
      <c r="F23" s="31" t="str">
        <f t="shared" si="0"/>
        <v>Ja</v>
      </c>
      <c r="G23" s="91">
        <f>IFERROR(VLOOKUP(A23,MATCHER!$A$5:$M$504,2,FALSE()),"")</f>
        <v>46291</v>
      </c>
      <c r="H23" s="92">
        <f>IFERROR(VLOOKUP(A23,MATCHER!$A$5:$M$504,3,FALSE()),"")</f>
        <v>0.51388888888888884</v>
      </c>
      <c r="I23" s="34" t="str">
        <f>IFERROR(VLOOKUP(A23,MATCHER!$A$5:$M$504,4,FALSE()),"")</f>
        <v>Råsta Park</v>
      </c>
      <c r="J23" s="34" t="str">
        <f>IF(F23&lt;&gt;"Ja","Ej aktuell",IF(COUNTIF(MATCHER!$A$5:$A$504,A23)=0,"BORTTAGEN MATCH",IF(AND(B23=G23,C23=H23,D23=I23),"Oförändrad",IF(AND(B23=G23,D23=I23),"ÄNDRAD TID","FLYTTAD MATCH"))))</f>
        <v>Oförändrad</v>
      </c>
      <c r="K23" s="34" t="str">
        <f>IF(MATCHER!A15="","",MATCHER!A15)</f>
        <v>26 6 1351 003</v>
      </c>
      <c r="L23" s="91">
        <f>IF(MATCHER!B15="","",MATCHER!B15)</f>
        <v>46291</v>
      </c>
      <c r="M23" s="92">
        <f>IF(MATCHER!C15="","",MATCHER!C15)</f>
        <v>0.51388888888888884</v>
      </c>
      <c r="N23" s="34" t="str">
        <f>IF(MATCHER!D15="","",MATCHER!D15)</f>
        <v>Råsta Park</v>
      </c>
      <c r="O23" s="34" t="str">
        <f>IF(MATCHER!E15="","",MATCHER!E15)</f>
        <v>Flickor - F13 Öst - F13 Nivå 1 Öst</v>
      </c>
      <c r="P23" s="34" t="str">
        <f>IF(MATCHER!F15="","",MATCHER!F15)</f>
        <v>F13</v>
      </c>
      <c r="Q23" s="34" t="str">
        <f>IF(MATCHER!K15="","",MATCHER!K15)</f>
        <v>Ja</v>
      </c>
      <c r="R23" s="34" t="str">
        <f>IF(K23="","",IF(Q23&lt;&gt;"Ja","Ej aktuell",IF(P23="SAKNAS","NY KLASS",IF(MATCHER!N15&lt;&gt;"Ja",MATCHER!N15,IF(COUNTIF($A$13:$A$220,K23)=0,"NY MATCH","Matchdag finns")))))</f>
        <v>Matchdag finns</v>
      </c>
    </row>
    <row r="24" spans="1:18" ht="13">
      <c r="A24" s="31" t="s">
        <v>220</v>
      </c>
      <c r="B24" s="89">
        <v>46291</v>
      </c>
      <c r="C24" s="90">
        <v>0.5625</v>
      </c>
      <c r="D24" s="31" t="s">
        <v>94</v>
      </c>
      <c r="E24" s="31" t="s">
        <v>221</v>
      </c>
      <c r="F24" s="31" t="str">
        <f t="shared" si="0"/>
        <v>Ja</v>
      </c>
      <c r="G24" s="91">
        <f>IFERROR(VLOOKUP(A24,MATCHER!$A$5:$M$504,2,FALSE()),"")</f>
        <v>46291</v>
      </c>
      <c r="H24" s="92">
        <f>IFERROR(VLOOKUP(A24,MATCHER!$A$5:$M$504,3,FALSE()),"")</f>
        <v>0.5625</v>
      </c>
      <c r="I24" s="34" t="str">
        <f>IFERROR(VLOOKUP(A24,MATCHER!$A$5:$M$504,4,FALSE()),"")</f>
        <v>Råsta Park</v>
      </c>
      <c r="J24" s="34" t="str">
        <f>IF(F24&lt;&gt;"Ja","Ej aktuell",IF(COUNTIF(MATCHER!$A$5:$A$504,A24)=0,"BORTTAGEN MATCH",IF(AND(B24=G24,C24=H24,D24=I24),"Oförändrad",IF(AND(B24=G24,D24=I24),"ÄNDRAD TID","FLYTTAD MATCH"))))</f>
        <v>Oförändrad</v>
      </c>
      <c r="K24" s="34" t="str">
        <f>IF(MATCHER!A16="","",MATCHER!A16)</f>
        <v>26 6 1352 004</v>
      </c>
      <c r="L24" s="91">
        <f>IF(MATCHER!B16="","",MATCHER!B16)</f>
        <v>46291</v>
      </c>
      <c r="M24" s="92">
        <f>IF(MATCHER!C16="","",MATCHER!C16)</f>
        <v>0.5625</v>
      </c>
      <c r="N24" s="34" t="str">
        <f>IF(MATCHER!D16="","",MATCHER!D16)</f>
        <v>Råsta Park</v>
      </c>
      <c r="O24" s="34" t="str">
        <f>IF(MATCHER!E16="","",MATCHER!E16)</f>
        <v>Flickor - F13 Öst - F13 Nivå 2 Öst Norra</v>
      </c>
      <c r="P24" s="34" t="str">
        <f>IF(MATCHER!F16="","",MATCHER!F16)</f>
        <v>F13</v>
      </c>
      <c r="Q24" s="34" t="str">
        <f>IF(MATCHER!K16="","",MATCHER!K16)</f>
        <v>Ja</v>
      </c>
      <c r="R24" s="34" t="str">
        <f>IF(K24="","",IF(Q24&lt;&gt;"Ja","Ej aktuell",IF(P24="SAKNAS","NY KLASS",IF(MATCHER!N16&lt;&gt;"Ja",MATCHER!N16,IF(COUNTIF($A$13:$A$220,K24)=0,"NY MATCH","Matchdag finns")))))</f>
        <v>Matchdag finns</v>
      </c>
    </row>
    <row r="25" spans="1:18" ht="13">
      <c r="A25" s="31" t="s">
        <v>222</v>
      </c>
      <c r="B25" s="89">
        <v>46298</v>
      </c>
      <c r="C25" s="90">
        <v>0.56944444444444398</v>
      </c>
      <c r="D25" s="31" t="s">
        <v>94</v>
      </c>
      <c r="E25" s="31" t="s">
        <v>223</v>
      </c>
      <c r="F25" s="31" t="str">
        <f t="shared" si="0"/>
        <v>Ja</v>
      </c>
      <c r="G25" s="91">
        <f>IFERROR(VLOOKUP(A25,MATCHER!$A$5:$M$504,2,FALSE()),"")</f>
        <v>46298</v>
      </c>
      <c r="H25" s="92">
        <f>IFERROR(VLOOKUP(A25,MATCHER!$A$5:$M$504,3,FALSE()),"")</f>
        <v>0.56944444444444442</v>
      </c>
      <c r="I25" s="34" t="str">
        <f>IFERROR(VLOOKUP(A25,MATCHER!$A$5:$M$504,4,FALSE()),"")</f>
        <v>Råsta Park</v>
      </c>
      <c r="J25" s="34" t="str">
        <f>IF(F25&lt;&gt;"Ja","Ej aktuell",IF(COUNTIF(MATCHER!$A$5:$A$504,A25)=0,"BORTTAGEN MATCH",IF(AND(B25=G25,C25=H25,D25=I25),"Oförändrad",IF(AND(B25=G25,D25=I25),"ÄNDRAD TID","FLYTTAD MATCH"))))</f>
        <v>Oförändrad</v>
      </c>
      <c r="K25" s="34" t="str">
        <f>IF(MATCHER!A17="","",MATCHER!A17)</f>
        <v>26 6 1524 003</v>
      </c>
      <c r="L25" s="91">
        <f>IF(MATCHER!B17="","",MATCHER!B17)</f>
        <v>46298</v>
      </c>
      <c r="M25" s="92">
        <f>IF(MATCHER!C17="","",MATCHER!C17)</f>
        <v>0.56944444444444442</v>
      </c>
      <c r="N25" s="34" t="str">
        <f>IF(MATCHER!D17="","",MATCHER!D17)</f>
        <v>Råsta Park</v>
      </c>
      <c r="O25" s="34" t="str">
        <f>IF(MATCHER!E17="","",MATCHER!E17)</f>
        <v>Pojkar - P16 Öst - P16 Nivå 3 Öst</v>
      </c>
      <c r="P25" s="34" t="str">
        <f>IF(MATCHER!F17="","",MATCHER!F17)</f>
        <v>P16</v>
      </c>
      <c r="Q25" s="34" t="str">
        <f>IF(MATCHER!K17="","",MATCHER!K17)</f>
        <v>Ja</v>
      </c>
      <c r="R25" s="34" t="str">
        <f>IF(K25="","",IF(Q25&lt;&gt;"Ja","Ej aktuell",IF(P25="SAKNAS","NY KLASS",IF(MATCHER!N17&lt;&gt;"Ja",MATCHER!N17,IF(COUNTIF($A$13:$A$220,K25)=0,"NY MATCH","Matchdag finns")))))</f>
        <v>Matchdag finns</v>
      </c>
    </row>
    <row r="26" spans="1:18" ht="13">
      <c r="A26" s="31" t="s">
        <v>224</v>
      </c>
      <c r="B26" s="89">
        <v>46298</v>
      </c>
      <c r="C26" s="90">
        <v>0.375</v>
      </c>
      <c r="D26" s="31" t="s">
        <v>86</v>
      </c>
      <c r="E26" s="31" t="s">
        <v>225</v>
      </c>
      <c r="F26" s="31" t="str">
        <f t="shared" si="0"/>
        <v>Ja</v>
      </c>
      <c r="G26" s="91">
        <f>IFERROR(VLOOKUP(A26,MATCHER!$A$5:$M$504,2,FALSE()),"")</f>
        <v>46298</v>
      </c>
      <c r="H26" s="92">
        <f>IFERROR(VLOOKUP(A26,MATCHER!$A$5:$M$504,3,FALSE()),"")</f>
        <v>0.375</v>
      </c>
      <c r="I26" s="34" t="str">
        <f>IFERROR(VLOOKUP(A26,MATCHER!$A$5:$M$504,4,FALSE()),"")</f>
        <v>Ulriksdalshallen</v>
      </c>
      <c r="J26" s="34" t="str">
        <f>IF(F26&lt;&gt;"Ja","Ej aktuell",IF(COUNTIF(MATCHER!$A$5:$A$504,A26)=0,"BORTTAGEN MATCH",IF(AND(B26=G26,C26=H26,D26=I26),"Oförändrad",IF(AND(B26=G26,D26=I26),"ÄNDRAD TID","FLYTTAD MATCH"))))</f>
        <v>Oförändrad</v>
      </c>
      <c r="K26" s="34" t="str">
        <f>IF(MATCHER!A18="","",MATCHER!A18)</f>
        <v>26 6 1363 003</v>
      </c>
      <c r="L26" s="91">
        <f>IF(MATCHER!B18="","",MATCHER!B18)</f>
        <v>46298</v>
      </c>
      <c r="M26" s="92">
        <f>IF(MATCHER!C18="","",MATCHER!C18)</f>
        <v>0.375</v>
      </c>
      <c r="N26" s="34" t="str">
        <f>IF(MATCHER!D18="","",MATCHER!D18)</f>
        <v>Ulriksdalshallen</v>
      </c>
      <c r="O26" s="34" t="str">
        <f>IF(MATCHER!E18="","",MATCHER!E18)</f>
        <v>Flickor - F12 Öst - F12 Nivå 2 Öst Norra</v>
      </c>
      <c r="P26" s="34" t="str">
        <f>IF(MATCHER!F18="","",MATCHER!F18)</f>
        <v>F12</v>
      </c>
      <c r="Q26" s="34" t="str">
        <f>IF(MATCHER!K18="","",MATCHER!K18)</f>
        <v>Ja</v>
      </c>
      <c r="R26" s="34" t="str">
        <f>IF(K26="","",IF(Q26&lt;&gt;"Ja","Ej aktuell",IF(P26="SAKNAS","NY KLASS",IF(MATCHER!N18&lt;&gt;"Ja",MATCHER!N18,IF(COUNTIF($A$13:$A$220,K26)=0,"NY MATCH","Matchdag finns")))))</f>
        <v>Matchdag finns</v>
      </c>
    </row>
    <row r="27" spans="1:18" ht="13">
      <c r="A27" s="31" t="s">
        <v>226</v>
      </c>
      <c r="B27" s="89">
        <v>46298</v>
      </c>
      <c r="C27" s="90">
        <v>0.42361111111111099</v>
      </c>
      <c r="D27" s="31" t="s">
        <v>86</v>
      </c>
      <c r="E27" s="31" t="s">
        <v>225</v>
      </c>
      <c r="F27" s="31" t="str">
        <f t="shared" si="0"/>
        <v>Ja</v>
      </c>
      <c r="G27" s="91">
        <f>IFERROR(VLOOKUP(A27,MATCHER!$A$5:$M$504,2,FALSE()),"")</f>
        <v>46298</v>
      </c>
      <c r="H27" s="92">
        <f>IFERROR(VLOOKUP(A27,MATCHER!$A$5:$M$504,3,FALSE()),"")</f>
        <v>0.4236111111111111</v>
      </c>
      <c r="I27" s="34" t="str">
        <f>IFERROR(VLOOKUP(A27,MATCHER!$A$5:$M$504,4,FALSE()),"")</f>
        <v>Ulriksdalshallen</v>
      </c>
      <c r="J27" s="34" t="str">
        <f>IF(F27&lt;&gt;"Ja","Ej aktuell",IF(COUNTIF(MATCHER!$A$5:$A$504,A27)=0,"BORTTAGEN MATCH",IF(AND(B27=G27,C27=H27,D27=I27),"Oförändrad",IF(AND(B27=G27,D27=I27),"ÄNDRAD TID","FLYTTAD MATCH"))))</f>
        <v>Oförändrad</v>
      </c>
      <c r="K27" s="34" t="str">
        <f>IF(MATCHER!A19="","",MATCHER!A19)</f>
        <v>26 6 1363 002</v>
      </c>
      <c r="L27" s="91">
        <f>IF(MATCHER!B19="","",MATCHER!B19)</f>
        <v>46298</v>
      </c>
      <c r="M27" s="92">
        <f>IF(MATCHER!C19="","",MATCHER!C19)</f>
        <v>0.4236111111111111</v>
      </c>
      <c r="N27" s="34" t="str">
        <f>IF(MATCHER!D19="","",MATCHER!D19)</f>
        <v>Ulriksdalshallen</v>
      </c>
      <c r="O27" s="34" t="str">
        <f>IF(MATCHER!E19="","",MATCHER!E19)</f>
        <v>Flickor - F12 Öst - F12 Nivå 2 Öst Norra</v>
      </c>
      <c r="P27" s="34" t="str">
        <f>IF(MATCHER!F19="","",MATCHER!F19)</f>
        <v>F12</v>
      </c>
      <c r="Q27" s="34" t="str">
        <f>IF(MATCHER!K19="","",MATCHER!K19)</f>
        <v>Ja</v>
      </c>
      <c r="R27" s="34" t="str">
        <f>IF(K27="","",IF(Q27&lt;&gt;"Ja","Ej aktuell",IF(P27="SAKNAS","NY KLASS",IF(MATCHER!N19&lt;&gt;"Ja",MATCHER!N19,IF(COUNTIF($A$13:$A$220,K27)=0,"NY MATCH","Matchdag finns")))))</f>
        <v>Matchdag finns</v>
      </c>
    </row>
    <row r="28" spans="1:18" ht="13">
      <c r="A28" s="31" t="s">
        <v>227</v>
      </c>
      <c r="B28" s="89">
        <v>46298</v>
      </c>
      <c r="C28" s="90">
        <v>0.47222222222222199</v>
      </c>
      <c r="D28" s="31" t="s">
        <v>86</v>
      </c>
      <c r="E28" s="31" t="s">
        <v>225</v>
      </c>
      <c r="F28" s="31" t="str">
        <f t="shared" si="0"/>
        <v>Ja</v>
      </c>
      <c r="G28" s="91">
        <f>IFERROR(VLOOKUP(A28,MATCHER!$A$5:$M$504,2,FALSE()),"")</f>
        <v>46298</v>
      </c>
      <c r="H28" s="92">
        <f>IFERROR(VLOOKUP(A28,MATCHER!$A$5:$M$504,3,FALSE()),"")</f>
        <v>0.47222222222222221</v>
      </c>
      <c r="I28" s="34" t="str">
        <f>IFERROR(VLOOKUP(A28,MATCHER!$A$5:$M$504,4,FALSE()),"")</f>
        <v>Ulriksdalshallen</v>
      </c>
      <c r="J28" s="34" t="str">
        <f>IF(F28&lt;&gt;"Ja","Ej aktuell",IF(COUNTIF(MATCHER!$A$5:$A$504,A28)=0,"BORTTAGEN MATCH",IF(AND(B28=G28,C28=H28,D28=I28),"Oförändrad",IF(AND(B28=G28,D28=I28),"ÄNDRAD TID","FLYTTAD MATCH"))))</f>
        <v>Oförändrad</v>
      </c>
      <c r="K28" s="34" t="str">
        <f>IF(MATCHER!A20="","",MATCHER!A20)</f>
        <v>26 6 1363 001</v>
      </c>
      <c r="L28" s="91">
        <f>IF(MATCHER!B20="","",MATCHER!B20)</f>
        <v>46298</v>
      </c>
      <c r="M28" s="92">
        <f>IF(MATCHER!C20="","",MATCHER!C20)</f>
        <v>0.47222222222222221</v>
      </c>
      <c r="N28" s="34" t="str">
        <f>IF(MATCHER!D20="","",MATCHER!D20)</f>
        <v>Ulriksdalshallen</v>
      </c>
      <c r="O28" s="34" t="str">
        <f>IF(MATCHER!E20="","",MATCHER!E20)</f>
        <v>Flickor - F12 Öst - F12 Nivå 2 Öst Norra</v>
      </c>
      <c r="P28" s="34" t="str">
        <f>IF(MATCHER!F20="","",MATCHER!F20)</f>
        <v>F12</v>
      </c>
      <c r="Q28" s="34" t="str">
        <f>IF(MATCHER!K20="","",MATCHER!K20)</f>
        <v>Ja</v>
      </c>
      <c r="R28" s="34" t="str">
        <f>IF(K28="","",IF(Q28&lt;&gt;"Ja","Ej aktuell",IF(P28="SAKNAS","NY KLASS",IF(MATCHER!N20&lt;&gt;"Ja",MATCHER!N20,IF(COUNTIF($A$13:$A$220,K28)=0,"NY MATCH","Matchdag finns")))))</f>
        <v>Matchdag finns</v>
      </c>
    </row>
    <row r="29" spans="1:18" ht="13">
      <c r="A29" s="31" t="s">
        <v>228</v>
      </c>
      <c r="B29" s="89">
        <v>46298</v>
      </c>
      <c r="C29" s="90">
        <v>0.51388888888888895</v>
      </c>
      <c r="D29" s="31" t="s">
        <v>86</v>
      </c>
      <c r="E29" s="31" t="s">
        <v>229</v>
      </c>
      <c r="F29" s="31" t="str">
        <f t="shared" si="0"/>
        <v>Ja</v>
      </c>
      <c r="G29" s="91">
        <f>IFERROR(VLOOKUP(A29,MATCHER!$A$5:$M$504,2,FALSE()),"")</f>
        <v>46298</v>
      </c>
      <c r="H29" s="92">
        <f>IFERROR(VLOOKUP(A29,MATCHER!$A$5:$M$504,3,FALSE()),"")</f>
        <v>0.51388888888888884</v>
      </c>
      <c r="I29" s="34" t="str">
        <f>IFERROR(VLOOKUP(A29,MATCHER!$A$5:$M$504,4,FALSE()),"")</f>
        <v>Ulriksdalshallen</v>
      </c>
      <c r="J29" s="34" t="str">
        <f>IF(F29&lt;&gt;"Ja","Ej aktuell",IF(COUNTIF(MATCHER!$A$5:$A$504,A29)=0,"BORTTAGEN MATCH",IF(AND(B29=G29,C29=H29,D29=I29),"Oförändrad",IF(AND(B29=G29,D29=I29),"ÄNDRAD TID","FLYTTAD MATCH"))))</f>
        <v>Oförändrad</v>
      </c>
      <c r="K29" s="34" t="str">
        <f>IF(MATCHER!A21="","",MATCHER!A21)</f>
        <v>26 6 1343 003</v>
      </c>
      <c r="L29" s="91">
        <f>IF(MATCHER!B21="","",MATCHER!B21)</f>
        <v>46298</v>
      </c>
      <c r="M29" s="92">
        <f>IF(MATCHER!C21="","",MATCHER!C21)</f>
        <v>0.51388888888888884</v>
      </c>
      <c r="N29" s="34" t="str">
        <f>IF(MATCHER!D21="","",MATCHER!D21)</f>
        <v>Ulriksdalshallen</v>
      </c>
      <c r="O29" s="34" t="str">
        <f>IF(MATCHER!E21="","",MATCHER!E21)</f>
        <v>Flickor - F14 Öst - F14 Nivå 2 Öst Norra</v>
      </c>
      <c r="P29" s="34" t="str">
        <f>IF(MATCHER!F21="","",MATCHER!F21)</f>
        <v>F14</v>
      </c>
      <c r="Q29" s="34" t="str">
        <f>IF(MATCHER!K21="","",MATCHER!K21)</f>
        <v>Ja</v>
      </c>
      <c r="R29" s="34" t="str">
        <f>IF(K29="","",IF(Q29&lt;&gt;"Ja","Ej aktuell",IF(P29="SAKNAS","NY KLASS",IF(MATCHER!N21&lt;&gt;"Ja",MATCHER!N21,IF(COUNTIF($A$13:$A$220,K29)=0,"NY MATCH","Matchdag finns")))))</f>
        <v>Matchdag finns</v>
      </c>
    </row>
    <row r="30" spans="1:18" ht="13">
      <c r="A30" s="31" t="s">
        <v>230</v>
      </c>
      <c r="B30" s="89">
        <v>46299</v>
      </c>
      <c r="C30" s="90">
        <v>0.66666666666666696</v>
      </c>
      <c r="D30" s="31" t="s">
        <v>212</v>
      </c>
      <c r="E30" s="31" t="s">
        <v>231</v>
      </c>
      <c r="F30" s="31" t="str">
        <f t="shared" si="0"/>
        <v>Nej</v>
      </c>
      <c r="G30" s="91">
        <f>IFERROR(VLOOKUP(A30,MATCHER!$A$5:$M$504,2,FALSE()),"")</f>
        <v>46299</v>
      </c>
      <c r="H30" s="92">
        <f>IFERROR(VLOOKUP(A30,MATCHER!$A$5:$M$504,3,FALSE()),"")</f>
        <v>0.66666666666666663</v>
      </c>
      <c r="I30" s="34" t="str">
        <f>IFERROR(VLOOKUP(A30,MATCHER!$A$5:$M$504,4,FALSE()),"")</f>
        <v>Solnahallen</v>
      </c>
      <c r="J30" s="34" t="str">
        <f>IF(F30&lt;&gt;"Ja","Ej aktuell",IF(COUNTIF(MATCHER!$A$5:$A$504,A30)=0,"BORTTAGEN MATCH",IF(AND(B30=G30,C30=H30,D30=I30),"Oförändrad",IF(AND(B30=G30,D30=I30),"ÄNDRAD TID","FLYTTAD MATCH"))))</f>
        <v>Ej aktuell</v>
      </c>
      <c r="K30" s="34" t="str">
        <f>IF(MATCHER!A22="","",MATCHER!A22)</f>
        <v>26 -1 1121 009</v>
      </c>
      <c r="L30" s="91">
        <f>IF(MATCHER!B22="","",MATCHER!B22)</f>
        <v>46299</v>
      </c>
      <c r="M30" s="92">
        <f>IF(MATCHER!C22="","",MATCHER!C22)</f>
        <v>0.66666666666666663</v>
      </c>
      <c r="N30" s="34" t="str">
        <f>IF(MATCHER!D22="","",MATCHER!D22)</f>
        <v>Solnahallen</v>
      </c>
      <c r="O30" s="34" t="str">
        <f>IF(MATCHER!E22="","",MATCHER!E22)</f>
        <v>Damer - Damallsvenskan</v>
      </c>
      <c r="P30" s="34" t="str">
        <f>IF(MATCHER!F22="","",MATCHER!F22)</f>
        <v>Dam</v>
      </c>
      <c r="Q30" s="34" t="str">
        <f>IF(MATCHER!K22="","",MATCHER!K22)</f>
        <v>Nej</v>
      </c>
      <c r="R30" s="34" t="str">
        <f>IF(K30="","",IF(Q30&lt;&gt;"Ja","Ej aktuell",IF(P30="SAKNAS","NY KLASS",IF(MATCHER!N22&lt;&gt;"Ja",MATCHER!N22,IF(COUNTIF($A$13:$A$220,K30)=0,"NY MATCH","Matchdag finns")))))</f>
        <v>Ej aktuell</v>
      </c>
    </row>
    <row r="31" spans="1:18" ht="13">
      <c r="A31" s="31" t="s">
        <v>232</v>
      </c>
      <c r="B31" s="89">
        <v>46301</v>
      </c>
      <c r="C31" s="90">
        <v>0.86458333333333304</v>
      </c>
      <c r="D31" s="31" t="s">
        <v>94</v>
      </c>
      <c r="E31" s="31" t="s">
        <v>213</v>
      </c>
      <c r="F31" s="31" t="str">
        <f t="shared" si="0"/>
        <v>Ja</v>
      </c>
      <c r="G31" s="91">
        <f>IFERROR(VLOOKUP(A31,MATCHER!$A$5:$M$504,2,FALSE()),"")</f>
        <v>46301</v>
      </c>
      <c r="H31" s="92">
        <f>IFERROR(VLOOKUP(A31,MATCHER!$A$5:$M$504,3,FALSE()),"")</f>
        <v>0.86458333333333337</v>
      </c>
      <c r="I31" s="34" t="str">
        <f>IFERROR(VLOOKUP(A31,MATCHER!$A$5:$M$504,4,FALSE()),"")</f>
        <v>Råsta Park</v>
      </c>
      <c r="J31" s="34" t="str">
        <f>IF(F31&lt;&gt;"Ja","Ej aktuell",IF(COUNTIF(MATCHER!$A$5:$A$504,A31)=0,"BORTTAGEN MATCH",IF(AND(B31=G31,C31=H31,D31=I31),"Oförändrad",IF(AND(B31=G31,D31=I31),"ÄNDRAD TID","FLYTTAD MATCH"))))</f>
        <v>Oförändrad</v>
      </c>
      <c r="K31" s="34" t="str">
        <f>IF(MATCHER!A23="","",MATCHER!A23)</f>
        <v>26 6 1311 011</v>
      </c>
      <c r="L31" s="91">
        <f>IF(MATCHER!B23="","",MATCHER!B23)</f>
        <v>46301</v>
      </c>
      <c r="M31" s="92">
        <f>IF(MATCHER!C23="","",MATCHER!C23)</f>
        <v>0.86458333333333337</v>
      </c>
      <c r="N31" s="34" t="str">
        <f>IF(MATCHER!D23="","",MATCHER!D23)</f>
        <v>Råsta Park</v>
      </c>
      <c r="O31" s="34" t="str">
        <f>IF(MATCHER!E23="","",MATCHER!E23)</f>
        <v>Flickor - F19 Öst - F19 Nivå 1 Öst</v>
      </c>
      <c r="P31" s="34" t="str">
        <f>IF(MATCHER!F23="","",MATCHER!F23)</f>
        <v>F19</v>
      </c>
      <c r="Q31" s="34" t="str">
        <f>IF(MATCHER!K23="","",MATCHER!K23)</f>
        <v>Ja</v>
      </c>
      <c r="R31" s="34" t="str">
        <f>IF(K31="","",IF(Q31&lt;&gt;"Ja","Ej aktuell",IF(P31="SAKNAS","NY KLASS",IF(MATCHER!N23&lt;&gt;"Ja",MATCHER!N23,IF(COUNTIF($A$13:$A$220,K31)=0,"NY MATCH","Matchdag finns")))))</f>
        <v>Matchdag finns</v>
      </c>
    </row>
    <row r="32" spans="1:18" ht="13">
      <c r="A32" s="31" t="s">
        <v>233</v>
      </c>
      <c r="B32" s="89">
        <v>46305</v>
      </c>
      <c r="C32" s="90">
        <v>0.5625</v>
      </c>
      <c r="D32" s="31" t="s">
        <v>94</v>
      </c>
      <c r="E32" s="31" t="s">
        <v>234</v>
      </c>
      <c r="F32" s="31" t="str">
        <f t="shared" si="0"/>
        <v>Ja</v>
      </c>
      <c r="G32" s="91">
        <f>IFERROR(VLOOKUP(A32,MATCHER!$A$5:$M$504,2,FALSE()),"")</f>
        <v>46305</v>
      </c>
      <c r="H32" s="92">
        <f>IFERROR(VLOOKUP(A32,MATCHER!$A$5:$M$504,3,FALSE()),"")</f>
        <v>0.5625</v>
      </c>
      <c r="I32" s="34" t="str">
        <f>IFERROR(VLOOKUP(A32,MATCHER!$A$5:$M$504,4,FALSE()),"")</f>
        <v>Råsta Park</v>
      </c>
      <c r="J32" s="34" t="str">
        <f>IF(F32&lt;&gt;"Ja","Ej aktuell",IF(COUNTIF(MATCHER!$A$5:$A$504,A32)=0,"BORTTAGEN MATCH",IF(AND(B32=G32,C32=H32,D32=I32),"Oförändrad",IF(AND(B32=G32,D32=I32),"ÄNDRAD TID","FLYTTAD MATCH"))))</f>
        <v>Oförändrad</v>
      </c>
      <c r="K32" s="34" t="str">
        <f>IF(MATCHER!A24="","",MATCHER!A24)</f>
        <v>26 6 1221 013</v>
      </c>
      <c r="L32" s="91">
        <f>IF(MATCHER!B24="","",MATCHER!B24)</f>
        <v>46305</v>
      </c>
      <c r="M32" s="92">
        <f>IF(MATCHER!C24="","",MATCHER!C24)</f>
        <v>0.5625</v>
      </c>
      <c r="N32" s="34" t="str">
        <f>IF(MATCHER!D24="","",MATCHER!D24)</f>
        <v>Råsta Park</v>
      </c>
      <c r="O32" s="34" t="str">
        <f>IF(MATCHER!E24="","",MATCHER!E24)</f>
        <v>Herrar - Herr 2 Öst</v>
      </c>
      <c r="P32" s="34" t="str">
        <f>IF(MATCHER!F24="","",MATCHER!F24)</f>
        <v>Herr</v>
      </c>
      <c r="Q32" s="34" t="str">
        <f>IF(MATCHER!K24="","",MATCHER!K24)</f>
        <v>Ja</v>
      </c>
      <c r="R32" s="34" t="str">
        <f>IF(K32="","",IF(Q32&lt;&gt;"Ja","Ej aktuell",IF(P32="SAKNAS","NY KLASS",IF(MATCHER!N24&lt;&gt;"Ja",MATCHER!N24,IF(COUNTIF($A$13:$A$220,K32)=0,"NY MATCH","Matchdag finns")))))</f>
        <v>Matchdag finns</v>
      </c>
    </row>
    <row r="33" spans="1:18" ht="13">
      <c r="A33" s="31" t="s">
        <v>235</v>
      </c>
      <c r="B33" s="89">
        <v>46305</v>
      </c>
      <c r="C33" s="90">
        <v>0.46875</v>
      </c>
      <c r="D33" s="31" t="s">
        <v>86</v>
      </c>
      <c r="E33" s="31" t="s">
        <v>236</v>
      </c>
      <c r="F33" s="31" t="str">
        <f t="shared" si="0"/>
        <v>Ja</v>
      </c>
      <c r="G33" s="91">
        <f>IFERROR(VLOOKUP(A33,MATCHER!$A$5:$M$504,2,FALSE()),"")</f>
        <v>46305</v>
      </c>
      <c r="H33" s="92">
        <f>IFERROR(VLOOKUP(A33,MATCHER!$A$5:$M$504,3,FALSE()),"")</f>
        <v>0.46875</v>
      </c>
      <c r="I33" s="34" t="str">
        <f>IFERROR(VLOOKUP(A33,MATCHER!$A$5:$M$504,4,FALSE()),"")</f>
        <v>Ulriksdalshallen</v>
      </c>
      <c r="J33" s="34" t="str">
        <f>IF(F33&lt;&gt;"Ja","Ej aktuell",IF(COUNTIF(MATCHER!$A$5:$A$504,A33)=0,"BORTTAGEN MATCH",IF(AND(B33=G33,C33=H33,D33=I33),"Oförändrad",IF(AND(B33=G33,D33=I33),"ÄNDRAD TID","FLYTTAD MATCH"))))</f>
        <v>Oförändrad</v>
      </c>
      <c r="K33" s="34" t="str">
        <f>IF(MATCHER!A25="","",MATCHER!A25)</f>
        <v>26 6 14101 01</v>
      </c>
      <c r="L33" s="91">
        <f>IF(MATCHER!B25="","",MATCHER!B25)</f>
        <v>46305</v>
      </c>
      <c r="M33" s="92">
        <f>IF(MATCHER!C25="","",MATCHER!C25)</f>
        <v>0.46875</v>
      </c>
      <c r="N33" s="34" t="str">
        <f>IF(MATCHER!D25="","",MATCHER!D25)</f>
        <v>Ulriksdalshallen</v>
      </c>
      <c r="O33" s="34" t="str">
        <f>IF(MATCHER!E25="","",MATCHER!E25)</f>
        <v>Höstens Spel - F10 kortplan Öst - Omgång 1</v>
      </c>
      <c r="P33" s="34" t="str">
        <f>IF(MATCHER!F25="","",MATCHER!F25)</f>
        <v>F10</v>
      </c>
      <c r="Q33" s="34" t="str">
        <f>IF(MATCHER!K25="","",MATCHER!K25)</f>
        <v>Ja</v>
      </c>
      <c r="R33" s="34" t="str">
        <f>IF(K33="","",IF(Q33&lt;&gt;"Ja","Ej aktuell",IF(P33="SAKNAS","NY KLASS",IF(MATCHER!N25&lt;&gt;"Ja",MATCHER!N25,IF(COUNTIF($A$13:$A$220,K33)=0,"NY MATCH","Matchdag finns")))))</f>
        <v>Matchdag finns</v>
      </c>
    </row>
    <row r="34" spans="1:18" ht="13">
      <c r="A34" s="31" t="s">
        <v>237</v>
      </c>
      <c r="B34" s="89">
        <v>46305</v>
      </c>
      <c r="C34" s="90">
        <v>0.5</v>
      </c>
      <c r="D34" s="31" t="s">
        <v>86</v>
      </c>
      <c r="E34" s="31" t="s">
        <v>236</v>
      </c>
      <c r="F34" s="31" t="str">
        <f t="shared" si="0"/>
        <v>Ja</v>
      </c>
      <c r="G34" s="91">
        <f>IFERROR(VLOOKUP(A34,MATCHER!$A$5:$M$504,2,FALSE()),"")</f>
        <v>46305</v>
      </c>
      <c r="H34" s="92">
        <f>IFERROR(VLOOKUP(A34,MATCHER!$A$5:$M$504,3,FALSE()),"")</f>
        <v>0.5</v>
      </c>
      <c r="I34" s="34" t="str">
        <f>IFERROR(VLOOKUP(A34,MATCHER!$A$5:$M$504,4,FALSE()),"")</f>
        <v>Ulriksdalshallen</v>
      </c>
      <c r="J34" s="34" t="str">
        <f>IF(F34&lt;&gt;"Ja","Ej aktuell",IF(COUNTIF(MATCHER!$A$5:$A$504,A34)=0,"BORTTAGEN MATCH",IF(AND(B34=G34,C34=H34,D34=I34),"Oförändrad",IF(AND(B34=G34,D34=I34),"ÄNDRAD TID","FLYTTAD MATCH"))))</f>
        <v>Oförändrad</v>
      </c>
      <c r="K34" s="34" t="str">
        <f>IF(MATCHER!A26="","",MATCHER!A26)</f>
        <v>26 6 14101 02</v>
      </c>
      <c r="L34" s="91">
        <f>IF(MATCHER!B26="","",MATCHER!B26)</f>
        <v>46305</v>
      </c>
      <c r="M34" s="92">
        <f>IF(MATCHER!C26="","",MATCHER!C26)</f>
        <v>0.5</v>
      </c>
      <c r="N34" s="34" t="str">
        <f>IF(MATCHER!D26="","",MATCHER!D26)</f>
        <v>Ulriksdalshallen</v>
      </c>
      <c r="O34" s="34" t="str">
        <f>IF(MATCHER!E26="","",MATCHER!E26)</f>
        <v>Höstens Spel - F10 kortplan Öst - Omgång 1</v>
      </c>
      <c r="P34" s="34" t="str">
        <f>IF(MATCHER!F26="","",MATCHER!F26)</f>
        <v>F10</v>
      </c>
      <c r="Q34" s="34" t="str">
        <f>IF(MATCHER!K26="","",MATCHER!K26)</f>
        <v>Ja</v>
      </c>
      <c r="R34" s="34" t="str">
        <f>IF(K34="","",IF(Q34&lt;&gt;"Ja","Ej aktuell",IF(P34="SAKNAS","NY KLASS",IF(MATCHER!N26&lt;&gt;"Ja",MATCHER!N26,IF(COUNTIF($A$13:$A$220,K34)=0,"NY MATCH","Matchdag finns")))))</f>
        <v>Matchdag finns</v>
      </c>
    </row>
    <row r="35" spans="1:18" ht="13">
      <c r="A35" s="31" t="s">
        <v>238</v>
      </c>
      <c r="B35" s="89">
        <v>46305</v>
      </c>
      <c r="C35" s="90">
        <v>0.53125</v>
      </c>
      <c r="D35" s="31" t="s">
        <v>86</v>
      </c>
      <c r="E35" s="31" t="s">
        <v>236</v>
      </c>
      <c r="F35" s="31" t="str">
        <f t="shared" si="0"/>
        <v>Ja</v>
      </c>
      <c r="G35" s="91">
        <f>IFERROR(VLOOKUP(A35,MATCHER!$A$5:$M$504,2,FALSE()),"")</f>
        <v>46305</v>
      </c>
      <c r="H35" s="92">
        <f>IFERROR(VLOOKUP(A35,MATCHER!$A$5:$M$504,3,FALSE()),"")</f>
        <v>0.53125</v>
      </c>
      <c r="I35" s="34" t="str">
        <f>IFERROR(VLOOKUP(A35,MATCHER!$A$5:$M$504,4,FALSE()),"")</f>
        <v>Ulriksdalshallen</v>
      </c>
      <c r="J35" s="34" t="str">
        <f>IF(F35&lt;&gt;"Ja","Ej aktuell",IF(COUNTIF(MATCHER!$A$5:$A$504,A35)=0,"BORTTAGEN MATCH",IF(AND(B35=G35,C35=H35,D35=I35),"Oförändrad",IF(AND(B35=G35,D35=I35),"ÄNDRAD TID","FLYTTAD MATCH"))))</f>
        <v>Oförändrad</v>
      </c>
      <c r="K35" s="34" t="str">
        <f>IF(MATCHER!A27="","",MATCHER!A27)</f>
        <v>26 6 14101 03</v>
      </c>
      <c r="L35" s="91">
        <f>IF(MATCHER!B27="","",MATCHER!B27)</f>
        <v>46305</v>
      </c>
      <c r="M35" s="92">
        <f>IF(MATCHER!C27="","",MATCHER!C27)</f>
        <v>0.53125</v>
      </c>
      <c r="N35" s="34" t="str">
        <f>IF(MATCHER!D27="","",MATCHER!D27)</f>
        <v>Ulriksdalshallen</v>
      </c>
      <c r="O35" s="34" t="str">
        <f>IF(MATCHER!E27="","",MATCHER!E27)</f>
        <v>Höstens Spel - F10 kortplan Öst - Omgång 1</v>
      </c>
      <c r="P35" s="34" t="str">
        <f>IF(MATCHER!F27="","",MATCHER!F27)</f>
        <v>F10</v>
      </c>
      <c r="Q35" s="34" t="str">
        <f>IF(MATCHER!K27="","",MATCHER!K27)</f>
        <v>Ja</v>
      </c>
      <c r="R35" s="34" t="str">
        <f>IF(K35="","",IF(Q35&lt;&gt;"Ja","Ej aktuell",IF(P35="SAKNAS","NY KLASS",IF(MATCHER!N27&lt;&gt;"Ja",MATCHER!N27,IF(COUNTIF($A$13:$A$220,K35)=0,"NY MATCH","Matchdag finns")))))</f>
        <v>Matchdag finns</v>
      </c>
    </row>
    <row r="36" spans="1:18" ht="13">
      <c r="A36" s="31" t="s">
        <v>239</v>
      </c>
      <c r="B36" s="89">
        <v>46305</v>
      </c>
      <c r="C36" s="90">
        <v>0.5625</v>
      </c>
      <c r="D36" s="31" t="s">
        <v>86</v>
      </c>
      <c r="E36" s="31" t="s">
        <v>236</v>
      </c>
      <c r="F36" s="31" t="str">
        <f t="shared" si="0"/>
        <v>Ja</v>
      </c>
      <c r="G36" s="91">
        <f>IFERROR(VLOOKUP(A36,MATCHER!$A$5:$M$504,2,FALSE()),"")</f>
        <v>46305</v>
      </c>
      <c r="H36" s="92">
        <f>IFERROR(VLOOKUP(A36,MATCHER!$A$5:$M$504,3,FALSE()),"")</f>
        <v>0.5625</v>
      </c>
      <c r="I36" s="34" t="str">
        <f>IFERROR(VLOOKUP(A36,MATCHER!$A$5:$M$504,4,FALSE()),"")</f>
        <v>Ulriksdalshallen</v>
      </c>
      <c r="J36" s="34" t="str">
        <f>IF(F36&lt;&gt;"Ja","Ej aktuell",IF(COUNTIF(MATCHER!$A$5:$A$504,A36)=0,"BORTTAGEN MATCH",IF(AND(B36=G36,C36=H36,D36=I36),"Oförändrad",IF(AND(B36=G36,D36=I36),"ÄNDRAD TID","FLYTTAD MATCH"))))</f>
        <v>Oförändrad</v>
      </c>
      <c r="K36" s="34" t="str">
        <f>IF(MATCHER!A28="","",MATCHER!A28)</f>
        <v>26 6 14101 04</v>
      </c>
      <c r="L36" s="91">
        <f>IF(MATCHER!B28="","",MATCHER!B28)</f>
        <v>46305</v>
      </c>
      <c r="M36" s="92">
        <f>IF(MATCHER!C28="","",MATCHER!C28)</f>
        <v>0.5625</v>
      </c>
      <c r="N36" s="34" t="str">
        <f>IF(MATCHER!D28="","",MATCHER!D28)</f>
        <v>Ulriksdalshallen</v>
      </c>
      <c r="O36" s="34" t="str">
        <f>IF(MATCHER!E28="","",MATCHER!E28)</f>
        <v>Höstens Spel - F10 kortplan Öst - Omgång 1</v>
      </c>
      <c r="P36" s="34" t="str">
        <f>IF(MATCHER!F28="","",MATCHER!F28)</f>
        <v>F10</v>
      </c>
      <c r="Q36" s="34" t="str">
        <f>IF(MATCHER!K28="","",MATCHER!K28)</f>
        <v>Ja</v>
      </c>
      <c r="R36" s="34" t="str">
        <f>IF(K36="","",IF(Q36&lt;&gt;"Ja","Ej aktuell",IF(P36="SAKNAS","NY KLASS",IF(MATCHER!N28&lt;&gt;"Ja",MATCHER!N28,IF(COUNTIF($A$13:$A$220,K36)=0,"NY MATCH","Matchdag finns")))))</f>
        <v>Matchdag finns</v>
      </c>
    </row>
    <row r="37" spans="1:18" ht="13">
      <c r="A37" s="31" t="s">
        <v>240</v>
      </c>
      <c r="B37" s="89">
        <v>46305</v>
      </c>
      <c r="C37" s="90">
        <v>0.59375</v>
      </c>
      <c r="D37" s="31" t="s">
        <v>86</v>
      </c>
      <c r="E37" s="31" t="s">
        <v>236</v>
      </c>
      <c r="F37" s="31" t="str">
        <f t="shared" si="0"/>
        <v>Ja</v>
      </c>
      <c r="G37" s="91">
        <f>IFERROR(VLOOKUP(A37,MATCHER!$A$5:$M$504,2,FALSE()),"")</f>
        <v>46305</v>
      </c>
      <c r="H37" s="92">
        <f>IFERROR(VLOOKUP(A37,MATCHER!$A$5:$M$504,3,FALSE()),"")</f>
        <v>0.59375</v>
      </c>
      <c r="I37" s="34" t="str">
        <f>IFERROR(VLOOKUP(A37,MATCHER!$A$5:$M$504,4,FALSE()),"")</f>
        <v>Ulriksdalshallen</v>
      </c>
      <c r="J37" s="34" t="str">
        <f>IF(F37&lt;&gt;"Ja","Ej aktuell",IF(COUNTIF(MATCHER!$A$5:$A$504,A37)=0,"BORTTAGEN MATCH",IF(AND(B37=G37,C37=H37,D37=I37),"Oförändrad",IF(AND(B37=G37,D37=I37),"ÄNDRAD TID","FLYTTAD MATCH"))))</f>
        <v>Oförändrad</v>
      </c>
      <c r="K37" s="34" t="str">
        <f>IF(MATCHER!A29="","",MATCHER!A29)</f>
        <v>26 6 14101 05</v>
      </c>
      <c r="L37" s="91">
        <f>IF(MATCHER!B29="","",MATCHER!B29)</f>
        <v>46305</v>
      </c>
      <c r="M37" s="92">
        <f>IF(MATCHER!C29="","",MATCHER!C29)</f>
        <v>0.59375</v>
      </c>
      <c r="N37" s="34" t="str">
        <f>IF(MATCHER!D29="","",MATCHER!D29)</f>
        <v>Ulriksdalshallen</v>
      </c>
      <c r="O37" s="34" t="str">
        <f>IF(MATCHER!E29="","",MATCHER!E29)</f>
        <v>Höstens Spel - F10 kortplan Öst - Omgång 1</v>
      </c>
      <c r="P37" s="34" t="str">
        <f>IF(MATCHER!F29="","",MATCHER!F29)</f>
        <v>F10</v>
      </c>
      <c r="Q37" s="34" t="str">
        <f>IF(MATCHER!K29="","",MATCHER!K29)</f>
        <v>Ja</v>
      </c>
      <c r="R37" s="34" t="str">
        <f>IF(K37="","",IF(Q37&lt;&gt;"Ja","Ej aktuell",IF(P37="SAKNAS","NY KLASS",IF(MATCHER!N29&lt;&gt;"Ja",MATCHER!N29,IF(COUNTIF($A$13:$A$220,K37)=0,"NY MATCH","Matchdag finns")))))</f>
        <v>Matchdag finns</v>
      </c>
    </row>
    <row r="38" spans="1:18" ht="13">
      <c r="A38" s="31" t="s">
        <v>241</v>
      </c>
      <c r="B38" s="89">
        <v>46305</v>
      </c>
      <c r="C38" s="90">
        <v>0.67708333333333304</v>
      </c>
      <c r="D38" s="31" t="s">
        <v>86</v>
      </c>
      <c r="E38" s="31" t="s">
        <v>242</v>
      </c>
      <c r="F38" s="31" t="str">
        <f t="shared" si="0"/>
        <v>Ja</v>
      </c>
      <c r="G38" s="91">
        <f>IFERROR(VLOOKUP(A38,MATCHER!$A$5:$M$504,2,FALSE()),"")</f>
        <v>46305</v>
      </c>
      <c r="H38" s="92">
        <f>IFERROR(VLOOKUP(A38,MATCHER!$A$5:$M$504,3,FALSE()),"")</f>
        <v>0.67708333333333337</v>
      </c>
      <c r="I38" s="34" t="str">
        <f>IFERROR(VLOOKUP(A38,MATCHER!$A$5:$M$504,4,FALSE()),"")</f>
        <v>Ulriksdalshallen</v>
      </c>
      <c r="J38" s="34" t="str">
        <f>IF(F38&lt;&gt;"Ja","Ej aktuell",IF(COUNTIF(MATCHER!$A$5:$A$504,A38)=0,"BORTTAGEN MATCH",IF(AND(B38=G38,C38=H38,D38=I38),"Oförändrad",IF(AND(B38=G38,D38=I38),"ÄNDRAD TID","FLYTTAD MATCH"))))</f>
        <v>Oförändrad</v>
      </c>
      <c r="K38" s="34" t="str">
        <f>IF(MATCHER!A30="","",MATCHER!A30)</f>
        <v>26 6 1573 015</v>
      </c>
      <c r="L38" s="91">
        <f>IF(MATCHER!B30="","",MATCHER!B30)</f>
        <v>46305</v>
      </c>
      <c r="M38" s="92">
        <f>IF(MATCHER!C30="","",MATCHER!C30)</f>
        <v>0.67708333333333337</v>
      </c>
      <c r="N38" s="34" t="str">
        <f>IF(MATCHER!D30="","",MATCHER!D30)</f>
        <v>Ulriksdalshallen</v>
      </c>
      <c r="O38" s="34" t="str">
        <f>IF(MATCHER!E30="","",MATCHER!E30)</f>
        <v>Pojkar - P11 Öst - P11 Nivå 2 Öst City</v>
      </c>
      <c r="P38" s="34" t="str">
        <f>IF(MATCHER!F30="","",MATCHER!F30)</f>
        <v>P11</v>
      </c>
      <c r="Q38" s="34" t="str">
        <f>IF(MATCHER!K30="","",MATCHER!K30)</f>
        <v>Ja</v>
      </c>
      <c r="R38" s="34" t="str">
        <f>IF(K38="","",IF(Q38&lt;&gt;"Ja","Ej aktuell",IF(P38="SAKNAS","NY KLASS",IF(MATCHER!N30&lt;&gt;"Ja",MATCHER!N30,IF(COUNTIF($A$13:$A$220,K38)=0,"NY MATCH","Matchdag finns")))))</f>
        <v>Matchdag finns</v>
      </c>
    </row>
    <row r="39" spans="1:18" ht="13">
      <c r="A39" s="31" t="s">
        <v>243</v>
      </c>
      <c r="B39" s="89">
        <v>46306</v>
      </c>
      <c r="C39" s="90">
        <v>0.625</v>
      </c>
      <c r="D39" s="31" t="s">
        <v>212</v>
      </c>
      <c r="E39" s="31" t="s">
        <v>231</v>
      </c>
      <c r="F39" s="31" t="str">
        <f t="shared" si="0"/>
        <v>Nej</v>
      </c>
      <c r="G39" s="91">
        <f>IFERROR(VLOOKUP(A39,MATCHER!$A$5:$M$504,2,FALSE()),"")</f>
        <v>46306</v>
      </c>
      <c r="H39" s="92">
        <f>IFERROR(VLOOKUP(A39,MATCHER!$A$5:$M$504,3,FALSE()),"")</f>
        <v>0.625</v>
      </c>
      <c r="I39" s="34" t="str">
        <f>IFERROR(VLOOKUP(A39,MATCHER!$A$5:$M$504,4,FALSE()),"")</f>
        <v>Solnahallen</v>
      </c>
      <c r="J39" s="34" t="str">
        <f>IF(F39&lt;&gt;"Ja","Ej aktuell",IF(COUNTIF(MATCHER!$A$5:$A$504,A39)=0,"BORTTAGEN MATCH",IF(AND(B39=G39,C39=H39,D39=I39),"Oförändrad",IF(AND(B39=G39,D39=I39),"ÄNDRAD TID","FLYTTAD MATCH"))))</f>
        <v>Ej aktuell</v>
      </c>
      <c r="K39" s="34" t="str">
        <f>IF(MATCHER!A31="","",MATCHER!A31)</f>
        <v>26 -1 1121 014</v>
      </c>
      <c r="L39" s="91">
        <f>IF(MATCHER!B31="","",MATCHER!B31)</f>
        <v>46306</v>
      </c>
      <c r="M39" s="92">
        <f>IF(MATCHER!C31="","",MATCHER!C31)</f>
        <v>0.625</v>
      </c>
      <c r="N39" s="34" t="str">
        <f>IF(MATCHER!D31="","",MATCHER!D31)</f>
        <v>Solnahallen</v>
      </c>
      <c r="O39" s="34" t="str">
        <f>IF(MATCHER!E31="","",MATCHER!E31)</f>
        <v>Damer - Damallsvenskan</v>
      </c>
      <c r="P39" s="34" t="str">
        <f>IF(MATCHER!F31="","",MATCHER!F31)</f>
        <v>Dam</v>
      </c>
      <c r="Q39" s="34" t="str">
        <f>IF(MATCHER!K31="","",MATCHER!K31)</f>
        <v>Nej</v>
      </c>
      <c r="R39" s="34" t="str">
        <f>IF(K39="","",IF(Q39&lt;&gt;"Ja","Ej aktuell",IF(P39="SAKNAS","NY KLASS",IF(MATCHER!N31&lt;&gt;"Ja",MATCHER!N31,IF(COUNTIF($A$13:$A$220,K39)=0,"NY MATCH","Matchdag finns")))))</f>
        <v>Ej aktuell</v>
      </c>
    </row>
    <row r="40" spans="1:18" ht="13">
      <c r="A40" s="31" t="s">
        <v>244</v>
      </c>
      <c r="B40" s="89">
        <v>46312</v>
      </c>
      <c r="C40" s="90">
        <v>0.48958333333333298</v>
      </c>
      <c r="D40" s="31" t="s">
        <v>94</v>
      </c>
      <c r="E40" s="31" t="s">
        <v>223</v>
      </c>
      <c r="F40" s="31" t="str">
        <f t="shared" si="0"/>
        <v>Ja</v>
      </c>
      <c r="G40" s="91">
        <f>IFERROR(VLOOKUP(A40,MATCHER!$A$5:$M$504,2,FALSE()),"")</f>
        <v>46312</v>
      </c>
      <c r="H40" s="92">
        <f>IFERROR(VLOOKUP(A40,MATCHER!$A$5:$M$504,3,FALSE()),"")</f>
        <v>0.48958333333333331</v>
      </c>
      <c r="I40" s="34" t="str">
        <f>IFERROR(VLOOKUP(A40,MATCHER!$A$5:$M$504,4,FALSE()),"")</f>
        <v>Råsta Park</v>
      </c>
      <c r="J40" s="34" t="str">
        <f>IF(F40&lt;&gt;"Ja","Ej aktuell",IF(COUNTIF(MATCHER!$A$5:$A$504,A40)=0,"BORTTAGEN MATCH",IF(AND(B40=G40,C40=H40,D40=I40),"Oförändrad",IF(AND(B40=G40,D40=I40),"ÄNDRAD TID","FLYTTAD MATCH"))))</f>
        <v>Oförändrad</v>
      </c>
      <c r="K40" s="34" t="str">
        <f>IF(MATCHER!A32="","",MATCHER!A32)</f>
        <v>26 6 1524 012</v>
      </c>
      <c r="L40" s="91">
        <f>IF(MATCHER!B32="","",MATCHER!B32)</f>
        <v>46312</v>
      </c>
      <c r="M40" s="92">
        <f>IF(MATCHER!C32="","",MATCHER!C32)</f>
        <v>0.48958333333333331</v>
      </c>
      <c r="N40" s="34" t="str">
        <f>IF(MATCHER!D32="","",MATCHER!D32)</f>
        <v>Råsta Park</v>
      </c>
      <c r="O40" s="34" t="str">
        <f>IF(MATCHER!E32="","",MATCHER!E32)</f>
        <v>Pojkar - P16 Öst - P16 Nivå 3 Öst</v>
      </c>
      <c r="P40" s="34" t="str">
        <f>IF(MATCHER!F32="","",MATCHER!F32)</f>
        <v>P16</v>
      </c>
      <c r="Q40" s="34" t="str">
        <f>IF(MATCHER!K32="","",MATCHER!K32)</f>
        <v>Ja</v>
      </c>
      <c r="R40" s="34" t="str">
        <f>IF(K40="","",IF(Q40&lt;&gt;"Ja","Ej aktuell",IF(P40="SAKNAS","NY KLASS",IF(MATCHER!N32&lt;&gt;"Ja",MATCHER!N32,IF(COUNTIF($A$13:$A$220,K40)=0,"NY MATCH","Matchdag finns")))))</f>
        <v>Matchdag finns</v>
      </c>
    </row>
    <row r="41" spans="1:18" ht="13">
      <c r="A41" s="31" t="s">
        <v>245</v>
      </c>
      <c r="B41" s="89">
        <v>46312</v>
      </c>
      <c r="C41" s="90">
        <v>0.5625</v>
      </c>
      <c r="D41" s="31" t="s">
        <v>94</v>
      </c>
      <c r="E41" s="31" t="s">
        <v>246</v>
      </c>
      <c r="F41" s="31" t="str">
        <f t="shared" si="0"/>
        <v>Ja</v>
      </c>
      <c r="G41" s="91">
        <f>IFERROR(VLOOKUP(A41,MATCHER!$A$5:$M$504,2,FALSE()),"")</f>
        <v>46312</v>
      </c>
      <c r="H41" s="92">
        <f>IFERROR(VLOOKUP(A41,MATCHER!$A$5:$M$504,3,FALSE()),"")</f>
        <v>0.5625</v>
      </c>
      <c r="I41" s="34" t="str">
        <f>IFERROR(VLOOKUP(A41,MATCHER!$A$5:$M$504,4,FALSE()),"")</f>
        <v>Råsta Park</v>
      </c>
      <c r="J41" s="34" t="str">
        <f>IF(F41&lt;&gt;"Ja","Ej aktuell",IF(COUNTIF(MATCHER!$A$5:$A$504,A41)=0,"BORTTAGEN MATCH",IF(AND(B41=G41,C41=H41,D41=I41),"Oförändrad",IF(AND(B41=G41,D41=I41),"ÄNDRAD TID","FLYTTAD MATCH"))))</f>
        <v>Oförändrad</v>
      </c>
      <c r="K41" s="34" t="str">
        <f>IF(MATCHER!A33="","",MATCHER!A33)</f>
        <v>26 6 1141 016</v>
      </c>
      <c r="L41" s="91">
        <f>IF(MATCHER!B33="","",MATCHER!B33)</f>
        <v>46312</v>
      </c>
      <c r="M41" s="92">
        <f>IF(MATCHER!C33="","",MATCHER!C33)</f>
        <v>0.5625</v>
      </c>
      <c r="N41" s="34" t="str">
        <f>IF(MATCHER!D33="","",MATCHER!D33)</f>
        <v>Råsta Park</v>
      </c>
      <c r="O41" s="34" t="str">
        <f>IF(MATCHER!E33="","",MATCHER!E33)</f>
        <v>Damer - Dam 4 Öst - Dam 4 Öst Norra</v>
      </c>
      <c r="P41" s="34" t="str">
        <f>IF(MATCHER!F33="","",MATCHER!F33)</f>
        <v>Dam</v>
      </c>
      <c r="Q41" s="34" t="str">
        <f>IF(MATCHER!K33="","",MATCHER!K33)</f>
        <v>Ja</v>
      </c>
      <c r="R41" s="34" t="str">
        <f>IF(K41="","",IF(Q41&lt;&gt;"Ja","Ej aktuell",IF(P41="SAKNAS","NY KLASS",IF(MATCHER!N33&lt;&gt;"Ja",MATCHER!N33,IF(COUNTIF($A$13:$A$220,K41)=0,"NY MATCH","Matchdag finns")))))</f>
        <v>Matchdag finns</v>
      </c>
    </row>
    <row r="42" spans="1:18" ht="13">
      <c r="A42" s="31" t="s">
        <v>247</v>
      </c>
      <c r="B42" s="89">
        <v>46312</v>
      </c>
      <c r="C42" s="90">
        <v>0.375</v>
      </c>
      <c r="D42" s="31" t="s">
        <v>110</v>
      </c>
      <c r="E42" s="31" t="s">
        <v>248</v>
      </c>
      <c r="F42" s="31" t="str">
        <f t="shared" si="0"/>
        <v>Ja</v>
      </c>
      <c r="G42" s="91">
        <f>IFERROR(VLOOKUP(A42,MATCHER!$A$5:$M$504,2,FALSE()),"")</f>
        <v>46312</v>
      </c>
      <c r="H42" s="92">
        <f>IFERROR(VLOOKUP(A42,MATCHER!$A$5:$M$504,3,FALSE()),"")</f>
        <v>0.375</v>
      </c>
      <c r="I42" s="34" t="str">
        <f>IFERROR(VLOOKUP(A42,MATCHER!$A$5:$M$504,4,FALSE()),"")</f>
        <v>Tallbackaskolan</v>
      </c>
      <c r="J42" s="34" t="str">
        <f>IF(F42&lt;&gt;"Ja","Ej aktuell",IF(COUNTIF(MATCHER!$A$5:$A$504,A42)=0,"BORTTAGEN MATCH",IF(AND(B42=G42,C42=H42,D42=I42),"Oförändrad",IF(AND(B42=G42,D42=I42),"ÄNDRAD TID","FLYTTAD MATCH"))))</f>
        <v>Oförändrad</v>
      </c>
      <c r="K42" s="34" t="str">
        <f>IF(MATCHER!A34="","",MATCHER!A34)</f>
        <v>26 6 16101 13</v>
      </c>
      <c r="L42" s="91">
        <f>IF(MATCHER!B34="","",MATCHER!B34)</f>
        <v>46312</v>
      </c>
      <c r="M42" s="92">
        <f>IF(MATCHER!C34="","",MATCHER!C34)</f>
        <v>0.375</v>
      </c>
      <c r="N42" s="34" t="str">
        <f>IF(MATCHER!D34="","",MATCHER!D34)</f>
        <v>Tallbackaskolan</v>
      </c>
      <c r="O42" s="34" t="str">
        <f>IF(MATCHER!E34="","",MATCHER!E34)</f>
        <v>Höstens Spel - P10 Kortplan Öst - Omgång 1</v>
      </c>
      <c r="P42" s="34" t="str">
        <f>IF(MATCHER!F34="","",MATCHER!F34)</f>
        <v>P10</v>
      </c>
      <c r="Q42" s="34" t="str">
        <f>IF(MATCHER!K34="","",MATCHER!K34)</f>
        <v>Ja</v>
      </c>
      <c r="R42" s="34" t="str">
        <f>IF(K42="","",IF(Q42&lt;&gt;"Ja","Ej aktuell",IF(P42="SAKNAS","NY KLASS",IF(MATCHER!N34&lt;&gt;"Ja",MATCHER!N34,IF(COUNTIF($A$13:$A$220,K42)=0,"NY MATCH","Matchdag finns")))))</f>
        <v>Matchdag finns</v>
      </c>
    </row>
    <row r="43" spans="1:18" ht="13">
      <c r="A43" s="31" t="s">
        <v>249</v>
      </c>
      <c r="B43" s="89">
        <v>46312</v>
      </c>
      <c r="C43" s="90">
        <v>0.40625</v>
      </c>
      <c r="D43" s="31" t="s">
        <v>110</v>
      </c>
      <c r="E43" s="31" t="s">
        <v>248</v>
      </c>
      <c r="F43" s="31" t="str">
        <f t="shared" si="0"/>
        <v>Ja</v>
      </c>
      <c r="G43" s="91">
        <f>IFERROR(VLOOKUP(A43,MATCHER!$A$5:$M$504,2,FALSE()),"")</f>
        <v>46312</v>
      </c>
      <c r="H43" s="92">
        <f>IFERROR(VLOOKUP(A43,MATCHER!$A$5:$M$504,3,FALSE()),"")</f>
        <v>0.40625</v>
      </c>
      <c r="I43" s="34" t="str">
        <f>IFERROR(VLOOKUP(A43,MATCHER!$A$5:$M$504,4,FALSE()),"")</f>
        <v>Tallbackaskolan</v>
      </c>
      <c r="J43" s="34" t="str">
        <f>IF(F43&lt;&gt;"Ja","Ej aktuell",IF(COUNTIF(MATCHER!$A$5:$A$504,A43)=0,"BORTTAGEN MATCH",IF(AND(B43=G43,C43=H43,D43=I43),"Oförändrad",IF(AND(B43=G43,D43=I43),"ÄNDRAD TID","FLYTTAD MATCH"))))</f>
        <v>Oförändrad</v>
      </c>
      <c r="K43" s="34" t="str">
        <f>IF(MATCHER!A35="","",MATCHER!A35)</f>
        <v>26 6 16101 14</v>
      </c>
      <c r="L43" s="91">
        <f>IF(MATCHER!B35="","",MATCHER!B35)</f>
        <v>46312</v>
      </c>
      <c r="M43" s="92">
        <f>IF(MATCHER!C35="","",MATCHER!C35)</f>
        <v>0.40625</v>
      </c>
      <c r="N43" s="34" t="str">
        <f>IF(MATCHER!D35="","",MATCHER!D35)</f>
        <v>Tallbackaskolan</v>
      </c>
      <c r="O43" s="34" t="str">
        <f>IF(MATCHER!E35="","",MATCHER!E35)</f>
        <v>Höstens Spel - P10 Kortplan Öst - Omgång 1</v>
      </c>
      <c r="P43" s="34" t="str">
        <f>IF(MATCHER!F35="","",MATCHER!F35)</f>
        <v>P10</v>
      </c>
      <c r="Q43" s="34" t="str">
        <f>IF(MATCHER!K35="","",MATCHER!K35)</f>
        <v>Ja</v>
      </c>
      <c r="R43" s="34" t="str">
        <f>IF(K43="","",IF(Q43&lt;&gt;"Ja","Ej aktuell",IF(P43="SAKNAS","NY KLASS",IF(MATCHER!N35&lt;&gt;"Ja",MATCHER!N35,IF(COUNTIF($A$13:$A$220,K43)=0,"NY MATCH","Matchdag finns")))))</f>
        <v>Matchdag finns</v>
      </c>
    </row>
    <row r="44" spans="1:18" ht="13">
      <c r="A44" s="31" t="s">
        <v>250</v>
      </c>
      <c r="B44" s="89">
        <v>46312</v>
      </c>
      <c r="C44" s="90">
        <v>0.4375</v>
      </c>
      <c r="D44" s="31" t="s">
        <v>110</v>
      </c>
      <c r="E44" s="31" t="s">
        <v>248</v>
      </c>
      <c r="F44" s="31" t="str">
        <f t="shared" si="0"/>
        <v>Ja</v>
      </c>
      <c r="G44" s="91">
        <f>IFERROR(VLOOKUP(A44,MATCHER!$A$5:$M$504,2,FALSE()),"")</f>
        <v>46312</v>
      </c>
      <c r="H44" s="92">
        <f>IFERROR(VLOOKUP(A44,MATCHER!$A$5:$M$504,3,FALSE()),"")</f>
        <v>0.4375</v>
      </c>
      <c r="I44" s="34" t="str">
        <f>IFERROR(VLOOKUP(A44,MATCHER!$A$5:$M$504,4,FALSE()),"")</f>
        <v>Tallbackaskolan</v>
      </c>
      <c r="J44" s="34" t="str">
        <f>IF(F44&lt;&gt;"Ja","Ej aktuell",IF(COUNTIF(MATCHER!$A$5:$A$504,A44)=0,"BORTTAGEN MATCH",IF(AND(B44=G44,C44=H44,D44=I44),"Oförändrad",IF(AND(B44=G44,D44=I44),"ÄNDRAD TID","FLYTTAD MATCH"))))</f>
        <v>Oförändrad</v>
      </c>
      <c r="K44" s="34" t="str">
        <f>IF(MATCHER!A36="","",MATCHER!A36)</f>
        <v>26 6 16101 15</v>
      </c>
      <c r="L44" s="91">
        <f>IF(MATCHER!B36="","",MATCHER!B36)</f>
        <v>46312</v>
      </c>
      <c r="M44" s="92">
        <f>IF(MATCHER!C36="","",MATCHER!C36)</f>
        <v>0.4375</v>
      </c>
      <c r="N44" s="34" t="str">
        <f>IF(MATCHER!D36="","",MATCHER!D36)</f>
        <v>Tallbackaskolan</v>
      </c>
      <c r="O44" s="34" t="str">
        <f>IF(MATCHER!E36="","",MATCHER!E36)</f>
        <v>Höstens Spel - P10 Kortplan Öst - Omgång 1</v>
      </c>
      <c r="P44" s="34" t="str">
        <f>IF(MATCHER!F36="","",MATCHER!F36)</f>
        <v>P10</v>
      </c>
      <c r="Q44" s="34" t="str">
        <f>IF(MATCHER!K36="","",MATCHER!K36)</f>
        <v>Ja</v>
      </c>
      <c r="R44" s="34" t="str">
        <f>IF(K44="","",IF(Q44&lt;&gt;"Ja","Ej aktuell",IF(P44="SAKNAS","NY KLASS",IF(MATCHER!N36&lt;&gt;"Ja",MATCHER!N36,IF(COUNTIF($A$13:$A$220,K44)=0,"NY MATCH","Matchdag finns")))))</f>
        <v>Matchdag finns</v>
      </c>
    </row>
    <row r="45" spans="1:18" ht="13">
      <c r="A45" s="31" t="s">
        <v>251</v>
      </c>
      <c r="B45" s="89">
        <v>46312</v>
      </c>
      <c r="C45" s="90">
        <v>0.46875</v>
      </c>
      <c r="D45" s="31" t="s">
        <v>110</v>
      </c>
      <c r="E45" s="31" t="s">
        <v>248</v>
      </c>
      <c r="F45" s="31" t="str">
        <f t="shared" si="0"/>
        <v>Ja</v>
      </c>
      <c r="G45" s="91">
        <f>IFERROR(VLOOKUP(A45,MATCHER!$A$5:$M$504,2,FALSE()),"")</f>
        <v>46312</v>
      </c>
      <c r="H45" s="92">
        <f>IFERROR(VLOOKUP(A45,MATCHER!$A$5:$M$504,3,FALSE()),"")</f>
        <v>0.46875</v>
      </c>
      <c r="I45" s="34" t="str">
        <f>IFERROR(VLOOKUP(A45,MATCHER!$A$5:$M$504,4,FALSE()),"")</f>
        <v>Tallbackaskolan</v>
      </c>
      <c r="J45" s="34" t="str">
        <f>IF(F45&lt;&gt;"Ja","Ej aktuell",IF(COUNTIF(MATCHER!$A$5:$A$504,A45)=0,"BORTTAGEN MATCH",IF(AND(B45=G45,C45=H45,D45=I45),"Oförändrad",IF(AND(B45=G45,D45=I45),"ÄNDRAD TID","FLYTTAD MATCH"))))</f>
        <v>Oförändrad</v>
      </c>
      <c r="K45" s="34" t="str">
        <f>IF(MATCHER!A37="","",MATCHER!A37)</f>
        <v>26 6 16101 16</v>
      </c>
      <c r="L45" s="91">
        <f>IF(MATCHER!B37="","",MATCHER!B37)</f>
        <v>46312</v>
      </c>
      <c r="M45" s="92">
        <f>IF(MATCHER!C37="","",MATCHER!C37)</f>
        <v>0.46875</v>
      </c>
      <c r="N45" s="34" t="str">
        <f>IF(MATCHER!D37="","",MATCHER!D37)</f>
        <v>Tallbackaskolan</v>
      </c>
      <c r="O45" s="34" t="str">
        <f>IF(MATCHER!E37="","",MATCHER!E37)</f>
        <v>Höstens Spel - P10 Kortplan Öst - Omgång 1</v>
      </c>
      <c r="P45" s="34" t="str">
        <f>IF(MATCHER!F37="","",MATCHER!F37)</f>
        <v>P10</v>
      </c>
      <c r="Q45" s="34" t="str">
        <f>IF(MATCHER!K37="","",MATCHER!K37)</f>
        <v>Ja</v>
      </c>
      <c r="R45" s="34" t="str">
        <f>IF(K45="","",IF(Q45&lt;&gt;"Ja","Ej aktuell",IF(P45="SAKNAS","NY KLASS",IF(MATCHER!N37&lt;&gt;"Ja",MATCHER!N37,IF(COUNTIF($A$13:$A$220,K45)=0,"NY MATCH","Matchdag finns")))))</f>
        <v>Matchdag finns</v>
      </c>
    </row>
    <row r="46" spans="1:18" ht="13">
      <c r="A46" s="31" t="s">
        <v>252</v>
      </c>
      <c r="B46" s="89">
        <v>46312</v>
      </c>
      <c r="C46" s="90">
        <v>0.5</v>
      </c>
      <c r="D46" s="31" t="s">
        <v>110</v>
      </c>
      <c r="E46" s="31" t="s">
        <v>248</v>
      </c>
      <c r="F46" s="31" t="str">
        <f t="shared" si="0"/>
        <v>Ja</v>
      </c>
      <c r="G46" s="91">
        <f>IFERROR(VLOOKUP(A46,MATCHER!$A$5:$M$504,2,FALSE()),"")</f>
        <v>46312</v>
      </c>
      <c r="H46" s="92">
        <f>IFERROR(VLOOKUP(A46,MATCHER!$A$5:$M$504,3,FALSE()),"")</f>
        <v>0.5</v>
      </c>
      <c r="I46" s="34" t="str">
        <f>IFERROR(VLOOKUP(A46,MATCHER!$A$5:$M$504,4,FALSE()),"")</f>
        <v>Tallbackaskolan</v>
      </c>
      <c r="J46" s="34" t="str">
        <f>IF(F46&lt;&gt;"Ja","Ej aktuell",IF(COUNTIF(MATCHER!$A$5:$A$504,A46)=0,"BORTTAGEN MATCH",IF(AND(B46=G46,C46=H46,D46=I46),"Oförändrad",IF(AND(B46=G46,D46=I46),"ÄNDRAD TID","FLYTTAD MATCH"))))</f>
        <v>Oförändrad</v>
      </c>
      <c r="K46" s="34" t="str">
        <f>IF(MATCHER!A38="","",MATCHER!A38)</f>
        <v>26 6 16101 17</v>
      </c>
      <c r="L46" s="91">
        <f>IF(MATCHER!B38="","",MATCHER!B38)</f>
        <v>46312</v>
      </c>
      <c r="M46" s="92">
        <f>IF(MATCHER!C38="","",MATCHER!C38)</f>
        <v>0.5</v>
      </c>
      <c r="N46" s="34" t="str">
        <f>IF(MATCHER!D38="","",MATCHER!D38)</f>
        <v>Tallbackaskolan</v>
      </c>
      <c r="O46" s="34" t="str">
        <f>IF(MATCHER!E38="","",MATCHER!E38)</f>
        <v>Höstens Spel - P10 Kortplan Öst - Omgång 1</v>
      </c>
      <c r="P46" s="34" t="str">
        <f>IF(MATCHER!F38="","",MATCHER!F38)</f>
        <v>P10</v>
      </c>
      <c r="Q46" s="34" t="str">
        <f>IF(MATCHER!K38="","",MATCHER!K38)</f>
        <v>Ja</v>
      </c>
      <c r="R46" s="34" t="str">
        <f>IF(K46="","",IF(Q46&lt;&gt;"Ja","Ej aktuell",IF(P46="SAKNAS","NY KLASS",IF(MATCHER!N38&lt;&gt;"Ja",MATCHER!N38,IF(COUNTIF($A$13:$A$220,K46)=0,"NY MATCH","Matchdag finns")))))</f>
        <v>Matchdag finns</v>
      </c>
    </row>
    <row r="47" spans="1:18" ht="13">
      <c r="A47" s="31" t="s">
        <v>253</v>
      </c>
      <c r="B47" s="89">
        <v>46312</v>
      </c>
      <c r="C47" s="90">
        <v>0.375</v>
      </c>
      <c r="D47" s="31" t="s">
        <v>86</v>
      </c>
      <c r="E47" s="31" t="s">
        <v>254</v>
      </c>
      <c r="F47" s="31" t="str">
        <f t="shared" si="0"/>
        <v>Ja</v>
      </c>
      <c r="G47" s="91">
        <f>IFERROR(VLOOKUP(A47,MATCHER!$A$5:$M$504,2,FALSE()),"")</f>
        <v>46312</v>
      </c>
      <c r="H47" s="92">
        <f>IFERROR(VLOOKUP(A47,MATCHER!$A$5:$M$504,3,FALSE()),"")</f>
        <v>0.375</v>
      </c>
      <c r="I47" s="34" t="str">
        <f>IFERROR(VLOOKUP(A47,MATCHER!$A$5:$M$504,4,FALSE()),"")</f>
        <v>Ulriksdalshallen</v>
      </c>
      <c r="J47" s="34" t="str">
        <f>IF(F47&lt;&gt;"Ja","Ej aktuell",IF(COUNTIF(MATCHER!$A$5:$A$504,A47)=0,"BORTTAGEN MATCH",IF(AND(B47=G47,C47=H47,D47=I47),"Oförändrad",IF(AND(B47=G47,D47=I47),"ÄNDRAD TID","FLYTTAD MATCH"))))</f>
        <v>Oförändrad</v>
      </c>
      <c r="K47" s="34" t="str">
        <f>IF(MATCHER!A39="","",MATCHER!A39)</f>
        <v>26 6 6415 002</v>
      </c>
      <c r="L47" s="91">
        <f>IF(MATCHER!B39="","",MATCHER!B39)</f>
        <v>46312</v>
      </c>
      <c r="M47" s="92">
        <f>IF(MATCHER!C39="","",MATCHER!C39)</f>
        <v>0.375</v>
      </c>
      <c r="N47" s="34" t="str">
        <f>IF(MATCHER!D39="","",MATCHER!D39)</f>
        <v>Ulriksdalshallen</v>
      </c>
      <c r="O47" s="34" t="str">
        <f>IF(MATCHER!E39="","",MATCHER!E39)</f>
        <v>Östbollen - F12 Öst - Omgång 1</v>
      </c>
      <c r="P47" s="34" t="str">
        <f>IF(MATCHER!F39="","",MATCHER!F39)</f>
        <v>F12</v>
      </c>
      <c r="Q47" s="34" t="str">
        <f>IF(MATCHER!K39="","",MATCHER!K39)</f>
        <v>Ja</v>
      </c>
      <c r="R47" s="34" t="str">
        <f>IF(K47="","",IF(Q47&lt;&gt;"Ja","Ej aktuell",IF(P47="SAKNAS","NY KLASS",IF(MATCHER!N39&lt;&gt;"Ja",MATCHER!N39,IF(COUNTIF($A$13:$A$220,K47)=0,"NY MATCH","Matchdag finns")))))</f>
        <v>Matchdag finns</v>
      </c>
    </row>
    <row r="48" spans="1:18" ht="13">
      <c r="A48" s="31" t="s">
        <v>255</v>
      </c>
      <c r="B48" s="89">
        <v>46312</v>
      </c>
      <c r="C48" s="90">
        <v>0.40625</v>
      </c>
      <c r="D48" s="31" t="s">
        <v>86</v>
      </c>
      <c r="E48" s="31" t="s">
        <v>254</v>
      </c>
      <c r="F48" s="31" t="str">
        <f t="shared" si="0"/>
        <v>Ja</v>
      </c>
      <c r="G48" s="91">
        <f>IFERROR(VLOOKUP(A48,MATCHER!$A$5:$M$504,2,FALSE()),"")</f>
        <v>46312</v>
      </c>
      <c r="H48" s="92">
        <f>IFERROR(VLOOKUP(A48,MATCHER!$A$5:$M$504,3,FALSE()),"")</f>
        <v>0.40625</v>
      </c>
      <c r="I48" s="34" t="str">
        <f>IFERROR(VLOOKUP(A48,MATCHER!$A$5:$M$504,4,FALSE()),"")</f>
        <v>Ulriksdalshallen</v>
      </c>
      <c r="J48" s="34" t="str">
        <f>IF(F48&lt;&gt;"Ja","Ej aktuell",IF(COUNTIF(MATCHER!$A$5:$A$504,A48)=0,"BORTTAGEN MATCH",IF(AND(B48=G48,C48=H48,D48=I48),"Oförändrad",IF(AND(B48=G48,D48=I48),"ÄNDRAD TID","FLYTTAD MATCH"))))</f>
        <v>Oförändrad</v>
      </c>
      <c r="K48" s="34" t="str">
        <f>IF(MATCHER!A40="","",MATCHER!A40)</f>
        <v>26 6 6415 001</v>
      </c>
      <c r="L48" s="91">
        <f>IF(MATCHER!B40="","",MATCHER!B40)</f>
        <v>46312</v>
      </c>
      <c r="M48" s="92">
        <f>IF(MATCHER!C40="","",MATCHER!C40)</f>
        <v>0.40625</v>
      </c>
      <c r="N48" s="34" t="str">
        <f>IF(MATCHER!D40="","",MATCHER!D40)</f>
        <v>Ulriksdalshallen</v>
      </c>
      <c r="O48" s="34" t="str">
        <f>IF(MATCHER!E40="","",MATCHER!E40)</f>
        <v>Östbollen - F12 Öst - Omgång 1</v>
      </c>
      <c r="P48" s="34" t="str">
        <f>IF(MATCHER!F40="","",MATCHER!F40)</f>
        <v>F12</v>
      </c>
      <c r="Q48" s="34" t="str">
        <f>IF(MATCHER!K40="","",MATCHER!K40)</f>
        <v>Ja</v>
      </c>
      <c r="R48" s="34" t="str">
        <f>IF(K48="","",IF(Q48&lt;&gt;"Ja","Ej aktuell",IF(P48="SAKNAS","NY KLASS",IF(MATCHER!N40&lt;&gt;"Ja",MATCHER!N40,IF(COUNTIF($A$13:$A$220,K48)=0,"NY MATCH","Matchdag finns")))))</f>
        <v>Matchdag finns</v>
      </c>
    </row>
    <row r="49" spans="1:18" ht="13">
      <c r="A49" s="31" t="s">
        <v>256</v>
      </c>
      <c r="B49" s="89">
        <v>46312</v>
      </c>
      <c r="C49" s="90">
        <v>0.45833333333333298</v>
      </c>
      <c r="D49" s="31" t="s">
        <v>86</v>
      </c>
      <c r="E49" s="31" t="s">
        <v>254</v>
      </c>
      <c r="F49" s="31" t="str">
        <f t="shared" si="0"/>
        <v>Ja</v>
      </c>
      <c r="G49" s="91">
        <f>IFERROR(VLOOKUP(A49,MATCHER!$A$5:$M$504,2,FALSE()),"")</f>
        <v>46312</v>
      </c>
      <c r="H49" s="92">
        <f>IFERROR(VLOOKUP(A49,MATCHER!$A$5:$M$504,3,FALSE()),"")</f>
        <v>0.45833333333333331</v>
      </c>
      <c r="I49" s="34" t="str">
        <f>IFERROR(VLOOKUP(A49,MATCHER!$A$5:$M$504,4,FALSE()),"")</f>
        <v>Ulriksdalshallen</v>
      </c>
      <c r="J49" s="34" t="str">
        <f>IF(F49&lt;&gt;"Ja","Ej aktuell",IF(COUNTIF(MATCHER!$A$5:$A$504,A49)=0,"BORTTAGEN MATCH",IF(AND(B49=G49,C49=H49,D49=I49),"Oförändrad",IF(AND(B49=G49,D49=I49),"ÄNDRAD TID","FLYTTAD MATCH"))))</f>
        <v>Oförändrad</v>
      </c>
      <c r="K49" s="34" t="str">
        <f>IF(MATCHER!A41="","",MATCHER!A41)</f>
        <v>26 6 6415 003</v>
      </c>
      <c r="L49" s="91">
        <f>IF(MATCHER!B41="","",MATCHER!B41)</f>
        <v>46312</v>
      </c>
      <c r="M49" s="92">
        <f>IF(MATCHER!C41="","",MATCHER!C41)</f>
        <v>0.45833333333333331</v>
      </c>
      <c r="N49" s="34" t="str">
        <f>IF(MATCHER!D41="","",MATCHER!D41)</f>
        <v>Ulriksdalshallen</v>
      </c>
      <c r="O49" s="34" t="str">
        <f>IF(MATCHER!E41="","",MATCHER!E41)</f>
        <v>Östbollen - F12 Öst - Omgång 1</v>
      </c>
      <c r="P49" s="34" t="str">
        <f>IF(MATCHER!F41="","",MATCHER!F41)</f>
        <v>F12</v>
      </c>
      <c r="Q49" s="34" t="str">
        <f>IF(MATCHER!K41="","",MATCHER!K41)</f>
        <v>Ja</v>
      </c>
      <c r="R49" s="34" t="str">
        <f>IF(K49="","",IF(Q49&lt;&gt;"Ja","Ej aktuell",IF(P49="SAKNAS","NY KLASS",IF(MATCHER!N41&lt;&gt;"Ja",MATCHER!N41,IF(COUNTIF($A$13:$A$220,K49)=0,"NY MATCH","Matchdag finns")))))</f>
        <v>Matchdag finns</v>
      </c>
    </row>
    <row r="50" spans="1:18" ht="13">
      <c r="A50" s="31" t="s">
        <v>257</v>
      </c>
      <c r="B50" s="89">
        <v>46312</v>
      </c>
      <c r="C50" s="90">
        <v>0.48958333333333298</v>
      </c>
      <c r="D50" s="31" t="s">
        <v>86</v>
      </c>
      <c r="E50" s="31" t="s">
        <v>254</v>
      </c>
      <c r="F50" s="31" t="str">
        <f t="shared" si="0"/>
        <v>Ja</v>
      </c>
      <c r="G50" s="91">
        <f>IFERROR(VLOOKUP(A50,MATCHER!$A$5:$M$504,2,FALSE()),"")</f>
        <v>46312</v>
      </c>
      <c r="H50" s="92">
        <f>IFERROR(VLOOKUP(A50,MATCHER!$A$5:$M$504,3,FALSE()),"")</f>
        <v>0.48958333333333331</v>
      </c>
      <c r="I50" s="34" t="str">
        <f>IFERROR(VLOOKUP(A50,MATCHER!$A$5:$M$504,4,FALSE()),"")</f>
        <v>Ulriksdalshallen</v>
      </c>
      <c r="J50" s="34" t="str">
        <f>IF(F50&lt;&gt;"Ja","Ej aktuell",IF(COUNTIF(MATCHER!$A$5:$A$504,A50)=0,"BORTTAGEN MATCH",IF(AND(B50=G50,C50=H50,D50=I50),"Oförändrad",IF(AND(B50=G50,D50=I50),"ÄNDRAD TID","FLYTTAD MATCH"))))</f>
        <v>Oförändrad</v>
      </c>
      <c r="K50" s="34" t="str">
        <f>IF(MATCHER!A42="","",MATCHER!A42)</f>
        <v>26 6 6415 004</v>
      </c>
      <c r="L50" s="91">
        <f>IF(MATCHER!B42="","",MATCHER!B42)</f>
        <v>46312</v>
      </c>
      <c r="M50" s="92">
        <f>IF(MATCHER!C42="","",MATCHER!C42)</f>
        <v>0.48958333333333331</v>
      </c>
      <c r="N50" s="34" t="str">
        <f>IF(MATCHER!D42="","",MATCHER!D42)</f>
        <v>Ulriksdalshallen</v>
      </c>
      <c r="O50" s="34" t="str">
        <f>IF(MATCHER!E42="","",MATCHER!E42)</f>
        <v>Östbollen - F12 Öst - Omgång 1</v>
      </c>
      <c r="P50" s="34" t="str">
        <f>IF(MATCHER!F42="","",MATCHER!F42)</f>
        <v>F12</v>
      </c>
      <c r="Q50" s="34" t="str">
        <f>IF(MATCHER!K42="","",MATCHER!K42)</f>
        <v>Ja</v>
      </c>
      <c r="R50" s="34" t="str">
        <f>IF(K50="","",IF(Q50&lt;&gt;"Ja","Ej aktuell",IF(P50="SAKNAS","NY KLASS",IF(MATCHER!N42&lt;&gt;"Ja",MATCHER!N42,IF(COUNTIF($A$13:$A$220,K50)=0,"NY MATCH","Matchdag finns")))))</f>
        <v>Matchdag finns</v>
      </c>
    </row>
    <row r="51" spans="1:18" ht="13">
      <c r="A51" s="31" t="s">
        <v>258</v>
      </c>
      <c r="B51" s="89">
        <v>46312</v>
      </c>
      <c r="C51" s="90">
        <v>0.54166666666666696</v>
      </c>
      <c r="D51" s="31" t="s">
        <v>86</v>
      </c>
      <c r="E51" s="31" t="s">
        <v>254</v>
      </c>
      <c r="F51" s="31" t="str">
        <f t="shared" si="0"/>
        <v>Ja</v>
      </c>
      <c r="G51" s="91">
        <f>IFERROR(VLOOKUP(A51,MATCHER!$A$5:$M$504,2,FALSE()),"")</f>
        <v>46312</v>
      </c>
      <c r="H51" s="92">
        <f>IFERROR(VLOOKUP(A51,MATCHER!$A$5:$M$504,3,FALSE()),"")</f>
        <v>0.54166666666666663</v>
      </c>
      <c r="I51" s="34" t="str">
        <f>IFERROR(VLOOKUP(A51,MATCHER!$A$5:$M$504,4,FALSE()),"")</f>
        <v>Ulriksdalshallen</v>
      </c>
      <c r="J51" s="34" t="str">
        <f>IF(F51&lt;&gt;"Ja","Ej aktuell",IF(COUNTIF(MATCHER!$A$5:$A$504,A51)=0,"BORTTAGEN MATCH",IF(AND(B51=G51,C51=H51,D51=I51),"Oförändrad",IF(AND(B51=G51,D51=I51),"ÄNDRAD TID","FLYTTAD MATCH"))))</f>
        <v>Oförändrad</v>
      </c>
      <c r="K51" s="34" t="str">
        <f>IF(MATCHER!A43="","",MATCHER!A43)</f>
        <v>26 6 6415 005</v>
      </c>
      <c r="L51" s="91">
        <f>IF(MATCHER!B43="","",MATCHER!B43)</f>
        <v>46312</v>
      </c>
      <c r="M51" s="92">
        <f>IF(MATCHER!C43="","",MATCHER!C43)</f>
        <v>0.54166666666666663</v>
      </c>
      <c r="N51" s="34" t="str">
        <f>IF(MATCHER!D43="","",MATCHER!D43)</f>
        <v>Ulriksdalshallen</v>
      </c>
      <c r="O51" s="34" t="str">
        <f>IF(MATCHER!E43="","",MATCHER!E43)</f>
        <v>Östbollen - F12 Öst - Omgång 1</v>
      </c>
      <c r="P51" s="34" t="str">
        <f>IF(MATCHER!F43="","",MATCHER!F43)</f>
        <v>F12</v>
      </c>
      <c r="Q51" s="34" t="str">
        <f>IF(MATCHER!K43="","",MATCHER!K43)</f>
        <v>Ja</v>
      </c>
      <c r="R51" s="34" t="str">
        <f>IF(K51="","",IF(Q51&lt;&gt;"Ja","Ej aktuell",IF(P51="SAKNAS","NY KLASS",IF(MATCHER!N43&lt;&gt;"Ja",MATCHER!N43,IF(COUNTIF($A$13:$A$220,K51)=0,"NY MATCH","Matchdag finns")))))</f>
        <v>Matchdag finns</v>
      </c>
    </row>
    <row r="52" spans="1:18" ht="13">
      <c r="A52" s="31" t="s">
        <v>259</v>
      </c>
      <c r="B52" s="89">
        <v>46312</v>
      </c>
      <c r="C52" s="90">
        <v>0.57291666666666696</v>
      </c>
      <c r="D52" s="31" t="s">
        <v>86</v>
      </c>
      <c r="E52" s="31" t="s">
        <v>254</v>
      </c>
      <c r="F52" s="31" t="str">
        <f t="shared" si="0"/>
        <v>Ja</v>
      </c>
      <c r="G52" s="91">
        <f>IFERROR(VLOOKUP(A52,MATCHER!$A$5:$M$504,2,FALSE()),"")</f>
        <v>46312</v>
      </c>
      <c r="H52" s="92">
        <f>IFERROR(VLOOKUP(A52,MATCHER!$A$5:$M$504,3,FALSE()),"")</f>
        <v>0.57291666666666663</v>
      </c>
      <c r="I52" s="34" t="str">
        <f>IFERROR(VLOOKUP(A52,MATCHER!$A$5:$M$504,4,FALSE()),"")</f>
        <v>Ulriksdalshallen</v>
      </c>
      <c r="J52" s="34" t="str">
        <f>IF(F52&lt;&gt;"Ja","Ej aktuell",IF(COUNTIF(MATCHER!$A$5:$A$504,A52)=0,"BORTTAGEN MATCH",IF(AND(B52=G52,C52=H52,D52=I52),"Oförändrad",IF(AND(B52=G52,D52=I52),"ÄNDRAD TID","FLYTTAD MATCH"))))</f>
        <v>Oförändrad</v>
      </c>
      <c r="K52" s="34" t="str">
        <f>IF(MATCHER!A44="","",MATCHER!A44)</f>
        <v>26 6 6415 006</v>
      </c>
      <c r="L52" s="91">
        <f>IF(MATCHER!B44="","",MATCHER!B44)</f>
        <v>46312</v>
      </c>
      <c r="M52" s="92">
        <f>IF(MATCHER!C44="","",MATCHER!C44)</f>
        <v>0.57291666666666663</v>
      </c>
      <c r="N52" s="34" t="str">
        <f>IF(MATCHER!D44="","",MATCHER!D44)</f>
        <v>Ulriksdalshallen</v>
      </c>
      <c r="O52" s="34" t="str">
        <f>IF(MATCHER!E44="","",MATCHER!E44)</f>
        <v>Östbollen - F12 Öst - Omgång 1</v>
      </c>
      <c r="P52" s="34" t="str">
        <f>IF(MATCHER!F44="","",MATCHER!F44)</f>
        <v>F12</v>
      </c>
      <c r="Q52" s="34" t="str">
        <f>IF(MATCHER!K44="","",MATCHER!K44)</f>
        <v>Ja</v>
      </c>
      <c r="R52" s="34" t="str">
        <f>IF(K52="","",IF(Q52&lt;&gt;"Ja","Ej aktuell",IF(P52="SAKNAS","NY KLASS",IF(MATCHER!N44&lt;&gt;"Ja",MATCHER!N44,IF(COUNTIF($A$13:$A$220,K52)=0,"NY MATCH","Matchdag finns")))))</f>
        <v>Matchdag finns</v>
      </c>
    </row>
    <row r="53" spans="1:18" ht="13">
      <c r="A53" s="31" t="s">
        <v>260</v>
      </c>
      <c r="B53" s="89">
        <v>46312</v>
      </c>
      <c r="C53" s="90">
        <v>0.61458333333333304</v>
      </c>
      <c r="D53" s="31" t="s">
        <v>86</v>
      </c>
      <c r="E53" s="31" t="s">
        <v>221</v>
      </c>
      <c r="F53" s="31" t="str">
        <f t="shared" si="0"/>
        <v>Ja</v>
      </c>
      <c r="G53" s="91">
        <f>IFERROR(VLOOKUP(A53,MATCHER!$A$5:$M$504,2,FALSE()),"")</f>
        <v>46312</v>
      </c>
      <c r="H53" s="92">
        <f>IFERROR(VLOOKUP(A53,MATCHER!$A$5:$M$504,3,FALSE()),"")</f>
        <v>0.61458333333333337</v>
      </c>
      <c r="I53" s="34" t="str">
        <f>IFERROR(VLOOKUP(A53,MATCHER!$A$5:$M$504,4,FALSE()),"")</f>
        <v>Ulriksdalshallen</v>
      </c>
      <c r="J53" s="34" t="str">
        <f>IF(F53&lt;&gt;"Ja","Ej aktuell",IF(COUNTIF(MATCHER!$A$5:$A$504,A53)=0,"BORTTAGEN MATCH",IF(AND(B53=G53,C53=H53,D53=I53),"Oförändrad",IF(AND(B53=G53,D53=I53),"ÄNDRAD TID","FLYTTAD MATCH"))))</f>
        <v>Oförändrad</v>
      </c>
      <c r="K53" s="34" t="str">
        <f>IF(MATCHER!A45="","",MATCHER!A45)</f>
        <v>26 6 1352 015</v>
      </c>
      <c r="L53" s="91">
        <f>IF(MATCHER!B45="","",MATCHER!B45)</f>
        <v>46312</v>
      </c>
      <c r="M53" s="92">
        <f>IF(MATCHER!C45="","",MATCHER!C45)</f>
        <v>0.61458333333333337</v>
      </c>
      <c r="N53" s="34" t="str">
        <f>IF(MATCHER!D45="","",MATCHER!D45)</f>
        <v>Ulriksdalshallen</v>
      </c>
      <c r="O53" s="34" t="str">
        <f>IF(MATCHER!E45="","",MATCHER!E45)</f>
        <v>Flickor - F13 Öst - F13 Nivå 2 Öst Norra</v>
      </c>
      <c r="P53" s="34" t="str">
        <f>IF(MATCHER!F45="","",MATCHER!F45)</f>
        <v>F13</v>
      </c>
      <c r="Q53" s="34" t="str">
        <f>IF(MATCHER!K45="","",MATCHER!K45)</f>
        <v>Ja</v>
      </c>
      <c r="R53" s="34" t="str">
        <f>IF(K53="","",IF(Q53&lt;&gt;"Ja","Ej aktuell",IF(P53="SAKNAS","NY KLASS",IF(MATCHER!N45&lt;&gt;"Ja",MATCHER!N45,IF(COUNTIF($A$13:$A$220,K53)=0,"NY MATCH","Matchdag finns")))))</f>
        <v>Matchdag finns</v>
      </c>
    </row>
    <row r="54" spans="1:18" ht="13">
      <c r="A54" s="31" t="s">
        <v>261</v>
      </c>
      <c r="B54" s="89">
        <v>46312</v>
      </c>
      <c r="C54" s="90">
        <v>0.66666666666666696</v>
      </c>
      <c r="D54" s="31" t="s">
        <v>86</v>
      </c>
      <c r="E54" s="31" t="s">
        <v>219</v>
      </c>
      <c r="F54" s="31" t="str">
        <f t="shared" si="0"/>
        <v>Ja</v>
      </c>
      <c r="G54" s="91">
        <f>IFERROR(VLOOKUP(A54,MATCHER!$A$5:$M$504,2,FALSE()),"")</f>
        <v>46312</v>
      </c>
      <c r="H54" s="92">
        <f>IFERROR(VLOOKUP(A54,MATCHER!$A$5:$M$504,3,FALSE()),"")</f>
        <v>0.66666666666666663</v>
      </c>
      <c r="I54" s="34" t="str">
        <f>IFERROR(VLOOKUP(A54,MATCHER!$A$5:$M$504,4,FALSE()),"")</f>
        <v>Ulriksdalshallen</v>
      </c>
      <c r="J54" s="34" t="str">
        <f>IF(F54&lt;&gt;"Ja","Ej aktuell",IF(COUNTIF(MATCHER!$A$5:$A$504,A54)=0,"BORTTAGEN MATCH",IF(AND(B54=G54,C54=H54,D54=I54),"Oförändrad",IF(AND(B54=G54,D54=I54),"ÄNDRAD TID","FLYTTAD MATCH"))))</f>
        <v>Oförändrad</v>
      </c>
      <c r="K54" s="34" t="str">
        <f>IF(MATCHER!A46="","",MATCHER!A46)</f>
        <v>26 6 1351 012</v>
      </c>
      <c r="L54" s="91">
        <f>IF(MATCHER!B46="","",MATCHER!B46)</f>
        <v>46312</v>
      </c>
      <c r="M54" s="92">
        <f>IF(MATCHER!C46="","",MATCHER!C46)</f>
        <v>0.66666666666666663</v>
      </c>
      <c r="N54" s="34" t="str">
        <f>IF(MATCHER!D46="","",MATCHER!D46)</f>
        <v>Ulriksdalshallen</v>
      </c>
      <c r="O54" s="34" t="str">
        <f>IF(MATCHER!E46="","",MATCHER!E46)</f>
        <v>Flickor - F13 Öst - F13 Nivå 1 Öst</v>
      </c>
      <c r="P54" s="34" t="str">
        <f>IF(MATCHER!F46="","",MATCHER!F46)</f>
        <v>F13</v>
      </c>
      <c r="Q54" s="34" t="str">
        <f>IF(MATCHER!K46="","",MATCHER!K46)</f>
        <v>Ja</v>
      </c>
      <c r="R54" s="34" t="str">
        <f>IF(K54="","",IF(Q54&lt;&gt;"Ja","Ej aktuell",IF(P54="SAKNAS","NY KLASS",IF(MATCHER!N46&lt;&gt;"Ja",MATCHER!N46,IF(COUNTIF($A$13:$A$220,K54)=0,"NY MATCH","Matchdag finns")))))</f>
        <v>Matchdag finns</v>
      </c>
    </row>
    <row r="55" spans="1:18" ht="13">
      <c r="A55" s="31" t="s">
        <v>262</v>
      </c>
      <c r="B55" s="89">
        <v>46315</v>
      </c>
      <c r="C55" s="90">
        <v>0.875</v>
      </c>
      <c r="D55" s="31" t="s">
        <v>110</v>
      </c>
      <c r="E55" s="31" t="s">
        <v>263</v>
      </c>
      <c r="F55" s="31" t="str">
        <f t="shared" si="0"/>
        <v>Ja</v>
      </c>
      <c r="G55" s="91">
        <f>IFERROR(VLOOKUP(A55,MATCHER!$A$5:$M$504,2,FALSE()),"")</f>
        <v>46315</v>
      </c>
      <c r="H55" s="92">
        <f>IFERROR(VLOOKUP(A55,MATCHER!$A$5:$M$504,3,FALSE()),"")</f>
        <v>0.875</v>
      </c>
      <c r="I55" s="34" t="str">
        <f>IFERROR(VLOOKUP(A55,MATCHER!$A$5:$M$504,4,FALSE()),"")</f>
        <v>Tallbackaskolan</v>
      </c>
      <c r="J55" s="34" t="str">
        <f>IF(F55&lt;&gt;"Ja","Ej aktuell",IF(COUNTIF(MATCHER!$A$5:$A$504,A55)=0,"BORTTAGEN MATCH",IF(AND(B55=G55,C55=H55,D55=I55),"Oförändrad",IF(AND(B55=G55,D55=I55),"ÄNDRAD TID","FLYTTAD MATCH"))))</f>
        <v>Oförändrad</v>
      </c>
      <c r="K55" s="34" t="str">
        <f>IF(MATCHER!A47="","",MATCHER!A47)</f>
        <v>26 6 1151 004</v>
      </c>
      <c r="L55" s="91">
        <f>IF(MATCHER!B47="","",MATCHER!B47)</f>
        <v>46315</v>
      </c>
      <c r="M55" s="92">
        <f>IF(MATCHER!C47="","",MATCHER!C47)</f>
        <v>0.875</v>
      </c>
      <c r="N55" s="34" t="str">
        <f>IF(MATCHER!D47="","",MATCHER!D47)</f>
        <v>Tallbackaskolan</v>
      </c>
      <c r="O55" s="34" t="str">
        <f>IF(MATCHER!E47="","",MATCHER!E47)</f>
        <v>Damer - Dam trim Öst</v>
      </c>
      <c r="P55" s="34" t="str">
        <f>IF(MATCHER!F47="","",MATCHER!F47)</f>
        <v>Dam</v>
      </c>
      <c r="Q55" s="34" t="str">
        <f>IF(MATCHER!K47="","",MATCHER!K47)</f>
        <v>Ja</v>
      </c>
      <c r="R55" s="34" t="str">
        <f>IF(K55="","",IF(Q55&lt;&gt;"Ja","Ej aktuell",IF(P55="SAKNAS","NY KLASS",IF(MATCHER!N47&lt;&gt;"Ja",MATCHER!N47,IF(COUNTIF($A$13:$A$220,K55)=0,"NY MATCH","Matchdag finns")))))</f>
        <v>Matchdag finns</v>
      </c>
    </row>
    <row r="56" spans="1:18" ht="13">
      <c r="A56" s="31" t="s">
        <v>264</v>
      </c>
      <c r="B56" s="89">
        <v>46319</v>
      </c>
      <c r="C56" s="90">
        <v>0.5625</v>
      </c>
      <c r="D56" s="31" t="s">
        <v>94</v>
      </c>
      <c r="E56" s="31" t="s">
        <v>234</v>
      </c>
      <c r="F56" s="31" t="str">
        <f t="shared" si="0"/>
        <v>Ja</v>
      </c>
      <c r="G56" s="91">
        <f>IFERROR(VLOOKUP(A56,MATCHER!$A$5:$M$504,2,FALSE()),"")</f>
        <v>46319</v>
      </c>
      <c r="H56" s="92">
        <f>IFERROR(VLOOKUP(A56,MATCHER!$A$5:$M$504,3,FALSE()),"")</f>
        <v>0.5625</v>
      </c>
      <c r="I56" s="34" t="str">
        <f>IFERROR(VLOOKUP(A56,MATCHER!$A$5:$M$504,4,FALSE()),"")</f>
        <v>Råsta Park</v>
      </c>
      <c r="J56" s="34" t="str">
        <f>IF(F56&lt;&gt;"Ja","Ej aktuell",IF(COUNTIF(MATCHER!$A$5:$A$504,A56)=0,"BORTTAGEN MATCH",IF(AND(B56=G56,C56=H56,D56=I56),"Oförändrad",IF(AND(B56=G56,D56=I56),"ÄNDRAD TID","FLYTTAD MATCH"))))</f>
        <v>Oförändrad</v>
      </c>
      <c r="K56" s="34" t="str">
        <f>IF(MATCHER!A48="","",MATCHER!A48)</f>
        <v>26 6 1221 026</v>
      </c>
      <c r="L56" s="91">
        <f>IF(MATCHER!B48="","",MATCHER!B48)</f>
        <v>46319</v>
      </c>
      <c r="M56" s="92">
        <f>IF(MATCHER!C48="","",MATCHER!C48)</f>
        <v>0.5625</v>
      </c>
      <c r="N56" s="34" t="str">
        <f>IF(MATCHER!D48="","",MATCHER!D48)</f>
        <v>Råsta Park</v>
      </c>
      <c r="O56" s="34" t="str">
        <f>IF(MATCHER!E48="","",MATCHER!E48)</f>
        <v>Herrar - Herr 2 Öst</v>
      </c>
      <c r="P56" s="34" t="str">
        <f>IF(MATCHER!F48="","",MATCHER!F48)</f>
        <v>Herr</v>
      </c>
      <c r="Q56" s="34" t="str">
        <f>IF(MATCHER!K48="","",MATCHER!K48)</f>
        <v>Ja</v>
      </c>
      <c r="R56" s="34" t="str">
        <f>IF(K56="","",IF(Q56&lt;&gt;"Ja","Ej aktuell",IF(P56="SAKNAS","NY KLASS",IF(MATCHER!N48&lt;&gt;"Ja",MATCHER!N48,IF(COUNTIF($A$13:$A$220,K56)=0,"NY MATCH","Matchdag finns")))))</f>
        <v>Matchdag finns</v>
      </c>
    </row>
    <row r="57" spans="1:18" ht="13">
      <c r="A57" s="31" t="s">
        <v>265</v>
      </c>
      <c r="B57" s="89">
        <v>46323</v>
      </c>
      <c r="C57" s="90">
        <v>0.79166666666666696</v>
      </c>
      <c r="D57" s="31" t="s">
        <v>212</v>
      </c>
      <c r="E57" s="31" t="s">
        <v>231</v>
      </c>
      <c r="F57" s="31" t="str">
        <f t="shared" si="0"/>
        <v>Nej</v>
      </c>
      <c r="G57" s="91">
        <f>IFERROR(VLOOKUP(A57,MATCHER!$A$5:$M$504,2,FALSE()),"")</f>
        <v>46323</v>
      </c>
      <c r="H57" s="92">
        <f>IFERROR(VLOOKUP(A57,MATCHER!$A$5:$M$504,3,FALSE()),"")</f>
        <v>0.79166666666666663</v>
      </c>
      <c r="I57" s="34" t="str">
        <f>IFERROR(VLOOKUP(A57,MATCHER!$A$5:$M$504,4,FALSE()),"")</f>
        <v>Solnahallen</v>
      </c>
      <c r="J57" s="34" t="str">
        <f>IF(F57&lt;&gt;"Ja","Ej aktuell",IF(COUNTIF(MATCHER!$A$5:$A$504,A57)=0,"BORTTAGEN MATCH",IF(AND(B57=G57,C57=H57,D57=I57),"Oförändrad",IF(AND(B57=G57,D57=I57),"ÄNDRAD TID","FLYTTAD MATCH"))))</f>
        <v>Ej aktuell</v>
      </c>
      <c r="K57" s="34" t="str">
        <f>IF(MATCHER!A49="","",MATCHER!A49)</f>
        <v>26 -1 1121 028</v>
      </c>
      <c r="L57" s="91">
        <f>IF(MATCHER!B49="","",MATCHER!B49)</f>
        <v>46323</v>
      </c>
      <c r="M57" s="92">
        <f>IF(MATCHER!C49="","",MATCHER!C49)</f>
        <v>0.79166666666666663</v>
      </c>
      <c r="N57" s="34" t="str">
        <f>IF(MATCHER!D49="","",MATCHER!D49)</f>
        <v>Solnahallen</v>
      </c>
      <c r="O57" s="34" t="str">
        <f>IF(MATCHER!E49="","",MATCHER!E49)</f>
        <v>Damer - Damallsvenskan</v>
      </c>
      <c r="P57" s="34" t="str">
        <f>IF(MATCHER!F49="","",MATCHER!F49)</f>
        <v>Dam</v>
      </c>
      <c r="Q57" s="34" t="str">
        <f>IF(MATCHER!K49="","",MATCHER!K49)</f>
        <v>Nej</v>
      </c>
      <c r="R57" s="34" t="str">
        <f>IF(K57="","",IF(Q57&lt;&gt;"Ja","Ej aktuell",IF(P57="SAKNAS","NY KLASS",IF(MATCHER!N49&lt;&gt;"Ja",MATCHER!N49,IF(COUNTIF($A$13:$A$220,K57)=0,"NY MATCH","Matchdag finns")))))</f>
        <v>Ej aktuell</v>
      </c>
    </row>
    <row r="58" spans="1:18" ht="13">
      <c r="A58" s="31" t="s">
        <v>266</v>
      </c>
      <c r="B58" s="89">
        <v>46329</v>
      </c>
      <c r="C58" s="90">
        <v>0.86458333333333304</v>
      </c>
      <c r="D58" s="31" t="s">
        <v>94</v>
      </c>
      <c r="E58" s="31" t="s">
        <v>213</v>
      </c>
      <c r="F58" s="31" t="str">
        <f t="shared" si="0"/>
        <v>Ja</v>
      </c>
      <c r="G58" s="91">
        <f>IFERROR(VLOOKUP(A58,MATCHER!$A$5:$M$504,2,FALSE()),"")</f>
        <v>46329</v>
      </c>
      <c r="H58" s="92">
        <f>IFERROR(VLOOKUP(A58,MATCHER!$A$5:$M$504,3,FALSE()),"")</f>
        <v>0.86458333333333337</v>
      </c>
      <c r="I58" s="34" t="str">
        <f>IFERROR(VLOOKUP(A58,MATCHER!$A$5:$M$504,4,FALSE()),"")</f>
        <v>Råsta Park</v>
      </c>
      <c r="J58" s="34" t="str">
        <f>IF(F58&lt;&gt;"Ja","Ej aktuell",IF(COUNTIF(MATCHER!$A$5:$A$504,A58)=0,"BORTTAGEN MATCH",IF(AND(B58=G58,C58=H58,D58=I58),"Oförändrad",IF(AND(B58=G58,D58=I58),"ÄNDRAD TID","FLYTTAD MATCH"))))</f>
        <v>Oförändrad</v>
      </c>
      <c r="K58" s="34" t="str">
        <f>IF(MATCHER!A50="","",MATCHER!A50)</f>
        <v>26 6 1311 030</v>
      </c>
      <c r="L58" s="91">
        <f>IF(MATCHER!B50="","",MATCHER!B50)</f>
        <v>46329</v>
      </c>
      <c r="M58" s="92">
        <f>IF(MATCHER!C50="","",MATCHER!C50)</f>
        <v>0.86458333333333337</v>
      </c>
      <c r="N58" s="34" t="str">
        <f>IF(MATCHER!D50="","",MATCHER!D50)</f>
        <v>Råsta Park</v>
      </c>
      <c r="O58" s="34" t="str">
        <f>IF(MATCHER!E50="","",MATCHER!E50)</f>
        <v>Flickor - F19 Öst - F19 Nivå 1 Öst</v>
      </c>
      <c r="P58" s="34" t="str">
        <f>IF(MATCHER!F50="","",MATCHER!F50)</f>
        <v>F19</v>
      </c>
      <c r="Q58" s="34" t="str">
        <f>IF(MATCHER!K50="","",MATCHER!K50)</f>
        <v>Ja</v>
      </c>
      <c r="R58" s="34" t="str">
        <f>IF(K58="","",IF(Q58&lt;&gt;"Ja","Ej aktuell",IF(P58="SAKNAS","NY KLASS",IF(MATCHER!N50&lt;&gt;"Ja",MATCHER!N50,IF(COUNTIF($A$13:$A$220,K58)=0,"NY MATCH","Matchdag finns")))))</f>
        <v>Matchdag finns</v>
      </c>
    </row>
    <row r="59" spans="1:18" ht="13">
      <c r="A59" s="31" t="s">
        <v>267</v>
      </c>
      <c r="B59" s="89">
        <v>46333</v>
      </c>
      <c r="C59" s="90">
        <v>0.375</v>
      </c>
      <c r="D59" s="31" t="s">
        <v>110</v>
      </c>
      <c r="E59" s="31" t="s">
        <v>268</v>
      </c>
      <c r="F59" s="31" t="str">
        <f t="shared" si="0"/>
        <v>Ja</v>
      </c>
      <c r="G59" s="91">
        <f>IFERROR(VLOOKUP(A59,MATCHER!$A$5:$M$504,2,FALSE()),"")</f>
        <v>46333</v>
      </c>
      <c r="H59" s="92">
        <f>IFERROR(VLOOKUP(A59,MATCHER!$A$5:$M$504,3,FALSE()),"")</f>
        <v>0.375</v>
      </c>
      <c r="I59" s="34" t="str">
        <f>IFERROR(VLOOKUP(A59,MATCHER!$A$5:$M$504,4,FALSE()),"")</f>
        <v>Tallbackaskolan</v>
      </c>
      <c r="J59" s="34" t="str">
        <f>IF(F59&lt;&gt;"Ja","Ej aktuell",IF(COUNTIF(MATCHER!$A$5:$A$504,A59)=0,"BORTTAGEN MATCH",IF(AND(B59=G59,C59=H59,D59=I59),"Oförändrad",IF(AND(B59=G59,D59=I59),"ÄNDRAD TID","FLYTTAD MATCH"))))</f>
        <v>Oförändrad</v>
      </c>
      <c r="K59" s="34" t="str">
        <f>IF(MATCHER!A51="","",MATCHER!A51)</f>
        <v>26 6 1562 021</v>
      </c>
      <c r="L59" s="91">
        <f>IF(MATCHER!B51="","",MATCHER!B51)</f>
        <v>46333</v>
      </c>
      <c r="M59" s="92">
        <f>IF(MATCHER!C51="","",MATCHER!C51)</f>
        <v>0.375</v>
      </c>
      <c r="N59" s="34" t="str">
        <f>IF(MATCHER!D51="","",MATCHER!D51)</f>
        <v>Tallbackaskolan</v>
      </c>
      <c r="O59" s="34" t="str">
        <f>IF(MATCHER!E51="","",MATCHER!E51)</f>
        <v>Pojkar - P12 Öst - P12 Nivå 2 Öst Norra</v>
      </c>
      <c r="P59" s="34" t="str">
        <f>IF(MATCHER!F51="","",MATCHER!F51)</f>
        <v>P12</v>
      </c>
      <c r="Q59" s="34" t="str">
        <f>IF(MATCHER!K51="","",MATCHER!K51)</f>
        <v>Ja</v>
      </c>
      <c r="R59" s="34" t="str">
        <f>IF(K59="","",IF(Q59&lt;&gt;"Ja","Ej aktuell",IF(P59="SAKNAS","NY KLASS",IF(MATCHER!N51&lt;&gt;"Ja",MATCHER!N51,IF(COUNTIF($A$13:$A$220,K59)=0,"NY MATCH","Matchdag finns")))))</f>
        <v>Matchdag finns</v>
      </c>
    </row>
    <row r="60" spans="1:18" ht="13">
      <c r="A60" s="31" t="s">
        <v>269</v>
      </c>
      <c r="B60" s="89">
        <v>46333</v>
      </c>
      <c r="C60" s="90">
        <v>0.41666666666666702</v>
      </c>
      <c r="D60" s="31" t="s">
        <v>110</v>
      </c>
      <c r="E60" s="31" t="s">
        <v>268</v>
      </c>
      <c r="F60" s="31" t="str">
        <f t="shared" si="0"/>
        <v>Ja</v>
      </c>
      <c r="G60" s="91">
        <f>IFERROR(VLOOKUP(A60,MATCHER!$A$5:$M$504,2,FALSE()),"")</f>
        <v>46333</v>
      </c>
      <c r="H60" s="92">
        <f>IFERROR(VLOOKUP(A60,MATCHER!$A$5:$M$504,3,FALSE()),"")</f>
        <v>0.41666666666666669</v>
      </c>
      <c r="I60" s="34" t="str">
        <f>IFERROR(VLOOKUP(A60,MATCHER!$A$5:$M$504,4,FALSE()),"")</f>
        <v>Tallbackaskolan</v>
      </c>
      <c r="J60" s="34" t="str">
        <f>IF(F60&lt;&gt;"Ja","Ej aktuell",IF(COUNTIF(MATCHER!$A$5:$A$504,A60)=0,"BORTTAGEN MATCH",IF(AND(B60=G60,C60=H60,D60=I60),"Oförändrad",IF(AND(B60=G60,D60=I60),"ÄNDRAD TID","FLYTTAD MATCH"))))</f>
        <v>Oförändrad</v>
      </c>
      <c r="K60" s="34" t="str">
        <f>IF(MATCHER!A52="","",MATCHER!A52)</f>
        <v>26 6 1562 022</v>
      </c>
      <c r="L60" s="91">
        <f>IF(MATCHER!B52="","",MATCHER!B52)</f>
        <v>46333</v>
      </c>
      <c r="M60" s="92">
        <f>IF(MATCHER!C52="","",MATCHER!C52)</f>
        <v>0.41666666666666669</v>
      </c>
      <c r="N60" s="34" t="str">
        <f>IF(MATCHER!D52="","",MATCHER!D52)</f>
        <v>Tallbackaskolan</v>
      </c>
      <c r="O60" s="34" t="str">
        <f>IF(MATCHER!E52="","",MATCHER!E52)</f>
        <v>Pojkar - P12 Öst - P12 Nivå 2 Öst Norra</v>
      </c>
      <c r="P60" s="34" t="str">
        <f>IF(MATCHER!F52="","",MATCHER!F52)</f>
        <v>P12</v>
      </c>
      <c r="Q60" s="34" t="str">
        <f>IF(MATCHER!K52="","",MATCHER!K52)</f>
        <v>Ja</v>
      </c>
      <c r="R60" s="34" t="str">
        <f>IF(K60="","",IF(Q60&lt;&gt;"Ja","Ej aktuell",IF(P60="SAKNAS","NY KLASS",IF(MATCHER!N52&lt;&gt;"Ja",MATCHER!N52,IF(COUNTIF($A$13:$A$220,K60)=0,"NY MATCH","Matchdag finns")))))</f>
        <v>Matchdag finns</v>
      </c>
    </row>
    <row r="61" spans="1:18" ht="13">
      <c r="A61" s="31" t="s">
        <v>270</v>
      </c>
      <c r="B61" s="89">
        <v>46333</v>
      </c>
      <c r="C61" s="90">
        <v>0.46875</v>
      </c>
      <c r="D61" s="31" t="s">
        <v>110</v>
      </c>
      <c r="E61" s="31" t="s">
        <v>268</v>
      </c>
      <c r="F61" s="31" t="str">
        <f t="shared" si="0"/>
        <v>Ja</v>
      </c>
      <c r="G61" s="91">
        <f>IFERROR(VLOOKUP(A61,MATCHER!$A$5:$M$504,2,FALSE()),"")</f>
        <v>46333</v>
      </c>
      <c r="H61" s="92">
        <f>IFERROR(VLOOKUP(A61,MATCHER!$A$5:$M$504,3,FALSE()),"")</f>
        <v>0.46875</v>
      </c>
      <c r="I61" s="34" t="str">
        <f>IFERROR(VLOOKUP(A61,MATCHER!$A$5:$M$504,4,FALSE()),"")</f>
        <v>Tallbackaskolan</v>
      </c>
      <c r="J61" s="34" t="str">
        <f>IF(F61&lt;&gt;"Ja","Ej aktuell",IF(COUNTIF(MATCHER!$A$5:$A$504,A61)=0,"BORTTAGEN MATCH",IF(AND(B61=G61,C61=H61,D61=I61),"Oförändrad",IF(AND(B61=G61,D61=I61),"ÄNDRAD TID","FLYTTAD MATCH"))))</f>
        <v>Oförändrad</v>
      </c>
      <c r="K61" s="34" t="str">
        <f>IF(MATCHER!A53="","",MATCHER!A53)</f>
        <v>26 6 1562 023</v>
      </c>
      <c r="L61" s="91">
        <f>IF(MATCHER!B53="","",MATCHER!B53)</f>
        <v>46333</v>
      </c>
      <c r="M61" s="92">
        <f>IF(MATCHER!C53="","",MATCHER!C53)</f>
        <v>0.46875</v>
      </c>
      <c r="N61" s="34" t="str">
        <f>IF(MATCHER!D53="","",MATCHER!D53)</f>
        <v>Tallbackaskolan</v>
      </c>
      <c r="O61" s="34" t="str">
        <f>IF(MATCHER!E53="","",MATCHER!E53)</f>
        <v>Pojkar - P12 Öst - P12 Nivå 2 Öst Norra</v>
      </c>
      <c r="P61" s="34" t="str">
        <f>IF(MATCHER!F53="","",MATCHER!F53)</f>
        <v>P12</v>
      </c>
      <c r="Q61" s="34" t="str">
        <f>IF(MATCHER!K53="","",MATCHER!K53)</f>
        <v>Ja</v>
      </c>
      <c r="R61" s="34" t="str">
        <f>IF(K61="","",IF(Q61&lt;&gt;"Ja","Ej aktuell",IF(P61="SAKNAS","NY KLASS",IF(MATCHER!N53&lt;&gt;"Ja",MATCHER!N53,IF(COUNTIF($A$13:$A$220,K61)=0,"NY MATCH","Matchdag finns")))))</f>
        <v>Matchdag finns</v>
      </c>
    </row>
    <row r="62" spans="1:18" ht="13">
      <c r="A62" s="31" t="s">
        <v>271</v>
      </c>
      <c r="B62" s="89">
        <v>46333</v>
      </c>
      <c r="C62" s="90">
        <v>0.51041666666666696</v>
      </c>
      <c r="D62" s="31" t="s">
        <v>110</v>
      </c>
      <c r="E62" s="31" t="s">
        <v>268</v>
      </c>
      <c r="F62" s="31" t="str">
        <f t="shared" si="0"/>
        <v>Ja</v>
      </c>
      <c r="G62" s="91">
        <f>IFERROR(VLOOKUP(A62,MATCHER!$A$5:$M$504,2,FALSE()),"")</f>
        <v>46333</v>
      </c>
      <c r="H62" s="92">
        <f>IFERROR(VLOOKUP(A62,MATCHER!$A$5:$M$504,3,FALSE()),"")</f>
        <v>0.51041666666666663</v>
      </c>
      <c r="I62" s="34" t="str">
        <f>IFERROR(VLOOKUP(A62,MATCHER!$A$5:$M$504,4,FALSE()),"")</f>
        <v>Tallbackaskolan</v>
      </c>
      <c r="J62" s="34" t="str">
        <f>IF(F62&lt;&gt;"Ja","Ej aktuell",IF(COUNTIF(MATCHER!$A$5:$A$504,A62)=0,"BORTTAGEN MATCH",IF(AND(B62=G62,C62=H62,D62=I62),"Oförändrad",IF(AND(B62=G62,D62=I62),"ÄNDRAD TID","FLYTTAD MATCH"))))</f>
        <v>Oförändrad</v>
      </c>
      <c r="K62" s="34" t="str">
        <f>IF(MATCHER!A54="","",MATCHER!A54)</f>
        <v>26 6 1562 024</v>
      </c>
      <c r="L62" s="91">
        <f>IF(MATCHER!B54="","",MATCHER!B54)</f>
        <v>46333</v>
      </c>
      <c r="M62" s="92">
        <f>IF(MATCHER!C54="","",MATCHER!C54)</f>
        <v>0.51041666666666663</v>
      </c>
      <c r="N62" s="34" t="str">
        <f>IF(MATCHER!D54="","",MATCHER!D54)</f>
        <v>Tallbackaskolan</v>
      </c>
      <c r="O62" s="34" t="str">
        <f>IF(MATCHER!E54="","",MATCHER!E54)</f>
        <v>Pojkar - P12 Öst - P12 Nivå 2 Öst Norra</v>
      </c>
      <c r="P62" s="34" t="str">
        <f>IF(MATCHER!F54="","",MATCHER!F54)</f>
        <v>P12</v>
      </c>
      <c r="Q62" s="34" t="str">
        <f>IF(MATCHER!K54="","",MATCHER!K54)</f>
        <v>Ja</v>
      </c>
      <c r="R62" s="34" t="str">
        <f>IF(K62="","",IF(Q62&lt;&gt;"Ja","Ej aktuell",IF(P62="SAKNAS","NY KLASS",IF(MATCHER!N54&lt;&gt;"Ja",MATCHER!N54,IF(COUNTIF($A$13:$A$220,K62)=0,"NY MATCH","Matchdag finns")))))</f>
        <v>Matchdag finns</v>
      </c>
    </row>
    <row r="63" spans="1:18" ht="13">
      <c r="A63" s="31" t="s">
        <v>272</v>
      </c>
      <c r="B63" s="89">
        <v>46333</v>
      </c>
      <c r="C63" s="90">
        <v>0.375</v>
      </c>
      <c r="D63" s="31" t="s">
        <v>86</v>
      </c>
      <c r="E63" s="31" t="s">
        <v>273</v>
      </c>
      <c r="F63" s="31" t="str">
        <f t="shared" si="0"/>
        <v>Ja</v>
      </c>
      <c r="G63" s="91">
        <f>IFERROR(VLOOKUP(A63,MATCHER!$A$5:$M$504,2,FALSE()),"")</f>
        <v>46333</v>
      </c>
      <c r="H63" s="92">
        <f>IFERROR(VLOOKUP(A63,MATCHER!$A$5:$M$504,3,FALSE()),"")</f>
        <v>0.375</v>
      </c>
      <c r="I63" s="34" t="str">
        <f>IFERROR(VLOOKUP(A63,MATCHER!$A$5:$M$504,4,FALSE()),"")</f>
        <v>Ulriksdalshallen</v>
      </c>
      <c r="J63" s="34" t="str">
        <f>IF(F63&lt;&gt;"Ja","Ej aktuell",IF(COUNTIF(MATCHER!$A$5:$A$504,A63)=0,"BORTTAGEN MATCH",IF(AND(B63=G63,C63=H63,D63=I63),"Oförändrad",IF(AND(B63=G63,D63=I63),"ÄNDRAD TID","FLYTTAD MATCH"))))</f>
        <v>Oförändrad</v>
      </c>
      <c r="K63" s="34" t="str">
        <f>IF(MATCHER!A55="","",MATCHER!A55)</f>
        <v>26 6 18126 01</v>
      </c>
      <c r="L63" s="91">
        <f>IF(MATCHER!B55="","",MATCHER!B55)</f>
        <v>46333</v>
      </c>
      <c r="M63" s="92">
        <f>IF(MATCHER!C55="","",MATCHER!C55)</f>
        <v>0.375</v>
      </c>
      <c r="N63" s="34" t="str">
        <f>IF(MATCHER!D55="","",MATCHER!D55)</f>
        <v>Ulriksdalshallen</v>
      </c>
      <c r="O63" s="34" t="str">
        <f>IF(MATCHER!E55="","",MATCHER!E55)</f>
        <v>Handbollfestival - U8 höst Öst - Omgång 2</v>
      </c>
      <c r="P63" s="34" t="str">
        <f>IF(MATCHER!F55="","",MATCHER!F55)</f>
        <v>U8</v>
      </c>
      <c r="Q63" s="34" t="str">
        <f>IF(MATCHER!K55="","",MATCHER!K55)</f>
        <v>Ja</v>
      </c>
      <c r="R63" s="34" t="str">
        <f>IF(K63="","",IF(Q63&lt;&gt;"Ja","Ej aktuell",IF(P63="SAKNAS","NY KLASS",IF(MATCHER!N55&lt;&gt;"Ja",MATCHER!N55,IF(COUNTIF($A$13:$A$220,K63)=0,"NY MATCH","Matchdag finns")))))</f>
        <v>Matchdag finns</v>
      </c>
    </row>
    <row r="64" spans="1:18" ht="13">
      <c r="A64" s="31" t="s">
        <v>274</v>
      </c>
      <c r="B64" s="89">
        <v>46333</v>
      </c>
      <c r="C64" s="90">
        <v>0.375</v>
      </c>
      <c r="D64" s="31" t="s">
        <v>86</v>
      </c>
      <c r="E64" s="31" t="s">
        <v>273</v>
      </c>
      <c r="F64" s="31" t="str">
        <f t="shared" si="0"/>
        <v>Ja</v>
      </c>
      <c r="G64" s="91">
        <f>IFERROR(VLOOKUP(A64,MATCHER!$A$5:$M$504,2,FALSE()),"")</f>
        <v>46333</v>
      </c>
      <c r="H64" s="92">
        <f>IFERROR(VLOOKUP(A64,MATCHER!$A$5:$M$504,3,FALSE()),"")</f>
        <v>0.375</v>
      </c>
      <c r="I64" s="34" t="str">
        <f>IFERROR(VLOOKUP(A64,MATCHER!$A$5:$M$504,4,FALSE()),"")</f>
        <v>Ulriksdalshallen</v>
      </c>
      <c r="J64" s="34" t="str">
        <f>IF(F64&lt;&gt;"Ja","Ej aktuell",IF(COUNTIF(MATCHER!$A$5:$A$504,A64)=0,"BORTTAGEN MATCH",IF(AND(B64=G64,C64=H64,D64=I64),"Oförändrad",IF(AND(B64=G64,D64=I64),"ÄNDRAD TID","FLYTTAD MATCH"))))</f>
        <v>Oförändrad</v>
      </c>
      <c r="K64" s="34" t="str">
        <f>IF(MATCHER!A56="","",MATCHER!A56)</f>
        <v>26 6 18126 03</v>
      </c>
      <c r="L64" s="91">
        <f>IF(MATCHER!B56="","",MATCHER!B56)</f>
        <v>46333</v>
      </c>
      <c r="M64" s="92">
        <f>IF(MATCHER!C56="","",MATCHER!C56)</f>
        <v>0.375</v>
      </c>
      <c r="N64" s="34" t="str">
        <f>IF(MATCHER!D56="","",MATCHER!D56)</f>
        <v>Ulriksdalshallen</v>
      </c>
      <c r="O64" s="34" t="str">
        <f>IF(MATCHER!E56="","",MATCHER!E56)</f>
        <v>Handbollfestival - U8 höst Öst - Omgång 2</v>
      </c>
      <c r="P64" s="34" t="str">
        <f>IF(MATCHER!F56="","",MATCHER!F56)</f>
        <v>U8</v>
      </c>
      <c r="Q64" s="34" t="str">
        <f>IF(MATCHER!K56="","",MATCHER!K56)</f>
        <v>Ja</v>
      </c>
      <c r="R64" s="34" t="str">
        <f>IF(K64="","",IF(Q64&lt;&gt;"Ja","Ej aktuell",IF(P64="SAKNAS","NY KLASS",IF(MATCHER!N56&lt;&gt;"Ja",MATCHER!N56,IF(COUNTIF($A$13:$A$220,K64)=0,"NY MATCH","Matchdag finns")))))</f>
        <v>Matchdag finns</v>
      </c>
    </row>
    <row r="65" spans="1:18" ht="13">
      <c r="A65" s="31" t="s">
        <v>275</v>
      </c>
      <c r="B65" s="89">
        <v>46333</v>
      </c>
      <c r="C65" s="90">
        <v>0.375</v>
      </c>
      <c r="D65" s="31" t="s">
        <v>86</v>
      </c>
      <c r="E65" s="31" t="s">
        <v>273</v>
      </c>
      <c r="F65" s="31" t="str">
        <f t="shared" si="0"/>
        <v>Ja</v>
      </c>
      <c r="G65" s="91">
        <f>IFERROR(VLOOKUP(A65,MATCHER!$A$5:$M$504,2,FALSE()),"")</f>
        <v>46333</v>
      </c>
      <c r="H65" s="92">
        <f>IFERROR(VLOOKUP(A65,MATCHER!$A$5:$M$504,3,FALSE()),"")</f>
        <v>0.375</v>
      </c>
      <c r="I65" s="34" t="str">
        <f>IFERROR(VLOOKUP(A65,MATCHER!$A$5:$M$504,4,FALSE()),"")</f>
        <v>Ulriksdalshallen</v>
      </c>
      <c r="J65" s="34" t="str">
        <f>IF(F65&lt;&gt;"Ja","Ej aktuell",IF(COUNTIF(MATCHER!$A$5:$A$504,A65)=0,"BORTTAGEN MATCH",IF(AND(B65=G65,C65=H65,D65=I65),"Oförändrad",IF(AND(B65=G65,D65=I65),"ÄNDRAD TID","FLYTTAD MATCH"))))</f>
        <v>Oförändrad</v>
      </c>
      <c r="K65" s="34" t="str">
        <f>IF(MATCHER!A57="","",MATCHER!A57)</f>
        <v>26 6 18126 04</v>
      </c>
      <c r="L65" s="91">
        <f>IF(MATCHER!B57="","",MATCHER!B57)</f>
        <v>46333</v>
      </c>
      <c r="M65" s="92">
        <f>IF(MATCHER!C57="","",MATCHER!C57)</f>
        <v>0.375</v>
      </c>
      <c r="N65" s="34" t="str">
        <f>IF(MATCHER!D57="","",MATCHER!D57)</f>
        <v>Ulriksdalshallen</v>
      </c>
      <c r="O65" s="34" t="str">
        <f>IF(MATCHER!E57="","",MATCHER!E57)</f>
        <v>Handbollfestival - U8 höst Öst - Omgång 2</v>
      </c>
      <c r="P65" s="34" t="str">
        <f>IF(MATCHER!F57="","",MATCHER!F57)</f>
        <v>U8</v>
      </c>
      <c r="Q65" s="34" t="str">
        <f>IF(MATCHER!K57="","",MATCHER!K57)</f>
        <v>Ja</v>
      </c>
      <c r="R65" s="34" t="str">
        <f>IF(K65="","",IF(Q65&lt;&gt;"Ja","Ej aktuell",IF(P65="SAKNAS","NY KLASS",IF(MATCHER!N57&lt;&gt;"Ja",MATCHER!N57,IF(COUNTIF($A$13:$A$220,K65)=0,"NY MATCH","Matchdag finns")))))</f>
        <v>Matchdag finns</v>
      </c>
    </row>
    <row r="66" spans="1:18" ht="13">
      <c r="A66" s="31" t="s">
        <v>276</v>
      </c>
      <c r="B66" s="89">
        <v>46333</v>
      </c>
      <c r="C66" s="90">
        <v>0.52083333333333304</v>
      </c>
      <c r="D66" s="31" t="s">
        <v>86</v>
      </c>
      <c r="E66" s="31" t="s">
        <v>221</v>
      </c>
      <c r="F66" s="31" t="str">
        <f t="shared" si="0"/>
        <v>Ja</v>
      </c>
      <c r="G66" s="91">
        <f>IFERROR(VLOOKUP(A66,MATCHER!$A$5:$M$504,2,FALSE()),"")</f>
        <v>46333</v>
      </c>
      <c r="H66" s="92">
        <f>IFERROR(VLOOKUP(A66,MATCHER!$A$5:$M$504,3,FALSE()),"")</f>
        <v>0.52083333333333337</v>
      </c>
      <c r="I66" s="34" t="str">
        <f>IFERROR(VLOOKUP(A66,MATCHER!$A$5:$M$504,4,FALSE()),"")</f>
        <v>Ulriksdalshallen</v>
      </c>
      <c r="J66" s="34" t="str">
        <f>IF(F66&lt;&gt;"Ja","Ej aktuell",IF(COUNTIF(MATCHER!$A$5:$A$504,A66)=0,"BORTTAGEN MATCH",IF(AND(B66=G66,C66=H66,D66=I66),"Oförändrad",IF(AND(B66=G66,D66=I66),"ÄNDRAD TID","FLYTTAD MATCH"))))</f>
        <v>Oförändrad</v>
      </c>
      <c r="K66" s="34" t="str">
        <f>IF(MATCHER!A58="","",MATCHER!A58)</f>
        <v>26 6 1352 026</v>
      </c>
      <c r="L66" s="91">
        <f>IF(MATCHER!B58="","",MATCHER!B58)</f>
        <v>46333</v>
      </c>
      <c r="M66" s="92">
        <f>IF(MATCHER!C58="","",MATCHER!C58)</f>
        <v>0.52083333333333337</v>
      </c>
      <c r="N66" s="34" t="str">
        <f>IF(MATCHER!D58="","",MATCHER!D58)</f>
        <v>Ulriksdalshallen</v>
      </c>
      <c r="O66" s="34" t="str">
        <f>IF(MATCHER!E58="","",MATCHER!E58)</f>
        <v>Flickor - F13 Öst - F13 Nivå 2 Öst Norra</v>
      </c>
      <c r="P66" s="34" t="str">
        <f>IF(MATCHER!F58="","",MATCHER!F58)</f>
        <v>F13</v>
      </c>
      <c r="Q66" s="34" t="str">
        <f>IF(MATCHER!K58="","",MATCHER!K58)</f>
        <v>Ja</v>
      </c>
      <c r="R66" s="34" t="str">
        <f>IF(K66="","",IF(Q66&lt;&gt;"Ja","Ej aktuell",IF(P66="SAKNAS","NY KLASS",IF(MATCHER!N58&lt;&gt;"Ja",MATCHER!N58,IF(COUNTIF($A$13:$A$220,K66)=0,"NY MATCH","Matchdag finns")))))</f>
        <v>Matchdag finns</v>
      </c>
    </row>
    <row r="67" spans="1:18" ht="13">
      <c r="A67" s="31" t="s">
        <v>277</v>
      </c>
      <c r="B67" s="89">
        <v>46333</v>
      </c>
      <c r="C67" s="90">
        <v>0.57291666666666696</v>
      </c>
      <c r="D67" s="31" t="s">
        <v>86</v>
      </c>
      <c r="E67" s="31" t="s">
        <v>229</v>
      </c>
      <c r="F67" s="31" t="str">
        <f t="shared" si="0"/>
        <v>Ja</v>
      </c>
      <c r="G67" s="91">
        <f>IFERROR(VLOOKUP(A67,MATCHER!$A$5:$M$504,2,FALSE()),"")</f>
        <v>46333</v>
      </c>
      <c r="H67" s="92">
        <f>IFERROR(VLOOKUP(A67,MATCHER!$A$5:$M$504,3,FALSE()),"")</f>
        <v>0.57291666666666663</v>
      </c>
      <c r="I67" s="34" t="str">
        <f>IFERROR(VLOOKUP(A67,MATCHER!$A$5:$M$504,4,FALSE()),"")</f>
        <v>Ulriksdalshallen</v>
      </c>
      <c r="J67" s="34" t="str">
        <f>IF(F67&lt;&gt;"Ja","Ej aktuell",IF(COUNTIF(MATCHER!$A$5:$A$504,A67)=0,"BORTTAGEN MATCH",IF(AND(B67=G67,C67=H67,D67=I67),"Oförändrad",IF(AND(B67=G67,D67=I67),"ÄNDRAD TID","FLYTTAD MATCH"))))</f>
        <v>Oförändrad</v>
      </c>
      <c r="K67" s="34" t="str">
        <f>IF(MATCHER!A59="","",MATCHER!A59)</f>
        <v>26 6 1343 010</v>
      </c>
      <c r="L67" s="91">
        <f>IF(MATCHER!B59="","",MATCHER!B59)</f>
        <v>46333</v>
      </c>
      <c r="M67" s="92">
        <f>IF(MATCHER!C59="","",MATCHER!C59)</f>
        <v>0.57291666666666663</v>
      </c>
      <c r="N67" s="34" t="str">
        <f>IF(MATCHER!D59="","",MATCHER!D59)</f>
        <v>Ulriksdalshallen</v>
      </c>
      <c r="O67" s="34" t="str">
        <f>IF(MATCHER!E59="","",MATCHER!E59)</f>
        <v>Flickor - F14 Öst - F14 Nivå 2 Öst Norra</v>
      </c>
      <c r="P67" s="34" t="str">
        <f>IF(MATCHER!F59="","",MATCHER!F59)</f>
        <v>F14</v>
      </c>
      <c r="Q67" s="34" t="str">
        <f>IF(MATCHER!K59="","",MATCHER!K59)</f>
        <v>Ja</v>
      </c>
      <c r="R67" s="34" t="str">
        <f>IF(K67="","",IF(Q67&lt;&gt;"Ja","Ej aktuell",IF(P67="SAKNAS","NY KLASS",IF(MATCHER!N59&lt;&gt;"Ja",MATCHER!N59,IF(COUNTIF($A$13:$A$220,K67)=0,"NY MATCH","Matchdag finns")))))</f>
        <v>Matchdag finns</v>
      </c>
    </row>
    <row r="68" spans="1:18" ht="13">
      <c r="A68" s="31" t="s">
        <v>278</v>
      </c>
      <c r="B68" s="89">
        <v>46336</v>
      </c>
      <c r="C68" s="90">
        <v>0.875</v>
      </c>
      <c r="D68" s="31" t="s">
        <v>110</v>
      </c>
      <c r="E68" s="31" t="s">
        <v>263</v>
      </c>
      <c r="F68" s="31" t="str">
        <f t="shared" si="0"/>
        <v>Ja</v>
      </c>
      <c r="G68" s="91">
        <f>IFERROR(VLOOKUP(A68,MATCHER!$A$5:$M$504,2,FALSE()),"")</f>
        <v>46336</v>
      </c>
      <c r="H68" s="92">
        <f>IFERROR(VLOOKUP(A68,MATCHER!$A$5:$M$504,3,FALSE()),"")</f>
        <v>0.875</v>
      </c>
      <c r="I68" s="34" t="str">
        <f>IFERROR(VLOOKUP(A68,MATCHER!$A$5:$M$504,4,FALSE()),"")</f>
        <v>Tallbackaskolan</v>
      </c>
      <c r="J68" s="34" t="str">
        <f>IF(F68&lt;&gt;"Ja","Ej aktuell",IF(COUNTIF(MATCHER!$A$5:$A$504,A68)=0,"BORTTAGEN MATCH",IF(AND(B68=G68,C68=H68,D68=I68),"Oförändrad",IF(AND(B68=G68,D68=I68),"ÄNDRAD TID","FLYTTAD MATCH"))))</f>
        <v>Oförändrad</v>
      </c>
      <c r="K68" s="34" t="str">
        <f>IF(MATCHER!A60="","",MATCHER!A60)</f>
        <v>26 6 1151 005</v>
      </c>
      <c r="L68" s="91">
        <f>IF(MATCHER!B60="","",MATCHER!B60)</f>
        <v>46336</v>
      </c>
      <c r="M68" s="92">
        <f>IF(MATCHER!C60="","",MATCHER!C60)</f>
        <v>0.875</v>
      </c>
      <c r="N68" s="34" t="str">
        <f>IF(MATCHER!D60="","",MATCHER!D60)</f>
        <v>Tallbackaskolan</v>
      </c>
      <c r="O68" s="34" t="str">
        <f>IF(MATCHER!E60="","",MATCHER!E60)</f>
        <v>Damer - Dam trim Öst</v>
      </c>
      <c r="P68" s="34" t="str">
        <f>IF(MATCHER!F60="","",MATCHER!F60)</f>
        <v>Dam</v>
      </c>
      <c r="Q68" s="34" t="str">
        <f>IF(MATCHER!K60="","",MATCHER!K60)</f>
        <v>Ja</v>
      </c>
      <c r="R68" s="34" t="str">
        <f>IF(K68="","",IF(Q68&lt;&gt;"Ja","Ej aktuell",IF(P68="SAKNAS","NY KLASS",IF(MATCHER!N60&lt;&gt;"Ja",MATCHER!N60,IF(COUNTIF($A$13:$A$220,K68)=0,"NY MATCH","Matchdag finns")))))</f>
        <v>Matchdag finns</v>
      </c>
    </row>
    <row r="69" spans="1:18" ht="13">
      <c r="A69" s="31" t="s">
        <v>279</v>
      </c>
      <c r="B69" s="89">
        <v>46340</v>
      </c>
      <c r="C69" s="90">
        <v>0.51388888888888895</v>
      </c>
      <c r="D69" s="31" t="s">
        <v>94</v>
      </c>
      <c r="E69" s="31" t="s">
        <v>280</v>
      </c>
      <c r="F69" s="31" t="str">
        <f t="shared" si="0"/>
        <v>Ja</v>
      </c>
      <c r="G69" s="91">
        <f>IFERROR(VLOOKUP(A69,MATCHER!$A$5:$M$504,2,FALSE()),"")</f>
        <v>46340</v>
      </c>
      <c r="H69" s="92">
        <f>IFERROR(VLOOKUP(A69,MATCHER!$A$5:$M$504,3,FALSE()),"")</f>
        <v>0.51388888888888884</v>
      </c>
      <c r="I69" s="34" t="str">
        <f>IFERROR(VLOOKUP(A69,MATCHER!$A$5:$M$504,4,FALSE()),"")</f>
        <v>Råsta Park</v>
      </c>
      <c r="J69" s="34" t="str">
        <f>IF(F69&lt;&gt;"Ja","Ej aktuell",IF(COUNTIF(MATCHER!$A$5:$A$504,A69)=0,"BORTTAGEN MATCH",IF(AND(B69=G69,C69=H69,D69=I69),"Oförändrad",IF(AND(B69=G69,D69=I69),"ÄNDRAD TID","FLYTTAD MATCH"))))</f>
        <v>Oförändrad</v>
      </c>
      <c r="K69" s="34" t="str">
        <f>IF(MATCHER!A61="","",MATCHER!A61)</f>
        <v>26 6 1324 022</v>
      </c>
      <c r="L69" s="91">
        <f>IF(MATCHER!B61="","",MATCHER!B61)</f>
        <v>46340</v>
      </c>
      <c r="M69" s="92">
        <f>IF(MATCHER!C61="","",MATCHER!C61)</f>
        <v>0.51388888888888884</v>
      </c>
      <c r="N69" s="34" t="str">
        <f>IF(MATCHER!D61="","",MATCHER!D61)</f>
        <v>Råsta Park</v>
      </c>
      <c r="O69" s="34" t="str">
        <f>IF(MATCHER!E61="","",MATCHER!E61)</f>
        <v>Flickor - F16 Öst - F16 Nivå 3 Öst</v>
      </c>
      <c r="P69" s="34" t="str">
        <f>IF(MATCHER!F61="","",MATCHER!F61)</f>
        <v>F16</v>
      </c>
      <c r="Q69" s="34" t="str">
        <f>IF(MATCHER!K61="","",MATCHER!K61)</f>
        <v>Ja</v>
      </c>
      <c r="R69" s="34" t="str">
        <f>IF(K69="","",IF(Q69&lt;&gt;"Ja","Ej aktuell",IF(P69="SAKNAS","NY KLASS",IF(MATCHER!N61&lt;&gt;"Ja",MATCHER!N61,IF(COUNTIF($A$13:$A$220,K69)=0,"NY MATCH","Matchdag finns")))))</f>
        <v>Matchdag finns</v>
      </c>
    </row>
    <row r="70" spans="1:18" ht="13">
      <c r="A70" s="31" t="s">
        <v>281</v>
      </c>
      <c r="B70" s="89">
        <v>46340</v>
      </c>
      <c r="C70" s="90">
        <v>0.56944444444444398</v>
      </c>
      <c r="D70" s="31" t="s">
        <v>94</v>
      </c>
      <c r="E70" s="31" t="s">
        <v>223</v>
      </c>
      <c r="F70" s="31" t="str">
        <f t="shared" si="0"/>
        <v>Ja</v>
      </c>
      <c r="G70" s="91">
        <f>IFERROR(VLOOKUP(A70,MATCHER!$A$5:$M$504,2,FALSE()),"")</f>
        <v>46340</v>
      </c>
      <c r="H70" s="92">
        <f>IFERROR(VLOOKUP(A70,MATCHER!$A$5:$M$504,3,FALSE()),"")</f>
        <v>0.56944444444444442</v>
      </c>
      <c r="I70" s="34" t="str">
        <f>IFERROR(VLOOKUP(A70,MATCHER!$A$5:$M$504,4,FALSE()),"")</f>
        <v>Råsta Park</v>
      </c>
      <c r="J70" s="34" t="str">
        <f>IF(F70&lt;&gt;"Ja","Ej aktuell",IF(COUNTIF(MATCHER!$A$5:$A$504,A70)=0,"BORTTAGEN MATCH",IF(AND(B70=G70,C70=H70,D70=I70),"Oförändrad",IF(AND(B70=G70,D70=I70),"ÄNDRAD TID","FLYTTAD MATCH"))))</f>
        <v>Oförändrad</v>
      </c>
      <c r="K70" s="34" t="str">
        <f>IF(MATCHER!A62="","",MATCHER!A62)</f>
        <v>26 6 1524 021</v>
      </c>
      <c r="L70" s="91">
        <f>IF(MATCHER!B62="","",MATCHER!B62)</f>
        <v>46340</v>
      </c>
      <c r="M70" s="92">
        <f>IF(MATCHER!C62="","",MATCHER!C62)</f>
        <v>0.56944444444444442</v>
      </c>
      <c r="N70" s="34" t="str">
        <f>IF(MATCHER!D62="","",MATCHER!D62)</f>
        <v>Råsta Park</v>
      </c>
      <c r="O70" s="34" t="str">
        <f>IF(MATCHER!E62="","",MATCHER!E62)</f>
        <v>Pojkar - P16 Öst - P16 Nivå 3 Öst</v>
      </c>
      <c r="P70" s="34" t="str">
        <f>IF(MATCHER!F62="","",MATCHER!F62)</f>
        <v>P16</v>
      </c>
      <c r="Q70" s="34" t="str">
        <f>IF(MATCHER!K62="","",MATCHER!K62)</f>
        <v>Ja</v>
      </c>
      <c r="R70" s="34" t="str">
        <f>IF(K70="","",IF(Q70&lt;&gt;"Ja","Ej aktuell",IF(P70="SAKNAS","NY KLASS",IF(MATCHER!N62&lt;&gt;"Ja",MATCHER!N62,IF(COUNTIF($A$13:$A$220,K70)=0,"NY MATCH","Matchdag finns")))))</f>
        <v>Matchdag finns</v>
      </c>
    </row>
    <row r="71" spans="1:18" ht="13">
      <c r="A71" s="31" t="s">
        <v>282</v>
      </c>
      <c r="B71" s="89">
        <v>46340</v>
      </c>
      <c r="C71" s="90">
        <v>0.375</v>
      </c>
      <c r="D71" s="31" t="s">
        <v>110</v>
      </c>
      <c r="E71" s="31" t="s">
        <v>283</v>
      </c>
      <c r="F71" s="31" t="str">
        <f t="shared" si="0"/>
        <v>Ja</v>
      </c>
      <c r="G71" s="91">
        <f>IFERROR(VLOOKUP(A71,MATCHER!$A$5:$M$504,2,FALSE()),"")</f>
        <v>46340</v>
      </c>
      <c r="H71" s="92">
        <f>IFERROR(VLOOKUP(A71,MATCHER!$A$5:$M$504,3,FALSE()),"")</f>
        <v>0.375</v>
      </c>
      <c r="I71" s="34" t="str">
        <f>IFERROR(VLOOKUP(A71,MATCHER!$A$5:$M$504,4,FALSE()),"")</f>
        <v>Tallbackaskolan</v>
      </c>
      <c r="J71" s="34" t="str">
        <f>IF(F71&lt;&gt;"Ja","Ej aktuell",IF(COUNTIF(MATCHER!$A$5:$A$504,A71)=0,"BORTTAGEN MATCH",IF(AND(B71=G71,C71=H71,D71=I71),"Oförändrad",IF(AND(B71=G71,D71=I71),"ÄNDRAD TID","FLYTTAD MATCH"))))</f>
        <v>Oförändrad</v>
      </c>
      <c r="K71" s="34" t="str">
        <f>IF(MATCHER!A63="","",MATCHER!A63)</f>
        <v>26 6 1563 021</v>
      </c>
      <c r="L71" s="91">
        <f>IF(MATCHER!B63="","",MATCHER!B63)</f>
        <v>46340</v>
      </c>
      <c r="M71" s="92">
        <f>IF(MATCHER!C63="","",MATCHER!C63)</f>
        <v>0.375</v>
      </c>
      <c r="N71" s="34" t="str">
        <f>IF(MATCHER!D63="","",MATCHER!D63)</f>
        <v>Tallbackaskolan</v>
      </c>
      <c r="O71" s="34" t="str">
        <f>IF(MATCHER!E63="","",MATCHER!E63)</f>
        <v>Pojkar - P12 Öst - P12 Nivå 2 Öst Södra</v>
      </c>
      <c r="P71" s="34" t="str">
        <f>IF(MATCHER!F63="","",MATCHER!F63)</f>
        <v>P12</v>
      </c>
      <c r="Q71" s="34" t="str">
        <f>IF(MATCHER!K63="","",MATCHER!K63)</f>
        <v>Ja</v>
      </c>
      <c r="R71" s="34" t="str">
        <f>IF(K71="","",IF(Q71&lt;&gt;"Ja","Ej aktuell",IF(P71="SAKNAS","NY KLASS",IF(MATCHER!N63&lt;&gt;"Ja",MATCHER!N63,IF(COUNTIF($A$13:$A$220,K71)=0,"NY MATCH","Matchdag finns")))))</f>
        <v>Matchdag finns</v>
      </c>
    </row>
    <row r="72" spans="1:18" ht="13">
      <c r="A72" s="31" t="s">
        <v>284</v>
      </c>
      <c r="B72" s="89">
        <v>46340</v>
      </c>
      <c r="C72" s="90">
        <v>0.41666666666666702</v>
      </c>
      <c r="D72" s="31" t="s">
        <v>110</v>
      </c>
      <c r="E72" s="31" t="s">
        <v>283</v>
      </c>
      <c r="F72" s="31" t="str">
        <f t="shared" si="0"/>
        <v>Ja</v>
      </c>
      <c r="G72" s="91">
        <f>IFERROR(VLOOKUP(A72,MATCHER!$A$5:$M$504,2,FALSE()),"")</f>
        <v>46340</v>
      </c>
      <c r="H72" s="92">
        <f>IFERROR(VLOOKUP(A72,MATCHER!$A$5:$M$504,3,FALSE()),"")</f>
        <v>0.41666666666666669</v>
      </c>
      <c r="I72" s="34" t="str">
        <f>IFERROR(VLOOKUP(A72,MATCHER!$A$5:$M$504,4,FALSE()),"")</f>
        <v>Tallbackaskolan</v>
      </c>
      <c r="J72" s="34" t="str">
        <f>IF(F72&lt;&gt;"Ja","Ej aktuell",IF(COUNTIF(MATCHER!$A$5:$A$504,A72)=0,"BORTTAGEN MATCH",IF(AND(B72=G72,C72=H72,D72=I72),"Oförändrad",IF(AND(B72=G72,D72=I72),"ÄNDRAD TID","FLYTTAD MATCH"))))</f>
        <v>Oförändrad</v>
      </c>
      <c r="K72" s="34" t="str">
        <f>IF(MATCHER!A64="","",MATCHER!A64)</f>
        <v>26 6 1563 022</v>
      </c>
      <c r="L72" s="91">
        <f>IF(MATCHER!B64="","",MATCHER!B64)</f>
        <v>46340</v>
      </c>
      <c r="M72" s="92">
        <f>IF(MATCHER!C64="","",MATCHER!C64)</f>
        <v>0.41666666666666669</v>
      </c>
      <c r="N72" s="34" t="str">
        <f>IF(MATCHER!D64="","",MATCHER!D64)</f>
        <v>Tallbackaskolan</v>
      </c>
      <c r="O72" s="34" t="str">
        <f>IF(MATCHER!E64="","",MATCHER!E64)</f>
        <v>Pojkar - P12 Öst - P12 Nivå 2 Öst Södra</v>
      </c>
      <c r="P72" s="34" t="str">
        <f>IF(MATCHER!F64="","",MATCHER!F64)</f>
        <v>P12</v>
      </c>
      <c r="Q72" s="34" t="str">
        <f>IF(MATCHER!K64="","",MATCHER!K64)</f>
        <v>Ja</v>
      </c>
      <c r="R72" s="34" t="str">
        <f>IF(K72="","",IF(Q72&lt;&gt;"Ja","Ej aktuell",IF(P72="SAKNAS","NY KLASS",IF(MATCHER!N64&lt;&gt;"Ja",MATCHER!N64,IF(COUNTIF($A$13:$A$220,K72)=0,"NY MATCH","Matchdag finns")))))</f>
        <v>Matchdag finns</v>
      </c>
    </row>
    <row r="73" spans="1:18" ht="13">
      <c r="A73" s="31" t="s">
        <v>285</v>
      </c>
      <c r="B73" s="89">
        <v>46340</v>
      </c>
      <c r="C73" s="90">
        <v>0.46875</v>
      </c>
      <c r="D73" s="31" t="s">
        <v>110</v>
      </c>
      <c r="E73" s="31" t="s">
        <v>283</v>
      </c>
      <c r="F73" s="31" t="str">
        <f t="shared" si="0"/>
        <v>Ja</v>
      </c>
      <c r="G73" s="91">
        <f>IFERROR(VLOOKUP(A73,MATCHER!$A$5:$M$504,2,FALSE()),"")</f>
        <v>46340</v>
      </c>
      <c r="H73" s="92">
        <f>IFERROR(VLOOKUP(A73,MATCHER!$A$5:$M$504,3,FALSE()),"")</f>
        <v>0.46875</v>
      </c>
      <c r="I73" s="34" t="str">
        <f>IFERROR(VLOOKUP(A73,MATCHER!$A$5:$M$504,4,FALSE()),"")</f>
        <v>Tallbackaskolan</v>
      </c>
      <c r="J73" s="34" t="str">
        <f>IF(F73&lt;&gt;"Ja","Ej aktuell",IF(COUNTIF(MATCHER!$A$5:$A$504,A73)=0,"BORTTAGEN MATCH",IF(AND(B73=G73,C73=H73,D73=I73),"Oförändrad",IF(AND(B73=G73,D73=I73),"ÄNDRAD TID","FLYTTAD MATCH"))))</f>
        <v>Oförändrad</v>
      </c>
      <c r="K73" s="34" t="str">
        <f>IF(MATCHER!A65="","",MATCHER!A65)</f>
        <v>26 6 1563 024</v>
      </c>
      <c r="L73" s="91">
        <f>IF(MATCHER!B65="","",MATCHER!B65)</f>
        <v>46340</v>
      </c>
      <c r="M73" s="92">
        <f>IF(MATCHER!C65="","",MATCHER!C65)</f>
        <v>0.46875</v>
      </c>
      <c r="N73" s="34" t="str">
        <f>IF(MATCHER!D65="","",MATCHER!D65)</f>
        <v>Tallbackaskolan</v>
      </c>
      <c r="O73" s="34" t="str">
        <f>IF(MATCHER!E65="","",MATCHER!E65)</f>
        <v>Pojkar - P12 Öst - P12 Nivå 2 Öst Södra</v>
      </c>
      <c r="P73" s="34" t="str">
        <f>IF(MATCHER!F65="","",MATCHER!F65)</f>
        <v>P12</v>
      </c>
      <c r="Q73" s="34" t="str">
        <f>IF(MATCHER!K65="","",MATCHER!K65)</f>
        <v>Ja</v>
      </c>
      <c r="R73" s="34" t="str">
        <f>IF(K73="","",IF(Q73&lt;&gt;"Ja","Ej aktuell",IF(P73="SAKNAS","NY KLASS",IF(MATCHER!N65&lt;&gt;"Ja",MATCHER!N65,IF(COUNTIF($A$13:$A$220,K73)=0,"NY MATCH","Matchdag finns")))))</f>
        <v>Matchdag finns</v>
      </c>
    </row>
    <row r="74" spans="1:18" ht="13">
      <c r="A74" s="31" t="s">
        <v>286</v>
      </c>
      <c r="B74" s="89">
        <v>46340</v>
      </c>
      <c r="C74" s="90">
        <v>0.51041666666666696</v>
      </c>
      <c r="D74" s="31" t="s">
        <v>110</v>
      </c>
      <c r="E74" s="31" t="s">
        <v>283</v>
      </c>
      <c r="F74" s="31" t="str">
        <f t="shared" si="0"/>
        <v>Ja</v>
      </c>
      <c r="G74" s="91">
        <f>IFERROR(VLOOKUP(A74,MATCHER!$A$5:$M$504,2,FALSE()),"")</f>
        <v>46340</v>
      </c>
      <c r="H74" s="92">
        <f>IFERROR(VLOOKUP(A74,MATCHER!$A$5:$M$504,3,FALSE()),"")</f>
        <v>0.51041666666666663</v>
      </c>
      <c r="I74" s="34" t="str">
        <f>IFERROR(VLOOKUP(A74,MATCHER!$A$5:$M$504,4,FALSE()),"")</f>
        <v>Tallbackaskolan</v>
      </c>
      <c r="J74" s="34" t="str">
        <f>IF(F74&lt;&gt;"Ja","Ej aktuell",IF(COUNTIF(MATCHER!$A$5:$A$504,A74)=0,"BORTTAGEN MATCH",IF(AND(B74=G74,C74=H74,D74=I74),"Oförändrad",IF(AND(B74=G74,D74=I74),"ÄNDRAD TID","FLYTTAD MATCH"))))</f>
        <v>Oförändrad</v>
      </c>
      <c r="K74" s="34" t="str">
        <f>IF(MATCHER!A66="","",MATCHER!A66)</f>
        <v>26 6 1563 023</v>
      </c>
      <c r="L74" s="91">
        <f>IF(MATCHER!B66="","",MATCHER!B66)</f>
        <v>46340</v>
      </c>
      <c r="M74" s="92">
        <f>IF(MATCHER!C66="","",MATCHER!C66)</f>
        <v>0.51041666666666663</v>
      </c>
      <c r="N74" s="34" t="str">
        <f>IF(MATCHER!D66="","",MATCHER!D66)</f>
        <v>Tallbackaskolan</v>
      </c>
      <c r="O74" s="34" t="str">
        <f>IF(MATCHER!E66="","",MATCHER!E66)</f>
        <v>Pojkar - P12 Öst - P12 Nivå 2 Öst Södra</v>
      </c>
      <c r="P74" s="34" t="str">
        <f>IF(MATCHER!F66="","",MATCHER!F66)</f>
        <v>P12</v>
      </c>
      <c r="Q74" s="34" t="str">
        <f>IF(MATCHER!K66="","",MATCHER!K66)</f>
        <v>Ja</v>
      </c>
      <c r="R74" s="34" t="str">
        <f>IF(K74="","",IF(Q74&lt;&gt;"Ja","Ej aktuell",IF(P74="SAKNAS","NY KLASS",IF(MATCHER!N66&lt;&gt;"Ja",MATCHER!N66,IF(COUNTIF($A$13:$A$220,K74)=0,"NY MATCH","Matchdag finns")))))</f>
        <v>Matchdag finns</v>
      </c>
    </row>
    <row r="75" spans="1:18" ht="13">
      <c r="A75" s="31" t="s">
        <v>287</v>
      </c>
      <c r="B75" s="89">
        <v>46340</v>
      </c>
      <c r="C75" s="90">
        <v>0.375</v>
      </c>
      <c r="D75" s="31" t="s">
        <v>86</v>
      </c>
      <c r="E75" s="31" t="s">
        <v>288</v>
      </c>
      <c r="F75" s="31" t="str">
        <f t="shared" si="0"/>
        <v>Ja</v>
      </c>
      <c r="G75" s="91">
        <f>IFERROR(VLOOKUP(A75,MATCHER!$A$5:$M$504,2,FALSE()),"")</f>
        <v>46340</v>
      </c>
      <c r="H75" s="92">
        <f>IFERROR(VLOOKUP(A75,MATCHER!$A$5:$M$504,3,FALSE()),"")</f>
        <v>0.375</v>
      </c>
      <c r="I75" s="34" t="str">
        <f>IFERROR(VLOOKUP(A75,MATCHER!$A$5:$M$504,4,FALSE()),"")</f>
        <v>Ulriksdalshallen</v>
      </c>
      <c r="J75" s="34" t="str">
        <f>IF(F75&lt;&gt;"Ja","Ej aktuell",IF(COUNTIF(MATCHER!$A$5:$A$504,A75)=0,"BORTTAGEN MATCH",IF(AND(B75=G75,C75=H75,D75=I75),"Oförändrad",IF(AND(B75=G75,D75=I75),"ÄNDRAD TID","FLYTTAD MATCH"))))</f>
        <v>Oförändrad</v>
      </c>
      <c r="K75" s="34" t="str">
        <f>IF(MATCHER!A67="","",MATCHER!A67)</f>
        <v>26 6 6325 001</v>
      </c>
      <c r="L75" s="91">
        <f>IF(MATCHER!B67="","",MATCHER!B67)</f>
        <v>46340</v>
      </c>
      <c r="M75" s="92">
        <f>IF(MATCHER!C67="","",MATCHER!C67)</f>
        <v>0.375</v>
      </c>
      <c r="N75" s="34" t="str">
        <f>IF(MATCHER!D67="","",MATCHER!D67)</f>
        <v>Ulriksdalshallen</v>
      </c>
      <c r="O75" s="34" t="str">
        <f>IF(MATCHER!E67="","",MATCHER!E67)</f>
        <v>Östbollen - F13 Öst - Omgång 2</v>
      </c>
      <c r="P75" s="34" t="str">
        <f>IF(MATCHER!F67="","",MATCHER!F67)</f>
        <v>F13</v>
      </c>
      <c r="Q75" s="34" t="str">
        <f>IF(MATCHER!K67="","",MATCHER!K67)</f>
        <v>Ja</v>
      </c>
      <c r="R75" s="34" t="str">
        <f>IF(K75="","",IF(Q75&lt;&gt;"Ja","Ej aktuell",IF(P75="SAKNAS","NY KLASS",IF(MATCHER!N67&lt;&gt;"Ja",MATCHER!N67,IF(COUNTIF($A$13:$A$220,K75)=0,"NY MATCH","Matchdag finns")))))</f>
        <v>Matchdag finns</v>
      </c>
    </row>
    <row r="76" spans="1:18" ht="13">
      <c r="A76" s="31" t="s">
        <v>289</v>
      </c>
      <c r="B76" s="89">
        <v>46340</v>
      </c>
      <c r="C76" s="90">
        <v>0.40972222222222199</v>
      </c>
      <c r="D76" s="31" t="s">
        <v>86</v>
      </c>
      <c r="E76" s="31" t="s">
        <v>288</v>
      </c>
      <c r="F76" s="31" t="str">
        <f t="shared" si="0"/>
        <v>Ja</v>
      </c>
      <c r="G76" s="91">
        <f>IFERROR(VLOOKUP(A76,MATCHER!$A$5:$M$504,2,FALSE()),"")</f>
        <v>46340</v>
      </c>
      <c r="H76" s="92">
        <f>IFERROR(VLOOKUP(A76,MATCHER!$A$5:$M$504,3,FALSE()),"")</f>
        <v>0.40972222222222221</v>
      </c>
      <c r="I76" s="34" t="str">
        <f>IFERROR(VLOOKUP(A76,MATCHER!$A$5:$M$504,4,FALSE()),"")</f>
        <v>Ulriksdalshallen</v>
      </c>
      <c r="J76" s="34" t="str">
        <f>IF(F76&lt;&gt;"Ja","Ej aktuell",IF(COUNTIF(MATCHER!$A$5:$A$504,A76)=0,"BORTTAGEN MATCH",IF(AND(B76=G76,C76=H76,D76=I76),"Oförändrad",IF(AND(B76=G76,D76=I76),"ÄNDRAD TID","FLYTTAD MATCH"))))</f>
        <v>Oförändrad</v>
      </c>
      <c r="K76" s="34" t="str">
        <f>IF(MATCHER!A68="","",MATCHER!A68)</f>
        <v>26 6 6325 002</v>
      </c>
      <c r="L76" s="91">
        <f>IF(MATCHER!B68="","",MATCHER!B68)</f>
        <v>46340</v>
      </c>
      <c r="M76" s="92">
        <f>IF(MATCHER!C68="","",MATCHER!C68)</f>
        <v>0.40972222222222221</v>
      </c>
      <c r="N76" s="34" t="str">
        <f>IF(MATCHER!D68="","",MATCHER!D68)</f>
        <v>Ulriksdalshallen</v>
      </c>
      <c r="O76" s="34" t="str">
        <f>IF(MATCHER!E68="","",MATCHER!E68)</f>
        <v>Östbollen - F13 Öst - Omgång 2</v>
      </c>
      <c r="P76" s="34" t="str">
        <f>IF(MATCHER!F68="","",MATCHER!F68)</f>
        <v>F13</v>
      </c>
      <c r="Q76" s="34" t="str">
        <f>IF(MATCHER!K68="","",MATCHER!K68)</f>
        <v>Ja</v>
      </c>
      <c r="R76" s="34" t="str">
        <f>IF(K76="","",IF(Q76&lt;&gt;"Ja","Ej aktuell",IF(P76="SAKNAS","NY KLASS",IF(MATCHER!N68&lt;&gt;"Ja",MATCHER!N68,IF(COUNTIF($A$13:$A$220,K76)=0,"NY MATCH","Matchdag finns")))))</f>
        <v>Matchdag finns</v>
      </c>
    </row>
    <row r="77" spans="1:18" ht="13">
      <c r="A77" s="31" t="s">
        <v>290</v>
      </c>
      <c r="B77" s="89">
        <v>46340</v>
      </c>
      <c r="C77" s="90">
        <v>0.46527777777777801</v>
      </c>
      <c r="D77" s="31" t="s">
        <v>86</v>
      </c>
      <c r="E77" s="31" t="s">
        <v>288</v>
      </c>
      <c r="F77" s="31" t="str">
        <f t="shared" ref="F77:F140" si="1">IF(A77="","",IF(D77="Solnahallen","Nej","Ja"))</f>
        <v>Ja</v>
      </c>
      <c r="G77" s="91">
        <f>IFERROR(VLOOKUP(A77,MATCHER!$A$5:$M$504,2,FALSE()),"")</f>
        <v>46340</v>
      </c>
      <c r="H77" s="92">
        <f>IFERROR(VLOOKUP(A77,MATCHER!$A$5:$M$504,3,FALSE()),"")</f>
        <v>0.46527777777777779</v>
      </c>
      <c r="I77" s="34" t="str">
        <f>IFERROR(VLOOKUP(A77,MATCHER!$A$5:$M$504,4,FALSE()),"")</f>
        <v>Ulriksdalshallen</v>
      </c>
      <c r="J77" s="34" t="str">
        <f>IF(F77&lt;&gt;"Ja","Ej aktuell",IF(COUNTIF(MATCHER!$A$5:$A$504,A77)=0,"BORTTAGEN MATCH",IF(AND(B77=G77,C77=H77,D77=I77),"Oförändrad",IF(AND(B77=G77,D77=I77),"ÄNDRAD TID","FLYTTAD MATCH"))))</f>
        <v>Oförändrad</v>
      </c>
      <c r="K77" s="34" t="str">
        <f>IF(MATCHER!A69="","",MATCHER!A69)</f>
        <v>26 6 6325 003</v>
      </c>
      <c r="L77" s="91">
        <f>IF(MATCHER!B69="","",MATCHER!B69)</f>
        <v>46340</v>
      </c>
      <c r="M77" s="92">
        <f>IF(MATCHER!C69="","",MATCHER!C69)</f>
        <v>0.46527777777777779</v>
      </c>
      <c r="N77" s="34" t="str">
        <f>IF(MATCHER!D69="","",MATCHER!D69)</f>
        <v>Ulriksdalshallen</v>
      </c>
      <c r="O77" s="34" t="str">
        <f>IF(MATCHER!E69="","",MATCHER!E69)</f>
        <v>Östbollen - F13 Öst - Omgång 2</v>
      </c>
      <c r="P77" s="34" t="str">
        <f>IF(MATCHER!F69="","",MATCHER!F69)</f>
        <v>F13</v>
      </c>
      <c r="Q77" s="34" t="str">
        <f>IF(MATCHER!K69="","",MATCHER!K69)</f>
        <v>Ja</v>
      </c>
      <c r="R77" s="34" t="str">
        <f>IF(K77="","",IF(Q77&lt;&gt;"Ja","Ej aktuell",IF(P77="SAKNAS","NY KLASS",IF(MATCHER!N69&lt;&gt;"Ja",MATCHER!N69,IF(COUNTIF($A$13:$A$220,K77)=0,"NY MATCH","Matchdag finns")))))</f>
        <v>Matchdag finns</v>
      </c>
    </row>
    <row r="78" spans="1:18" ht="13">
      <c r="A78" s="31" t="s">
        <v>291</v>
      </c>
      <c r="B78" s="89">
        <v>46340</v>
      </c>
      <c r="C78" s="90">
        <v>0.5</v>
      </c>
      <c r="D78" s="31" t="s">
        <v>86</v>
      </c>
      <c r="E78" s="31" t="s">
        <v>288</v>
      </c>
      <c r="F78" s="31" t="str">
        <f t="shared" si="1"/>
        <v>Ja</v>
      </c>
      <c r="G78" s="91">
        <f>IFERROR(VLOOKUP(A78,MATCHER!$A$5:$M$504,2,FALSE()),"")</f>
        <v>46340</v>
      </c>
      <c r="H78" s="92">
        <f>IFERROR(VLOOKUP(A78,MATCHER!$A$5:$M$504,3,FALSE()),"")</f>
        <v>0.5</v>
      </c>
      <c r="I78" s="34" t="str">
        <f>IFERROR(VLOOKUP(A78,MATCHER!$A$5:$M$504,4,FALSE()),"")</f>
        <v>Ulriksdalshallen</v>
      </c>
      <c r="J78" s="34" t="str">
        <f>IF(F78&lt;&gt;"Ja","Ej aktuell",IF(COUNTIF(MATCHER!$A$5:$A$504,A78)=0,"BORTTAGEN MATCH",IF(AND(B78=G78,C78=H78,D78=I78),"Oförändrad",IF(AND(B78=G78,D78=I78),"ÄNDRAD TID","FLYTTAD MATCH"))))</f>
        <v>Oförändrad</v>
      </c>
      <c r="K78" s="34" t="str">
        <f>IF(MATCHER!A70="","",MATCHER!A70)</f>
        <v>26 6 6325 004</v>
      </c>
      <c r="L78" s="91">
        <f>IF(MATCHER!B70="","",MATCHER!B70)</f>
        <v>46340</v>
      </c>
      <c r="M78" s="92">
        <f>IF(MATCHER!C70="","",MATCHER!C70)</f>
        <v>0.5</v>
      </c>
      <c r="N78" s="34" t="str">
        <f>IF(MATCHER!D70="","",MATCHER!D70)</f>
        <v>Ulriksdalshallen</v>
      </c>
      <c r="O78" s="34" t="str">
        <f>IF(MATCHER!E70="","",MATCHER!E70)</f>
        <v>Östbollen - F13 Öst - Omgång 2</v>
      </c>
      <c r="P78" s="34" t="str">
        <f>IF(MATCHER!F70="","",MATCHER!F70)</f>
        <v>F13</v>
      </c>
      <c r="Q78" s="34" t="str">
        <f>IF(MATCHER!K70="","",MATCHER!K70)</f>
        <v>Ja</v>
      </c>
      <c r="R78" s="34" t="str">
        <f>IF(K78="","",IF(Q78&lt;&gt;"Ja","Ej aktuell",IF(P78="SAKNAS","NY KLASS",IF(MATCHER!N70&lt;&gt;"Ja",MATCHER!N70,IF(COUNTIF($A$13:$A$220,K78)=0,"NY MATCH","Matchdag finns")))))</f>
        <v>Matchdag finns</v>
      </c>
    </row>
    <row r="79" spans="1:18" ht="13">
      <c r="A79" s="31" t="s">
        <v>292</v>
      </c>
      <c r="B79" s="89">
        <v>46340</v>
      </c>
      <c r="C79" s="90">
        <v>0.55555555555555602</v>
      </c>
      <c r="D79" s="31" t="s">
        <v>86</v>
      </c>
      <c r="E79" s="31" t="s">
        <v>288</v>
      </c>
      <c r="F79" s="31" t="str">
        <f t="shared" si="1"/>
        <v>Ja</v>
      </c>
      <c r="G79" s="91">
        <f>IFERROR(VLOOKUP(A79,MATCHER!$A$5:$M$504,2,FALSE()),"")</f>
        <v>46340</v>
      </c>
      <c r="H79" s="92">
        <f>IFERROR(VLOOKUP(A79,MATCHER!$A$5:$M$504,3,FALSE()),"")</f>
        <v>0.55555555555555558</v>
      </c>
      <c r="I79" s="34" t="str">
        <f>IFERROR(VLOOKUP(A79,MATCHER!$A$5:$M$504,4,FALSE()),"")</f>
        <v>Ulriksdalshallen</v>
      </c>
      <c r="J79" s="34" t="str">
        <f>IF(F79&lt;&gt;"Ja","Ej aktuell",IF(COUNTIF(MATCHER!$A$5:$A$504,A79)=0,"BORTTAGEN MATCH",IF(AND(B79=G79,C79=H79,D79=I79),"Oförändrad",IF(AND(B79=G79,D79=I79),"ÄNDRAD TID","FLYTTAD MATCH"))))</f>
        <v>Oförändrad</v>
      </c>
      <c r="K79" s="34" t="str">
        <f>IF(MATCHER!A71="","",MATCHER!A71)</f>
        <v>26 6 6325 005</v>
      </c>
      <c r="L79" s="91">
        <f>IF(MATCHER!B71="","",MATCHER!B71)</f>
        <v>46340</v>
      </c>
      <c r="M79" s="92">
        <f>IF(MATCHER!C71="","",MATCHER!C71)</f>
        <v>0.55555555555555558</v>
      </c>
      <c r="N79" s="34" t="str">
        <f>IF(MATCHER!D71="","",MATCHER!D71)</f>
        <v>Ulriksdalshallen</v>
      </c>
      <c r="O79" s="34" t="str">
        <f>IF(MATCHER!E71="","",MATCHER!E71)</f>
        <v>Östbollen - F13 Öst - Omgång 2</v>
      </c>
      <c r="P79" s="34" t="str">
        <f>IF(MATCHER!F71="","",MATCHER!F71)</f>
        <v>F13</v>
      </c>
      <c r="Q79" s="34" t="str">
        <f>IF(MATCHER!K71="","",MATCHER!K71)</f>
        <v>Ja</v>
      </c>
      <c r="R79" s="34" t="str">
        <f>IF(K79="","",IF(Q79&lt;&gt;"Ja","Ej aktuell",IF(P79="SAKNAS","NY KLASS",IF(MATCHER!N71&lt;&gt;"Ja",MATCHER!N71,IF(COUNTIF($A$13:$A$220,K79)=0,"NY MATCH","Matchdag finns")))))</f>
        <v>Matchdag finns</v>
      </c>
    </row>
    <row r="80" spans="1:18" ht="13">
      <c r="A80" s="31" t="s">
        <v>293</v>
      </c>
      <c r="B80" s="89">
        <v>46340</v>
      </c>
      <c r="C80" s="90">
        <v>0.59027777777777801</v>
      </c>
      <c r="D80" s="31" t="s">
        <v>86</v>
      </c>
      <c r="E80" s="31" t="s">
        <v>288</v>
      </c>
      <c r="F80" s="31" t="str">
        <f t="shared" si="1"/>
        <v>Ja</v>
      </c>
      <c r="G80" s="91">
        <f>IFERROR(VLOOKUP(A80,MATCHER!$A$5:$M$504,2,FALSE()),"")</f>
        <v>46340</v>
      </c>
      <c r="H80" s="92">
        <f>IFERROR(VLOOKUP(A80,MATCHER!$A$5:$M$504,3,FALSE()),"")</f>
        <v>0.59027777777777779</v>
      </c>
      <c r="I80" s="34" t="str">
        <f>IFERROR(VLOOKUP(A80,MATCHER!$A$5:$M$504,4,FALSE()),"")</f>
        <v>Ulriksdalshallen</v>
      </c>
      <c r="J80" s="34" t="str">
        <f>IF(F80&lt;&gt;"Ja","Ej aktuell",IF(COUNTIF(MATCHER!$A$5:$A$504,A80)=0,"BORTTAGEN MATCH",IF(AND(B80=G80,C80=H80,D80=I80),"Oförändrad",IF(AND(B80=G80,D80=I80),"ÄNDRAD TID","FLYTTAD MATCH"))))</f>
        <v>Oförändrad</v>
      </c>
      <c r="K80" s="34" t="str">
        <f>IF(MATCHER!A72="","",MATCHER!A72)</f>
        <v>26 6 6325 006</v>
      </c>
      <c r="L80" s="91">
        <f>IF(MATCHER!B72="","",MATCHER!B72)</f>
        <v>46340</v>
      </c>
      <c r="M80" s="92">
        <f>IF(MATCHER!C72="","",MATCHER!C72)</f>
        <v>0.59027777777777779</v>
      </c>
      <c r="N80" s="34" t="str">
        <f>IF(MATCHER!D72="","",MATCHER!D72)</f>
        <v>Ulriksdalshallen</v>
      </c>
      <c r="O80" s="34" t="str">
        <f>IF(MATCHER!E72="","",MATCHER!E72)</f>
        <v>Östbollen - F13 Öst - Omgång 2</v>
      </c>
      <c r="P80" s="34" t="str">
        <f>IF(MATCHER!F72="","",MATCHER!F72)</f>
        <v>F13</v>
      </c>
      <c r="Q80" s="34" t="str">
        <f>IF(MATCHER!K72="","",MATCHER!K72)</f>
        <v>Ja</v>
      </c>
      <c r="R80" s="34" t="str">
        <f>IF(K80="","",IF(Q80&lt;&gt;"Ja","Ej aktuell",IF(P80="SAKNAS","NY KLASS",IF(MATCHER!N72&lt;&gt;"Ja",MATCHER!N72,IF(COUNTIF($A$13:$A$220,K80)=0,"NY MATCH","Matchdag finns")))))</f>
        <v>Matchdag finns</v>
      </c>
    </row>
    <row r="81" spans="1:18" ht="13">
      <c r="A81" s="31" t="s">
        <v>294</v>
      </c>
      <c r="B81" s="89">
        <v>46341</v>
      </c>
      <c r="C81" s="90">
        <v>0.5</v>
      </c>
      <c r="D81" s="31" t="s">
        <v>212</v>
      </c>
      <c r="E81" s="31" t="s">
        <v>246</v>
      </c>
      <c r="F81" s="31" t="str">
        <f t="shared" si="1"/>
        <v>Nej</v>
      </c>
      <c r="G81" s="91">
        <f>IFERROR(VLOOKUP(A81,MATCHER!$A$5:$M$504,2,FALSE()),"")</f>
        <v>46341</v>
      </c>
      <c r="H81" s="92">
        <f>IFERROR(VLOOKUP(A81,MATCHER!$A$5:$M$504,3,FALSE()),"")</f>
        <v>0.5</v>
      </c>
      <c r="I81" s="34" t="str">
        <f>IFERROR(VLOOKUP(A81,MATCHER!$A$5:$M$504,4,FALSE()),"")</f>
        <v>Solnahallen</v>
      </c>
      <c r="J81" s="34" t="str">
        <f>IF(F81&lt;&gt;"Ja","Ej aktuell",IF(COUNTIF(MATCHER!$A$5:$A$504,A81)=0,"BORTTAGEN MATCH",IF(AND(B81=G81,C81=H81,D81=I81),"Oförändrad",IF(AND(B81=G81,D81=I81),"ÄNDRAD TID","FLYTTAD MATCH"))))</f>
        <v>Ej aktuell</v>
      </c>
      <c r="K81" s="34" t="str">
        <f>IF(MATCHER!A73="","",MATCHER!A73)</f>
        <v>26 6 1141 023</v>
      </c>
      <c r="L81" s="91">
        <f>IF(MATCHER!B73="","",MATCHER!B73)</f>
        <v>46341</v>
      </c>
      <c r="M81" s="92">
        <f>IF(MATCHER!C73="","",MATCHER!C73)</f>
        <v>0.5</v>
      </c>
      <c r="N81" s="34" t="str">
        <f>IF(MATCHER!D73="","",MATCHER!D73)</f>
        <v>Solnahallen</v>
      </c>
      <c r="O81" s="34" t="str">
        <f>IF(MATCHER!E73="","",MATCHER!E73)</f>
        <v>Damer - Dam 4 Öst - Dam 4 Öst Norra</v>
      </c>
      <c r="P81" s="34" t="str">
        <f>IF(MATCHER!F73="","",MATCHER!F73)</f>
        <v>Dam</v>
      </c>
      <c r="Q81" s="34" t="str">
        <f>IF(MATCHER!K73="","",MATCHER!K73)</f>
        <v>Nej</v>
      </c>
      <c r="R81" s="34" t="str">
        <f>IF(K81="","",IF(Q81&lt;&gt;"Ja","Ej aktuell",IF(P81="SAKNAS","NY KLASS",IF(MATCHER!N73&lt;&gt;"Ja",MATCHER!N73,IF(COUNTIF($A$13:$A$220,K81)=0,"NY MATCH","Matchdag finns")))))</f>
        <v>Ej aktuell</v>
      </c>
    </row>
    <row r="82" spans="1:18" ht="13">
      <c r="A82" s="31" t="s">
        <v>295</v>
      </c>
      <c r="B82" s="89">
        <v>46341</v>
      </c>
      <c r="C82" s="90">
        <v>0.625</v>
      </c>
      <c r="D82" s="31" t="s">
        <v>212</v>
      </c>
      <c r="E82" s="31" t="s">
        <v>231</v>
      </c>
      <c r="F82" s="31" t="str">
        <f t="shared" si="1"/>
        <v>Nej</v>
      </c>
      <c r="G82" s="91">
        <f>IFERROR(VLOOKUP(A82,MATCHER!$A$5:$M$504,2,FALSE()),"")</f>
        <v>46341</v>
      </c>
      <c r="H82" s="92">
        <f>IFERROR(VLOOKUP(A82,MATCHER!$A$5:$M$504,3,FALSE()),"")</f>
        <v>0.625</v>
      </c>
      <c r="I82" s="34" t="str">
        <f>IFERROR(VLOOKUP(A82,MATCHER!$A$5:$M$504,4,FALSE()),"")</f>
        <v>Solnahallen</v>
      </c>
      <c r="J82" s="34" t="str">
        <f>IF(F82&lt;&gt;"Ja","Ej aktuell",IF(COUNTIF(MATCHER!$A$5:$A$504,A82)=0,"BORTTAGEN MATCH",IF(AND(B82=G82,C82=H82,D82=I82),"Oförändrad",IF(AND(B82=G82,D82=I82),"ÄNDRAD TID","FLYTTAD MATCH"))))</f>
        <v>Ej aktuell</v>
      </c>
      <c r="K82" s="34" t="str">
        <f>IF(MATCHER!A74="","",MATCHER!A74)</f>
        <v>26 -1 1121 040</v>
      </c>
      <c r="L82" s="91">
        <f>IF(MATCHER!B74="","",MATCHER!B74)</f>
        <v>46341</v>
      </c>
      <c r="M82" s="92">
        <f>IF(MATCHER!C74="","",MATCHER!C74)</f>
        <v>0.625</v>
      </c>
      <c r="N82" s="34" t="str">
        <f>IF(MATCHER!D74="","",MATCHER!D74)</f>
        <v>Solnahallen</v>
      </c>
      <c r="O82" s="34" t="str">
        <f>IF(MATCHER!E74="","",MATCHER!E74)</f>
        <v>Damer - Damallsvenskan</v>
      </c>
      <c r="P82" s="34" t="str">
        <f>IF(MATCHER!F74="","",MATCHER!F74)</f>
        <v>Dam</v>
      </c>
      <c r="Q82" s="34" t="str">
        <f>IF(MATCHER!K74="","",MATCHER!K74)</f>
        <v>Nej</v>
      </c>
      <c r="R82" s="34" t="str">
        <f>IF(K82="","",IF(Q82&lt;&gt;"Ja","Ej aktuell",IF(P82="SAKNAS","NY KLASS",IF(MATCHER!N74&lt;&gt;"Ja",MATCHER!N74,IF(COUNTIF($A$13:$A$220,K82)=0,"NY MATCH","Matchdag finns")))))</f>
        <v>Ej aktuell</v>
      </c>
    </row>
    <row r="83" spans="1:18" ht="13">
      <c r="A83" s="31" t="s">
        <v>296</v>
      </c>
      <c r="B83" s="89">
        <v>46341</v>
      </c>
      <c r="C83" s="90">
        <v>0.72916666666666696</v>
      </c>
      <c r="D83" s="31" t="s">
        <v>212</v>
      </c>
      <c r="E83" s="31" t="s">
        <v>234</v>
      </c>
      <c r="F83" s="31" t="str">
        <f t="shared" si="1"/>
        <v>Nej</v>
      </c>
      <c r="G83" s="91">
        <f>IFERROR(VLOOKUP(A83,MATCHER!$A$5:$M$504,2,FALSE()),"")</f>
        <v>46341</v>
      </c>
      <c r="H83" s="92">
        <f>IFERROR(VLOOKUP(A83,MATCHER!$A$5:$M$504,3,FALSE()),"")</f>
        <v>0.72916666666666663</v>
      </c>
      <c r="I83" s="34" t="str">
        <f>IFERROR(VLOOKUP(A83,MATCHER!$A$5:$M$504,4,FALSE()),"")</f>
        <v>Solnahallen</v>
      </c>
      <c r="J83" s="34" t="str">
        <f>IF(F83&lt;&gt;"Ja","Ej aktuell",IF(COUNTIF(MATCHER!$A$5:$A$504,A83)=0,"BORTTAGEN MATCH",IF(AND(B83=G83,C83=H83,D83=I83),"Oförändrad",IF(AND(B83=G83,D83=I83),"ÄNDRAD TID","FLYTTAD MATCH"))))</f>
        <v>Ej aktuell</v>
      </c>
      <c r="K83" s="34" t="str">
        <f>IF(MATCHER!A75="","",MATCHER!A75)</f>
        <v>26 6 1221 038</v>
      </c>
      <c r="L83" s="91">
        <f>IF(MATCHER!B75="","",MATCHER!B75)</f>
        <v>46341</v>
      </c>
      <c r="M83" s="92">
        <f>IF(MATCHER!C75="","",MATCHER!C75)</f>
        <v>0.72916666666666663</v>
      </c>
      <c r="N83" s="34" t="str">
        <f>IF(MATCHER!D75="","",MATCHER!D75)</f>
        <v>Solnahallen</v>
      </c>
      <c r="O83" s="34" t="str">
        <f>IF(MATCHER!E75="","",MATCHER!E75)</f>
        <v>Herrar - Herr 2 Öst</v>
      </c>
      <c r="P83" s="34" t="str">
        <f>IF(MATCHER!F75="","",MATCHER!F75)</f>
        <v>Herr</v>
      </c>
      <c r="Q83" s="34" t="str">
        <f>IF(MATCHER!K75="","",MATCHER!K75)</f>
        <v>Nej</v>
      </c>
      <c r="R83" s="34" t="str">
        <f>IF(K83="","",IF(Q83&lt;&gt;"Ja","Ej aktuell",IF(P83="SAKNAS","NY KLASS",IF(MATCHER!N75&lt;&gt;"Ja",MATCHER!N75,IF(COUNTIF($A$13:$A$220,K83)=0,"NY MATCH","Matchdag finns")))))</f>
        <v>Ej aktuell</v>
      </c>
    </row>
    <row r="84" spans="1:18" ht="13">
      <c r="A84" s="31" t="s">
        <v>297</v>
      </c>
      <c r="B84" s="89">
        <v>46343</v>
      </c>
      <c r="C84" s="90">
        <v>0.86458333333333304</v>
      </c>
      <c r="D84" s="31" t="s">
        <v>94</v>
      </c>
      <c r="E84" s="31" t="s">
        <v>213</v>
      </c>
      <c r="F84" s="31" t="str">
        <f t="shared" si="1"/>
        <v>Ja</v>
      </c>
      <c r="G84" s="91">
        <f>IFERROR(VLOOKUP(A84,MATCHER!$A$5:$M$504,2,FALSE()),"")</f>
        <v>46343</v>
      </c>
      <c r="H84" s="92">
        <f>IFERROR(VLOOKUP(A84,MATCHER!$A$5:$M$504,3,FALSE()),"")</f>
        <v>0.86458333333333337</v>
      </c>
      <c r="I84" s="34" t="str">
        <f>IFERROR(VLOOKUP(A84,MATCHER!$A$5:$M$504,4,FALSE()),"")</f>
        <v>Råsta Park</v>
      </c>
      <c r="J84" s="34" t="str">
        <f>IF(F84&lt;&gt;"Ja","Ej aktuell",IF(COUNTIF(MATCHER!$A$5:$A$504,A84)=0,"BORTTAGEN MATCH",IF(AND(B84=G84,C84=H84,D84=I84),"Oförändrad",IF(AND(B84=G84,D84=I84),"ÄNDRAD TID","FLYTTAD MATCH"))))</f>
        <v>Oförändrad</v>
      </c>
      <c r="K84" s="34" t="str">
        <f>IF(MATCHER!A76="","",MATCHER!A76)</f>
        <v>26 6 1311 039</v>
      </c>
      <c r="L84" s="91">
        <f>IF(MATCHER!B76="","",MATCHER!B76)</f>
        <v>46343</v>
      </c>
      <c r="M84" s="92">
        <f>IF(MATCHER!C76="","",MATCHER!C76)</f>
        <v>0.86458333333333337</v>
      </c>
      <c r="N84" s="34" t="str">
        <f>IF(MATCHER!D76="","",MATCHER!D76)</f>
        <v>Råsta Park</v>
      </c>
      <c r="O84" s="34" t="str">
        <f>IF(MATCHER!E76="","",MATCHER!E76)</f>
        <v>Flickor - F19 Öst - F19 Nivå 1 Öst</v>
      </c>
      <c r="P84" s="34" t="str">
        <f>IF(MATCHER!F76="","",MATCHER!F76)</f>
        <v>F19</v>
      </c>
      <c r="Q84" s="34" t="str">
        <f>IF(MATCHER!K76="","",MATCHER!K76)</f>
        <v>Ja</v>
      </c>
      <c r="R84" s="34" t="str">
        <f>IF(K84="","",IF(Q84&lt;&gt;"Ja","Ej aktuell",IF(P84="SAKNAS","NY KLASS",IF(MATCHER!N76&lt;&gt;"Ja",MATCHER!N76,IF(COUNTIF($A$13:$A$220,K84)=0,"NY MATCH","Matchdag finns")))))</f>
        <v>Matchdag finns</v>
      </c>
    </row>
    <row r="85" spans="1:18" ht="13">
      <c r="A85" s="31" t="s">
        <v>298</v>
      </c>
      <c r="B85" s="89">
        <v>46347</v>
      </c>
      <c r="C85" s="90">
        <v>0.56944444444444398</v>
      </c>
      <c r="D85" s="31" t="s">
        <v>94</v>
      </c>
      <c r="E85" s="31" t="s">
        <v>223</v>
      </c>
      <c r="F85" s="31" t="str">
        <f t="shared" si="1"/>
        <v>Ja</v>
      </c>
      <c r="G85" s="91">
        <f>IFERROR(VLOOKUP(A85,MATCHER!$A$5:$M$504,2,FALSE()),"")</f>
        <v>46347</v>
      </c>
      <c r="H85" s="92">
        <f>IFERROR(VLOOKUP(A85,MATCHER!$A$5:$M$504,3,FALSE()),"")</f>
        <v>0.56944444444444442</v>
      </c>
      <c r="I85" s="34" t="str">
        <f>IFERROR(VLOOKUP(A85,MATCHER!$A$5:$M$504,4,FALSE()),"")</f>
        <v>Råsta Park</v>
      </c>
      <c r="J85" s="34" t="str">
        <f>IF(F85&lt;&gt;"Ja","Ej aktuell",IF(COUNTIF(MATCHER!$A$5:$A$504,A85)=0,"BORTTAGEN MATCH",IF(AND(B85=G85,C85=H85,D85=I85),"Oförändrad",IF(AND(B85=G85,D85=I85),"ÄNDRAD TID","FLYTTAD MATCH"))))</f>
        <v>Oförändrad</v>
      </c>
      <c r="K85" s="34" t="str">
        <f>IF(MATCHER!A77="","",MATCHER!A77)</f>
        <v>26 6 1524 030</v>
      </c>
      <c r="L85" s="91">
        <f>IF(MATCHER!B77="","",MATCHER!B77)</f>
        <v>46347</v>
      </c>
      <c r="M85" s="92">
        <f>IF(MATCHER!C77="","",MATCHER!C77)</f>
        <v>0.56944444444444442</v>
      </c>
      <c r="N85" s="34" t="str">
        <f>IF(MATCHER!D77="","",MATCHER!D77)</f>
        <v>Råsta Park</v>
      </c>
      <c r="O85" s="34" t="str">
        <f>IF(MATCHER!E77="","",MATCHER!E77)</f>
        <v>Pojkar - P16 Öst - P16 Nivå 3 Öst</v>
      </c>
      <c r="P85" s="34" t="str">
        <f>IF(MATCHER!F77="","",MATCHER!F77)</f>
        <v>P16</v>
      </c>
      <c r="Q85" s="34" t="str">
        <f>IF(MATCHER!K77="","",MATCHER!K77)</f>
        <v>Ja</v>
      </c>
      <c r="R85" s="34" t="str">
        <f>IF(K85="","",IF(Q85&lt;&gt;"Ja","Ej aktuell",IF(P85="SAKNAS","NY KLASS",IF(MATCHER!N77&lt;&gt;"Ja",MATCHER!N77,IF(COUNTIF($A$13:$A$220,K85)=0,"NY MATCH","Matchdag finns")))))</f>
        <v>Matchdag finns</v>
      </c>
    </row>
    <row r="86" spans="1:18" ht="13">
      <c r="A86" s="31" t="s">
        <v>299</v>
      </c>
      <c r="B86" s="89">
        <v>46347</v>
      </c>
      <c r="C86" s="90">
        <v>0.47916666666666702</v>
      </c>
      <c r="D86" s="31" t="s">
        <v>110</v>
      </c>
      <c r="E86" s="31" t="s">
        <v>242</v>
      </c>
      <c r="F86" s="31" t="str">
        <f t="shared" si="1"/>
        <v>Ja</v>
      </c>
      <c r="G86" s="91">
        <f>IFERROR(VLOOKUP(A86,MATCHER!$A$5:$M$504,2,FALSE()),"")</f>
        <v>46347</v>
      </c>
      <c r="H86" s="92">
        <f>IFERROR(VLOOKUP(A86,MATCHER!$A$5:$M$504,3,FALSE()),"")</f>
        <v>0.47916666666666669</v>
      </c>
      <c r="I86" s="34" t="str">
        <f>IFERROR(VLOOKUP(A86,MATCHER!$A$5:$M$504,4,FALSE()),"")</f>
        <v>Tallbackaskolan</v>
      </c>
      <c r="J86" s="34" t="str">
        <f>IF(F86&lt;&gt;"Ja","Ej aktuell",IF(COUNTIF(MATCHER!$A$5:$A$504,A86)=0,"BORTTAGEN MATCH",IF(AND(B86=G86,C86=H86,D86=I86),"Oförändrad",IF(AND(B86=G86,D86=I86),"ÄNDRAD TID","FLYTTAD MATCH"))))</f>
        <v>Oförändrad</v>
      </c>
      <c r="K86" s="34" t="str">
        <f>IF(MATCHER!A78="","",MATCHER!A78)</f>
        <v>26 6 1573 036</v>
      </c>
      <c r="L86" s="91">
        <f>IF(MATCHER!B78="","",MATCHER!B78)</f>
        <v>46347</v>
      </c>
      <c r="M86" s="92">
        <f>IF(MATCHER!C78="","",MATCHER!C78)</f>
        <v>0.47916666666666669</v>
      </c>
      <c r="N86" s="34" t="str">
        <f>IF(MATCHER!D78="","",MATCHER!D78)</f>
        <v>Tallbackaskolan</v>
      </c>
      <c r="O86" s="34" t="str">
        <f>IF(MATCHER!E78="","",MATCHER!E78)</f>
        <v>Pojkar - P11 Öst - P11 Nivå 2 Öst City</v>
      </c>
      <c r="P86" s="34" t="str">
        <f>IF(MATCHER!F78="","",MATCHER!F78)</f>
        <v>P11</v>
      </c>
      <c r="Q86" s="34" t="str">
        <f>IF(MATCHER!K78="","",MATCHER!K78)</f>
        <v>Ja</v>
      </c>
      <c r="R86" s="34" t="str">
        <f>IF(K86="","",IF(Q86&lt;&gt;"Ja","Ej aktuell",IF(P86="SAKNAS","NY KLASS",IF(MATCHER!N78&lt;&gt;"Ja",MATCHER!N78,IF(COUNTIF($A$13:$A$220,K86)=0,"NY MATCH","Matchdag finns")))))</f>
        <v>Matchdag finns</v>
      </c>
    </row>
    <row r="87" spans="1:18" ht="13">
      <c r="A87" s="31" t="s">
        <v>300</v>
      </c>
      <c r="B87" s="89">
        <v>46347</v>
      </c>
      <c r="C87" s="90">
        <v>0.375</v>
      </c>
      <c r="D87" s="31" t="s">
        <v>86</v>
      </c>
      <c r="E87" s="31" t="s">
        <v>301</v>
      </c>
      <c r="F87" s="31" t="str">
        <f t="shared" si="1"/>
        <v>Ja</v>
      </c>
      <c r="G87" s="91">
        <f>IFERROR(VLOOKUP(A87,MATCHER!$A$5:$M$504,2,FALSE()),"")</f>
        <v>46347</v>
      </c>
      <c r="H87" s="92">
        <f>IFERROR(VLOOKUP(A87,MATCHER!$A$5:$M$504,3,FALSE()),"")</f>
        <v>0.375</v>
      </c>
      <c r="I87" s="34" t="str">
        <f>IFERROR(VLOOKUP(A87,MATCHER!$A$5:$M$504,4,FALSE()),"")</f>
        <v>Ulriksdalshallen</v>
      </c>
      <c r="J87" s="34" t="str">
        <f>IF(F87&lt;&gt;"Ja","Ej aktuell",IF(COUNTIF(MATCHER!$A$5:$A$504,A87)=0,"BORTTAGEN MATCH",IF(AND(B87=G87,C87=H87,D87=I87),"Oförändrad",IF(AND(B87=G87,D87=I87),"ÄNDRAD TID","FLYTTAD MATCH"))))</f>
        <v>Oförändrad</v>
      </c>
      <c r="K87" s="34" t="str">
        <f>IF(MATCHER!A79="","",MATCHER!A79)</f>
        <v>26 6 6626 001</v>
      </c>
      <c r="L87" s="91">
        <f>IF(MATCHER!B79="","",MATCHER!B79)</f>
        <v>46347</v>
      </c>
      <c r="M87" s="92">
        <f>IF(MATCHER!C79="","",MATCHER!C79)</f>
        <v>0.375</v>
      </c>
      <c r="N87" s="34" t="str">
        <f>IF(MATCHER!D79="","",MATCHER!D79)</f>
        <v>Ulriksdalshallen</v>
      </c>
      <c r="O87" s="34" t="str">
        <f>IF(MATCHER!E79="","",MATCHER!E79)</f>
        <v>Östbollen - P12 Öst - Omgång 2</v>
      </c>
      <c r="P87" s="34" t="str">
        <f>IF(MATCHER!F79="","",MATCHER!F79)</f>
        <v>P12</v>
      </c>
      <c r="Q87" s="34" t="str">
        <f>IF(MATCHER!K79="","",MATCHER!K79)</f>
        <v>Ja</v>
      </c>
      <c r="R87" s="34" t="str">
        <f>IF(K87="","",IF(Q87&lt;&gt;"Ja","Ej aktuell",IF(P87="SAKNAS","NY KLASS",IF(MATCHER!N79&lt;&gt;"Ja",MATCHER!N79,IF(COUNTIF($A$13:$A$220,K87)=0,"NY MATCH","Matchdag finns")))))</f>
        <v>Matchdag finns</v>
      </c>
    </row>
    <row r="88" spans="1:18" ht="13">
      <c r="A88" s="31" t="s">
        <v>302</v>
      </c>
      <c r="B88" s="89">
        <v>46347</v>
      </c>
      <c r="C88" s="90">
        <v>0.40625</v>
      </c>
      <c r="D88" s="31" t="s">
        <v>86</v>
      </c>
      <c r="E88" s="31" t="s">
        <v>301</v>
      </c>
      <c r="F88" s="31" t="str">
        <f t="shared" si="1"/>
        <v>Ja</v>
      </c>
      <c r="G88" s="91">
        <f>IFERROR(VLOOKUP(A88,MATCHER!$A$5:$M$504,2,FALSE()),"")</f>
        <v>46347</v>
      </c>
      <c r="H88" s="92">
        <f>IFERROR(VLOOKUP(A88,MATCHER!$A$5:$M$504,3,FALSE()),"")</f>
        <v>0.40625</v>
      </c>
      <c r="I88" s="34" t="str">
        <f>IFERROR(VLOOKUP(A88,MATCHER!$A$5:$M$504,4,FALSE()),"")</f>
        <v>Ulriksdalshallen</v>
      </c>
      <c r="J88" s="34" t="str">
        <f>IF(F88&lt;&gt;"Ja","Ej aktuell",IF(COUNTIF(MATCHER!$A$5:$A$504,A88)=0,"BORTTAGEN MATCH",IF(AND(B88=G88,C88=H88,D88=I88),"Oförändrad",IF(AND(B88=G88,D88=I88),"ÄNDRAD TID","FLYTTAD MATCH"))))</f>
        <v>Oförändrad</v>
      </c>
      <c r="K88" s="34" t="str">
        <f>IF(MATCHER!A80="","",MATCHER!A80)</f>
        <v>26 6 6626 002</v>
      </c>
      <c r="L88" s="91">
        <f>IF(MATCHER!B80="","",MATCHER!B80)</f>
        <v>46347</v>
      </c>
      <c r="M88" s="92">
        <f>IF(MATCHER!C80="","",MATCHER!C80)</f>
        <v>0.40625</v>
      </c>
      <c r="N88" s="34" t="str">
        <f>IF(MATCHER!D80="","",MATCHER!D80)</f>
        <v>Ulriksdalshallen</v>
      </c>
      <c r="O88" s="34" t="str">
        <f>IF(MATCHER!E80="","",MATCHER!E80)</f>
        <v>Östbollen - P12 Öst - Omgång 2</v>
      </c>
      <c r="P88" s="34" t="str">
        <f>IF(MATCHER!F80="","",MATCHER!F80)</f>
        <v>P12</v>
      </c>
      <c r="Q88" s="34" t="str">
        <f>IF(MATCHER!K80="","",MATCHER!K80)</f>
        <v>Ja</v>
      </c>
      <c r="R88" s="34" t="str">
        <f>IF(K88="","",IF(Q88&lt;&gt;"Ja","Ej aktuell",IF(P88="SAKNAS","NY KLASS",IF(MATCHER!N80&lt;&gt;"Ja",MATCHER!N80,IF(COUNTIF($A$13:$A$220,K88)=0,"NY MATCH","Matchdag finns")))))</f>
        <v>Matchdag finns</v>
      </c>
    </row>
    <row r="89" spans="1:18" ht="13">
      <c r="A89" s="31" t="s">
        <v>303</v>
      </c>
      <c r="B89" s="89">
        <v>46347</v>
      </c>
      <c r="C89" s="90">
        <v>0.45833333333333298</v>
      </c>
      <c r="D89" s="31" t="s">
        <v>86</v>
      </c>
      <c r="E89" s="31" t="s">
        <v>301</v>
      </c>
      <c r="F89" s="31" t="str">
        <f t="shared" si="1"/>
        <v>Ja</v>
      </c>
      <c r="G89" s="91">
        <f>IFERROR(VLOOKUP(A89,MATCHER!$A$5:$M$504,2,FALSE()),"")</f>
        <v>46347</v>
      </c>
      <c r="H89" s="92">
        <f>IFERROR(VLOOKUP(A89,MATCHER!$A$5:$M$504,3,FALSE()),"")</f>
        <v>0.45833333333333331</v>
      </c>
      <c r="I89" s="34" t="str">
        <f>IFERROR(VLOOKUP(A89,MATCHER!$A$5:$M$504,4,FALSE()),"")</f>
        <v>Ulriksdalshallen</v>
      </c>
      <c r="J89" s="34" t="str">
        <f>IF(F89&lt;&gt;"Ja","Ej aktuell",IF(COUNTIF(MATCHER!$A$5:$A$504,A89)=0,"BORTTAGEN MATCH",IF(AND(B89=G89,C89=H89,D89=I89),"Oförändrad",IF(AND(B89=G89,D89=I89),"ÄNDRAD TID","FLYTTAD MATCH"))))</f>
        <v>Oförändrad</v>
      </c>
      <c r="K89" s="34" t="str">
        <f>IF(MATCHER!A81="","",MATCHER!A81)</f>
        <v>26 6 6626 003</v>
      </c>
      <c r="L89" s="91">
        <f>IF(MATCHER!B81="","",MATCHER!B81)</f>
        <v>46347</v>
      </c>
      <c r="M89" s="92">
        <f>IF(MATCHER!C81="","",MATCHER!C81)</f>
        <v>0.45833333333333331</v>
      </c>
      <c r="N89" s="34" t="str">
        <f>IF(MATCHER!D81="","",MATCHER!D81)</f>
        <v>Ulriksdalshallen</v>
      </c>
      <c r="O89" s="34" t="str">
        <f>IF(MATCHER!E81="","",MATCHER!E81)</f>
        <v>Östbollen - P12 Öst - Omgång 2</v>
      </c>
      <c r="P89" s="34" t="str">
        <f>IF(MATCHER!F81="","",MATCHER!F81)</f>
        <v>P12</v>
      </c>
      <c r="Q89" s="34" t="str">
        <f>IF(MATCHER!K81="","",MATCHER!K81)</f>
        <v>Ja</v>
      </c>
      <c r="R89" s="34" t="str">
        <f>IF(K89="","",IF(Q89&lt;&gt;"Ja","Ej aktuell",IF(P89="SAKNAS","NY KLASS",IF(MATCHER!N81&lt;&gt;"Ja",MATCHER!N81,IF(COUNTIF($A$13:$A$220,K89)=0,"NY MATCH","Matchdag finns")))))</f>
        <v>Matchdag finns</v>
      </c>
    </row>
    <row r="90" spans="1:18" ht="13">
      <c r="A90" s="31" t="s">
        <v>304</v>
      </c>
      <c r="B90" s="89">
        <v>46347</v>
      </c>
      <c r="C90" s="90">
        <v>0.48958333333333298</v>
      </c>
      <c r="D90" s="31" t="s">
        <v>86</v>
      </c>
      <c r="E90" s="31" t="s">
        <v>301</v>
      </c>
      <c r="F90" s="31" t="str">
        <f t="shared" si="1"/>
        <v>Ja</v>
      </c>
      <c r="G90" s="91">
        <f>IFERROR(VLOOKUP(A90,MATCHER!$A$5:$M$504,2,FALSE()),"")</f>
        <v>46347</v>
      </c>
      <c r="H90" s="92">
        <f>IFERROR(VLOOKUP(A90,MATCHER!$A$5:$M$504,3,FALSE()),"")</f>
        <v>0.48958333333333331</v>
      </c>
      <c r="I90" s="34" t="str">
        <f>IFERROR(VLOOKUP(A90,MATCHER!$A$5:$M$504,4,FALSE()),"")</f>
        <v>Ulriksdalshallen</v>
      </c>
      <c r="J90" s="34" t="str">
        <f>IF(F90&lt;&gt;"Ja","Ej aktuell",IF(COUNTIF(MATCHER!$A$5:$A$504,A90)=0,"BORTTAGEN MATCH",IF(AND(B90=G90,C90=H90,D90=I90),"Oförändrad",IF(AND(B90=G90,D90=I90),"ÄNDRAD TID","FLYTTAD MATCH"))))</f>
        <v>Oförändrad</v>
      </c>
      <c r="K90" s="34" t="str">
        <f>IF(MATCHER!A82="","",MATCHER!A82)</f>
        <v>26 6 6626 004</v>
      </c>
      <c r="L90" s="91">
        <f>IF(MATCHER!B82="","",MATCHER!B82)</f>
        <v>46347</v>
      </c>
      <c r="M90" s="92">
        <f>IF(MATCHER!C82="","",MATCHER!C82)</f>
        <v>0.48958333333333331</v>
      </c>
      <c r="N90" s="34" t="str">
        <f>IF(MATCHER!D82="","",MATCHER!D82)</f>
        <v>Ulriksdalshallen</v>
      </c>
      <c r="O90" s="34" t="str">
        <f>IF(MATCHER!E82="","",MATCHER!E82)</f>
        <v>Östbollen - P12 Öst - Omgång 2</v>
      </c>
      <c r="P90" s="34" t="str">
        <f>IF(MATCHER!F82="","",MATCHER!F82)</f>
        <v>P12</v>
      </c>
      <c r="Q90" s="34" t="str">
        <f>IF(MATCHER!K82="","",MATCHER!K82)</f>
        <v>Ja</v>
      </c>
      <c r="R90" s="34" t="str">
        <f>IF(K90="","",IF(Q90&lt;&gt;"Ja","Ej aktuell",IF(P90="SAKNAS","NY KLASS",IF(MATCHER!N82&lt;&gt;"Ja",MATCHER!N82,IF(COUNTIF($A$13:$A$220,K90)=0,"NY MATCH","Matchdag finns")))))</f>
        <v>Matchdag finns</v>
      </c>
    </row>
    <row r="91" spans="1:18" ht="13">
      <c r="A91" s="31" t="s">
        <v>305</v>
      </c>
      <c r="B91" s="89">
        <v>46347</v>
      </c>
      <c r="C91" s="90">
        <v>0.54166666666666696</v>
      </c>
      <c r="D91" s="31" t="s">
        <v>86</v>
      </c>
      <c r="E91" s="31" t="s">
        <v>301</v>
      </c>
      <c r="F91" s="31" t="str">
        <f t="shared" si="1"/>
        <v>Ja</v>
      </c>
      <c r="G91" s="91">
        <f>IFERROR(VLOOKUP(A91,MATCHER!$A$5:$M$504,2,FALSE()),"")</f>
        <v>46347</v>
      </c>
      <c r="H91" s="92">
        <f>IFERROR(VLOOKUP(A91,MATCHER!$A$5:$M$504,3,FALSE()),"")</f>
        <v>0.54166666666666663</v>
      </c>
      <c r="I91" s="34" t="str">
        <f>IFERROR(VLOOKUP(A91,MATCHER!$A$5:$M$504,4,FALSE()),"")</f>
        <v>Ulriksdalshallen</v>
      </c>
      <c r="J91" s="34" t="str">
        <f>IF(F91&lt;&gt;"Ja","Ej aktuell",IF(COUNTIF(MATCHER!$A$5:$A$504,A91)=0,"BORTTAGEN MATCH",IF(AND(B91=G91,C91=H91,D91=I91),"Oförändrad",IF(AND(B91=G91,D91=I91),"ÄNDRAD TID","FLYTTAD MATCH"))))</f>
        <v>Oförändrad</v>
      </c>
      <c r="K91" s="34" t="str">
        <f>IF(MATCHER!A83="","",MATCHER!A83)</f>
        <v>26 6 6626 005</v>
      </c>
      <c r="L91" s="91">
        <f>IF(MATCHER!B83="","",MATCHER!B83)</f>
        <v>46347</v>
      </c>
      <c r="M91" s="92">
        <f>IF(MATCHER!C83="","",MATCHER!C83)</f>
        <v>0.54166666666666663</v>
      </c>
      <c r="N91" s="34" t="str">
        <f>IF(MATCHER!D83="","",MATCHER!D83)</f>
        <v>Ulriksdalshallen</v>
      </c>
      <c r="O91" s="34" t="str">
        <f>IF(MATCHER!E83="","",MATCHER!E83)</f>
        <v>Östbollen - P12 Öst - Omgång 2</v>
      </c>
      <c r="P91" s="34" t="str">
        <f>IF(MATCHER!F83="","",MATCHER!F83)</f>
        <v>P12</v>
      </c>
      <c r="Q91" s="34" t="str">
        <f>IF(MATCHER!K83="","",MATCHER!K83)</f>
        <v>Ja</v>
      </c>
      <c r="R91" s="34" t="str">
        <f>IF(K91="","",IF(Q91&lt;&gt;"Ja","Ej aktuell",IF(P91="SAKNAS","NY KLASS",IF(MATCHER!N83&lt;&gt;"Ja",MATCHER!N83,IF(COUNTIF($A$13:$A$220,K91)=0,"NY MATCH","Matchdag finns")))))</f>
        <v>Matchdag finns</v>
      </c>
    </row>
    <row r="92" spans="1:18" ht="13">
      <c r="A92" s="31" t="s">
        <v>306</v>
      </c>
      <c r="B92" s="89">
        <v>46347</v>
      </c>
      <c r="C92" s="90">
        <v>0.57291666666666696</v>
      </c>
      <c r="D92" s="31" t="s">
        <v>86</v>
      </c>
      <c r="E92" s="31" t="s">
        <v>301</v>
      </c>
      <c r="F92" s="31" t="str">
        <f t="shared" si="1"/>
        <v>Ja</v>
      </c>
      <c r="G92" s="91">
        <f>IFERROR(VLOOKUP(A92,MATCHER!$A$5:$M$504,2,FALSE()),"")</f>
        <v>46347</v>
      </c>
      <c r="H92" s="92">
        <f>IFERROR(VLOOKUP(A92,MATCHER!$A$5:$M$504,3,FALSE()),"")</f>
        <v>0.57291666666666663</v>
      </c>
      <c r="I92" s="34" t="str">
        <f>IFERROR(VLOOKUP(A92,MATCHER!$A$5:$M$504,4,FALSE()),"")</f>
        <v>Ulriksdalshallen</v>
      </c>
      <c r="J92" s="34" t="str">
        <f>IF(F92&lt;&gt;"Ja","Ej aktuell",IF(COUNTIF(MATCHER!$A$5:$A$504,A92)=0,"BORTTAGEN MATCH",IF(AND(B92=G92,C92=H92,D92=I92),"Oförändrad",IF(AND(B92=G92,D92=I92),"ÄNDRAD TID","FLYTTAD MATCH"))))</f>
        <v>Oförändrad</v>
      </c>
      <c r="K92" s="34" t="str">
        <f>IF(MATCHER!A84="","",MATCHER!A84)</f>
        <v>26 6 6626 006</v>
      </c>
      <c r="L92" s="91">
        <f>IF(MATCHER!B84="","",MATCHER!B84)</f>
        <v>46347</v>
      </c>
      <c r="M92" s="92">
        <f>IF(MATCHER!C84="","",MATCHER!C84)</f>
        <v>0.57291666666666663</v>
      </c>
      <c r="N92" s="34" t="str">
        <f>IF(MATCHER!D84="","",MATCHER!D84)</f>
        <v>Ulriksdalshallen</v>
      </c>
      <c r="O92" s="34" t="str">
        <f>IF(MATCHER!E84="","",MATCHER!E84)</f>
        <v>Östbollen - P12 Öst - Omgång 2</v>
      </c>
      <c r="P92" s="34" t="str">
        <f>IF(MATCHER!F84="","",MATCHER!F84)</f>
        <v>P12</v>
      </c>
      <c r="Q92" s="34" t="str">
        <f>IF(MATCHER!K84="","",MATCHER!K84)</f>
        <v>Ja</v>
      </c>
      <c r="R92" s="34" t="str">
        <f>IF(K92="","",IF(Q92&lt;&gt;"Ja","Ej aktuell",IF(P92="SAKNAS","NY KLASS",IF(MATCHER!N84&lt;&gt;"Ja",MATCHER!N84,IF(COUNTIF($A$13:$A$220,K92)=0,"NY MATCH","Matchdag finns")))))</f>
        <v>Matchdag finns</v>
      </c>
    </row>
    <row r="93" spans="1:18" ht="13">
      <c r="A93" s="31" t="s">
        <v>307</v>
      </c>
      <c r="B93" s="89">
        <v>46347</v>
      </c>
      <c r="C93" s="90">
        <v>0.61458333333333304</v>
      </c>
      <c r="D93" s="31" t="s">
        <v>86</v>
      </c>
      <c r="E93" s="31" t="s">
        <v>219</v>
      </c>
      <c r="F93" s="31" t="str">
        <f t="shared" si="1"/>
        <v>Ja</v>
      </c>
      <c r="G93" s="91">
        <f>IFERROR(VLOOKUP(A93,MATCHER!$A$5:$M$504,2,FALSE()),"")</f>
        <v>46347</v>
      </c>
      <c r="H93" s="92">
        <f>IFERROR(VLOOKUP(A93,MATCHER!$A$5:$M$504,3,FALSE()),"")</f>
        <v>0.61458333333333337</v>
      </c>
      <c r="I93" s="34" t="str">
        <f>IFERROR(VLOOKUP(A93,MATCHER!$A$5:$M$504,4,FALSE()),"")</f>
        <v>Ulriksdalshallen</v>
      </c>
      <c r="J93" s="34" t="str">
        <f>IF(F93&lt;&gt;"Ja","Ej aktuell",IF(COUNTIF(MATCHER!$A$5:$A$504,A93)=0,"BORTTAGEN MATCH",IF(AND(B93=G93,C93=H93,D93=I93),"Oförändrad",IF(AND(B93=G93,D93=I93),"ÄNDRAD TID","FLYTTAD MATCH"))))</f>
        <v>Oförändrad</v>
      </c>
      <c r="K93" s="34" t="str">
        <f>IF(MATCHER!A85="","",MATCHER!A85)</f>
        <v>26 6 1351 021</v>
      </c>
      <c r="L93" s="91">
        <f>IF(MATCHER!B85="","",MATCHER!B85)</f>
        <v>46347</v>
      </c>
      <c r="M93" s="92">
        <f>IF(MATCHER!C85="","",MATCHER!C85)</f>
        <v>0.61458333333333337</v>
      </c>
      <c r="N93" s="34" t="str">
        <f>IF(MATCHER!D85="","",MATCHER!D85)</f>
        <v>Ulriksdalshallen</v>
      </c>
      <c r="O93" s="34" t="str">
        <f>IF(MATCHER!E85="","",MATCHER!E85)</f>
        <v>Flickor - F13 Öst - F13 Nivå 1 Öst</v>
      </c>
      <c r="P93" s="34" t="str">
        <f>IF(MATCHER!F85="","",MATCHER!F85)</f>
        <v>F13</v>
      </c>
      <c r="Q93" s="34" t="str">
        <f>IF(MATCHER!K85="","",MATCHER!K85)</f>
        <v>Ja</v>
      </c>
      <c r="R93" s="34" t="str">
        <f>IF(K93="","",IF(Q93&lt;&gt;"Ja","Ej aktuell",IF(P93="SAKNAS","NY KLASS",IF(MATCHER!N85&lt;&gt;"Ja",MATCHER!N85,IF(COUNTIF($A$13:$A$220,K93)=0,"NY MATCH","Matchdag finns")))))</f>
        <v>Matchdag finns</v>
      </c>
    </row>
    <row r="94" spans="1:18" ht="13">
      <c r="A94" s="31" t="s">
        <v>308</v>
      </c>
      <c r="B94" s="89">
        <v>46347</v>
      </c>
      <c r="C94" s="90">
        <v>0.66666666666666696</v>
      </c>
      <c r="D94" s="31" t="s">
        <v>86</v>
      </c>
      <c r="E94" s="31" t="s">
        <v>229</v>
      </c>
      <c r="F94" s="31" t="str">
        <f t="shared" si="1"/>
        <v>Ja</v>
      </c>
      <c r="G94" s="91">
        <f>IFERROR(VLOOKUP(A94,MATCHER!$A$5:$M$504,2,FALSE()),"")</f>
        <v>46347</v>
      </c>
      <c r="H94" s="92">
        <f>IFERROR(VLOOKUP(A94,MATCHER!$A$5:$M$504,3,FALSE()),"")</f>
        <v>0.66666666666666663</v>
      </c>
      <c r="I94" s="34" t="str">
        <f>IFERROR(VLOOKUP(A94,MATCHER!$A$5:$M$504,4,FALSE()),"")</f>
        <v>Ulriksdalshallen</v>
      </c>
      <c r="J94" s="34" t="str">
        <f>IF(F94&lt;&gt;"Ja","Ej aktuell",IF(COUNTIF(MATCHER!$A$5:$A$504,A94)=0,"BORTTAGEN MATCH",IF(AND(B94=G94,C94=H94,D94=I94),"Oförändrad",IF(AND(B94=G94,D94=I94),"ÄNDRAD TID","FLYTTAD MATCH"))))</f>
        <v>Oförändrad</v>
      </c>
      <c r="K94" s="34" t="str">
        <f>IF(MATCHER!A86="","",MATCHER!A86)</f>
        <v>26 6 1343 017</v>
      </c>
      <c r="L94" s="91">
        <f>IF(MATCHER!B86="","",MATCHER!B86)</f>
        <v>46347</v>
      </c>
      <c r="M94" s="92">
        <f>IF(MATCHER!C86="","",MATCHER!C86)</f>
        <v>0.66666666666666663</v>
      </c>
      <c r="N94" s="34" t="str">
        <f>IF(MATCHER!D86="","",MATCHER!D86)</f>
        <v>Ulriksdalshallen</v>
      </c>
      <c r="O94" s="34" t="str">
        <f>IF(MATCHER!E86="","",MATCHER!E86)</f>
        <v>Flickor - F14 Öst - F14 Nivå 2 Öst Norra</v>
      </c>
      <c r="P94" s="34" t="str">
        <f>IF(MATCHER!F86="","",MATCHER!F86)</f>
        <v>F14</v>
      </c>
      <c r="Q94" s="34" t="str">
        <f>IF(MATCHER!K86="","",MATCHER!K86)</f>
        <v>Ja</v>
      </c>
      <c r="R94" s="34" t="str">
        <f>IF(K94="","",IF(Q94&lt;&gt;"Ja","Ej aktuell",IF(P94="SAKNAS","NY KLASS",IF(MATCHER!N86&lt;&gt;"Ja",MATCHER!N86,IF(COUNTIF($A$13:$A$220,K94)=0,"NY MATCH","Matchdag finns")))))</f>
        <v>Matchdag finns</v>
      </c>
    </row>
    <row r="95" spans="1:18" ht="13">
      <c r="A95" s="31" t="s">
        <v>309</v>
      </c>
      <c r="B95" s="89">
        <v>46348</v>
      </c>
      <c r="C95" s="90">
        <v>0.41666666666666702</v>
      </c>
      <c r="D95" s="31" t="s">
        <v>212</v>
      </c>
      <c r="E95" s="31" t="s">
        <v>246</v>
      </c>
      <c r="F95" s="31" t="str">
        <f t="shared" si="1"/>
        <v>Nej</v>
      </c>
      <c r="G95" s="91">
        <f>IFERROR(VLOOKUP(A95,MATCHER!$A$5:$M$504,2,FALSE()),"")</f>
        <v>46348</v>
      </c>
      <c r="H95" s="92">
        <f>IFERROR(VLOOKUP(A95,MATCHER!$A$5:$M$504,3,FALSE()),"")</f>
        <v>0.41666666666666669</v>
      </c>
      <c r="I95" s="34" t="str">
        <f>IFERROR(VLOOKUP(A95,MATCHER!$A$5:$M$504,4,FALSE()),"")</f>
        <v>Solnahallen</v>
      </c>
      <c r="J95" s="34" t="str">
        <f>IF(F95&lt;&gt;"Ja","Ej aktuell",IF(COUNTIF(MATCHER!$A$5:$A$504,A95)=0,"BORTTAGEN MATCH",IF(AND(B95=G95,C95=H95,D95=I95),"Oförändrad",IF(AND(B95=G95,D95=I95),"ÄNDRAD TID","FLYTTAD MATCH"))))</f>
        <v>Ej aktuell</v>
      </c>
      <c r="K95" s="34" t="str">
        <f>IF(MATCHER!A87="","",MATCHER!A87)</f>
        <v>26 6 1141 026</v>
      </c>
      <c r="L95" s="91">
        <f>IF(MATCHER!B87="","",MATCHER!B87)</f>
        <v>46348</v>
      </c>
      <c r="M95" s="92">
        <f>IF(MATCHER!C87="","",MATCHER!C87)</f>
        <v>0.41666666666666669</v>
      </c>
      <c r="N95" s="34" t="str">
        <f>IF(MATCHER!D87="","",MATCHER!D87)</f>
        <v>Solnahallen</v>
      </c>
      <c r="O95" s="34" t="str">
        <f>IF(MATCHER!E87="","",MATCHER!E87)</f>
        <v>Damer - Dam 4 Öst - Dam 4 Öst Norra</v>
      </c>
      <c r="P95" s="34" t="str">
        <f>IF(MATCHER!F87="","",MATCHER!F87)</f>
        <v>Dam</v>
      </c>
      <c r="Q95" s="34" t="str">
        <f>IF(MATCHER!K87="","",MATCHER!K87)</f>
        <v>Nej</v>
      </c>
      <c r="R95" s="34" t="str">
        <f>IF(K95="","",IF(Q95&lt;&gt;"Ja","Ej aktuell",IF(P95="SAKNAS","NY KLASS",IF(MATCHER!N87&lt;&gt;"Ja",MATCHER!N87,IF(COUNTIF($A$13:$A$220,K95)=0,"NY MATCH","Matchdag finns")))))</f>
        <v>Ej aktuell</v>
      </c>
    </row>
    <row r="96" spans="1:18" ht="13">
      <c r="A96" s="31" t="s">
        <v>310</v>
      </c>
      <c r="B96" s="89">
        <v>46354</v>
      </c>
      <c r="C96" s="90">
        <v>0.48958333333333298</v>
      </c>
      <c r="D96" s="31" t="s">
        <v>94</v>
      </c>
      <c r="E96" s="31" t="s">
        <v>280</v>
      </c>
      <c r="F96" s="31" t="str">
        <f t="shared" si="1"/>
        <v>Ja</v>
      </c>
      <c r="G96" s="91">
        <f>IFERROR(VLOOKUP(A96,MATCHER!$A$5:$M$504,2,FALSE()),"")</f>
        <v>46354</v>
      </c>
      <c r="H96" s="92">
        <f>IFERROR(VLOOKUP(A96,MATCHER!$A$5:$M$504,3,FALSE()),"")</f>
        <v>0.48958333333333331</v>
      </c>
      <c r="I96" s="34" t="str">
        <f>IFERROR(VLOOKUP(A96,MATCHER!$A$5:$M$504,4,FALSE()),"")</f>
        <v>Råsta Park</v>
      </c>
      <c r="J96" s="34" t="str">
        <f>IF(F96&lt;&gt;"Ja","Ej aktuell",IF(COUNTIF(MATCHER!$A$5:$A$504,A96)=0,"BORTTAGEN MATCH",IF(AND(B96=G96,C96=H96,D96=I96),"Oförändrad",IF(AND(B96=G96,D96=I96),"ÄNDRAD TID","FLYTTAD MATCH"))))</f>
        <v>Oförändrad</v>
      </c>
      <c r="K96" s="34" t="str">
        <f>IF(MATCHER!A88="","",MATCHER!A88)</f>
        <v>26 6 1324 031</v>
      </c>
      <c r="L96" s="91">
        <f>IF(MATCHER!B88="","",MATCHER!B88)</f>
        <v>46354</v>
      </c>
      <c r="M96" s="92">
        <f>IF(MATCHER!C88="","",MATCHER!C88)</f>
        <v>0.48958333333333331</v>
      </c>
      <c r="N96" s="34" t="str">
        <f>IF(MATCHER!D88="","",MATCHER!D88)</f>
        <v>Råsta Park</v>
      </c>
      <c r="O96" s="34" t="str">
        <f>IF(MATCHER!E88="","",MATCHER!E88)</f>
        <v>Flickor - F16 Öst - F16 Nivå 3 Öst</v>
      </c>
      <c r="P96" s="34" t="str">
        <f>IF(MATCHER!F88="","",MATCHER!F88)</f>
        <v>F16</v>
      </c>
      <c r="Q96" s="34" t="str">
        <f>IF(MATCHER!K88="","",MATCHER!K88)</f>
        <v>Ja</v>
      </c>
      <c r="R96" s="34" t="str">
        <f>IF(K96="","",IF(Q96&lt;&gt;"Ja","Ej aktuell",IF(P96="SAKNAS","NY KLASS",IF(MATCHER!N88&lt;&gt;"Ja",MATCHER!N88,IF(COUNTIF($A$13:$A$220,K96)=0,"NY MATCH","Matchdag finns")))))</f>
        <v>Matchdag finns</v>
      </c>
    </row>
    <row r="97" spans="1:18" ht="13">
      <c r="A97" s="31" t="s">
        <v>311</v>
      </c>
      <c r="B97" s="89">
        <v>46354</v>
      </c>
      <c r="C97" s="90">
        <v>0.5625</v>
      </c>
      <c r="D97" s="31" t="s">
        <v>94</v>
      </c>
      <c r="E97" s="31" t="s">
        <v>234</v>
      </c>
      <c r="F97" s="31" t="str">
        <f t="shared" si="1"/>
        <v>Ja</v>
      </c>
      <c r="G97" s="91">
        <f>IFERROR(VLOOKUP(A97,MATCHER!$A$5:$M$504,2,FALSE()),"")</f>
        <v>46354</v>
      </c>
      <c r="H97" s="92">
        <f>IFERROR(VLOOKUP(A97,MATCHER!$A$5:$M$504,3,FALSE()),"")</f>
        <v>0.5625</v>
      </c>
      <c r="I97" s="34" t="str">
        <f>IFERROR(VLOOKUP(A97,MATCHER!$A$5:$M$504,4,FALSE()),"")</f>
        <v>Råsta Park</v>
      </c>
      <c r="J97" s="34" t="str">
        <f>IF(F97&lt;&gt;"Ja","Ej aktuell",IF(COUNTIF(MATCHER!$A$5:$A$504,A97)=0,"BORTTAGEN MATCH",IF(AND(B97=G97,C97=H97,D97=I97),"Oförändrad",IF(AND(B97=G97,D97=I97),"ÄNDRAD TID","FLYTTAD MATCH"))))</f>
        <v>Oförändrad</v>
      </c>
      <c r="K97" s="34" t="str">
        <f>IF(MATCHER!A89="","",MATCHER!A89)</f>
        <v>26 6 1221 050</v>
      </c>
      <c r="L97" s="91">
        <f>IF(MATCHER!B89="","",MATCHER!B89)</f>
        <v>46354</v>
      </c>
      <c r="M97" s="92">
        <f>IF(MATCHER!C89="","",MATCHER!C89)</f>
        <v>0.5625</v>
      </c>
      <c r="N97" s="34" t="str">
        <f>IF(MATCHER!D89="","",MATCHER!D89)</f>
        <v>Råsta Park</v>
      </c>
      <c r="O97" s="34" t="str">
        <f>IF(MATCHER!E89="","",MATCHER!E89)</f>
        <v>Herrar - Herr 2 Öst</v>
      </c>
      <c r="P97" s="34" t="str">
        <f>IF(MATCHER!F89="","",MATCHER!F89)</f>
        <v>Herr</v>
      </c>
      <c r="Q97" s="34" t="str">
        <f>IF(MATCHER!K89="","",MATCHER!K89)</f>
        <v>Ja</v>
      </c>
      <c r="R97" s="34" t="str">
        <f>IF(K97="","",IF(Q97&lt;&gt;"Ja","Ej aktuell",IF(P97="SAKNAS","NY KLASS",IF(MATCHER!N89&lt;&gt;"Ja",MATCHER!N89,IF(COUNTIF($A$13:$A$220,K97)=0,"NY MATCH","Matchdag finns")))))</f>
        <v>Matchdag finns</v>
      </c>
    </row>
    <row r="98" spans="1:18" ht="13">
      <c r="A98" s="31" t="s">
        <v>312</v>
      </c>
      <c r="B98" s="89">
        <v>46354</v>
      </c>
      <c r="C98" s="90">
        <v>0.375</v>
      </c>
      <c r="D98" s="31" t="s">
        <v>110</v>
      </c>
      <c r="E98" s="31" t="s">
        <v>268</v>
      </c>
      <c r="F98" s="31" t="str">
        <f t="shared" si="1"/>
        <v>Ja</v>
      </c>
      <c r="G98" s="91">
        <f>IFERROR(VLOOKUP(A98,MATCHER!$A$5:$M$504,2,FALSE()),"")</f>
        <v>46354</v>
      </c>
      <c r="H98" s="92">
        <f>IFERROR(VLOOKUP(A98,MATCHER!$A$5:$M$504,3,FALSE()),"")</f>
        <v>0.375</v>
      </c>
      <c r="I98" s="34" t="str">
        <f>IFERROR(VLOOKUP(A98,MATCHER!$A$5:$M$504,4,FALSE()),"")</f>
        <v>Tallbackaskolan</v>
      </c>
      <c r="J98" s="34" t="str">
        <f>IF(F98&lt;&gt;"Ja","Ej aktuell",IF(COUNTIF(MATCHER!$A$5:$A$504,A98)=0,"BORTTAGEN MATCH",IF(AND(B98=G98,C98=H98,D98=I98),"Oförändrad",IF(AND(B98=G98,D98=I98),"ÄNDRAD TID","FLYTTAD MATCH"))))</f>
        <v>Oförändrad</v>
      </c>
      <c r="K98" s="34" t="str">
        <f>IF(MATCHER!A90="","",MATCHER!A90)</f>
        <v>26 6 1562 040</v>
      </c>
      <c r="L98" s="91">
        <f>IF(MATCHER!B90="","",MATCHER!B90)</f>
        <v>46354</v>
      </c>
      <c r="M98" s="92">
        <f>IF(MATCHER!C90="","",MATCHER!C90)</f>
        <v>0.375</v>
      </c>
      <c r="N98" s="34" t="str">
        <f>IF(MATCHER!D90="","",MATCHER!D90)</f>
        <v>Tallbackaskolan</v>
      </c>
      <c r="O98" s="34" t="str">
        <f>IF(MATCHER!E90="","",MATCHER!E90)</f>
        <v>Pojkar - P12 Öst - P12 Nivå 2 Öst Norra</v>
      </c>
      <c r="P98" s="34" t="str">
        <f>IF(MATCHER!F90="","",MATCHER!F90)</f>
        <v>P12</v>
      </c>
      <c r="Q98" s="34" t="str">
        <f>IF(MATCHER!K90="","",MATCHER!K90)</f>
        <v>Ja</v>
      </c>
      <c r="R98" s="34" t="str">
        <f>IF(K98="","",IF(Q98&lt;&gt;"Ja","Ej aktuell",IF(P98="SAKNAS","NY KLASS",IF(MATCHER!N90&lt;&gt;"Ja",MATCHER!N90,IF(COUNTIF($A$13:$A$220,K98)=0,"NY MATCH","Matchdag finns")))))</f>
        <v>Matchdag finns</v>
      </c>
    </row>
    <row r="99" spans="1:18" ht="13">
      <c r="A99" s="31" t="s">
        <v>313</v>
      </c>
      <c r="B99" s="89">
        <v>46354</v>
      </c>
      <c r="C99" s="90">
        <v>0.41666666666666702</v>
      </c>
      <c r="D99" s="31" t="s">
        <v>110</v>
      </c>
      <c r="E99" s="31" t="s">
        <v>268</v>
      </c>
      <c r="F99" s="31" t="str">
        <f t="shared" si="1"/>
        <v>Ja</v>
      </c>
      <c r="G99" s="91">
        <f>IFERROR(VLOOKUP(A99,MATCHER!$A$5:$M$504,2,FALSE()),"")</f>
        <v>46354</v>
      </c>
      <c r="H99" s="92">
        <f>IFERROR(VLOOKUP(A99,MATCHER!$A$5:$M$504,3,FALSE()),"")</f>
        <v>0.41666666666666669</v>
      </c>
      <c r="I99" s="34" t="str">
        <f>IFERROR(VLOOKUP(A99,MATCHER!$A$5:$M$504,4,FALSE()),"")</f>
        <v>Tallbackaskolan</v>
      </c>
      <c r="J99" s="34" t="str">
        <f>IF(F99&lt;&gt;"Ja","Ej aktuell",IF(COUNTIF(MATCHER!$A$5:$A$504,A99)=0,"BORTTAGEN MATCH",IF(AND(B99=G99,C99=H99,D99=I99),"Oförändrad",IF(AND(B99=G99,D99=I99),"ÄNDRAD TID","FLYTTAD MATCH"))))</f>
        <v>Oförändrad</v>
      </c>
      <c r="K99" s="34" t="str">
        <f>IF(MATCHER!A91="","",MATCHER!A91)</f>
        <v>26 6 1562 039</v>
      </c>
      <c r="L99" s="91">
        <f>IF(MATCHER!B91="","",MATCHER!B91)</f>
        <v>46354</v>
      </c>
      <c r="M99" s="92">
        <f>IF(MATCHER!C91="","",MATCHER!C91)</f>
        <v>0.41666666666666669</v>
      </c>
      <c r="N99" s="34" t="str">
        <f>IF(MATCHER!D91="","",MATCHER!D91)</f>
        <v>Tallbackaskolan</v>
      </c>
      <c r="O99" s="34" t="str">
        <f>IF(MATCHER!E91="","",MATCHER!E91)</f>
        <v>Pojkar - P12 Öst - P12 Nivå 2 Öst Norra</v>
      </c>
      <c r="P99" s="34" t="str">
        <f>IF(MATCHER!F91="","",MATCHER!F91)</f>
        <v>P12</v>
      </c>
      <c r="Q99" s="34" t="str">
        <f>IF(MATCHER!K91="","",MATCHER!K91)</f>
        <v>Ja</v>
      </c>
      <c r="R99" s="34" t="str">
        <f>IF(K99="","",IF(Q99&lt;&gt;"Ja","Ej aktuell",IF(P99="SAKNAS","NY KLASS",IF(MATCHER!N91&lt;&gt;"Ja",MATCHER!N91,IF(COUNTIF($A$13:$A$220,K99)=0,"NY MATCH","Matchdag finns")))))</f>
        <v>Matchdag finns</v>
      </c>
    </row>
    <row r="100" spans="1:18" ht="13">
      <c r="A100" s="31" t="s">
        <v>314</v>
      </c>
      <c r="B100" s="89">
        <v>46354</v>
      </c>
      <c r="C100" s="90">
        <v>0.45833333333333298</v>
      </c>
      <c r="D100" s="31" t="s">
        <v>110</v>
      </c>
      <c r="E100" s="31" t="s">
        <v>268</v>
      </c>
      <c r="F100" s="31" t="str">
        <f t="shared" si="1"/>
        <v>Ja</v>
      </c>
      <c r="G100" s="91">
        <f>IFERROR(VLOOKUP(A100,MATCHER!$A$5:$M$504,2,FALSE()),"")</f>
        <v>46354</v>
      </c>
      <c r="H100" s="92">
        <f>IFERROR(VLOOKUP(A100,MATCHER!$A$5:$M$504,3,FALSE()),"")</f>
        <v>0.45833333333333331</v>
      </c>
      <c r="I100" s="34" t="str">
        <f>IFERROR(VLOOKUP(A100,MATCHER!$A$5:$M$504,4,FALSE()),"")</f>
        <v>Tallbackaskolan</v>
      </c>
      <c r="J100" s="34" t="str">
        <f>IF(F100&lt;&gt;"Ja","Ej aktuell",IF(COUNTIF(MATCHER!$A$5:$A$504,A100)=0,"BORTTAGEN MATCH",IF(AND(B100=G100,C100=H100,D100=I100),"Oförändrad",IF(AND(B100=G100,D100=I100),"ÄNDRAD TID","FLYTTAD MATCH"))))</f>
        <v>Oförändrad</v>
      </c>
      <c r="K100" s="34" t="str">
        <f>IF(MATCHER!A92="","",MATCHER!A92)</f>
        <v>26 6 1562 038</v>
      </c>
      <c r="L100" s="91">
        <f>IF(MATCHER!B92="","",MATCHER!B92)</f>
        <v>46354</v>
      </c>
      <c r="M100" s="92">
        <f>IF(MATCHER!C92="","",MATCHER!C92)</f>
        <v>0.45833333333333331</v>
      </c>
      <c r="N100" s="34" t="str">
        <f>IF(MATCHER!D92="","",MATCHER!D92)</f>
        <v>Tallbackaskolan</v>
      </c>
      <c r="O100" s="34" t="str">
        <f>IF(MATCHER!E92="","",MATCHER!E92)</f>
        <v>Pojkar - P12 Öst - P12 Nivå 2 Öst Norra</v>
      </c>
      <c r="P100" s="34" t="str">
        <f>IF(MATCHER!F92="","",MATCHER!F92)</f>
        <v>P12</v>
      </c>
      <c r="Q100" s="34" t="str">
        <f>IF(MATCHER!K92="","",MATCHER!K92)</f>
        <v>Ja</v>
      </c>
      <c r="R100" s="34" t="str">
        <f>IF(K100="","",IF(Q100&lt;&gt;"Ja","Ej aktuell",IF(P100="SAKNAS","NY KLASS",IF(MATCHER!N92&lt;&gt;"Ja",MATCHER!N92,IF(COUNTIF($A$13:$A$220,K100)=0,"NY MATCH","Matchdag finns")))))</f>
        <v>Matchdag finns</v>
      </c>
    </row>
    <row r="101" spans="1:18" ht="13">
      <c r="A101" s="31" t="s">
        <v>315</v>
      </c>
      <c r="B101" s="89">
        <v>46354</v>
      </c>
      <c r="C101" s="90">
        <v>0.5</v>
      </c>
      <c r="D101" s="31" t="s">
        <v>110</v>
      </c>
      <c r="E101" s="31" t="s">
        <v>283</v>
      </c>
      <c r="F101" s="31" t="str">
        <f t="shared" si="1"/>
        <v>Ja</v>
      </c>
      <c r="G101" s="91">
        <f>IFERROR(VLOOKUP(A101,MATCHER!$A$5:$M$504,2,FALSE()),"")</f>
        <v>46354</v>
      </c>
      <c r="H101" s="92">
        <f>IFERROR(VLOOKUP(A101,MATCHER!$A$5:$M$504,3,FALSE()),"")</f>
        <v>0.5</v>
      </c>
      <c r="I101" s="34" t="str">
        <f>IFERROR(VLOOKUP(A101,MATCHER!$A$5:$M$504,4,FALSE()),"")</f>
        <v>Tallbackaskolan</v>
      </c>
      <c r="J101" s="34" t="str">
        <f>IF(F101&lt;&gt;"Ja","Ej aktuell",IF(COUNTIF(MATCHER!$A$5:$A$504,A101)=0,"BORTTAGEN MATCH",IF(AND(B101=G101,C101=H101,D101=I101),"Oförändrad",IF(AND(B101=G101,D101=I101),"ÄNDRAD TID","FLYTTAD MATCH"))))</f>
        <v>Oförändrad</v>
      </c>
      <c r="K101" s="34" t="str">
        <f>IF(MATCHER!A93="","",MATCHER!A93)</f>
        <v>26 6 1563 038</v>
      </c>
      <c r="L101" s="91">
        <f>IF(MATCHER!B93="","",MATCHER!B93)</f>
        <v>46354</v>
      </c>
      <c r="M101" s="92">
        <f>IF(MATCHER!C93="","",MATCHER!C93)</f>
        <v>0.5</v>
      </c>
      <c r="N101" s="34" t="str">
        <f>IF(MATCHER!D93="","",MATCHER!D93)</f>
        <v>Tallbackaskolan</v>
      </c>
      <c r="O101" s="34" t="str">
        <f>IF(MATCHER!E93="","",MATCHER!E93)</f>
        <v>Pojkar - P12 Öst - P12 Nivå 2 Öst Södra</v>
      </c>
      <c r="P101" s="34" t="str">
        <f>IF(MATCHER!F93="","",MATCHER!F93)</f>
        <v>P12</v>
      </c>
      <c r="Q101" s="34" t="str">
        <f>IF(MATCHER!K93="","",MATCHER!K93)</f>
        <v>Ja</v>
      </c>
      <c r="R101" s="34" t="str">
        <f>IF(K101="","",IF(Q101&lt;&gt;"Ja","Ej aktuell",IF(P101="SAKNAS","NY KLASS",IF(MATCHER!N93&lt;&gt;"Ja",MATCHER!N93,IF(COUNTIF($A$13:$A$220,K101)=0,"NY MATCH","Matchdag finns")))))</f>
        <v>Matchdag finns</v>
      </c>
    </row>
    <row r="102" spans="1:18" ht="13">
      <c r="A102" s="31" t="s">
        <v>316</v>
      </c>
      <c r="B102" s="89">
        <v>46354</v>
      </c>
      <c r="C102" s="90">
        <v>0.54166666666666696</v>
      </c>
      <c r="D102" s="31" t="s">
        <v>110</v>
      </c>
      <c r="E102" s="31" t="s">
        <v>283</v>
      </c>
      <c r="F102" s="31" t="str">
        <f t="shared" si="1"/>
        <v>Ja</v>
      </c>
      <c r="G102" s="91">
        <f>IFERROR(VLOOKUP(A102,MATCHER!$A$5:$M$504,2,FALSE()),"")</f>
        <v>46354</v>
      </c>
      <c r="H102" s="92">
        <f>IFERROR(VLOOKUP(A102,MATCHER!$A$5:$M$504,3,FALSE()),"")</f>
        <v>0.54166666666666663</v>
      </c>
      <c r="I102" s="34" t="str">
        <f>IFERROR(VLOOKUP(A102,MATCHER!$A$5:$M$504,4,FALSE()),"")</f>
        <v>Tallbackaskolan</v>
      </c>
      <c r="J102" s="34" t="str">
        <f>IF(F102&lt;&gt;"Ja","Ej aktuell",IF(COUNTIF(MATCHER!$A$5:$A$504,A102)=0,"BORTTAGEN MATCH",IF(AND(B102=G102,C102=H102,D102=I102),"Oförändrad",IF(AND(B102=G102,D102=I102),"ÄNDRAD TID","FLYTTAD MATCH"))))</f>
        <v>Oförändrad</v>
      </c>
      <c r="K102" s="34" t="str">
        <f>IF(MATCHER!A94="","",MATCHER!A94)</f>
        <v>26 6 1563 039</v>
      </c>
      <c r="L102" s="91">
        <f>IF(MATCHER!B94="","",MATCHER!B94)</f>
        <v>46354</v>
      </c>
      <c r="M102" s="92">
        <f>IF(MATCHER!C94="","",MATCHER!C94)</f>
        <v>0.54166666666666663</v>
      </c>
      <c r="N102" s="34" t="str">
        <f>IF(MATCHER!D94="","",MATCHER!D94)</f>
        <v>Tallbackaskolan</v>
      </c>
      <c r="O102" s="34" t="str">
        <f>IF(MATCHER!E94="","",MATCHER!E94)</f>
        <v>Pojkar - P12 Öst - P12 Nivå 2 Öst Södra</v>
      </c>
      <c r="P102" s="34" t="str">
        <f>IF(MATCHER!F94="","",MATCHER!F94)</f>
        <v>P12</v>
      </c>
      <c r="Q102" s="34" t="str">
        <f>IF(MATCHER!K94="","",MATCHER!K94)</f>
        <v>Ja</v>
      </c>
      <c r="R102" s="34" t="str">
        <f>IF(K102="","",IF(Q102&lt;&gt;"Ja","Ej aktuell",IF(P102="SAKNAS","NY KLASS",IF(MATCHER!N94&lt;&gt;"Ja",MATCHER!N94,IF(COUNTIF($A$13:$A$220,K102)=0,"NY MATCH","Matchdag finns")))))</f>
        <v>Matchdag finns</v>
      </c>
    </row>
    <row r="103" spans="1:18" ht="13">
      <c r="A103" s="31" t="s">
        <v>317</v>
      </c>
      <c r="B103" s="89">
        <v>46354</v>
      </c>
      <c r="C103" s="90">
        <v>0.58333333333333304</v>
      </c>
      <c r="D103" s="31" t="s">
        <v>110</v>
      </c>
      <c r="E103" s="31" t="s">
        <v>283</v>
      </c>
      <c r="F103" s="31" t="str">
        <f t="shared" si="1"/>
        <v>Ja</v>
      </c>
      <c r="G103" s="91">
        <f>IFERROR(VLOOKUP(A103,MATCHER!$A$5:$M$504,2,FALSE()),"")</f>
        <v>46354</v>
      </c>
      <c r="H103" s="92">
        <f>IFERROR(VLOOKUP(A103,MATCHER!$A$5:$M$504,3,FALSE()),"")</f>
        <v>0.58333333333333337</v>
      </c>
      <c r="I103" s="34" t="str">
        <f>IFERROR(VLOOKUP(A103,MATCHER!$A$5:$M$504,4,FALSE()),"")</f>
        <v>Tallbackaskolan</v>
      </c>
      <c r="J103" s="34" t="str">
        <f>IF(F103&lt;&gt;"Ja","Ej aktuell",IF(COUNTIF(MATCHER!$A$5:$A$504,A103)=0,"BORTTAGEN MATCH",IF(AND(B103=G103,C103=H103,D103=I103),"Oförändrad",IF(AND(B103=G103,D103=I103),"ÄNDRAD TID","FLYTTAD MATCH"))))</f>
        <v>Oförändrad</v>
      </c>
      <c r="K103" s="34" t="str">
        <f>IF(MATCHER!A95="","",MATCHER!A95)</f>
        <v>26 6 1563 040</v>
      </c>
      <c r="L103" s="91">
        <f>IF(MATCHER!B95="","",MATCHER!B95)</f>
        <v>46354</v>
      </c>
      <c r="M103" s="92">
        <f>IF(MATCHER!C95="","",MATCHER!C95)</f>
        <v>0.58333333333333337</v>
      </c>
      <c r="N103" s="34" t="str">
        <f>IF(MATCHER!D95="","",MATCHER!D95)</f>
        <v>Tallbackaskolan</v>
      </c>
      <c r="O103" s="34" t="str">
        <f>IF(MATCHER!E95="","",MATCHER!E95)</f>
        <v>Pojkar - P12 Öst - P12 Nivå 2 Öst Södra</v>
      </c>
      <c r="P103" s="34" t="str">
        <f>IF(MATCHER!F95="","",MATCHER!F95)</f>
        <v>P12</v>
      </c>
      <c r="Q103" s="34" t="str">
        <f>IF(MATCHER!K95="","",MATCHER!K95)</f>
        <v>Ja</v>
      </c>
      <c r="R103" s="34" t="str">
        <f>IF(K103="","",IF(Q103&lt;&gt;"Ja","Ej aktuell",IF(P103="SAKNAS","NY KLASS",IF(MATCHER!N95&lt;&gt;"Ja",MATCHER!N95,IF(COUNTIF($A$13:$A$220,K103)=0,"NY MATCH","Matchdag finns")))))</f>
        <v>Matchdag finns</v>
      </c>
    </row>
    <row r="104" spans="1:18" ht="13">
      <c r="A104" s="31" t="s">
        <v>318</v>
      </c>
      <c r="B104" s="89">
        <v>46354</v>
      </c>
      <c r="C104" s="90">
        <v>0.50694444444444398</v>
      </c>
      <c r="D104" s="31" t="s">
        <v>86</v>
      </c>
      <c r="E104" s="31" t="s">
        <v>225</v>
      </c>
      <c r="F104" s="31" t="str">
        <f t="shared" si="1"/>
        <v>Ja</v>
      </c>
      <c r="G104" s="91">
        <f>IFERROR(VLOOKUP(A104,MATCHER!$A$5:$M$504,2,FALSE()),"")</f>
        <v>46354</v>
      </c>
      <c r="H104" s="92">
        <f>IFERROR(VLOOKUP(A104,MATCHER!$A$5:$M$504,3,FALSE()),"")</f>
        <v>0.50694444444444442</v>
      </c>
      <c r="I104" s="34" t="str">
        <f>IFERROR(VLOOKUP(A104,MATCHER!$A$5:$M$504,4,FALSE()),"")</f>
        <v>Ulriksdalshallen</v>
      </c>
      <c r="J104" s="34" t="str">
        <f>IF(F104&lt;&gt;"Ja","Ej aktuell",IF(COUNTIF(MATCHER!$A$5:$A$504,A104)=0,"BORTTAGEN MATCH",IF(AND(B104=G104,C104=H104,D104=I104),"Oförändrad",IF(AND(B104=G104,D104=I104),"ÄNDRAD TID","FLYTTAD MATCH"))))</f>
        <v>Oförändrad</v>
      </c>
      <c r="K104" s="34" t="str">
        <f>IF(MATCHER!A96="","",MATCHER!A96)</f>
        <v>26 6 1363 028</v>
      </c>
      <c r="L104" s="91">
        <f>IF(MATCHER!B96="","",MATCHER!B96)</f>
        <v>46354</v>
      </c>
      <c r="M104" s="92">
        <f>IF(MATCHER!C96="","",MATCHER!C96)</f>
        <v>0.50694444444444442</v>
      </c>
      <c r="N104" s="34" t="str">
        <f>IF(MATCHER!D96="","",MATCHER!D96)</f>
        <v>Ulriksdalshallen</v>
      </c>
      <c r="O104" s="34" t="str">
        <f>IF(MATCHER!E96="","",MATCHER!E96)</f>
        <v>Flickor - F12 Öst - F12 Nivå 2 Öst Norra</v>
      </c>
      <c r="P104" s="34" t="str">
        <f>IF(MATCHER!F96="","",MATCHER!F96)</f>
        <v>F12</v>
      </c>
      <c r="Q104" s="34" t="str">
        <f>IF(MATCHER!K96="","",MATCHER!K96)</f>
        <v>Ja</v>
      </c>
      <c r="R104" s="34" t="str">
        <f>IF(K104="","",IF(Q104&lt;&gt;"Ja","Ej aktuell",IF(P104="SAKNAS","NY KLASS",IF(MATCHER!N96&lt;&gt;"Ja",MATCHER!N96,IF(COUNTIF($A$13:$A$220,K104)=0,"NY MATCH","Matchdag finns")))))</f>
        <v>Matchdag finns</v>
      </c>
    </row>
    <row r="105" spans="1:18" ht="13">
      <c r="A105" s="31" t="s">
        <v>319</v>
      </c>
      <c r="B105" s="89">
        <v>46354</v>
      </c>
      <c r="C105" s="90">
        <v>0.54861111111111105</v>
      </c>
      <c r="D105" s="31" t="s">
        <v>86</v>
      </c>
      <c r="E105" s="31" t="s">
        <v>225</v>
      </c>
      <c r="F105" s="31" t="str">
        <f t="shared" si="1"/>
        <v>Ja</v>
      </c>
      <c r="G105" s="91">
        <f>IFERROR(VLOOKUP(A105,MATCHER!$A$5:$M$504,2,FALSE()),"")</f>
        <v>46354</v>
      </c>
      <c r="H105" s="92">
        <f>IFERROR(VLOOKUP(A105,MATCHER!$A$5:$M$504,3,FALSE()),"")</f>
        <v>0.54861111111111116</v>
      </c>
      <c r="I105" s="34" t="str">
        <f>IFERROR(VLOOKUP(A105,MATCHER!$A$5:$M$504,4,FALSE()),"")</f>
        <v>Ulriksdalshallen</v>
      </c>
      <c r="J105" s="34" t="str">
        <f>IF(F105&lt;&gt;"Ja","Ej aktuell",IF(COUNTIF(MATCHER!$A$5:$A$504,A105)=0,"BORTTAGEN MATCH",IF(AND(B105=G105,C105=H105,D105=I105),"Oförändrad",IF(AND(B105=G105,D105=I105),"ÄNDRAD TID","FLYTTAD MATCH"))))</f>
        <v>Oförändrad</v>
      </c>
      <c r="K105" s="34" t="str">
        <f>IF(MATCHER!A97="","",MATCHER!A97)</f>
        <v>26 6 1363 029</v>
      </c>
      <c r="L105" s="91">
        <f>IF(MATCHER!B97="","",MATCHER!B97)</f>
        <v>46354</v>
      </c>
      <c r="M105" s="92">
        <f>IF(MATCHER!C97="","",MATCHER!C97)</f>
        <v>0.54861111111111116</v>
      </c>
      <c r="N105" s="34" t="str">
        <f>IF(MATCHER!D97="","",MATCHER!D97)</f>
        <v>Ulriksdalshallen</v>
      </c>
      <c r="O105" s="34" t="str">
        <f>IF(MATCHER!E97="","",MATCHER!E97)</f>
        <v>Flickor - F12 Öst - F12 Nivå 2 Öst Norra</v>
      </c>
      <c r="P105" s="34" t="str">
        <f>IF(MATCHER!F97="","",MATCHER!F97)</f>
        <v>F12</v>
      </c>
      <c r="Q105" s="34" t="str">
        <f>IF(MATCHER!K97="","",MATCHER!K97)</f>
        <v>Ja</v>
      </c>
      <c r="R105" s="34" t="str">
        <f>IF(K105="","",IF(Q105&lt;&gt;"Ja","Ej aktuell",IF(P105="SAKNAS","NY KLASS",IF(MATCHER!N97&lt;&gt;"Ja",MATCHER!N97,IF(COUNTIF($A$13:$A$220,K105)=0,"NY MATCH","Matchdag finns")))))</f>
        <v>Matchdag finns</v>
      </c>
    </row>
    <row r="106" spans="1:18" ht="13">
      <c r="A106" s="31" t="s">
        <v>320</v>
      </c>
      <c r="B106" s="89">
        <v>46354</v>
      </c>
      <c r="C106" s="90">
        <v>0.59027777777777801</v>
      </c>
      <c r="D106" s="31" t="s">
        <v>86</v>
      </c>
      <c r="E106" s="31" t="s">
        <v>225</v>
      </c>
      <c r="F106" s="31" t="str">
        <f t="shared" si="1"/>
        <v>Ja</v>
      </c>
      <c r="G106" s="91">
        <f>IFERROR(VLOOKUP(A106,MATCHER!$A$5:$M$504,2,FALSE()),"")</f>
        <v>46354</v>
      </c>
      <c r="H106" s="92">
        <f>IFERROR(VLOOKUP(A106,MATCHER!$A$5:$M$504,3,FALSE()),"")</f>
        <v>0.59027777777777779</v>
      </c>
      <c r="I106" s="34" t="str">
        <f>IFERROR(VLOOKUP(A106,MATCHER!$A$5:$M$504,4,FALSE()),"")</f>
        <v>Ulriksdalshallen</v>
      </c>
      <c r="J106" s="34" t="str">
        <f>IF(F106&lt;&gt;"Ja","Ej aktuell",IF(COUNTIF(MATCHER!$A$5:$A$504,A106)=0,"BORTTAGEN MATCH",IF(AND(B106=G106,C106=H106,D106=I106),"Oförändrad",IF(AND(B106=G106,D106=I106),"ÄNDRAD TID","FLYTTAD MATCH"))))</f>
        <v>Oförändrad</v>
      </c>
      <c r="K106" s="34" t="str">
        <f>IF(MATCHER!A98="","",MATCHER!A98)</f>
        <v>26 6 1363 030</v>
      </c>
      <c r="L106" s="91">
        <f>IF(MATCHER!B98="","",MATCHER!B98)</f>
        <v>46354</v>
      </c>
      <c r="M106" s="92">
        <f>IF(MATCHER!C98="","",MATCHER!C98)</f>
        <v>0.59027777777777779</v>
      </c>
      <c r="N106" s="34" t="str">
        <f>IF(MATCHER!D98="","",MATCHER!D98)</f>
        <v>Ulriksdalshallen</v>
      </c>
      <c r="O106" s="34" t="str">
        <f>IF(MATCHER!E98="","",MATCHER!E98)</f>
        <v>Flickor - F12 Öst - F12 Nivå 2 Öst Norra</v>
      </c>
      <c r="P106" s="34" t="str">
        <f>IF(MATCHER!F98="","",MATCHER!F98)</f>
        <v>F12</v>
      </c>
      <c r="Q106" s="34" t="str">
        <f>IF(MATCHER!K98="","",MATCHER!K98)</f>
        <v>Ja</v>
      </c>
      <c r="R106" s="34" t="str">
        <f>IF(K106="","",IF(Q106&lt;&gt;"Ja","Ej aktuell",IF(P106="SAKNAS","NY KLASS",IF(MATCHER!N98&lt;&gt;"Ja",MATCHER!N98,IF(COUNTIF($A$13:$A$220,K106)=0,"NY MATCH","Matchdag finns")))))</f>
        <v>Matchdag finns</v>
      </c>
    </row>
    <row r="107" spans="1:18" ht="13">
      <c r="A107" s="31" t="s">
        <v>321</v>
      </c>
      <c r="B107" s="89">
        <v>46354</v>
      </c>
      <c r="C107" s="90">
        <v>0.63194444444444398</v>
      </c>
      <c r="D107" s="31" t="s">
        <v>86</v>
      </c>
      <c r="E107" s="31" t="s">
        <v>219</v>
      </c>
      <c r="F107" s="31" t="str">
        <f t="shared" si="1"/>
        <v>Ja</v>
      </c>
      <c r="G107" s="91">
        <f>IFERROR(VLOOKUP(A107,MATCHER!$A$5:$M$504,2,FALSE()),"")</f>
        <v>46354</v>
      </c>
      <c r="H107" s="92">
        <f>IFERROR(VLOOKUP(A107,MATCHER!$A$5:$M$504,3,FALSE()),"")</f>
        <v>0.63194444444444442</v>
      </c>
      <c r="I107" s="34" t="str">
        <f>IFERROR(VLOOKUP(A107,MATCHER!$A$5:$M$504,4,FALSE()),"")</f>
        <v>Ulriksdalshallen</v>
      </c>
      <c r="J107" s="34" t="str">
        <f>IF(F107&lt;&gt;"Ja","Ej aktuell",IF(COUNTIF(MATCHER!$A$5:$A$504,A107)=0,"BORTTAGEN MATCH",IF(AND(B107=G107,C107=H107,D107=I107),"Oförändrad",IF(AND(B107=G107,D107=I107),"ÄNDRAD TID","FLYTTAD MATCH"))))</f>
        <v>Oförändrad</v>
      </c>
      <c r="K107" s="34" t="str">
        <f>IF(MATCHER!A99="","",MATCHER!A99)</f>
        <v>26 6 1351 030</v>
      </c>
      <c r="L107" s="91">
        <f>IF(MATCHER!B99="","",MATCHER!B99)</f>
        <v>46354</v>
      </c>
      <c r="M107" s="92">
        <f>IF(MATCHER!C99="","",MATCHER!C99)</f>
        <v>0.63194444444444442</v>
      </c>
      <c r="N107" s="34" t="str">
        <f>IF(MATCHER!D99="","",MATCHER!D99)</f>
        <v>Ulriksdalshallen</v>
      </c>
      <c r="O107" s="34" t="str">
        <f>IF(MATCHER!E99="","",MATCHER!E99)</f>
        <v>Flickor - F13 Öst - F13 Nivå 1 Öst</v>
      </c>
      <c r="P107" s="34" t="str">
        <f>IF(MATCHER!F99="","",MATCHER!F99)</f>
        <v>F13</v>
      </c>
      <c r="Q107" s="34" t="str">
        <f>IF(MATCHER!K99="","",MATCHER!K99)</f>
        <v>Ja</v>
      </c>
      <c r="R107" s="34" t="str">
        <f>IF(K107="","",IF(Q107&lt;&gt;"Ja","Ej aktuell",IF(P107="SAKNAS","NY KLASS",IF(MATCHER!N99&lt;&gt;"Ja",MATCHER!N99,IF(COUNTIF($A$13:$A$220,K107)=0,"NY MATCH","Matchdag finns")))))</f>
        <v>Matchdag finns</v>
      </c>
    </row>
    <row r="108" spans="1:18" ht="13">
      <c r="A108" s="31" t="s">
        <v>322</v>
      </c>
      <c r="B108" s="89">
        <v>46354</v>
      </c>
      <c r="C108" s="90">
        <v>0.68055555555555602</v>
      </c>
      <c r="D108" s="31" t="s">
        <v>86</v>
      </c>
      <c r="E108" s="31" t="s">
        <v>221</v>
      </c>
      <c r="F108" s="31" t="str">
        <f t="shared" si="1"/>
        <v>Ja</v>
      </c>
      <c r="G108" s="91">
        <f>IFERROR(VLOOKUP(A108,MATCHER!$A$5:$M$504,2,FALSE()),"")</f>
        <v>46354</v>
      </c>
      <c r="H108" s="92">
        <f>IFERROR(VLOOKUP(A108,MATCHER!$A$5:$M$504,3,FALSE()),"")</f>
        <v>0.68055555555555558</v>
      </c>
      <c r="I108" s="34" t="str">
        <f>IFERROR(VLOOKUP(A108,MATCHER!$A$5:$M$504,4,FALSE()),"")</f>
        <v>Ulriksdalshallen</v>
      </c>
      <c r="J108" s="34" t="str">
        <f>IF(F108&lt;&gt;"Ja","Ej aktuell",IF(COUNTIF(MATCHER!$A$5:$A$504,A108)=0,"BORTTAGEN MATCH",IF(AND(B108=G108,C108=H108,D108=I108),"Oförändrad",IF(AND(B108=G108,D108=I108),"ÄNDRAD TID","FLYTTAD MATCH"))))</f>
        <v>Oförändrad</v>
      </c>
      <c r="K108" s="34" t="str">
        <f>IF(MATCHER!A100="","",MATCHER!A100)</f>
        <v>26 6 1352 037</v>
      </c>
      <c r="L108" s="91">
        <f>IF(MATCHER!B100="","",MATCHER!B100)</f>
        <v>46354</v>
      </c>
      <c r="M108" s="92">
        <f>IF(MATCHER!C100="","",MATCHER!C100)</f>
        <v>0.68055555555555558</v>
      </c>
      <c r="N108" s="34" t="str">
        <f>IF(MATCHER!D100="","",MATCHER!D100)</f>
        <v>Ulriksdalshallen</v>
      </c>
      <c r="O108" s="34" t="str">
        <f>IF(MATCHER!E100="","",MATCHER!E100)</f>
        <v>Flickor - F13 Öst - F13 Nivå 2 Öst Norra</v>
      </c>
      <c r="P108" s="34" t="str">
        <f>IF(MATCHER!F100="","",MATCHER!F100)</f>
        <v>F13</v>
      </c>
      <c r="Q108" s="34" t="str">
        <f>IF(MATCHER!K100="","",MATCHER!K100)</f>
        <v>Ja</v>
      </c>
      <c r="R108" s="34" t="str">
        <f>IF(K108="","",IF(Q108&lt;&gt;"Ja","Ej aktuell",IF(P108="SAKNAS","NY KLASS",IF(MATCHER!N100&lt;&gt;"Ja",MATCHER!N100,IF(COUNTIF($A$13:$A$220,K108)=0,"NY MATCH","Matchdag finns")))))</f>
        <v>Matchdag finns</v>
      </c>
    </row>
    <row r="109" spans="1:18" ht="13">
      <c r="A109" s="31" t="s">
        <v>323</v>
      </c>
      <c r="B109" s="89">
        <v>46354</v>
      </c>
      <c r="C109" s="90">
        <v>0.72916666666666696</v>
      </c>
      <c r="D109" s="31" t="s">
        <v>86</v>
      </c>
      <c r="E109" s="31" t="s">
        <v>229</v>
      </c>
      <c r="F109" s="31" t="str">
        <f t="shared" si="1"/>
        <v>Ja</v>
      </c>
      <c r="G109" s="91">
        <f>IFERROR(VLOOKUP(A109,MATCHER!$A$5:$M$504,2,FALSE()),"")</f>
        <v>46354</v>
      </c>
      <c r="H109" s="92">
        <f>IFERROR(VLOOKUP(A109,MATCHER!$A$5:$M$504,3,FALSE()),"")</f>
        <v>0.72916666666666663</v>
      </c>
      <c r="I109" s="34" t="str">
        <f>IFERROR(VLOOKUP(A109,MATCHER!$A$5:$M$504,4,FALSE()),"")</f>
        <v>Ulriksdalshallen</v>
      </c>
      <c r="J109" s="34" t="str">
        <f>IF(F109&lt;&gt;"Ja","Ej aktuell",IF(COUNTIF(MATCHER!$A$5:$A$504,A109)=0,"BORTTAGEN MATCH",IF(AND(B109=G109,C109=H109,D109=I109),"Oförändrad",IF(AND(B109=G109,D109=I109),"ÄNDRAD TID","FLYTTAD MATCH"))))</f>
        <v>Oförändrad</v>
      </c>
      <c r="K109" s="34" t="str">
        <f>IF(MATCHER!A101="","",MATCHER!A101)</f>
        <v>26 6 1343 024</v>
      </c>
      <c r="L109" s="91">
        <f>IF(MATCHER!B101="","",MATCHER!B101)</f>
        <v>46354</v>
      </c>
      <c r="M109" s="92">
        <f>IF(MATCHER!C101="","",MATCHER!C101)</f>
        <v>0.72916666666666663</v>
      </c>
      <c r="N109" s="34" t="str">
        <f>IF(MATCHER!D101="","",MATCHER!D101)</f>
        <v>Ulriksdalshallen</v>
      </c>
      <c r="O109" s="34" t="str">
        <f>IF(MATCHER!E101="","",MATCHER!E101)</f>
        <v>Flickor - F14 Öst - F14 Nivå 2 Öst Norra</v>
      </c>
      <c r="P109" s="34" t="str">
        <f>IF(MATCHER!F101="","",MATCHER!F101)</f>
        <v>F14</v>
      </c>
      <c r="Q109" s="34" t="str">
        <f>IF(MATCHER!K101="","",MATCHER!K101)</f>
        <v>Ja</v>
      </c>
      <c r="R109" s="34" t="str">
        <f>IF(K109="","",IF(Q109&lt;&gt;"Ja","Ej aktuell",IF(P109="SAKNAS","NY KLASS",IF(MATCHER!N101&lt;&gt;"Ja",MATCHER!N101,IF(COUNTIF($A$13:$A$220,K109)=0,"NY MATCH","Matchdag finns")))))</f>
        <v>Matchdag finns</v>
      </c>
    </row>
    <row r="110" spans="1:18" ht="13">
      <c r="A110" s="31" t="s">
        <v>324</v>
      </c>
      <c r="B110" s="89">
        <v>46355</v>
      </c>
      <c r="C110" s="90">
        <v>0.66666666666666696</v>
      </c>
      <c r="D110" s="31" t="s">
        <v>212</v>
      </c>
      <c r="E110" s="31" t="s">
        <v>231</v>
      </c>
      <c r="F110" s="31" t="str">
        <f t="shared" si="1"/>
        <v>Nej</v>
      </c>
      <c r="G110" s="91">
        <f>IFERROR(VLOOKUP(A110,MATCHER!$A$5:$M$504,2,FALSE()),"")</f>
        <v>46355</v>
      </c>
      <c r="H110" s="92">
        <f>IFERROR(VLOOKUP(A110,MATCHER!$A$5:$M$504,3,FALSE()),"")</f>
        <v>0.66666666666666663</v>
      </c>
      <c r="I110" s="34" t="str">
        <f>IFERROR(VLOOKUP(A110,MATCHER!$A$5:$M$504,4,FALSE()),"")</f>
        <v>Solnahallen</v>
      </c>
      <c r="J110" s="34" t="str">
        <f>IF(F110&lt;&gt;"Ja","Ej aktuell",IF(COUNTIF(MATCHER!$A$5:$A$504,A110)=0,"BORTTAGEN MATCH",IF(AND(B110=G110,C110=H110,D110=I110),"Oförändrad",IF(AND(B110=G110,D110=I110),"ÄNDRAD TID","FLYTTAD MATCH"))))</f>
        <v>Ej aktuell</v>
      </c>
      <c r="K110" s="34" t="str">
        <f>IF(MATCHER!A102="","",MATCHER!A102)</f>
        <v>26 -1 1121 050</v>
      </c>
      <c r="L110" s="91">
        <f>IF(MATCHER!B102="","",MATCHER!B102)</f>
        <v>46355</v>
      </c>
      <c r="M110" s="92">
        <f>IF(MATCHER!C102="","",MATCHER!C102)</f>
        <v>0.66666666666666663</v>
      </c>
      <c r="N110" s="34" t="str">
        <f>IF(MATCHER!D102="","",MATCHER!D102)</f>
        <v>Solnahallen</v>
      </c>
      <c r="O110" s="34" t="str">
        <f>IF(MATCHER!E102="","",MATCHER!E102)</f>
        <v>Damer - Damallsvenskan</v>
      </c>
      <c r="P110" s="34" t="str">
        <f>IF(MATCHER!F102="","",MATCHER!F102)</f>
        <v>Dam</v>
      </c>
      <c r="Q110" s="34" t="str">
        <f>IF(MATCHER!K102="","",MATCHER!K102)</f>
        <v>Nej</v>
      </c>
      <c r="R110" s="34" t="str">
        <f>IF(K110="","",IF(Q110&lt;&gt;"Ja","Ej aktuell",IF(P110="SAKNAS","NY KLASS",IF(MATCHER!N102&lt;&gt;"Ja",MATCHER!N102,IF(COUNTIF($A$13:$A$220,K110)=0,"NY MATCH","Matchdag finns")))))</f>
        <v>Ej aktuell</v>
      </c>
    </row>
    <row r="111" spans="1:18" ht="13">
      <c r="A111" s="31" t="s">
        <v>325</v>
      </c>
      <c r="B111" s="89">
        <v>46357</v>
      </c>
      <c r="C111" s="90">
        <v>0.86458333333333304</v>
      </c>
      <c r="D111" s="31" t="s">
        <v>94</v>
      </c>
      <c r="E111" s="31" t="s">
        <v>213</v>
      </c>
      <c r="F111" s="31" t="str">
        <f t="shared" si="1"/>
        <v>Ja</v>
      </c>
      <c r="G111" s="91">
        <f>IFERROR(VLOOKUP(A111,MATCHER!$A$5:$M$504,2,FALSE()),"")</f>
        <v>46357</v>
      </c>
      <c r="H111" s="92">
        <f>IFERROR(VLOOKUP(A111,MATCHER!$A$5:$M$504,3,FALSE()),"")</f>
        <v>0.86458333333333337</v>
      </c>
      <c r="I111" s="34" t="str">
        <f>IFERROR(VLOOKUP(A111,MATCHER!$A$5:$M$504,4,FALSE()),"")</f>
        <v>Råsta Park</v>
      </c>
      <c r="J111" s="34" t="str">
        <f>IF(F111&lt;&gt;"Ja","Ej aktuell",IF(COUNTIF(MATCHER!$A$5:$A$504,A111)=0,"BORTTAGEN MATCH",IF(AND(B111=G111,C111=H111,D111=I111),"Oförändrad",IF(AND(B111=G111,D111=I111),"ÄNDRAD TID","FLYTTAD MATCH"))))</f>
        <v>Oförändrad</v>
      </c>
      <c r="K111" s="34" t="str">
        <f>IF(MATCHER!A103="","",MATCHER!A103)</f>
        <v>26 6 1311 048</v>
      </c>
      <c r="L111" s="91">
        <f>IF(MATCHER!B103="","",MATCHER!B103)</f>
        <v>46357</v>
      </c>
      <c r="M111" s="92">
        <f>IF(MATCHER!C103="","",MATCHER!C103)</f>
        <v>0.86458333333333337</v>
      </c>
      <c r="N111" s="34" t="str">
        <f>IF(MATCHER!D103="","",MATCHER!D103)</f>
        <v>Råsta Park</v>
      </c>
      <c r="O111" s="34" t="str">
        <f>IF(MATCHER!E103="","",MATCHER!E103)</f>
        <v>Flickor - F19 Öst - F19 Nivå 1 Öst</v>
      </c>
      <c r="P111" s="34" t="str">
        <f>IF(MATCHER!F103="","",MATCHER!F103)</f>
        <v>F19</v>
      </c>
      <c r="Q111" s="34" t="str">
        <f>IF(MATCHER!K103="","",MATCHER!K103)</f>
        <v>Ja</v>
      </c>
      <c r="R111" s="34" t="str">
        <f>IF(K111="","",IF(Q111&lt;&gt;"Ja","Ej aktuell",IF(P111="SAKNAS","NY KLASS",IF(MATCHER!N103&lt;&gt;"Ja",MATCHER!N103,IF(COUNTIF($A$13:$A$220,K111)=0,"NY MATCH","Matchdag finns")))))</f>
        <v>Matchdag finns</v>
      </c>
    </row>
    <row r="112" spans="1:18" ht="13">
      <c r="A112" s="31" t="s">
        <v>326</v>
      </c>
      <c r="B112" s="89">
        <v>46361</v>
      </c>
      <c r="C112" s="90">
        <v>0.43055555555555602</v>
      </c>
      <c r="D112" s="31" t="s">
        <v>94</v>
      </c>
      <c r="E112" s="31" t="s">
        <v>280</v>
      </c>
      <c r="F112" s="31" t="str">
        <f t="shared" si="1"/>
        <v>Ja</v>
      </c>
      <c r="G112" s="91">
        <f>IFERROR(VLOOKUP(A112,MATCHER!$A$5:$M$504,2,FALSE()),"")</f>
        <v>46361</v>
      </c>
      <c r="H112" s="92">
        <f>IFERROR(VLOOKUP(A112,MATCHER!$A$5:$M$504,3,FALSE()),"")</f>
        <v>0.43055555555555558</v>
      </c>
      <c r="I112" s="34" t="str">
        <f>IFERROR(VLOOKUP(A112,MATCHER!$A$5:$M$504,4,FALSE()),"")</f>
        <v>Råsta Park</v>
      </c>
      <c r="J112" s="34" t="str">
        <f>IF(F112&lt;&gt;"Ja","Ej aktuell",IF(COUNTIF(MATCHER!$A$5:$A$504,A112)=0,"BORTTAGEN MATCH",IF(AND(B112=G112,C112=H112,D112=I112),"Oförändrad",IF(AND(B112=G112,D112=I112),"ÄNDRAD TID","FLYTTAD MATCH"))))</f>
        <v>Oförändrad</v>
      </c>
      <c r="K112" s="34" t="str">
        <f>IF(MATCHER!A104="","",MATCHER!A104)</f>
        <v>26 6 1324 040</v>
      </c>
      <c r="L112" s="91">
        <f>IF(MATCHER!B104="","",MATCHER!B104)</f>
        <v>46361</v>
      </c>
      <c r="M112" s="92">
        <f>IF(MATCHER!C104="","",MATCHER!C104)</f>
        <v>0.43055555555555558</v>
      </c>
      <c r="N112" s="34" t="str">
        <f>IF(MATCHER!D104="","",MATCHER!D104)</f>
        <v>Råsta Park</v>
      </c>
      <c r="O112" s="34" t="str">
        <f>IF(MATCHER!E104="","",MATCHER!E104)</f>
        <v>Flickor - F16 Öst - F16 Nivå 3 Öst</v>
      </c>
      <c r="P112" s="34" t="str">
        <f>IF(MATCHER!F104="","",MATCHER!F104)</f>
        <v>F16</v>
      </c>
      <c r="Q112" s="34" t="str">
        <f>IF(MATCHER!K104="","",MATCHER!K104)</f>
        <v>Ja</v>
      </c>
      <c r="R112" s="34" t="str">
        <f>IF(K112="","",IF(Q112&lt;&gt;"Ja","Ej aktuell",IF(P112="SAKNAS","NY KLASS",IF(MATCHER!N104&lt;&gt;"Ja",MATCHER!N104,IF(COUNTIF($A$13:$A$220,K112)=0,"NY MATCH","Matchdag finns")))))</f>
        <v>Matchdag finns</v>
      </c>
    </row>
    <row r="113" spans="1:18" ht="13">
      <c r="A113" s="31" t="s">
        <v>327</v>
      </c>
      <c r="B113" s="89">
        <v>46361</v>
      </c>
      <c r="C113" s="90">
        <v>0.48958333333333298</v>
      </c>
      <c r="D113" s="31" t="s">
        <v>94</v>
      </c>
      <c r="E113" s="31" t="s">
        <v>223</v>
      </c>
      <c r="F113" s="31" t="str">
        <f t="shared" si="1"/>
        <v>Ja</v>
      </c>
      <c r="G113" s="91">
        <f>IFERROR(VLOOKUP(A113,MATCHER!$A$5:$M$504,2,FALSE()),"")</f>
        <v>46361</v>
      </c>
      <c r="H113" s="92">
        <f>IFERROR(VLOOKUP(A113,MATCHER!$A$5:$M$504,3,FALSE()),"")</f>
        <v>0.48958333333333331</v>
      </c>
      <c r="I113" s="34" t="str">
        <f>IFERROR(VLOOKUP(A113,MATCHER!$A$5:$M$504,4,FALSE()),"")</f>
        <v>Råsta Park</v>
      </c>
      <c r="J113" s="34" t="str">
        <f>IF(F113&lt;&gt;"Ja","Ej aktuell",IF(COUNTIF(MATCHER!$A$5:$A$504,A113)=0,"BORTTAGEN MATCH",IF(AND(B113=G113,C113=H113,D113=I113),"Oförändrad",IF(AND(B113=G113,D113=I113),"ÄNDRAD TID","FLYTTAD MATCH"))))</f>
        <v>Oförändrad</v>
      </c>
      <c r="K113" s="34" t="str">
        <f>IF(MATCHER!A105="","",MATCHER!A105)</f>
        <v>26 6 1524 039</v>
      </c>
      <c r="L113" s="91">
        <f>IF(MATCHER!B105="","",MATCHER!B105)</f>
        <v>46361</v>
      </c>
      <c r="M113" s="92">
        <f>IF(MATCHER!C105="","",MATCHER!C105)</f>
        <v>0.48958333333333331</v>
      </c>
      <c r="N113" s="34" t="str">
        <f>IF(MATCHER!D105="","",MATCHER!D105)</f>
        <v>Råsta Park</v>
      </c>
      <c r="O113" s="34" t="str">
        <f>IF(MATCHER!E105="","",MATCHER!E105)</f>
        <v>Pojkar - P16 Öst - P16 Nivå 3 Öst</v>
      </c>
      <c r="P113" s="34" t="str">
        <f>IF(MATCHER!F105="","",MATCHER!F105)</f>
        <v>P16</v>
      </c>
      <c r="Q113" s="34" t="str">
        <f>IF(MATCHER!K105="","",MATCHER!K105)</f>
        <v>Ja</v>
      </c>
      <c r="R113" s="34" t="str">
        <f>IF(K113="","",IF(Q113&lt;&gt;"Ja","Ej aktuell",IF(P113="SAKNAS","NY KLASS",IF(MATCHER!N105&lt;&gt;"Ja",MATCHER!N105,IF(COUNTIF($A$13:$A$220,K113)=0,"NY MATCH","Matchdag finns")))))</f>
        <v>Matchdag finns</v>
      </c>
    </row>
    <row r="114" spans="1:18" ht="13">
      <c r="A114" s="31" t="s">
        <v>328</v>
      </c>
      <c r="B114" s="89">
        <v>46361</v>
      </c>
      <c r="C114" s="90">
        <v>0.5625</v>
      </c>
      <c r="D114" s="31" t="s">
        <v>94</v>
      </c>
      <c r="E114" s="31" t="s">
        <v>246</v>
      </c>
      <c r="F114" s="31" t="str">
        <f t="shared" si="1"/>
        <v>Ja</v>
      </c>
      <c r="G114" s="91">
        <f>IFERROR(VLOOKUP(A114,MATCHER!$A$5:$M$504,2,FALSE()),"")</f>
        <v>46361</v>
      </c>
      <c r="H114" s="92">
        <f>IFERROR(VLOOKUP(A114,MATCHER!$A$5:$M$504,3,FALSE()),"")</f>
        <v>0.5625</v>
      </c>
      <c r="I114" s="34" t="str">
        <f>IFERROR(VLOOKUP(A114,MATCHER!$A$5:$M$504,4,FALSE()),"")</f>
        <v>Råsta Park</v>
      </c>
      <c r="J114" s="34" t="str">
        <f>IF(F114&lt;&gt;"Ja","Ej aktuell",IF(COUNTIF(MATCHER!$A$5:$A$504,A114)=0,"BORTTAGEN MATCH",IF(AND(B114=G114,C114=H114,D114=I114),"Oförändrad",IF(AND(B114=G114,D114=I114),"ÄNDRAD TID","FLYTTAD MATCH"))))</f>
        <v>Oförändrad</v>
      </c>
      <c r="K114" s="34" t="str">
        <f>IF(MATCHER!A106="","",MATCHER!A106)</f>
        <v>26 6 1141 035</v>
      </c>
      <c r="L114" s="91">
        <f>IF(MATCHER!B106="","",MATCHER!B106)</f>
        <v>46361</v>
      </c>
      <c r="M114" s="92">
        <f>IF(MATCHER!C106="","",MATCHER!C106)</f>
        <v>0.5625</v>
      </c>
      <c r="N114" s="34" t="str">
        <f>IF(MATCHER!D106="","",MATCHER!D106)</f>
        <v>Råsta Park</v>
      </c>
      <c r="O114" s="34" t="str">
        <f>IF(MATCHER!E106="","",MATCHER!E106)</f>
        <v>Damer - Dam 4 Öst - Dam 4 Öst Norra</v>
      </c>
      <c r="P114" s="34" t="str">
        <f>IF(MATCHER!F106="","",MATCHER!F106)</f>
        <v>Dam</v>
      </c>
      <c r="Q114" s="34" t="str">
        <f>IF(MATCHER!K106="","",MATCHER!K106)</f>
        <v>Ja</v>
      </c>
      <c r="R114" s="34" t="str">
        <f>IF(K114="","",IF(Q114&lt;&gt;"Ja","Ej aktuell",IF(P114="SAKNAS","NY KLASS",IF(MATCHER!N106&lt;&gt;"Ja",MATCHER!N106,IF(COUNTIF($A$13:$A$220,K114)=0,"NY MATCH","Matchdag finns")))))</f>
        <v>Matchdag finns</v>
      </c>
    </row>
    <row r="115" spans="1:18" ht="13">
      <c r="A115" s="31" t="s">
        <v>329</v>
      </c>
      <c r="B115" s="89">
        <v>46361</v>
      </c>
      <c r="C115" s="90">
        <v>0.375</v>
      </c>
      <c r="D115" s="31" t="s">
        <v>86</v>
      </c>
      <c r="E115" s="31" t="s">
        <v>330</v>
      </c>
      <c r="F115" s="31" t="str">
        <f t="shared" si="1"/>
        <v>Ja</v>
      </c>
      <c r="G115" s="91">
        <f>IFERROR(VLOOKUP(A115,MATCHER!$A$5:$M$504,2,FALSE()),"")</f>
        <v>46361</v>
      </c>
      <c r="H115" s="92">
        <f>IFERROR(VLOOKUP(A115,MATCHER!$A$5:$M$504,3,FALSE()),"")</f>
        <v>0.375</v>
      </c>
      <c r="I115" s="34" t="str">
        <f>IFERROR(VLOOKUP(A115,MATCHER!$A$5:$M$504,4,FALSE()),"")</f>
        <v>Ulriksdalshallen</v>
      </c>
      <c r="J115" s="34" t="str">
        <f>IF(F115&lt;&gt;"Ja","Ej aktuell",IF(COUNTIF(MATCHER!$A$5:$A$504,A115)=0,"BORTTAGEN MATCH",IF(AND(B115=G115,C115=H115,D115=I115),"Oförändrad",IF(AND(B115=G115,D115=I115),"ÄNDRAD TID","FLYTTAD MATCH"))))</f>
        <v>Oförändrad</v>
      </c>
      <c r="K115" s="34" t="str">
        <f>IF(MATCHER!A107="","",MATCHER!A107)</f>
        <v>26 6 14140 03</v>
      </c>
      <c r="L115" s="91">
        <f>IF(MATCHER!B107="","",MATCHER!B107)</f>
        <v>46361</v>
      </c>
      <c r="M115" s="92">
        <f>IF(MATCHER!C107="","",MATCHER!C107)</f>
        <v>0.375</v>
      </c>
      <c r="N115" s="34" t="str">
        <f>IF(MATCHER!D107="","",MATCHER!D107)</f>
        <v>Ulriksdalshallen</v>
      </c>
      <c r="O115" s="34" t="str">
        <f>IF(MATCHER!E107="","",MATCHER!E107)</f>
        <v>Höstens Spel - F10 kortplan Öst - Omgång 4</v>
      </c>
      <c r="P115" s="34" t="str">
        <f>IF(MATCHER!F107="","",MATCHER!F107)</f>
        <v>F10</v>
      </c>
      <c r="Q115" s="34" t="str">
        <f>IF(MATCHER!K107="","",MATCHER!K107)</f>
        <v>Ja</v>
      </c>
      <c r="R115" s="34" t="str">
        <f>IF(K115="","",IF(Q115&lt;&gt;"Ja","Ej aktuell",IF(P115="SAKNAS","NY KLASS",IF(MATCHER!N107&lt;&gt;"Ja",MATCHER!N107,IF(COUNTIF($A$13:$A$220,K115)=0,"NY MATCH","Matchdag finns")))))</f>
        <v>Matchdag finns</v>
      </c>
    </row>
    <row r="116" spans="1:18" ht="13">
      <c r="A116" s="31" t="s">
        <v>331</v>
      </c>
      <c r="B116" s="89">
        <v>46361</v>
      </c>
      <c r="C116" s="90">
        <v>0.40625</v>
      </c>
      <c r="D116" s="31" t="s">
        <v>86</v>
      </c>
      <c r="E116" s="31" t="s">
        <v>330</v>
      </c>
      <c r="F116" s="31" t="str">
        <f t="shared" si="1"/>
        <v>Ja</v>
      </c>
      <c r="G116" s="91">
        <f>IFERROR(VLOOKUP(A116,MATCHER!$A$5:$M$504,2,FALSE()),"")</f>
        <v>46361</v>
      </c>
      <c r="H116" s="92">
        <f>IFERROR(VLOOKUP(A116,MATCHER!$A$5:$M$504,3,FALSE()),"")</f>
        <v>0.40625</v>
      </c>
      <c r="I116" s="34" t="str">
        <f>IFERROR(VLOOKUP(A116,MATCHER!$A$5:$M$504,4,FALSE()),"")</f>
        <v>Ulriksdalshallen</v>
      </c>
      <c r="J116" s="34" t="str">
        <f>IF(F116&lt;&gt;"Ja","Ej aktuell",IF(COUNTIF(MATCHER!$A$5:$A$504,A116)=0,"BORTTAGEN MATCH",IF(AND(B116=G116,C116=H116,D116=I116),"Oförändrad",IF(AND(B116=G116,D116=I116),"ÄNDRAD TID","FLYTTAD MATCH"))))</f>
        <v>Oförändrad</v>
      </c>
      <c r="K116" s="34" t="str">
        <f>IF(MATCHER!A108="","",MATCHER!A108)</f>
        <v>26 6 14140 02</v>
      </c>
      <c r="L116" s="91">
        <f>IF(MATCHER!B108="","",MATCHER!B108)</f>
        <v>46361</v>
      </c>
      <c r="M116" s="92">
        <f>IF(MATCHER!C108="","",MATCHER!C108)</f>
        <v>0.40625</v>
      </c>
      <c r="N116" s="34" t="str">
        <f>IF(MATCHER!D108="","",MATCHER!D108)</f>
        <v>Ulriksdalshallen</v>
      </c>
      <c r="O116" s="34" t="str">
        <f>IF(MATCHER!E108="","",MATCHER!E108)</f>
        <v>Höstens Spel - F10 kortplan Öst - Omgång 4</v>
      </c>
      <c r="P116" s="34" t="str">
        <f>IF(MATCHER!F108="","",MATCHER!F108)</f>
        <v>F10</v>
      </c>
      <c r="Q116" s="34" t="str">
        <f>IF(MATCHER!K108="","",MATCHER!K108)</f>
        <v>Ja</v>
      </c>
      <c r="R116" s="34" t="str">
        <f>IF(K116="","",IF(Q116&lt;&gt;"Ja","Ej aktuell",IF(P116="SAKNAS","NY KLASS",IF(MATCHER!N108&lt;&gt;"Ja",MATCHER!N108,IF(COUNTIF($A$13:$A$220,K116)=0,"NY MATCH","Matchdag finns")))))</f>
        <v>Matchdag finns</v>
      </c>
    </row>
    <row r="117" spans="1:18" ht="13">
      <c r="A117" s="31" t="s">
        <v>332</v>
      </c>
      <c r="B117" s="89">
        <v>46361</v>
      </c>
      <c r="C117" s="90">
        <v>0.4375</v>
      </c>
      <c r="D117" s="31" t="s">
        <v>86</v>
      </c>
      <c r="E117" s="31" t="s">
        <v>330</v>
      </c>
      <c r="F117" s="31" t="str">
        <f t="shared" si="1"/>
        <v>Ja</v>
      </c>
      <c r="G117" s="91">
        <f>IFERROR(VLOOKUP(A117,MATCHER!$A$5:$M$504,2,FALSE()),"")</f>
        <v>46361</v>
      </c>
      <c r="H117" s="92">
        <f>IFERROR(VLOOKUP(A117,MATCHER!$A$5:$M$504,3,FALSE()),"")</f>
        <v>0.4375</v>
      </c>
      <c r="I117" s="34" t="str">
        <f>IFERROR(VLOOKUP(A117,MATCHER!$A$5:$M$504,4,FALSE()),"")</f>
        <v>Ulriksdalshallen</v>
      </c>
      <c r="J117" s="34" t="str">
        <f>IF(F117&lt;&gt;"Ja","Ej aktuell",IF(COUNTIF(MATCHER!$A$5:$A$504,A117)=0,"BORTTAGEN MATCH",IF(AND(B117=G117,C117=H117,D117=I117),"Oförändrad",IF(AND(B117=G117,D117=I117),"ÄNDRAD TID","FLYTTAD MATCH"))))</f>
        <v>Oförändrad</v>
      </c>
      <c r="K117" s="34" t="str">
        <f>IF(MATCHER!A109="","",MATCHER!A109)</f>
        <v>26 6 14140 01</v>
      </c>
      <c r="L117" s="91">
        <f>IF(MATCHER!B109="","",MATCHER!B109)</f>
        <v>46361</v>
      </c>
      <c r="M117" s="92">
        <f>IF(MATCHER!C109="","",MATCHER!C109)</f>
        <v>0.4375</v>
      </c>
      <c r="N117" s="34" t="str">
        <f>IF(MATCHER!D109="","",MATCHER!D109)</f>
        <v>Ulriksdalshallen</v>
      </c>
      <c r="O117" s="34" t="str">
        <f>IF(MATCHER!E109="","",MATCHER!E109)</f>
        <v>Höstens Spel - F10 kortplan Öst - Omgång 4</v>
      </c>
      <c r="P117" s="34" t="str">
        <f>IF(MATCHER!F109="","",MATCHER!F109)</f>
        <v>F10</v>
      </c>
      <c r="Q117" s="34" t="str">
        <f>IF(MATCHER!K109="","",MATCHER!K109)</f>
        <v>Ja</v>
      </c>
      <c r="R117" s="34" t="str">
        <f>IF(K117="","",IF(Q117&lt;&gt;"Ja","Ej aktuell",IF(P117="SAKNAS","NY KLASS",IF(MATCHER!N109&lt;&gt;"Ja",MATCHER!N109,IF(COUNTIF($A$13:$A$220,K117)=0,"NY MATCH","Matchdag finns")))))</f>
        <v>Matchdag finns</v>
      </c>
    </row>
    <row r="118" spans="1:18" ht="13">
      <c r="A118" s="31" t="s">
        <v>333</v>
      </c>
      <c r="B118" s="89">
        <v>46361</v>
      </c>
      <c r="C118" s="90">
        <v>0.46875</v>
      </c>
      <c r="D118" s="31" t="s">
        <v>86</v>
      </c>
      <c r="E118" s="31" t="s">
        <v>330</v>
      </c>
      <c r="F118" s="31" t="str">
        <f t="shared" si="1"/>
        <v>Ja</v>
      </c>
      <c r="G118" s="91">
        <f>IFERROR(VLOOKUP(A118,MATCHER!$A$5:$M$504,2,FALSE()),"")</f>
        <v>46361</v>
      </c>
      <c r="H118" s="92">
        <f>IFERROR(VLOOKUP(A118,MATCHER!$A$5:$M$504,3,FALSE()),"")</f>
        <v>0.46875</v>
      </c>
      <c r="I118" s="34" t="str">
        <f>IFERROR(VLOOKUP(A118,MATCHER!$A$5:$M$504,4,FALSE()),"")</f>
        <v>Ulriksdalshallen</v>
      </c>
      <c r="J118" s="34" t="str">
        <f>IF(F118&lt;&gt;"Ja","Ej aktuell",IF(COUNTIF(MATCHER!$A$5:$A$504,A118)=0,"BORTTAGEN MATCH",IF(AND(B118=G118,C118=H118,D118=I118),"Oförändrad",IF(AND(B118=G118,D118=I118),"ÄNDRAD TID","FLYTTAD MATCH"))))</f>
        <v>Oförändrad</v>
      </c>
      <c r="K118" s="34" t="str">
        <f>IF(MATCHER!A110="","",MATCHER!A110)</f>
        <v>26 6 14140 05</v>
      </c>
      <c r="L118" s="91">
        <f>IF(MATCHER!B110="","",MATCHER!B110)</f>
        <v>46361</v>
      </c>
      <c r="M118" s="92">
        <f>IF(MATCHER!C110="","",MATCHER!C110)</f>
        <v>0.46875</v>
      </c>
      <c r="N118" s="34" t="str">
        <f>IF(MATCHER!D110="","",MATCHER!D110)</f>
        <v>Ulriksdalshallen</v>
      </c>
      <c r="O118" s="34" t="str">
        <f>IF(MATCHER!E110="","",MATCHER!E110)</f>
        <v>Höstens Spel - F10 kortplan Öst - Omgång 4</v>
      </c>
      <c r="P118" s="34" t="str">
        <f>IF(MATCHER!F110="","",MATCHER!F110)</f>
        <v>F10</v>
      </c>
      <c r="Q118" s="34" t="str">
        <f>IF(MATCHER!K110="","",MATCHER!K110)</f>
        <v>Ja</v>
      </c>
      <c r="R118" s="34" t="str">
        <f>IF(K118="","",IF(Q118&lt;&gt;"Ja","Ej aktuell",IF(P118="SAKNAS","NY KLASS",IF(MATCHER!N110&lt;&gt;"Ja",MATCHER!N110,IF(COUNTIF($A$13:$A$220,K118)=0,"NY MATCH","Matchdag finns")))))</f>
        <v>Matchdag finns</v>
      </c>
    </row>
    <row r="119" spans="1:18" ht="13">
      <c r="A119" s="31" t="s">
        <v>334</v>
      </c>
      <c r="B119" s="89">
        <v>46361</v>
      </c>
      <c r="C119" s="90">
        <v>0.5</v>
      </c>
      <c r="D119" s="31" t="s">
        <v>86</v>
      </c>
      <c r="E119" s="31" t="s">
        <v>330</v>
      </c>
      <c r="F119" s="31" t="str">
        <f t="shared" si="1"/>
        <v>Ja</v>
      </c>
      <c r="G119" s="91">
        <f>IFERROR(VLOOKUP(A119,MATCHER!$A$5:$M$504,2,FALSE()),"")</f>
        <v>46361</v>
      </c>
      <c r="H119" s="92">
        <f>IFERROR(VLOOKUP(A119,MATCHER!$A$5:$M$504,3,FALSE()),"")</f>
        <v>0.5</v>
      </c>
      <c r="I119" s="34" t="str">
        <f>IFERROR(VLOOKUP(A119,MATCHER!$A$5:$M$504,4,FALSE()),"")</f>
        <v>Ulriksdalshallen</v>
      </c>
      <c r="J119" s="34" t="str">
        <f>IF(F119&lt;&gt;"Ja","Ej aktuell",IF(COUNTIF(MATCHER!$A$5:$A$504,A119)=0,"BORTTAGEN MATCH",IF(AND(B119=G119,C119=H119,D119=I119),"Oförändrad",IF(AND(B119=G119,D119=I119),"ÄNDRAD TID","FLYTTAD MATCH"))))</f>
        <v>Oförändrad</v>
      </c>
      <c r="K119" s="34" t="str">
        <f>IF(MATCHER!A111="","",MATCHER!A111)</f>
        <v>26 6 14140 04</v>
      </c>
      <c r="L119" s="91">
        <f>IF(MATCHER!B111="","",MATCHER!B111)</f>
        <v>46361</v>
      </c>
      <c r="M119" s="92">
        <f>IF(MATCHER!C111="","",MATCHER!C111)</f>
        <v>0.5</v>
      </c>
      <c r="N119" s="34" t="str">
        <f>IF(MATCHER!D111="","",MATCHER!D111)</f>
        <v>Ulriksdalshallen</v>
      </c>
      <c r="O119" s="34" t="str">
        <f>IF(MATCHER!E111="","",MATCHER!E111)</f>
        <v>Höstens Spel - F10 kortplan Öst - Omgång 4</v>
      </c>
      <c r="P119" s="34" t="str">
        <f>IF(MATCHER!F111="","",MATCHER!F111)</f>
        <v>F10</v>
      </c>
      <c r="Q119" s="34" t="str">
        <f>IF(MATCHER!K111="","",MATCHER!K111)</f>
        <v>Ja</v>
      </c>
      <c r="R119" s="34" t="str">
        <f>IF(K119="","",IF(Q119&lt;&gt;"Ja","Ej aktuell",IF(P119="SAKNAS","NY KLASS",IF(MATCHER!N111&lt;&gt;"Ja",MATCHER!N111,IF(COUNTIF($A$13:$A$220,K119)=0,"NY MATCH","Matchdag finns")))))</f>
        <v>Matchdag finns</v>
      </c>
    </row>
    <row r="120" spans="1:18" ht="13">
      <c r="A120" s="31" t="s">
        <v>335</v>
      </c>
      <c r="B120" s="89">
        <v>46361</v>
      </c>
      <c r="C120" s="90">
        <v>0.66666666666666696</v>
      </c>
      <c r="D120" s="31" t="s">
        <v>86</v>
      </c>
      <c r="E120" s="31" t="s">
        <v>221</v>
      </c>
      <c r="F120" s="31" t="str">
        <f t="shared" si="1"/>
        <v>Ja</v>
      </c>
      <c r="G120" s="91">
        <f>IFERROR(VLOOKUP(A120,MATCHER!$A$5:$M$504,2,FALSE()),"")</f>
        <v>46361</v>
      </c>
      <c r="H120" s="92">
        <f>IFERROR(VLOOKUP(A120,MATCHER!$A$5:$M$504,3,FALSE()),"")</f>
        <v>0.66666666666666663</v>
      </c>
      <c r="I120" s="34" t="str">
        <f>IFERROR(VLOOKUP(A120,MATCHER!$A$5:$M$504,4,FALSE()),"")</f>
        <v>Ulriksdalshallen</v>
      </c>
      <c r="J120" s="34" t="str">
        <f>IF(F120&lt;&gt;"Ja","Ej aktuell",IF(COUNTIF(MATCHER!$A$5:$A$504,A120)=0,"BORTTAGEN MATCH",IF(AND(B120=G120,C120=H120,D120=I120),"Oförändrad",IF(AND(B120=G120,D120=I120),"ÄNDRAD TID","FLYTTAD MATCH"))))</f>
        <v>Oförändrad</v>
      </c>
      <c r="K120" s="34" t="str">
        <f>IF(MATCHER!A112="","",MATCHER!A112)</f>
        <v>26 6 1352 048</v>
      </c>
      <c r="L120" s="91">
        <f>IF(MATCHER!B112="","",MATCHER!B112)</f>
        <v>46361</v>
      </c>
      <c r="M120" s="92">
        <f>IF(MATCHER!C112="","",MATCHER!C112)</f>
        <v>0.66666666666666663</v>
      </c>
      <c r="N120" s="34" t="str">
        <f>IF(MATCHER!D112="","",MATCHER!D112)</f>
        <v>Ulriksdalshallen</v>
      </c>
      <c r="O120" s="34" t="str">
        <f>IF(MATCHER!E112="","",MATCHER!E112)</f>
        <v>Flickor - F13 Öst - F13 Nivå 2 Öst Norra</v>
      </c>
      <c r="P120" s="34" t="str">
        <f>IF(MATCHER!F112="","",MATCHER!F112)</f>
        <v>F13</v>
      </c>
      <c r="Q120" s="34" t="str">
        <f>IF(MATCHER!K112="","",MATCHER!K112)</f>
        <v>Ja</v>
      </c>
      <c r="R120" s="34" t="str">
        <f>IF(K120="","",IF(Q120&lt;&gt;"Ja","Ej aktuell",IF(P120="SAKNAS","NY KLASS",IF(MATCHER!N112&lt;&gt;"Ja",MATCHER!N112,IF(COUNTIF($A$13:$A$220,K120)=0,"NY MATCH","Matchdag finns")))))</f>
        <v>Matchdag finns</v>
      </c>
    </row>
    <row r="121" spans="1:18" ht="13">
      <c r="A121" s="31" t="s">
        <v>336</v>
      </c>
      <c r="B121" s="89">
        <v>46368</v>
      </c>
      <c r="C121" s="90">
        <v>0.625</v>
      </c>
      <c r="D121" s="31" t="s">
        <v>212</v>
      </c>
      <c r="E121" s="31" t="s">
        <v>231</v>
      </c>
      <c r="F121" s="31" t="str">
        <f t="shared" si="1"/>
        <v>Nej</v>
      </c>
      <c r="G121" s="91">
        <f>IFERROR(VLOOKUP(A121,MATCHER!$A$5:$M$504,2,FALSE()),"")</f>
        <v>46368</v>
      </c>
      <c r="H121" s="92">
        <f>IFERROR(VLOOKUP(A121,MATCHER!$A$5:$M$504,3,FALSE()),"")</f>
        <v>0.625</v>
      </c>
      <c r="I121" s="34" t="str">
        <f>IFERROR(VLOOKUP(A121,MATCHER!$A$5:$M$504,4,FALSE()),"")</f>
        <v>Solnahallen</v>
      </c>
      <c r="J121" s="34" t="str">
        <f>IF(F121&lt;&gt;"Ja","Ej aktuell",IF(COUNTIF(MATCHER!$A$5:$A$504,A121)=0,"BORTTAGEN MATCH",IF(AND(B121=G121,C121=H121,D121=I121),"Oförändrad",IF(AND(B121=G121,D121=I121),"ÄNDRAD TID","FLYTTAD MATCH"))))</f>
        <v>Ej aktuell</v>
      </c>
      <c r="K121" s="34" t="str">
        <f>IF(MATCHER!A113="","",MATCHER!A113)</f>
        <v>26 -1 1121 062</v>
      </c>
      <c r="L121" s="91">
        <f>IF(MATCHER!B113="","",MATCHER!B113)</f>
        <v>46368</v>
      </c>
      <c r="M121" s="92">
        <f>IF(MATCHER!C113="","",MATCHER!C113)</f>
        <v>0.625</v>
      </c>
      <c r="N121" s="34" t="str">
        <f>IF(MATCHER!D113="","",MATCHER!D113)</f>
        <v>Solnahallen</v>
      </c>
      <c r="O121" s="34" t="str">
        <f>IF(MATCHER!E113="","",MATCHER!E113)</f>
        <v>Damer - Damallsvenskan</v>
      </c>
      <c r="P121" s="34" t="str">
        <f>IF(MATCHER!F113="","",MATCHER!F113)</f>
        <v>Dam</v>
      </c>
      <c r="Q121" s="34" t="str">
        <f>IF(MATCHER!K113="","",MATCHER!K113)</f>
        <v>Nej</v>
      </c>
      <c r="R121" s="34" t="str">
        <f>IF(K121="","",IF(Q121&lt;&gt;"Ja","Ej aktuell",IF(P121="SAKNAS","NY KLASS",IF(MATCHER!N113&lt;&gt;"Ja",MATCHER!N113,IF(COUNTIF($A$13:$A$220,K121)=0,"NY MATCH","Matchdag finns")))))</f>
        <v>Ej aktuell</v>
      </c>
    </row>
    <row r="122" spans="1:18" ht="13">
      <c r="A122" s="31" t="s">
        <v>337</v>
      </c>
      <c r="B122" s="89">
        <v>46368</v>
      </c>
      <c r="C122" s="90">
        <v>0.72916666666666696</v>
      </c>
      <c r="D122" s="31" t="s">
        <v>212</v>
      </c>
      <c r="E122" s="31" t="s">
        <v>234</v>
      </c>
      <c r="F122" s="31" t="str">
        <f t="shared" si="1"/>
        <v>Nej</v>
      </c>
      <c r="G122" s="91">
        <f>IFERROR(VLOOKUP(A122,MATCHER!$A$5:$M$504,2,FALSE()),"")</f>
        <v>46368</v>
      </c>
      <c r="H122" s="92">
        <f>IFERROR(VLOOKUP(A122,MATCHER!$A$5:$M$504,3,FALSE()),"")</f>
        <v>0.72916666666666663</v>
      </c>
      <c r="I122" s="34" t="str">
        <f>IFERROR(VLOOKUP(A122,MATCHER!$A$5:$M$504,4,FALSE()),"")</f>
        <v>Solnahallen</v>
      </c>
      <c r="J122" s="34" t="str">
        <f>IF(F122&lt;&gt;"Ja","Ej aktuell",IF(COUNTIF(MATCHER!$A$5:$A$504,A122)=0,"BORTTAGEN MATCH",IF(AND(B122=G122,C122=H122,D122=I122),"Oförändrad",IF(AND(B122=G122,D122=I122),"ÄNDRAD TID","FLYTTAD MATCH"))))</f>
        <v>Ej aktuell</v>
      </c>
      <c r="K122" s="34" t="str">
        <f>IF(MATCHER!A114="","",MATCHER!A114)</f>
        <v>26 6 1221 062</v>
      </c>
      <c r="L122" s="91">
        <f>IF(MATCHER!B114="","",MATCHER!B114)</f>
        <v>46368</v>
      </c>
      <c r="M122" s="92">
        <f>IF(MATCHER!C114="","",MATCHER!C114)</f>
        <v>0.72916666666666663</v>
      </c>
      <c r="N122" s="34" t="str">
        <f>IF(MATCHER!D114="","",MATCHER!D114)</f>
        <v>Solnahallen</v>
      </c>
      <c r="O122" s="34" t="str">
        <f>IF(MATCHER!E114="","",MATCHER!E114)</f>
        <v>Herrar - Herr 2 Öst</v>
      </c>
      <c r="P122" s="34" t="str">
        <f>IF(MATCHER!F114="","",MATCHER!F114)</f>
        <v>Herr</v>
      </c>
      <c r="Q122" s="34" t="str">
        <f>IF(MATCHER!K114="","",MATCHER!K114)</f>
        <v>Nej</v>
      </c>
      <c r="R122" s="34" t="str">
        <f>IF(K122="","",IF(Q122&lt;&gt;"Ja","Ej aktuell",IF(P122="SAKNAS","NY KLASS",IF(MATCHER!N114&lt;&gt;"Ja",MATCHER!N114,IF(COUNTIF($A$13:$A$220,K122)=0,"NY MATCH","Matchdag finns")))))</f>
        <v>Ej aktuell</v>
      </c>
    </row>
    <row r="123" spans="1:18" ht="13">
      <c r="A123" s="31" t="s">
        <v>338</v>
      </c>
      <c r="B123" s="89">
        <v>46368</v>
      </c>
      <c r="C123" s="90">
        <v>0.375</v>
      </c>
      <c r="D123" s="31" t="s">
        <v>110</v>
      </c>
      <c r="E123" s="31" t="s">
        <v>339</v>
      </c>
      <c r="F123" s="31" t="str">
        <f t="shared" si="1"/>
        <v>Ja</v>
      </c>
      <c r="G123" s="91">
        <f>IFERROR(VLOOKUP(A123,MATCHER!$A$5:$M$504,2,FALSE()),"")</f>
        <v>46368</v>
      </c>
      <c r="H123" s="92">
        <f>IFERROR(VLOOKUP(A123,MATCHER!$A$5:$M$504,3,FALSE()),"")</f>
        <v>0.375</v>
      </c>
      <c r="I123" s="34" t="str">
        <f>IFERROR(VLOOKUP(A123,MATCHER!$A$5:$M$504,4,FALSE()),"")</f>
        <v>Tallbackaskolan</v>
      </c>
      <c r="J123" s="34" t="str">
        <f>IF(F123&lt;&gt;"Ja","Ej aktuell",IF(COUNTIF(MATCHER!$A$5:$A$504,A123)=0,"BORTTAGEN MATCH",IF(AND(B123=G123,C123=H123,D123=I123),"Oförändrad",IF(AND(B123=G123,D123=I123),"ÄNDRAD TID","FLYTTAD MATCH"))))</f>
        <v>Oförändrad</v>
      </c>
      <c r="K123" s="34" t="str">
        <f>IF(MATCHER!A115="","",MATCHER!A115)</f>
        <v>26 6 14225 01</v>
      </c>
      <c r="L123" s="91">
        <f>IF(MATCHER!B115="","",MATCHER!B115)</f>
        <v>46368</v>
      </c>
      <c r="M123" s="92">
        <f>IF(MATCHER!C115="","",MATCHER!C115)</f>
        <v>0.375</v>
      </c>
      <c r="N123" s="34" t="str">
        <f>IF(MATCHER!D115="","",MATCHER!D115)</f>
        <v>Tallbackaskolan</v>
      </c>
      <c r="O123" s="34" t="str">
        <f>IF(MATCHER!E115="","",MATCHER!E115)</f>
        <v>Höstens Spel - F9 Miniplan Öst - Omgång 4</v>
      </c>
      <c r="P123" s="34" t="str">
        <f>IF(MATCHER!F115="","",MATCHER!F115)</f>
        <v>F9</v>
      </c>
      <c r="Q123" s="34" t="str">
        <f>IF(MATCHER!K115="","",MATCHER!K115)</f>
        <v>Ja</v>
      </c>
      <c r="R123" s="34" t="str">
        <f>IF(K123="","",IF(Q123&lt;&gt;"Ja","Ej aktuell",IF(P123="SAKNAS","NY KLASS",IF(MATCHER!N115&lt;&gt;"Ja",MATCHER!N115,IF(COUNTIF($A$13:$A$220,K123)=0,"NY MATCH","Matchdag finns")))))</f>
        <v>Matchdag finns</v>
      </c>
    </row>
    <row r="124" spans="1:18" ht="13">
      <c r="A124" s="31" t="s">
        <v>340</v>
      </c>
      <c r="B124" s="89">
        <v>46368</v>
      </c>
      <c r="C124" s="90">
        <v>0.375</v>
      </c>
      <c r="D124" s="31" t="s">
        <v>110</v>
      </c>
      <c r="E124" s="31" t="s">
        <v>339</v>
      </c>
      <c r="F124" s="31" t="str">
        <f t="shared" si="1"/>
        <v>Ja</v>
      </c>
      <c r="G124" s="91">
        <f>IFERROR(VLOOKUP(A124,MATCHER!$A$5:$M$504,2,FALSE()),"")</f>
        <v>46368</v>
      </c>
      <c r="H124" s="92">
        <f>IFERROR(VLOOKUP(A124,MATCHER!$A$5:$M$504,3,FALSE()),"")</f>
        <v>0.375</v>
      </c>
      <c r="I124" s="34" t="str">
        <f>IFERROR(VLOOKUP(A124,MATCHER!$A$5:$M$504,4,FALSE()),"")</f>
        <v>Tallbackaskolan</v>
      </c>
      <c r="J124" s="34" t="str">
        <f>IF(F124&lt;&gt;"Ja","Ej aktuell",IF(COUNTIF(MATCHER!$A$5:$A$504,A124)=0,"BORTTAGEN MATCH",IF(AND(B124=G124,C124=H124,D124=I124),"Oförändrad",IF(AND(B124=G124,D124=I124),"ÄNDRAD TID","FLYTTAD MATCH"))))</f>
        <v>Oförändrad</v>
      </c>
      <c r="K124" s="34" t="str">
        <f>IF(MATCHER!A116="","",MATCHER!A116)</f>
        <v>26 6 14225 07</v>
      </c>
      <c r="L124" s="91">
        <f>IF(MATCHER!B116="","",MATCHER!B116)</f>
        <v>46368</v>
      </c>
      <c r="M124" s="92">
        <f>IF(MATCHER!C116="","",MATCHER!C116)</f>
        <v>0.375</v>
      </c>
      <c r="N124" s="34" t="str">
        <f>IF(MATCHER!D116="","",MATCHER!D116)</f>
        <v>Tallbackaskolan</v>
      </c>
      <c r="O124" s="34" t="str">
        <f>IF(MATCHER!E116="","",MATCHER!E116)</f>
        <v>Höstens Spel - F9 Miniplan Öst - Omgång 4</v>
      </c>
      <c r="P124" s="34" t="str">
        <f>IF(MATCHER!F116="","",MATCHER!F116)</f>
        <v>F9</v>
      </c>
      <c r="Q124" s="34" t="str">
        <f>IF(MATCHER!K116="","",MATCHER!K116)</f>
        <v>Ja</v>
      </c>
      <c r="R124" s="34" t="str">
        <f>IF(K124="","",IF(Q124&lt;&gt;"Ja","Ej aktuell",IF(P124="SAKNAS","NY KLASS",IF(MATCHER!N116&lt;&gt;"Ja",MATCHER!N116,IF(COUNTIF($A$13:$A$220,K124)=0,"NY MATCH","Matchdag finns")))))</f>
        <v>Matchdag finns</v>
      </c>
    </row>
    <row r="125" spans="1:18" ht="13">
      <c r="A125" s="31" t="s">
        <v>341</v>
      </c>
      <c r="B125" s="89">
        <v>46368</v>
      </c>
      <c r="C125" s="90">
        <v>0.39583333333333298</v>
      </c>
      <c r="D125" s="31" t="s">
        <v>110</v>
      </c>
      <c r="E125" s="31" t="s">
        <v>339</v>
      </c>
      <c r="F125" s="31" t="str">
        <f t="shared" si="1"/>
        <v>Ja</v>
      </c>
      <c r="G125" s="91">
        <f>IFERROR(VLOOKUP(A125,MATCHER!$A$5:$M$504,2,FALSE()),"")</f>
        <v>46368</v>
      </c>
      <c r="H125" s="92">
        <f>IFERROR(VLOOKUP(A125,MATCHER!$A$5:$M$504,3,FALSE()),"")</f>
        <v>0.39583333333333331</v>
      </c>
      <c r="I125" s="34" t="str">
        <f>IFERROR(VLOOKUP(A125,MATCHER!$A$5:$M$504,4,FALSE()),"")</f>
        <v>Tallbackaskolan</v>
      </c>
      <c r="J125" s="34" t="str">
        <f>IF(F125&lt;&gt;"Ja","Ej aktuell",IF(COUNTIF(MATCHER!$A$5:$A$504,A125)=0,"BORTTAGEN MATCH",IF(AND(B125=G125,C125=H125,D125=I125),"Oförändrad",IF(AND(B125=G125,D125=I125),"ÄNDRAD TID","FLYTTAD MATCH"))))</f>
        <v>Oförändrad</v>
      </c>
      <c r="K125" s="34" t="str">
        <f>IF(MATCHER!A117="","",MATCHER!A117)</f>
        <v>26 6 14225 02</v>
      </c>
      <c r="L125" s="91">
        <f>IF(MATCHER!B117="","",MATCHER!B117)</f>
        <v>46368</v>
      </c>
      <c r="M125" s="92">
        <f>IF(MATCHER!C117="","",MATCHER!C117)</f>
        <v>0.39583333333333331</v>
      </c>
      <c r="N125" s="34" t="str">
        <f>IF(MATCHER!D117="","",MATCHER!D117)</f>
        <v>Tallbackaskolan</v>
      </c>
      <c r="O125" s="34" t="str">
        <f>IF(MATCHER!E117="","",MATCHER!E117)</f>
        <v>Höstens Spel - F9 Miniplan Öst - Omgång 4</v>
      </c>
      <c r="P125" s="34" t="str">
        <f>IF(MATCHER!F117="","",MATCHER!F117)</f>
        <v>F9</v>
      </c>
      <c r="Q125" s="34" t="str">
        <f>IF(MATCHER!K117="","",MATCHER!K117)</f>
        <v>Ja</v>
      </c>
      <c r="R125" s="34" t="str">
        <f>IF(K125="","",IF(Q125&lt;&gt;"Ja","Ej aktuell",IF(P125="SAKNAS","NY KLASS",IF(MATCHER!N117&lt;&gt;"Ja",MATCHER!N117,IF(COUNTIF($A$13:$A$220,K125)=0,"NY MATCH","Matchdag finns")))))</f>
        <v>Matchdag finns</v>
      </c>
    </row>
    <row r="126" spans="1:18" ht="13">
      <c r="A126" s="31" t="s">
        <v>342</v>
      </c>
      <c r="B126" s="89">
        <v>46368</v>
      </c>
      <c r="C126" s="90">
        <v>0.39583333333333298</v>
      </c>
      <c r="D126" s="31" t="s">
        <v>110</v>
      </c>
      <c r="E126" s="31" t="s">
        <v>339</v>
      </c>
      <c r="F126" s="31" t="str">
        <f t="shared" si="1"/>
        <v>Ja</v>
      </c>
      <c r="G126" s="91">
        <f>IFERROR(VLOOKUP(A126,MATCHER!$A$5:$M$504,2,FALSE()),"")</f>
        <v>46368</v>
      </c>
      <c r="H126" s="92">
        <f>IFERROR(VLOOKUP(A126,MATCHER!$A$5:$M$504,3,FALSE()),"")</f>
        <v>0.39583333333333331</v>
      </c>
      <c r="I126" s="34" t="str">
        <f>IFERROR(VLOOKUP(A126,MATCHER!$A$5:$M$504,4,FALSE()),"")</f>
        <v>Tallbackaskolan</v>
      </c>
      <c r="J126" s="34" t="str">
        <f>IF(F126&lt;&gt;"Ja","Ej aktuell",IF(COUNTIF(MATCHER!$A$5:$A$504,A126)=0,"BORTTAGEN MATCH",IF(AND(B126=G126,C126=H126,D126=I126),"Oförändrad",IF(AND(B126=G126,D126=I126),"ÄNDRAD TID","FLYTTAD MATCH"))))</f>
        <v>Oförändrad</v>
      </c>
      <c r="K126" s="34" t="str">
        <f>IF(MATCHER!A118="","",MATCHER!A118)</f>
        <v>26 6 14225 08</v>
      </c>
      <c r="L126" s="91">
        <f>IF(MATCHER!B118="","",MATCHER!B118)</f>
        <v>46368</v>
      </c>
      <c r="M126" s="92">
        <f>IF(MATCHER!C118="","",MATCHER!C118)</f>
        <v>0.39583333333333331</v>
      </c>
      <c r="N126" s="34" t="str">
        <f>IF(MATCHER!D118="","",MATCHER!D118)</f>
        <v>Tallbackaskolan</v>
      </c>
      <c r="O126" s="34" t="str">
        <f>IF(MATCHER!E118="","",MATCHER!E118)</f>
        <v>Höstens Spel - F9 Miniplan Öst - Omgång 4</v>
      </c>
      <c r="P126" s="34" t="str">
        <f>IF(MATCHER!F118="","",MATCHER!F118)</f>
        <v>F9</v>
      </c>
      <c r="Q126" s="34" t="str">
        <f>IF(MATCHER!K118="","",MATCHER!K118)</f>
        <v>Ja</v>
      </c>
      <c r="R126" s="34" t="str">
        <f>IF(K126="","",IF(Q126&lt;&gt;"Ja","Ej aktuell",IF(P126="SAKNAS","NY KLASS",IF(MATCHER!N118&lt;&gt;"Ja",MATCHER!N118,IF(COUNTIF($A$13:$A$220,K126)=0,"NY MATCH","Matchdag finns")))))</f>
        <v>Matchdag finns</v>
      </c>
    </row>
    <row r="127" spans="1:18" ht="13">
      <c r="A127" s="31" t="s">
        <v>343</v>
      </c>
      <c r="B127" s="89">
        <v>46368</v>
      </c>
      <c r="C127" s="90">
        <v>0.41666666666666702</v>
      </c>
      <c r="D127" s="31" t="s">
        <v>110</v>
      </c>
      <c r="E127" s="31" t="s">
        <v>339</v>
      </c>
      <c r="F127" s="31" t="str">
        <f t="shared" si="1"/>
        <v>Ja</v>
      </c>
      <c r="G127" s="91">
        <f>IFERROR(VLOOKUP(A127,MATCHER!$A$5:$M$504,2,FALSE()),"")</f>
        <v>46368</v>
      </c>
      <c r="H127" s="92">
        <f>IFERROR(VLOOKUP(A127,MATCHER!$A$5:$M$504,3,FALSE()),"")</f>
        <v>0.41666666666666669</v>
      </c>
      <c r="I127" s="34" t="str">
        <f>IFERROR(VLOOKUP(A127,MATCHER!$A$5:$M$504,4,FALSE()),"")</f>
        <v>Tallbackaskolan</v>
      </c>
      <c r="J127" s="34" t="str">
        <f>IF(F127&lt;&gt;"Ja","Ej aktuell",IF(COUNTIF(MATCHER!$A$5:$A$504,A127)=0,"BORTTAGEN MATCH",IF(AND(B127=G127,C127=H127,D127=I127),"Oförändrad",IF(AND(B127=G127,D127=I127),"ÄNDRAD TID","FLYTTAD MATCH"))))</f>
        <v>Oförändrad</v>
      </c>
      <c r="K127" s="34" t="str">
        <f>IF(MATCHER!A119="","",MATCHER!A119)</f>
        <v>26 6 14225 03</v>
      </c>
      <c r="L127" s="91">
        <f>IF(MATCHER!B119="","",MATCHER!B119)</f>
        <v>46368</v>
      </c>
      <c r="M127" s="92">
        <f>IF(MATCHER!C119="","",MATCHER!C119)</f>
        <v>0.41666666666666669</v>
      </c>
      <c r="N127" s="34" t="str">
        <f>IF(MATCHER!D119="","",MATCHER!D119)</f>
        <v>Tallbackaskolan</v>
      </c>
      <c r="O127" s="34" t="str">
        <f>IF(MATCHER!E119="","",MATCHER!E119)</f>
        <v>Höstens Spel - F9 Miniplan Öst - Omgång 4</v>
      </c>
      <c r="P127" s="34" t="str">
        <f>IF(MATCHER!F119="","",MATCHER!F119)</f>
        <v>F9</v>
      </c>
      <c r="Q127" s="34" t="str">
        <f>IF(MATCHER!K119="","",MATCHER!K119)</f>
        <v>Ja</v>
      </c>
      <c r="R127" s="34" t="str">
        <f>IF(K127="","",IF(Q127&lt;&gt;"Ja","Ej aktuell",IF(P127="SAKNAS","NY KLASS",IF(MATCHER!N119&lt;&gt;"Ja",MATCHER!N119,IF(COUNTIF($A$13:$A$220,K127)=0,"NY MATCH","Matchdag finns")))))</f>
        <v>Matchdag finns</v>
      </c>
    </row>
    <row r="128" spans="1:18" ht="13">
      <c r="A128" s="31" t="s">
        <v>344</v>
      </c>
      <c r="B128" s="89">
        <v>46368</v>
      </c>
      <c r="C128" s="90">
        <v>0.41666666666666702</v>
      </c>
      <c r="D128" s="31" t="s">
        <v>110</v>
      </c>
      <c r="E128" s="31" t="s">
        <v>339</v>
      </c>
      <c r="F128" s="31" t="str">
        <f t="shared" si="1"/>
        <v>Ja</v>
      </c>
      <c r="G128" s="91">
        <f>IFERROR(VLOOKUP(A128,MATCHER!$A$5:$M$504,2,FALSE()),"")</f>
        <v>46368</v>
      </c>
      <c r="H128" s="92">
        <f>IFERROR(VLOOKUP(A128,MATCHER!$A$5:$M$504,3,FALSE()),"")</f>
        <v>0.41666666666666669</v>
      </c>
      <c r="I128" s="34" t="str">
        <f>IFERROR(VLOOKUP(A128,MATCHER!$A$5:$M$504,4,FALSE()),"")</f>
        <v>Tallbackaskolan</v>
      </c>
      <c r="J128" s="34" t="str">
        <f>IF(F128&lt;&gt;"Ja","Ej aktuell",IF(COUNTIF(MATCHER!$A$5:$A$504,A128)=0,"BORTTAGEN MATCH",IF(AND(B128=G128,C128=H128,D128=I128),"Oförändrad",IF(AND(B128=G128,D128=I128),"ÄNDRAD TID","FLYTTAD MATCH"))))</f>
        <v>Oförändrad</v>
      </c>
      <c r="K128" s="34" t="str">
        <f>IF(MATCHER!A120="","",MATCHER!A120)</f>
        <v>26 6 14225 09</v>
      </c>
      <c r="L128" s="91">
        <f>IF(MATCHER!B120="","",MATCHER!B120)</f>
        <v>46368</v>
      </c>
      <c r="M128" s="92">
        <f>IF(MATCHER!C120="","",MATCHER!C120)</f>
        <v>0.41666666666666669</v>
      </c>
      <c r="N128" s="34" t="str">
        <f>IF(MATCHER!D120="","",MATCHER!D120)</f>
        <v>Tallbackaskolan</v>
      </c>
      <c r="O128" s="34" t="str">
        <f>IF(MATCHER!E120="","",MATCHER!E120)</f>
        <v>Höstens Spel - F9 Miniplan Öst - Omgång 4</v>
      </c>
      <c r="P128" s="34" t="str">
        <f>IF(MATCHER!F120="","",MATCHER!F120)</f>
        <v>F9</v>
      </c>
      <c r="Q128" s="34" t="str">
        <f>IF(MATCHER!K120="","",MATCHER!K120)</f>
        <v>Ja</v>
      </c>
      <c r="R128" s="34" t="str">
        <f>IF(K128="","",IF(Q128&lt;&gt;"Ja","Ej aktuell",IF(P128="SAKNAS","NY KLASS",IF(MATCHER!N120&lt;&gt;"Ja",MATCHER!N120,IF(COUNTIF($A$13:$A$220,K128)=0,"NY MATCH","Matchdag finns")))))</f>
        <v>Matchdag finns</v>
      </c>
    </row>
    <row r="129" spans="1:18" ht="13">
      <c r="A129" s="31" t="s">
        <v>345</v>
      </c>
      <c r="B129" s="89">
        <v>46368</v>
      </c>
      <c r="C129" s="90">
        <v>0.4375</v>
      </c>
      <c r="D129" s="31" t="s">
        <v>110</v>
      </c>
      <c r="E129" s="31" t="s">
        <v>339</v>
      </c>
      <c r="F129" s="31" t="str">
        <f t="shared" si="1"/>
        <v>Ja</v>
      </c>
      <c r="G129" s="91">
        <f>IFERROR(VLOOKUP(A129,MATCHER!$A$5:$M$504,2,FALSE()),"")</f>
        <v>46368</v>
      </c>
      <c r="H129" s="92">
        <f>IFERROR(VLOOKUP(A129,MATCHER!$A$5:$M$504,3,FALSE()),"")</f>
        <v>0.4375</v>
      </c>
      <c r="I129" s="34" t="str">
        <f>IFERROR(VLOOKUP(A129,MATCHER!$A$5:$M$504,4,FALSE()),"")</f>
        <v>Tallbackaskolan</v>
      </c>
      <c r="J129" s="34" t="str">
        <f>IF(F129&lt;&gt;"Ja","Ej aktuell",IF(COUNTIF(MATCHER!$A$5:$A$504,A129)=0,"BORTTAGEN MATCH",IF(AND(B129=G129,C129=H129,D129=I129),"Oförändrad",IF(AND(B129=G129,D129=I129),"ÄNDRAD TID","FLYTTAD MATCH"))))</f>
        <v>Oförändrad</v>
      </c>
      <c r="K129" s="34" t="str">
        <f>IF(MATCHER!A121="","",MATCHER!A121)</f>
        <v>26 6 14225 04</v>
      </c>
      <c r="L129" s="91">
        <f>IF(MATCHER!B121="","",MATCHER!B121)</f>
        <v>46368</v>
      </c>
      <c r="M129" s="92">
        <f>IF(MATCHER!C121="","",MATCHER!C121)</f>
        <v>0.4375</v>
      </c>
      <c r="N129" s="34" t="str">
        <f>IF(MATCHER!D121="","",MATCHER!D121)</f>
        <v>Tallbackaskolan</v>
      </c>
      <c r="O129" s="34" t="str">
        <f>IF(MATCHER!E121="","",MATCHER!E121)</f>
        <v>Höstens Spel - F9 Miniplan Öst - Omgång 4</v>
      </c>
      <c r="P129" s="34" t="str">
        <f>IF(MATCHER!F121="","",MATCHER!F121)</f>
        <v>F9</v>
      </c>
      <c r="Q129" s="34" t="str">
        <f>IF(MATCHER!K121="","",MATCHER!K121)</f>
        <v>Ja</v>
      </c>
      <c r="R129" s="34" t="str">
        <f>IF(K129="","",IF(Q129&lt;&gt;"Ja","Ej aktuell",IF(P129="SAKNAS","NY KLASS",IF(MATCHER!N121&lt;&gt;"Ja",MATCHER!N121,IF(COUNTIF($A$13:$A$220,K129)=0,"NY MATCH","Matchdag finns")))))</f>
        <v>Matchdag finns</v>
      </c>
    </row>
    <row r="130" spans="1:18" ht="13">
      <c r="A130" s="31" t="s">
        <v>346</v>
      </c>
      <c r="B130" s="89">
        <v>46368</v>
      </c>
      <c r="C130" s="90">
        <v>0.4375</v>
      </c>
      <c r="D130" s="31" t="s">
        <v>110</v>
      </c>
      <c r="E130" s="31" t="s">
        <v>339</v>
      </c>
      <c r="F130" s="31" t="str">
        <f t="shared" si="1"/>
        <v>Ja</v>
      </c>
      <c r="G130" s="91">
        <f>IFERROR(VLOOKUP(A130,MATCHER!$A$5:$M$504,2,FALSE()),"")</f>
        <v>46368</v>
      </c>
      <c r="H130" s="92">
        <f>IFERROR(VLOOKUP(A130,MATCHER!$A$5:$M$504,3,FALSE()),"")</f>
        <v>0.4375</v>
      </c>
      <c r="I130" s="34" t="str">
        <f>IFERROR(VLOOKUP(A130,MATCHER!$A$5:$M$504,4,FALSE()),"")</f>
        <v>Tallbackaskolan</v>
      </c>
      <c r="J130" s="34" t="str">
        <f>IF(F130&lt;&gt;"Ja","Ej aktuell",IF(COUNTIF(MATCHER!$A$5:$A$504,A130)=0,"BORTTAGEN MATCH",IF(AND(B130=G130,C130=H130,D130=I130),"Oförändrad",IF(AND(B130=G130,D130=I130),"ÄNDRAD TID","FLYTTAD MATCH"))))</f>
        <v>Oförändrad</v>
      </c>
      <c r="K130" s="34" t="str">
        <f>IF(MATCHER!A122="","",MATCHER!A122)</f>
        <v>26 6 14225 10</v>
      </c>
      <c r="L130" s="91">
        <f>IF(MATCHER!B122="","",MATCHER!B122)</f>
        <v>46368</v>
      </c>
      <c r="M130" s="92">
        <f>IF(MATCHER!C122="","",MATCHER!C122)</f>
        <v>0.4375</v>
      </c>
      <c r="N130" s="34" t="str">
        <f>IF(MATCHER!D122="","",MATCHER!D122)</f>
        <v>Tallbackaskolan</v>
      </c>
      <c r="O130" s="34" t="str">
        <f>IF(MATCHER!E122="","",MATCHER!E122)</f>
        <v>Höstens Spel - F9 Miniplan Öst - Omgång 4</v>
      </c>
      <c r="P130" s="34" t="str">
        <f>IF(MATCHER!F122="","",MATCHER!F122)</f>
        <v>F9</v>
      </c>
      <c r="Q130" s="34" t="str">
        <f>IF(MATCHER!K122="","",MATCHER!K122)</f>
        <v>Ja</v>
      </c>
      <c r="R130" s="34" t="str">
        <f>IF(K130="","",IF(Q130&lt;&gt;"Ja","Ej aktuell",IF(P130="SAKNAS","NY KLASS",IF(MATCHER!N122&lt;&gt;"Ja",MATCHER!N122,IF(COUNTIF($A$13:$A$220,K130)=0,"NY MATCH","Matchdag finns")))))</f>
        <v>Matchdag finns</v>
      </c>
    </row>
    <row r="131" spans="1:18" ht="13">
      <c r="A131" s="31" t="s">
        <v>347</v>
      </c>
      <c r="B131" s="89">
        <v>46368</v>
      </c>
      <c r="C131" s="90">
        <v>0.45833333333333298</v>
      </c>
      <c r="D131" s="31" t="s">
        <v>110</v>
      </c>
      <c r="E131" s="31" t="s">
        <v>339</v>
      </c>
      <c r="F131" s="31" t="str">
        <f t="shared" si="1"/>
        <v>Ja</v>
      </c>
      <c r="G131" s="91">
        <f>IFERROR(VLOOKUP(A131,MATCHER!$A$5:$M$504,2,FALSE()),"")</f>
        <v>46368</v>
      </c>
      <c r="H131" s="92">
        <f>IFERROR(VLOOKUP(A131,MATCHER!$A$5:$M$504,3,FALSE()),"")</f>
        <v>0.45833333333333331</v>
      </c>
      <c r="I131" s="34" t="str">
        <f>IFERROR(VLOOKUP(A131,MATCHER!$A$5:$M$504,4,FALSE()),"")</f>
        <v>Tallbackaskolan</v>
      </c>
      <c r="J131" s="34" t="str">
        <f>IF(F131&lt;&gt;"Ja","Ej aktuell",IF(COUNTIF(MATCHER!$A$5:$A$504,A131)=0,"BORTTAGEN MATCH",IF(AND(B131=G131,C131=H131,D131=I131),"Oförändrad",IF(AND(B131=G131,D131=I131),"ÄNDRAD TID","FLYTTAD MATCH"))))</f>
        <v>Oförändrad</v>
      </c>
      <c r="K131" s="34" t="str">
        <f>IF(MATCHER!A123="","",MATCHER!A123)</f>
        <v>26 6 14225 05</v>
      </c>
      <c r="L131" s="91">
        <f>IF(MATCHER!B123="","",MATCHER!B123)</f>
        <v>46368</v>
      </c>
      <c r="M131" s="92">
        <f>IF(MATCHER!C123="","",MATCHER!C123)</f>
        <v>0.45833333333333331</v>
      </c>
      <c r="N131" s="34" t="str">
        <f>IF(MATCHER!D123="","",MATCHER!D123)</f>
        <v>Tallbackaskolan</v>
      </c>
      <c r="O131" s="34" t="str">
        <f>IF(MATCHER!E123="","",MATCHER!E123)</f>
        <v>Höstens Spel - F9 Miniplan Öst - Omgång 4</v>
      </c>
      <c r="P131" s="34" t="str">
        <f>IF(MATCHER!F123="","",MATCHER!F123)</f>
        <v>F9</v>
      </c>
      <c r="Q131" s="34" t="str">
        <f>IF(MATCHER!K123="","",MATCHER!K123)</f>
        <v>Ja</v>
      </c>
      <c r="R131" s="34" t="str">
        <f>IF(K131="","",IF(Q131&lt;&gt;"Ja","Ej aktuell",IF(P131="SAKNAS","NY KLASS",IF(MATCHER!N123&lt;&gt;"Ja",MATCHER!N123,IF(COUNTIF($A$13:$A$220,K131)=0,"NY MATCH","Matchdag finns")))))</f>
        <v>Matchdag finns</v>
      </c>
    </row>
    <row r="132" spans="1:18" ht="13">
      <c r="A132" s="31" t="s">
        <v>348</v>
      </c>
      <c r="B132" s="89">
        <v>46368</v>
      </c>
      <c r="C132" s="90">
        <v>0.45833333333333298</v>
      </c>
      <c r="D132" s="31" t="s">
        <v>110</v>
      </c>
      <c r="E132" s="31" t="s">
        <v>339</v>
      </c>
      <c r="F132" s="31" t="str">
        <f t="shared" si="1"/>
        <v>Ja</v>
      </c>
      <c r="G132" s="91">
        <f>IFERROR(VLOOKUP(A132,MATCHER!$A$5:$M$504,2,FALSE()),"")</f>
        <v>46368</v>
      </c>
      <c r="H132" s="92">
        <f>IFERROR(VLOOKUP(A132,MATCHER!$A$5:$M$504,3,FALSE()),"")</f>
        <v>0.45833333333333331</v>
      </c>
      <c r="I132" s="34" t="str">
        <f>IFERROR(VLOOKUP(A132,MATCHER!$A$5:$M$504,4,FALSE()),"")</f>
        <v>Tallbackaskolan</v>
      </c>
      <c r="J132" s="34" t="str">
        <f>IF(F132&lt;&gt;"Ja","Ej aktuell",IF(COUNTIF(MATCHER!$A$5:$A$504,A132)=0,"BORTTAGEN MATCH",IF(AND(B132=G132,C132=H132,D132=I132),"Oförändrad",IF(AND(B132=G132,D132=I132),"ÄNDRAD TID","FLYTTAD MATCH"))))</f>
        <v>Oförändrad</v>
      </c>
      <c r="K132" s="34" t="str">
        <f>IF(MATCHER!A124="","",MATCHER!A124)</f>
        <v>26 6 14225 11</v>
      </c>
      <c r="L132" s="91">
        <f>IF(MATCHER!B124="","",MATCHER!B124)</f>
        <v>46368</v>
      </c>
      <c r="M132" s="92">
        <f>IF(MATCHER!C124="","",MATCHER!C124)</f>
        <v>0.45833333333333331</v>
      </c>
      <c r="N132" s="34" t="str">
        <f>IF(MATCHER!D124="","",MATCHER!D124)</f>
        <v>Tallbackaskolan</v>
      </c>
      <c r="O132" s="34" t="str">
        <f>IF(MATCHER!E124="","",MATCHER!E124)</f>
        <v>Höstens Spel - F9 Miniplan Öst - Omgång 4</v>
      </c>
      <c r="P132" s="34" t="str">
        <f>IF(MATCHER!F124="","",MATCHER!F124)</f>
        <v>F9</v>
      </c>
      <c r="Q132" s="34" t="str">
        <f>IF(MATCHER!K124="","",MATCHER!K124)</f>
        <v>Ja</v>
      </c>
      <c r="R132" s="34" t="str">
        <f>IF(K132="","",IF(Q132&lt;&gt;"Ja","Ej aktuell",IF(P132="SAKNAS","NY KLASS",IF(MATCHER!N124&lt;&gt;"Ja",MATCHER!N124,IF(COUNTIF($A$13:$A$220,K132)=0,"NY MATCH","Matchdag finns")))))</f>
        <v>Matchdag finns</v>
      </c>
    </row>
    <row r="133" spans="1:18" ht="13">
      <c r="A133" s="31" t="s">
        <v>349</v>
      </c>
      <c r="B133" s="89">
        <v>46368</v>
      </c>
      <c r="C133" s="90">
        <v>0.47916666666666702</v>
      </c>
      <c r="D133" s="31" t="s">
        <v>110</v>
      </c>
      <c r="E133" s="31" t="s">
        <v>339</v>
      </c>
      <c r="F133" s="31" t="str">
        <f t="shared" si="1"/>
        <v>Ja</v>
      </c>
      <c r="G133" s="91">
        <f>IFERROR(VLOOKUP(A133,MATCHER!$A$5:$M$504,2,FALSE()),"")</f>
        <v>46368</v>
      </c>
      <c r="H133" s="92">
        <f>IFERROR(VLOOKUP(A133,MATCHER!$A$5:$M$504,3,FALSE()),"")</f>
        <v>0.47916666666666669</v>
      </c>
      <c r="I133" s="34" t="str">
        <f>IFERROR(VLOOKUP(A133,MATCHER!$A$5:$M$504,4,FALSE()),"")</f>
        <v>Tallbackaskolan</v>
      </c>
      <c r="J133" s="34" t="str">
        <f>IF(F133&lt;&gt;"Ja","Ej aktuell",IF(COUNTIF(MATCHER!$A$5:$A$504,A133)=0,"BORTTAGEN MATCH",IF(AND(B133=G133,C133=H133,D133=I133),"Oförändrad",IF(AND(B133=G133,D133=I133),"ÄNDRAD TID","FLYTTAD MATCH"))))</f>
        <v>Oförändrad</v>
      </c>
      <c r="K133" s="34" t="str">
        <f>IF(MATCHER!A125="","",MATCHER!A125)</f>
        <v>26 6 14225 06</v>
      </c>
      <c r="L133" s="91">
        <f>IF(MATCHER!B125="","",MATCHER!B125)</f>
        <v>46368</v>
      </c>
      <c r="M133" s="92">
        <f>IF(MATCHER!C125="","",MATCHER!C125)</f>
        <v>0.47916666666666669</v>
      </c>
      <c r="N133" s="34" t="str">
        <f>IF(MATCHER!D125="","",MATCHER!D125)</f>
        <v>Tallbackaskolan</v>
      </c>
      <c r="O133" s="34" t="str">
        <f>IF(MATCHER!E125="","",MATCHER!E125)</f>
        <v>Höstens Spel - F9 Miniplan Öst - Omgång 4</v>
      </c>
      <c r="P133" s="34" t="str">
        <f>IF(MATCHER!F125="","",MATCHER!F125)</f>
        <v>F9</v>
      </c>
      <c r="Q133" s="34" t="str">
        <f>IF(MATCHER!K125="","",MATCHER!K125)</f>
        <v>Ja</v>
      </c>
      <c r="R133" s="34" t="str">
        <f>IF(K133="","",IF(Q133&lt;&gt;"Ja","Ej aktuell",IF(P133="SAKNAS","NY KLASS",IF(MATCHER!N125&lt;&gt;"Ja",MATCHER!N125,IF(COUNTIF($A$13:$A$220,K133)=0,"NY MATCH","Matchdag finns")))))</f>
        <v>Matchdag finns</v>
      </c>
    </row>
    <row r="134" spans="1:18" ht="13">
      <c r="A134" s="31" t="s">
        <v>350</v>
      </c>
      <c r="B134" s="89">
        <v>46368</v>
      </c>
      <c r="C134" s="90">
        <v>0.47916666666666702</v>
      </c>
      <c r="D134" s="31" t="s">
        <v>110</v>
      </c>
      <c r="E134" s="31" t="s">
        <v>339</v>
      </c>
      <c r="F134" s="31" t="str">
        <f t="shared" si="1"/>
        <v>Ja</v>
      </c>
      <c r="G134" s="91">
        <f>IFERROR(VLOOKUP(A134,MATCHER!$A$5:$M$504,2,FALSE()),"")</f>
        <v>46368</v>
      </c>
      <c r="H134" s="92">
        <f>IFERROR(VLOOKUP(A134,MATCHER!$A$5:$M$504,3,FALSE()),"")</f>
        <v>0.47916666666666669</v>
      </c>
      <c r="I134" s="34" t="str">
        <f>IFERROR(VLOOKUP(A134,MATCHER!$A$5:$M$504,4,FALSE()),"")</f>
        <v>Tallbackaskolan</v>
      </c>
      <c r="J134" s="34" t="str">
        <f>IF(F134&lt;&gt;"Ja","Ej aktuell",IF(COUNTIF(MATCHER!$A$5:$A$504,A134)=0,"BORTTAGEN MATCH",IF(AND(B134=G134,C134=H134,D134=I134),"Oförändrad",IF(AND(B134=G134,D134=I134),"ÄNDRAD TID","FLYTTAD MATCH"))))</f>
        <v>Oförändrad</v>
      </c>
      <c r="K134" s="34" t="str">
        <f>IF(MATCHER!A126="","",MATCHER!A126)</f>
        <v>26 6 14225 12</v>
      </c>
      <c r="L134" s="91">
        <f>IF(MATCHER!B126="","",MATCHER!B126)</f>
        <v>46368</v>
      </c>
      <c r="M134" s="92">
        <f>IF(MATCHER!C126="","",MATCHER!C126)</f>
        <v>0.47916666666666669</v>
      </c>
      <c r="N134" s="34" t="str">
        <f>IF(MATCHER!D126="","",MATCHER!D126)</f>
        <v>Tallbackaskolan</v>
      </c>
      <c r="O134" s="34" t="str">
        <f>IF(MATCHER!E126="","",MATCHER!E126)</f>
        <v>Höstens Spel - F9 Miniplan Öst - Omgång 4</v>
      </c>
      <c r="P134" s="34" t="str">
        <f>IF(MATCHER!F126="","",MATCHER!F126)</f>
        <v>F9</v>
      </c>
      <c r="Q134" s="34" t="str">
        <f>IF(MATCHER!K126="","",MATCHER!K126)</f>
        <v>Ja</v>
      </c>
      <c r="R134" s="34" t="str">
        <f>IF(K134="","",IF(Q134&lt;&gt;"Ja","Ej aktuell",IF(P134="SAKNAS","NY KLASS",IF(MATCHER!N126&lt;&gt;"Ja",MATCHER!N126,IF(COUNTIF($A$13:$A$220,K134)=0,"NY MATCH","Matchdag finns")))))</f>
        <v>Matchdag finns</v>
      </c>
    </row>
    <row r="135" spans="1:18" ht="13">
      <c r="A135" s="31" t="s">
        <v>351</v>
      </c>
      <c r="B135" s="89">
        <v>46368</v>
      </c>
      <c r="C135" s="90">
        <v>0.53125</v>
      </c>
      <c r="D135" s="31" t="s">
        <v>110</v>
      </c>
      <c r="E135" s="31" t="s">
        <v>219</v>
      </c>
      <c r="F135" s="31" t="str">
        <f t="shared" si="1"/>
        <v>Ja</v>
      </c>
      <c r="G135" s="91">
        <f>IFERROR(VLOOKUP(A135,MATCHER!$A$5:$M$504,2,FALSE()),"")</f>
        <v>46368</v>
      </c>
      <c r="H135" s="92">
        <f>IFERROR(VLOOKUP(A135,MATCHER!$A$5:$M$504,3,FALSE()),"")</f>
        <v>0.53125</v>
      </c>
      <c r="I135" s="34" t="str">
        <f>IFERROR(VLOOKUP(A135,MATCHER!$A$5:$M$504,4,FALSE()),"")</f>
        <v>Tallbackaskolan</v>
      </c>
      <c r="J135" s="34" t="str">
        <f>IF(F135&lt;&gt;"Ja","Ej aktuell",IF(COUNTIF(MATCHER!$A$5:$A$504,A135)=0,"BORTTAGEN MATCH",IF(AND(B135=G135,C135=H135,D135=I135),"Oförändrad",IF(AND(B135=G135,D135=I135),"ÄNDRAD TID","FLYTTAD MATCH"))))</f>
        <v>Oförändrad</v>
      </c>
      <c r="K135" s="34" t="str">
        <f>IF(MATCHER!A127="","",MATCHER!A127)</f>
        <v>26 6 1351 039</v>
      </c>
      <c r="L135" s="91">
        <f>IF(MATCHER!B127="","",MATCHER!B127)</f>
        <v>46368</v>
      </c>
      <c r="M135" s="92">
        <f>IF(MATCHER!C127="","",MATCHER!C127)</f>
        <v>0.53125</v>
      </c>
      <c r="N135" s="34" t="str">
        <f>IF(MATCHER!D127="","",MATCHER!D127)</f>
        <v>Tallbackaskolan</v>
      </c>
      <c r="O135" s="34" t="str">
        <f>IF(MATCHER!E127="","",MATCHER!E127)</f>
        <v>Flickor - F13 Öst - F13 Nivå 1 Öst</v>
      </c>
      <c r="P135" s="34" t="str">
        <f>IF(MATCHER!F127="","",MATCHER!F127)</f>
        <v>F13</v>
      </c>
      <c r="Q135" s="34" t="str">
        <f>IF(MATCHER!K127="","",MATCHER!K127)</f>
        <v>Ja</v>
      </c>
      <c r="R135" s="34" t="str">
        <f>IF(K135="","",IF(Q135&lt;&gt;"Ja","Ej aktuell",IF(P135="SAKNAS","NY KLASS",IF(MATCHER!N127&lt;&gt;"Ja",MATCHER!N127,IF(COUNTIF($A$13:$A$220,K135)=0,"NY MATCH","Matchdag finns")))))</f>
        <v>Matchdag finns</v>
      </c>
    </row>
    <row r="136" spans="1:18" ht="13">
      <c r="A136" s="31" t="s">
        <v>352</v>
      </c>
      <c r="B136" s="89">
        <v>46396</v>
      </c>
      <c r="C136" s="90">
        <v>0.5625</v>
      </c>
      <c r="D136" s="31" t="s">
        <v>94</v>
      </c>
      <c r="E136" s="31" t="s">
        <v>234</v>
      </c>
      <c r="F136" s="31" t="str">
        <f t="shared" si="1"/>
        <v>Ja</v>
      </c>
      <c r="G136" s="91">
        <f>IFERROR(VLOOKUP(A136,MATCHER!$A$5:$M$504,2,FALSE()),"")</f>
        <v>46396</v>
      </c>
      <c r="H136" s="92">
        <f>IFERROR(VLOOKUP(A136,MATCHER!$A$5:$M$504,3,FALSE()),"")</f>
        <v>0.5625</v>
      </c>
      <c r="I136" s="34" t="str">
        <f>IFERROR(VLOOKUP(A136,MATCHER!$A$5:$M$504,4,FALSE()),"")</f>
        <v>Råsta Park</v>
      </c>
      <c r="J136" s="34" t="str">
        <f>IF(F136&lt;&gt;"Ja","Ej aktuell",IF(COUNTIF(MATCHER!$A$5:$A$504,A136)=0,"BORTTAGEN MATCH",IF(AND(B136=G136,C136=H136,D136=I136),"Oförändrad",IF(AND(B136=G136,D136=I136),"ÄNDRAD TID","FLYTTAD MATCH"))))</f>
        <v>Oförändrad</v>
      </c>
      <c r="K136" s="34" t="str">
        <f>IF(MATCHER!A128="","",MATCHER!A128)</f>
        <v>26 6 1221 073</v>
      </c>
      <c r="L136" s="91">
        <f>IF(MATCHER!B128="","",MATCHER!B128)</f>
        <v>46396</v>
      </c>
      <c r="M136" s="92">
        <f>IF(MATCHER!C128="","",MATCHER!C128)</f>
        <v>0.5625</v>
      </c>
      <c r="N136" s="34" t="str">
        <f>IF(MATCHER!D128="","",MATCHER!D128)</f>
        <v>Råsta Park</v>
      </c>
      <c r="O136" s="34" t="str">
        <f>IF(MATCHER!E128="","",MATCHER!E128)</f>
        <v>Herrar - Herr 2 Öst</v>
      </c>
      <c r="P136" s="34" t="str">
        <f>IF(MATCHER!F128="","",MATCHER!F128)</f>
        <v>Herr</v>
      </c>
      <c r="Q136" s="34" t="str">
        <f>IF(MATCHER!K128="","",MATCHER!K128)</f>
        <v>Ja</v>
      </c>
      <c r="R136" s="34" t="str">
        <f>IF(K136="","",IF(Q136&lt;&gt;"Ja","Ej aktuell",IF(P136="SAKNAS","NY KLASS",IF(MATCHER!N128&lt;&gt;"Ja",MATCHER!N128,IF(COUNTIF($A$13:$A$220,K136)=0,"NY MATCH","Matchdag finns")))))</f>
        <v>Matchdag finns</v>
      </c>
    </row>
    <row r="137" spans="1:18" ht="13">
      <c r="A137" s="31" t="s">
        <v>353</v>
      </c>
      <c r="B137" s="89">
        <v>46396</v>
      </c>
      <c r="C137" s="90">
        <v>0.43055555555555602</v>
      </c>
      <c r="D137" s="31" t="s">
        <v>86</v>
      </c>
      <c r="E137" s="31" t="s">
        <v>215</v>
      </c>
      <c r="F137" s="31" t="str">
        <f t="shared" si="1"/>
        <v>Ja</v>
      </c>
      <c r="G137" s="91">
        <f>IFERROR(VLOOKUP(A137,MATCHER!$A$5:$M$504,2,FALSE()),"")</f>
        <v>46396</v>
      </c>
      <c r="H137" s="92">
        <f>IFERROR(VLOOKUP(A137,MATCHER!$A$5:$M$504,3,FALSE()),"")</f>
        <v>0.43055555555555558</v>
      </c>
      <c r="I137" s="34" t="str">
        <f>IFERROR(VLOOKUP(A137,MATCHER!$A$5:$M$504,4,FALSE()),"")</f>
        <v>Ulriksdalshallen</v>
      </c>
      <c r="J137" s="34" t="str">
        <f>IF(F137&lt;&gt;"Ja","Ej aktuell",IF(COUNTIF(MATCHER!$A$5:$A$504,A137)=0,"BORTTAGEN MATCH",IF(AND(B137=G137,C137=H137,D137=I137),"Oförändrad",IF(AND(B137=G137,D137=I137),"ÄNDRAD TID","FLYTTAD MATCH"))))</f>
        <v>Oförändrad</v>
      </c>
      <c r="K137" s="34" t="str">
        <f>IF(MATCHER!A129="","",MATCHER!A129)</f>
        <v>26 6 1373 046</v>
      </c>
      <c r="L137" s="91">
        <f>IF(MATCHER!B129="","",MATCHER!B129)</f>
        <v>46396</v>
      </c>
      <c r="M137" s="92">
        <f>IF(MATCHER!C129="","",MATCHER!C129)</f>
        <v>0.43055555555555558</v>
      </c>
      <c r="N137" s="34" t="str">
        <f>IF(MATCHER!D129="","",MATCHER!D129)</f>
        <v>Ulriksdalshallen</v>
      </c>
      <c r="O137" s="34" t="str">
        <f>IF(MATCHER!E129="","",MATCHER!E129)</f>
        <v>Flickor - F11 Öst - F11 Nivå 2 Öst City</v>
      </c>
      <c r="P137" s="34" t="str">
        <f>IF(MATCHER!F129="","",MATCHER!F129)</f>
        <v>F11</v>
      </c>
      <c r="Q137" s="34" t="str">
        <f>IF(MATCHER!K129="","",MATCHER!K129)</f>
        <v>Ja</v>
      </c>
      <c r="R137" s="34" t="str">
        <f>IF(K137="","",IF(Q137&lt;&gt;"Ja","Ej aktuell",IF(P137="SAKNAS","NY KLASS",IF(MATCHER!N129&lt;&gt;"Ja",MATCHER!N129,IF(COUNTIF($A$13:$A$220,K137)=0,"NY MATCH","Matchdag finns")))))</f>
        <v>Matchdag finns</v>
      </c>
    </row>
    <row r="138" spans="1:18" ht="13">
      <c r="A138" s="31" t="s">
        <v>354</v>
      </c>
      <c r="B138" s="89">
        <v>46396</v>
      </c>
      <c r="C138" s="90">
        <v>0.47916666666666702</v>
      </c>
      <c r="D138" s="31" t="s">
        <v>86</v>
      </c>
      <c r="E138" s="31" t="s">
        <v>215</v>
      </c>
      <c r="F138" s="31" t="str">
        <f t="shared" si="1"/>
        <v>Ja</v>
      </c>
      <c r="G138" s="91">
        <f>IFERROR(VLOOKUP(A138,MATCHER!$A$5:$M$504,2,FALSE()),"")</f>
        <v>46396</v>
      </c>
      <c r="H138" s="92">
        <f>IFERROR(VLOOKUP(A138,MATCHER!$A$5:$M$504,3,FALSE()),"")</f>
        <v>0.47916666666666669</v>
      </c>
      <c r="I138" s="34" t="str">
        <f>IFERROR(VLOOKUP(A138,MATCHER!$A$5:$M$504,4,FALSE()),"")</f>
        <v>Ulriksdalshallen</v>
      </c>
      <c r="J138" s="34" t="str">
        <f>IF(F138&lt;&gt;"Ja","Ej aktuell",IF(COUNTIF(MATCHER!$A$5:$A$504,A138)=0,"BORTTAGEN MATCH",IF(AND(B138=G138,C138=H138,D138=I138),"Oförändrad",IF(AND(B138=G138,D138=I138),"ÄNDRAD TID","FLYTTAD MATCH"))))</f>
        <v>Oförändrad</v>
      </c>
      <c r="K138" s="34" t="str">
        <f>IF(MATCHER!A130="","",MATCHER!A130)</f>
        <v>26 6 1373 047</v>
      </c>
      <c r="L138" s="91">
        <f>IF(MATCHER!B130="","",MATCHER!B130)</f>
        <v>46396</v>
      </c>
      <c r="M138" s="92">
        <f>IF(MATCHER!C130="","",MATCHER!C130)</f>
        <v>0.47916666666666669</v>
      </c>
      <c r="N138" s="34" t="str">
        <f>IF(MATCHER!D130="","",MATCHER!D130)</f>
        <v>Ulriksdalshallen</v>
      </c>
      <c r="O138" s="34" t="str">
        <f>IF(MATCHER!E130="","",MATCHER!E130)</f>
        <v>Flickor - F11 Öst - F11 Nivå 2 Öst City</v>
      </c>
      <c r="P138" s="34" t="str">
        <f>IF(MATCHER!F130="","",MATCHER!F130)</f>
        <v>F11</v>
      </c>
      <c r="Q138" s="34" t="str">
        <f>IF(MATCHER!K130="","",MATCHER!K130)</f>
        <v>Ja</v>
      </c>
      <c r="R138" s="34" t="str">
        <f>IF(K138="","",IF(Q138&lt;&gt;"Ja","Ej aktuell",IF(P138="SAKNAS","NY KLASS",IF(MATCHER!N130&lt;&gt;"Ja",MATCHER!N130,IF(COUNTIF($A$13:$A$220,K138)=0,"NY MATCH","Matchdag finns")))))</f>
        <v>Matchdag finns</v>
      </c>
    </row>
    <row r="139" spans="1:18" ht="13">
      <c r="A139" s="31" t="s">
        <v>355</v>
      </c>
      <c r="B139" s="89">
        <v>46396</v>
      </c>
      <c r="C139" s="90">
        <v>0.52777777777777801</v>
      </c>
      <c r="D139" s="31" t="s">
        <v>86</v>
      </c>
      <c r="E139" s="31" t="s">
        <v>215</v>
      </c>
      <c r="F139" s="31" t="str">
        <f t="shared" si="1"/>
        <v>Ja</v>
      </c>
      <c r="G139" s="91">
        <f>IFERROR(VLOOKUP(A139,MATCHER!$A$5:$M$504,2,FALSE()),"")</f>
        <v>46396</v>
      </c>
      <c r="H139" s="92">
        <f>IFERROR(VLOOKUP(A139,MATCHER!$A$5:$M$504,3,FALSE()),"")</f>
        <v>0.52777777777777779</v>
      </c>
      <c r="I139" s="34" t="str">
        <f>IFERROR(VLOOKUP(A139,MATCHER!$A$5:$M$504,4,FALSE()),"")</f>
        <v>Ulriksdalshallen</v>
      </c>
      <c r="J139" s="34" t="str">
        <f>IF(F139&lt;&gt;"Ja","Ej aktuell",IF(COUNTIF(MATCHER!$A$5:$A$504,A139)=0,"BORTTAGEN MATCH",IF(AND(B139=G139,C139=H139,D139=I139),"Oförändrad",IF(AND(B139=G139,D139=I139),"ÄNDRAD TID","FLYTTAD MATCH"))))</f>
        <v>Oförändrad</v>
      </c>
      <c r="K139" s="34" t="str">
        <f>IF(MATCHER!A131="","",MATCHER!A131)</f>
        <v>26 6 1373 048</v>
      </c>
      <c r="L139" s="91">
        <f>IF(MATCHER!B131="","",MATCHER!B131)</f>
        <v>46396</v>
      </c>
      <c r="M139" s="92">
        <f>IF(MATCHER!C131="","",MATCHER!C131)</f>
        <v>0.52777777777777779</v>
      </c>
      <c r="N139" s="34" t="str">
        <f>IF(MATCHER!D131="","",MATCHER!D131)</f>
        <v>Ulriksdalshallen</v>
      </c>
      <c r="O139" s="34" t="str">
        <f>IF(MATCHER!E131="","",MATCHER!E131)</f>
        <v>Flickor - F11 Öst - F11 Nivå 2 Öst City</v>
      </c>
      <c r="P139" s="34" t="str">
        <f>IF(MATCHER!F131="","",MATCHER!F131)</f>
        <v>F11</v>
      </c>
      <c r="Q139" s="34" t="str">
        <f>IF(MATCHER!K131="","",MATCHER!K131)</f>
        <v>Ja</v>
      </c>
      <c r="R139" s="34" t="str">
        <f>IF(K139="","",IF(Q139&lt;&gt;"Ja","Ej aktuell",IF(P139="SAKNAS","NY KLASS",IF(MATCHER!N131&lt;&gt;"Ja",MATCHER!N131,IF(COUNTIF($A$13:$A$220,K139)=0,"NY MATCH","Matchdag finns")))))</f>
        <v>Matchdag finns</v>
      </c>
    </row>
    <row r="140" spans="1:18" ht="13">
      <c r="A140" s="31" t="s">
        <v>356</v>
      </c>
      <c r="B140" s="89">
        <v>46399</v>
      </c>
      <c r="C140" s="90">
        <v>0.86458333333333304</v>
      </c>
      <c r="D140" s="31" t="s">
        <v>94</v>
      </c>
      <c r="E140" s="31" t="s">
        <v>213</v>
      </c>
      <c r="F140" s="31" t="str">
        <f t="shared" si="1"/>
        <v>Ja</v>
      </c>
      <c r="G140" s="91">
        <f>IFERROR(VLOOKUP(A140,MATCHER!$A$5:$M$504,2,FALSE()),"")</f>
        <v>46399</v>
      </c>
      <c r="H140" s="92">
        <f>IFERROR(VLOOKUP(A140,MATCHER!$A$5:$M$504,3,FALSE()),"")</f>
        <v>0.86458333333333337</v>
      </c>
      <c r="I140" s="34" t="str">
        <f>IFERROR(VLOOKUP(A140,MATCHER!$A$5:$M$504,4,FALSE()),"")</f>
        <v>Råsta Park</v>
      </c>
      <c r="J140" s="34" t="str">
        <f>IF(F140&lt;&gt;"Ja","Ej aktuell",IF(COUNTIF(MATCHER!$A$5:$A$504,A140)=0,"BORTTAGEN MATCH",IF(AND(B140=G140,C140=H140,D140=I140),"Oförändrad",IF(AND(B140=G140,D140=I140),"ÄNDRAD TID","FLYTTAD MATCH"))))</f>
        <v>Oförändrad</v>
      </c>
      <c r="K140" s="34" t="str">
        <f>IF(MATCHER!A132="","",MATCHER!A132)</f>
        <v>26 6 1311 064</v>
      </c>
      <c r="L140" s="91">
        <f>IF(MATCHER!B132="","",MATCHER!B132)</f>
        <v>46399</v>
      </c>
      <c r="M140" s="92">
        <f>IF(MATCHER!C132="","",MATCHER!C132)</f>
        <v>0.86458333333333337</v>
      </c>
      <c r="N140" s="34" t="str">
        <f>IF(MATCHER!D132="","",MATCHER!D132)</f>
        <v>Råsta Park</v>
      </c>
      <c r="O140" s="34" t="str">
        <f>IF(MATCHER!E132="","",MATCHER!E132)</f>
        <v>Flickor - F19 Öst - F19 Nivå 1 Öst</v>
      </c>
      <c r="P140" s="34" t="str">
        <f>IF(MATCHER!F132="","",MATCHER!F132)</f>
        <v>F19</v>
      </c>
      <c r="Q140" s="34" t="str">
        <f>IF(MATCHER!K132="","",MATCHER!K132)</f>
        <v>Ja</v>
      </c>
      <c r="R140" s="34" t="str">
        <f>IF(K140="","",IF(Q140&lt;&gt;"Ja","Ej aktuell",IF(P140="SAKNAS","NY KLASS",IF(MATCHER!N132&lt;&gt;"Ja",MATCHER!N132,IF(COUNTIF($A$13:$A$220,K140)=0,"NY MATCH","Matchdag finns")))))</f>
        <v>Matchdag finns</v>
      </c>
    </row>
    <row r="141" spans="1:18" ht="13">
      <c r="A141" s="31" t="s">
        <v>357</v>
      </c>
      <c r="B141" s="89">
        <v>46403</v>
      </c>
      <c r="C141" s="90">
        <v>0.43055555555555602</v>
      </c>
      <c r="D141" s="31" t="s">
        <v>86</v>
      </c>
      <c r="E141" s="31" t="s">
        <v>229</v>
      </c>
      <c r="F141" s="31" t="str">
        <f t="shared" ref="F141:F204" si="2">IF(A141="","",IF(D141="Solnahallen","Nej","Ja"))</f>
        <v>Ja</v>
      </c>
      <c r="G141" s="91">
        <f>IFERROR(VLOOKUP(A141,MATCHER!$A$5:$M$504,2,FALSE()),"")</f>
        <v>46403</v>
      </c>
      <c r="H141" s="92">
        <f>IFERROR(VLOOKUP(A141,MATCHER!$A$5:$M$504,3,FALSE()),"")</f>
        <v>0.43055555555555558</v>
      </c>
      <c r="I141" s="34" t="str">
        <f>IFERROR(VLOOKUP(A141,MATCHER!$A$5:$M$504,4,FALSE()),"")</f>
        <v>Ulriksdalshallen</v>
      </c>
      <c r="J141" s="34" t="str">
        <f>IF(F141&lt;&gt;"Ja","Ej aktuell",IF(COUNTIF(MATCHER!$A$5:$A$504,A141)=0,"BORTTAGEN MATCH",IF(AND(B141=G141,C141=H141,D141=I141),"Oförändrad",IF(AND(B141=G141,D141=I141),"ÄNDRAD TID","FLYTTAD MATCH"))))</f>
        <v>Oförändrad</v>
      </c>
      <c r="K141" s="34" t="str">
        <f>IF(MATCHER!A133="","",MATCHER!A133)</f>
        <v>26 6 1343 035</v>
      </c>
      <c r="L141" s="91">
        <f>IF(MATCHER!B133="","",MATCHER!B133)</f>
        <v>46403</v>
      </c>
      <c r="M141" s="92">
        <f>IF(MATCHER!C133="","",MATCHER!C133)</f>
        <v>0.43055555555555558</v>
      </c>
      <c r="N141" s="34" t="str">
        <f>IF(MATCHER!D133="","",MATCHER!D133)</f>
        <v>Ulriksdalshallen</v>
      </c>
      <c r="O141" s="34" t="str">
        <f>IF(MATCHER!E133="","",MATCHER!E133)</f>
        <v>Flickor - F14 Öst - F14 Nivå 2 Öst Norra</v>
      </c>
      <c r="P141" s="34" t="str">
        <f>IF(MATCHER!F133="","",MATCHER!F133)</f>
        <v>F14</v>
      </c>
      <c r="Q141" s="34" t="str">
        <f>IF(MATCHER!K133="","",MATCHER!K133)</f>
        <v>Ja</v>
      </c>
      <c r="R141" s="34" t="str">
        <f>IF(K141="","",IF(Q141&lt;&gt;"Ja","Ej aktuell",IF(P141="SAKNAS","NY KLASS",IF(MATCHER!N133&lt;&gt;"Ja",MATCHER!N133,IF(COUNTIF($A$13:$A$220,K141)=0,"NY MATCH","Matchdag finns")))))</f>
        <v>Matchdag finns</v>
      </c>
    </row>
    <row r="142" spans="1:18" ht="13">
      <c r="A142" s="31" t="s">
        <v>358</v>
      </c>
      <c r="B142" s="89">
        <v>46404</v>
      </c>
      <c r="C142" s="90">
        <v>0.66666666666666696</v>
      </c>
      <c r="D142" s="31" t="s">
        <v>212</v>
      </c>
      <c r="E142" s="31" t="s">
        <v>231</v>
      </c>
      <c r="F142" s="31" t="str">
        <f t="shared" si="2"/>
        <v>Nej</v>
      </c>
      <c r="G142" s="91">
        <f>IFERROR(VLOOKUP(A142,MATCHER!$A$5:$M$504,2,FALSE()),"")</f>
        <v>46404</v>
      </c>
      <c r="H142" s="92">
        <f>IFERROR(VLOOKUP(A142,MATCHER!$A$5:$M$504,3,FALSE()),"")</f>
        <v>0.66666666666666663</v>
      </c>
      <c r="I142" s="34" t="str">
        <f>IFERROR(VLOOKUP(A142,MATCHER!$A$5:$M$504,4,FALSE()),"")</f>
        <v>Solnahallen</v>
      </c>
      <c r="J142" s="34" t="str">
        <f>IF(F142&lt;&gt;"Ja","Ej aktuell",IF(COUNTIF(MATCHER!$A$5:$A$504,A142)=0,"BORTTAGEN MATCH",IF(AND(B142=G142,C142=H142,D142=I142),"Oförändrad",IF(AND(B142=G142,D142=I142),"ÄNDRAD TID","FLYTTAD MATCH"))))</f>
        <v>Ej aktuell</v>
      </c>
      <c r="K142" s="34" t="str">
        <f>IF(MATCHER!A134="","",MATCHER!A134)</f>
        <v>26 -1 1121 074</v>
      </c>
      <c r="L142" s="91">
        <f>IF(MATCHER!B134="","",MATCHER!B134)</f>
        <v>46404</v>
      </c>
      <c r="M142" s="92">
        <f>IF(MATCHER!C134="","",MATCHER!C134)</f>
        <v>0.66666666666666663</v>
      </c>
      <c r="N142" s="34" t="str">
        <f>IF(MATCHER!D134="","",MATCHER!D134)</f>
        <v>Solnahallen</v>
      </c>
      <c r="O142" s="34" t="str">
        <f>IF(MATCHER!E134="","",MATCHER!E134)</f>
        <v>Damer - Damallsvenskan</v>
      </c>
      <c r="P142" s="34" t="str">
        <f>IF(MATCHER!F134="","",MATCHER!F134)</f>
        <v>Dam</v>
      </c>
      <c r="Q142" s="34" t="str">
        <f>IF(MATCHER!K134="","",MATCHER!K134)</f>
        <v>Nej</v>
      </c>
      <c r="R142" s="34" t="str">
        <f>IF(K142="","",IF(Q142&lt;&gt;"Ja","Ej aktuell",IF(P142="SAKNAS","NY KLASS",IF(MATCHER!N134&lt;&gt;"Ja",MATCHER!N134,IF(COUNTIF($A$13:$A$220,K142)=0,"NY MATCH","Matchdag finns")))))</f>
        <v>Ej aktuell</v>
      </c>
    </row>
    <row r="143" spans="1:18" ht="13">
      <c r="A143" s="31" t="s">
        <v>359</v>
      </c>
      <c r="B143" s="89">
        <v>46407</v>
      </c>
      <c r="C143" s="90">
        <v>0.75</v>
      </c>
      <c r="D143" s="31" t="s">
        <v>86</v>
      </c>
      <c r="E143" s="31" t="s">
        <v>221</v>
      </c>
      <c r="F143" s="31" t="str">
        <f t="shared" si="2"/>
        <v>Ja</v>
      </c>
      <c r="G143" s="91">
        <f>IFERROR(VLOOKUP(A143,MATCHER!$A$5:$M$504,2,FALSE()),"")</f>
        <v>46407</v>
      </c>
      <c r="H143" s="92">
        <f>IFERROR(VLOOKUP(A143,MATCHER!$A$5:$M$504,3,FALSE()),"")</f>
        <v>0.75</v>
      </c>
      <c r="I143" s="34" t="str">
        <f>IFERROR(VLOOKUP(A143,MATCHER!$A$5:$M$504,4,FALSE()),"")</f>
        <v>Ulriksdalshallen</v>
      </c>
      <c r="J143" s="34" t="str">
        <f>IF(F143&lt;&gt;"Ja","Ej aktuell",IF(COUNTIF(MATCHER!$A$5:$A$504,A143)=0,"BORTTAGEN MATCH",IF(AND(B143=G143,C143=H143,D143=I143),"Oförändrad",IF(AND(B143=G143,D143=I143),"ÄNDRAD TID","FLYTTAD MATCH"))))</f>
        <v>Oförändrad</v>
      </c>
      <c r="K143" s="34" t="str">
        <f>IF(MATCHER!A135="","",MATCHER!A135)</f>
        <v>26 6 1352 076</v>
      </c>
      <c r="L143" s="91">
        <f>IF(MATCHER!B135="","",MATCHER!B135)</f>
        <v>46407</v>
      </c>
      <c r="M143" s="92">
        <f>IF(MATCHER!C135="","",MATCHER!C135)</f>
        <v>0.75</v>
      </c>
      <c r="N143" s="34" t="str">
        <f>IF(MATCHER!D135="","",MATCHER!D135)</f>
        <v>Ulriksdalshallen</v>
      </c>
      <c r="O143" s="34" t="str">
        <f>IF(MATCHER!E135="","",MATCHER!E135)</f>
        <v>Flickor - F13 Öst - F13 Nivå 2 Öst Norra</v>
      </c>
      <c r="P143" s="34" t="str">
        <f>IF(MATCHER!F135="","",MATCHER!F135)</f>
        <v>F13</v>
      </c>
      <c r="Q143" s="34" t="str">
        <f>IF(MATCHER!K135="","",MATCHER!K135)</f>
        <v>Ja</v>
      </c>
      <c r="R143" s="34" t="str">
        <f>IF(K143="","",IF(Q143&lt;&gt;"Ja","Ej aktuell",IF(P143="SAKNAS","NY KLASS",IF(MATCHER!N135&lt;&gt;"Ja",MATCHER!N135,IF(COUNTIF($A$13:$A$220,K143)=0,"NY MATCH","Matchdag finns")))))</f>
        <v>Matchdag finns</v>
      </c>
    </row>
    <row r="144" spans="1:18" ht="13">
      <c r="A144" s="31" t="s">
        <v>360</v>
      </c>
      <c r="B144" s="89">
        <v>46410</v>
      </c>
      <c r="C144" s="90">
        <v>0.56944444444444398</v>
      </c>
      <c r="D144" s="31" t="s">
        <v>94</v>
      </c>
      <c r="E144" s="31" t="s">
        <v>223</v>
      </c>
      <c r="F144" s="31" t="str">
        <f t="shared" si="2"/>
        <v>Ja</v>
      </c>
      <c r="G144" s="91">
        <f>IFERROR(VLOOKUP(A144,MATCHER!$A$5:$M$504,2,FALSE()),"")</f>
        <v>46410</v>
      </c>
      <c r="H144" s="92">
        <f>IFERROR(VLOOKUP(A144,MATCHER!$A$5:$M$504,3,FALSE()),"")</f>
        <v>0.56944444444444442</v>
      </c>
      <c r="I144" s="34" t="str">
        <f>IFERROR(VLOOKUP(A144,MATCHER!$A$5:$M$504,4,FALSE()),"")</f>
        <v>Råsta Park</v>
      </c>
      <c r="J144" s="34" t="str">
        <f>IF(F144&lt;&gt;"Ja","Ej aktuell",IF(COUNTIF(MATCHER!$A$5:$A$504,A144)=0,"BORTTAGEN MATCH",IF(AND(B144=G144,C144=H144,D144=I144),"Oförändrad",IF(AND(B144=G144,D144=I144),"ÄNDRAD TID","FLYTTAD MATCH"))))</f>
        <v>Oförändrad</v>
      </c>
      <c r="K144" s="34" t="str">
        <f>IF(MATCHER!A136="","",MATCHER!A136)</f>
        <v>26 6 1524 054</v>
      </c>
      <c r="L144" s="91">
        <f>IF(MATCHER!B136="","",MATCHER!B136)</f>
        <v>46410</v>
      </c>
      <c r="M144" s="92">
        <f>IF(MATCHER!C136="","",MATCHER!C136)</f>
        <v>0.56944444444444442</v>
      </c>
      <c r="N144" s="34" t="str">
        <f>IF(MATCHER!D136="","",MATCHER!D136)</f>
        <v>Råsta Park</v>
      </c>
      <c r="O144" s="34" t="str">
        <f>IF(MATCHER!E136="","",MATCHER!E136)</f>
        <v>Pojkar - P16 Öst - P16 Nivå 3 Öst</v>
      </c>
      <c r="P144" s="34" t="str">
        <f>IF(MATCHER!F136="","",MATCHER!F136)</f>
        <v>P16</v>
      </c>
      <c r="Q144" s="34" t="str">
        <f>IF(MATCHER!K136="","",MATCHER!K136)</f>
        <v>Ja</v>
      </c>
      <c r="R144" s="34" t="str">
        <f>IF(K144="","",IF(Q144&lt;&gt;"Ja","Ej aktuell",IF(P144="SAKNAS","NY KLASS",IF(MATCHER!N136&lt;&gt;"Ja",MATCHER!N136,IF(COUNTIF($A$13:$A$220,K144)=0,"NY MATCH","Matchdag finns")))))</f>
        <v>Matchdag finns</v>
      </c>
    </row>
    <row r="145" spans="1:18" ht="13">
      <c r="A145" s="31">
        <v>529854</v>
      </c>
      <c r="B145" s="89">
        <v>46410</v>
      </c>
      <c r="C145" s="90">
        <v>0.375</v>
      </c>
      <c r="D145" s="31" t="s">
        <v>86</v>
      </c>
      <c r="E145" s="31" t="s">
        <v>361</v>
      </c>
      <c r="F145" s="31" t="str">
        <f t="shared" si="2"/>
        <v>Ja</v>
      </c>
      <c r="G145" s="91">
        <f>IFERROR(VLOOKUP(A145,MATCHER!$A$5:$M$504,2,FALSE()),"")</f>
        <v>46410</v>
      </c>
      <c r="H145" s="92">
        <f>IFERROR(VLOOKUP(A145,MATCHER!$A$5:$M$504,3,FALSE()),"")</f>
        <v>0.375</v>
      </c>
      <c r="I145" s="34" t="str">
        <f>IFERROR(VLOOKUP(A145,MATCHER!$A$5:$M$504,4,FALSE()),"")</f>
        <v>Ulriksdalshallen</v>
      </c>
      <c r="J145" s="34" t="str">
        <f>IF(F145&lt;&gt;"Ja","Ej aktuell",IF(COUNTIF(MATCHER!$A$5:$A$504,A145)=0,"BORTTAGEN MATCH",IF(AND(B145=G145,C145=H145,D145=I145),"Oförändrad",IF(AND(B145=G145,D145=I145),"ÄNDRAD TID","FLYTTAD MATCH"))))</f>
        <v>Oförändrad</v>
      </c>
      <c r="K145" s="34">
        <f>IF(MATCHER!A137="","",MATCHER!A137)</f>
        <v>529854</v>
      </c>
      <c r="L145" s="91">
        <f>IF(MATCHER!B137="","",MATCHER!B137)</f>
        <v>46410</v>
      </c>
      <c r="M145" s="92">
        <f>IF(MATCHER!C137="","",MATCHER!C137)</f>
        <v>0.375</v>
      </c>
      <c r="N145" s="34" t="str">
        <f>IF(MATCHER!D137="","",MATCHER!D137)</f>
        <v>Ulriksdalshallen</v>
      </c>
      <c r="O145" s="34" t="str">
        <f>IF(MATCHER!E137="","",MATCHER!E137)</f>
        <v>Arrangörsskap - Vårens spel - Omg1/ P10K F9M P9K/ 23-24jan</v>
      </c>
      <c r="P145" s="34" t="str">
        <f>IF(MATCHER!F137="","",MATCHER!F137)</f>
        <v>Kontrollera</v>
      </c>
      <c r="Q145" s="34" t="str">
        <f>IF(MATCHER!K137="","",MATCHER!K137)</f>
        <v>Ja</v>
      </c>
      <c r="R145" s="34" t="str">
        <f>IF(K145="","",IF(Q145&lt;&gt;"Ja","Ej aktuell",IF(P145="SAKNAS","NY KLASS",IF(MATCHER!N137&lt;&gt;"Ja",MATCHER!N137,IF(COUNTIF($A$13:$A$220,K145)=0,"NY MATCH","Matchdag finns")))))</f>
        <v>Matchdag finns</v>
      </c>
    </row>
    <row r="146" spans="1:18" ht="13">
      <c r="A146" s="31" t="s">
        <v>362</v>
      </c>
      <c r="B146" s="89">
        <v>46410</v>
      </c>
      <c r="C146" s="90">
        <v>0.54861111111111105</v>
      </c>
      <c r="D146" s="31" t="s">
        <v>86</v>
      </c>
      <c r="E146" s="31" t="s">
        <v>225</v>
      </c>
      <c r="F146" s="31" t="str">
        <f t="shared" si="2"/>
        <v>Ja</v>
      </c>
      <c r="G146" s="91">
        <f>IFERROR(VLOOKUP(A146,MATCHER!$A$5:$M$504,2,FALSE()),"")</f>
        <v>46410</v>
      </c>
      <c r="H146" s="92">
        <f>IFERROR(VLOOKUP(A146,MATCHER!$A$5:$M$504,3,FALSE()),"")</f>
        <v>0.54861111111111116</v>
      </c>
      <c r="I146" s="34" t="str">
        <f>IFERROR(VLOOKUP(A146,MATCHER!$A$5:$M$504,4,FALSE()),"")</f>
        <v>Ulriksdalshallen</v>
      </c>
      <c r="J146" s="34" t="str">
        <f>IF(F146&lt;&gt;"Ja","Ej aktuell",IF(COUNTIF(MATCHER!$A$5:$A$504,A146)=0,"BORTTAGEN MATCH",IF(AND(B146=G146,C146=H146,D146=I146),"Oförändrad",IF(AND(B146=G146,D146=I146),"ÄNDRAD TID","FLYTTAD MATCH"))))</f>
        <v>Oförändrad</v>
      </c>
      <c r="K146" s="34" t="str">
        <f>IF(MATCHER!A138="","",MATCHER!A138)</f>
        <v>26 6 1363 055</v>
      </c>
      <c r="L146" s="91">
        <f>IF(MATCHER!B138="","",MATCHER!B138)</f>
        <v>46410</v>
      </c>
      <c r="M146" s="92">
        <f>IF(MATCHER!C138="","",MATCHER!C138)</f>
        <v>0.54861111111111116</v>
      </c>
      <c r="N146" s="34" t="str">
        <f>IF(MATCHER!D138="","",MATCHER!D138)</f>
        <v>Ulriksdalshallen</v>
      </c>
      <c r="O146" s="34" t="str">
        <f>IF(MATCHER!E138="","",MATCHER!E138)</f>
        <v>Flickor - F12 Öst - F12 Nivå 2 Öst Norra</v>
      </c>
      <c r="P146" s="34" t="str">
        <f>IF(MATCHER!F138="","",MATCHER!F138)</f>
        <v>F12</v>
      </c>
      <c r="Q146" s="34" t="str">
        <f>IF(MATCHER!K138="","",MATCHER!K138)</f>
        <v>Ja</v>
      </c>
      <c r="R146" s="34" t="str">
        <f>IF(K146="","",IF(Q146&lt;&gt;"Ja","Ej aktuell",IF(P146="SAKNAS","NY KLASS",IF(MATCHER!N138&lt;&gt;"Ja",MATCHER!N138,IF(COUNTIF($A$13:$A$220,K146)=0,"NY MATCH","Matchdag finns")))))</f>
        <v>Matchdag finns</v>
      </c>
    </row>
    <row r="147" spans="1:18" ht="13">
      <c r="A147" s="31" t="s">
        <v>363</v>
      </c>
      <c r="B147" s="89">
        <v>46410</v>
      </c>
      <c r="C147" s="90">
        <v>0.59027777777777801</v>
      </c>
      <c r="D147" s="31" t="s">
        <v>86</v>
      </c>
      <c r="E147" s="31" t="s">
        <v>225</v>
      </c>
      <c r="F147" s="31" t="str">
        <f t="shared" si="2"/>
        <v>Ja</v>
      </c>
      <c r="G147" s="91">
        <f>IFERROR(VLOOKUP(A147,MATCHER!$A$5:$M$504,2,FALSE()),"")</f>
        <v>46410</v>
      </c>
      <c r="H147" s="92">
        <f>IFERROR(VLOOKUP(A147,MATCHER!$A$5:$M$504,3,FALSE()),"")</f>
        <v>0.59027777777777779</v>
      </c>
      <c r="I147" s="34" t="str">
        <f>IFERROR(VLOOKUP(A147,MATCHER!$A$5:$M$504,4,FALSE()),"")</f>
        <v>Ulriksdalshallen</v>
      </c>
      <c r="J147" s="34" t="str">
        <f>IF(F147&lt;&gt;"Ja","Ej aktuell",IF(COUNTIF(MATCHER!$A$5:$A$504,A147)=0,"BORTTAGEN MATCH",IF(AND(B147=G147,C147=H147,D147=I147),"Oförändrad",IF(AND(B147=G147,D147=I147),"ÄNDRAD TID","FLYTTAD MATCH"))))</f>
        <v>Oförändrad</v>
      </c>
      <c r="K147" s="34" t="str">
        <f>IF(MATCHER!A139="","",MATCHER!A139)</f>
        <v>26 6 1363 056</v>
      </c>
      <c r="L147" s="91">
        <f>IF(MATCHER!B139="","",MATCHER!B139)</f>
        <v>46410</v>
      </c>
      <c r="M147" s="92">
        <f>IF(MATCHER!C139="","",MATCHER!C139)</f>
        <v>0.59027777777777779</v>
      </c>
      <c r="N147" s="34" t="str">
        <f>IF(MATCHER!D139="","",MATCHER!D139)</f>
        <v>Ulriksdalshallen</v>
      </c>
      <c r="O147" s="34" t="str">
        <f>IF(MATCHER!E139="","",MATCHER!E139)</f>
        <v>Flickor - F12 Öst - F12 Nivå 2 Öst Norra</v>
      </c>
      <c r="P147" s="34" t="str">
        <f>IF(MATCHER!F139="","",MATCHER!F139)</f>
        <v>F12</v>
      </c>
      <c r="Q147" s="34" t="str">
        <f>IF(MATCHER!K139="","",MATCHER!K139)</f>
        <v>Ja</v>
      </c>
      <c r="R147" s="34" t="str">
        <f>IF(K147="","",IF(Q147&lt;&gt;"Ja","Ej aktuell",IF(P147="SAKNAS","NY KLASS",IF(MATCHER!N139&lt;&gt;"Ja",MATCHER!N139,IF(COUNTIF($A$13:$A$220,K147)=0,"NY MATCH","Matchdag finns")))))</f>
        <v>Matchdag finns</v>
      </c>
    </row>
    <row r="148" spans="1:18" ht="13">
      <c r="A148" s="31" t="s">
        <v>364</v>
      </c>
      <c r="B148" s="89">
        <v>46410</v>
      </c>
      <c r="C148" s="90">
        <v>0.63194444444444398</v>
      </c>
      <c r="D148" s="31" t="s">
        <v>86</v>
      </c>
      <c r="E148" s="31" t="s">
        <v>225</v>
      </c>
      <c r="F148" s="31" t="str">
        <f t="shared" si="2"/>
        <v>Ja</v>
      </c>
      <c r="G148" s="91">
        <f>IFERROR(VLOOKUP(A148,MATCHER!$A$5:$M$504,2,FALSE()),"")</f>
        <v>46410</v>
      </c>
      <c r="H148" s="92">
        <f>IFERROR(VLOOKUP(A148,MATCHER!$A$5:$M$504,3,FALSE()),"")</f>
        <v>0.63194444444444442</v>
      </c>
      <c r="I148" s="34" t="str">
        <f>IFERROR(VLOOKUP(A148,MATCHER!$A$5:$M$504,4,FALSE()),"")</f>
        <v>Ulriksdalshallen</v>
      </c>
      <c r="J148" s="34" t="str">
        <f>IF(F148&lt;&gt;"Ja","Ej aktuell",IF(COUNTIF(MATCHER!$A$5:$A$504,A148)=0,"BORTTAGEN MATCH",IF(AND(B148=G148,C148=H148,D148=I148),"Oförändrad",IF(AND(B148=G148,D148=I148),"ÄNDRAD TID","FLYTTAD MATCH"))))</f>
        <v>Oförändrad</v>
      </c>
      <c r="K148" s="34" t="str">
        <f>IF(MATCHER!A140="","",MATCHER!A140)</f>
        <v>26 6 1363 057</v>
      </c>
      <c r="L148" s="91">
        <f>IF(MATCHER!B140="","",MATCHER!B140)</f>
        <v>46410</v>
      </c>
      <c r="M148" s="92">
        <f>IF(MATCHER!C140="","",MATCHER!C140)</f>
        <v>0.63194444444444442</v>
      </c>
      <c r="N148" s="34" t="str">
        <f>IF(MATCHER!D140="","",MATCHER!D140)</f>
        <v>Ulriksdalshallen</v>
      </c>
      <c r="O148" s="34" t="str">
        <f>IF(MATCHER!E140="","",MATCHER!E140)</f>
        <v>Flickor - F12 Öst - F12 Nivå 2 Öst Norra</v>
      </c>
      <c r="P148" s="34" t="str">
        <f>IF(MATCHER!F140="","",MATCHER!F140)</f>
        <v>F12</v>
      </c>
      <c r="Q148" s="34" t="str">
        <f>IF(MATCHER!K140="","",MATCHER!K140)</f>
        <v>Ja</v>
      </c>
      <c r="R148" s="34" t="str">
        <f>IF(K148="","",IF(Q148&lt;&gt;"Ja","Ej aktuell",IF(P148="SAKNAS","NY KLASS",IF(MATCHER!N140&lt;&gt;"Ja",MATCHER!N140,IF(COUNTIF($A$13:$A$220,K148)=0,"NY MATCH","Matchdag finns")))))</f>
        <v>Matchdag finns</v>
      </c>
    </row>
    <row r="149" spans="1:18" ht="13">
      <c r="A149" s="31" t="s">
        <v>365</v>
      </c>
      <c r="B149" s="89">
        <v>46411</v>
      </c>
      <c r="C149" s="90">
        <v>0.45833333333333298</v>
      </c>
      <c r="D149" s="31" t="s">
        <v>212</v>
      </c>
      <c r="E149" s="31" t="s">
        <v>246</v>
      </c>
      <c r="F149" s="31" t="str">
        <f t="shared" si="2"/>
        <v>Nej</v>
      </c>
      <c r="G149" s="91">
        <f>IFERROR(VLOOKUP(A149,MATCHER!$A$5:$M$504,2,FALSE()),"")</f>
        <v>46411</v>
      </c>
      <c r="H149" s="92">
        <f>IFERROR(VLOOKUP(A149,MATCHER!$A$5:$M$504,3,FALSE()),"")</f>
        <v>0.45833333333333331</v>
      </c>
      <c r="I149" s="34" t="str">
        <f>IFERROR(VLOOKUP(A149,MATCHER!$A$5:$M$504,4,FALSE()),"")</f>
        <v>Solnahallen</v>
      </c>
      <c r="J149" s="34" t="str">
        <f>IF(F149&lt;&gt;"Ja","Ej aktuell",IF(COUNTIF(MATCHER!$A$5:$A$504,A149)=0,"BORTTAGEN MATCH",IF(AND(B149=G149,C149=H149,D149=I149),"Oförändrad",IF(AND(B149=G149,D149=I149),"ÄNDRAD TID","FLYTTAD MATCH"))))</f>
        <v>Ej aktuell</v>
      </c>
      <c r="K149" s="34" t="str">
        <f>IF(MATCHER!A141="","",MATCHER!A141)</f>
        <v>26 6 1141 046</v>
      </c>
      <c r="L149" s="91">
        <f>IF(MATCHER!B141="","",MATCHER!B141)</f>
        <v>46411</v>
      </c>
      <c r="M149" s="92">
        <f>IF(MATCHER!C141="","",MATCHER!C141)</f>
        <v>0.45833333333333331</v>
      </c>
      <c r="N149" s="34" t="str">
        <f>IF(MATCHER!D141="","",MATCHER!D141)</f>
        <v>Solnahallen</v>
      </c>
      <c r="O149" s="34" t="str">
        <f>IF(MATCHER!E141="","",MATCHER!E141)</f>
        <v>Damer - Dam 4 Öst - Dam 4 Öst Norra</v>
      </c>
      <c r="P149" s="34" t="str">
        <f>IF(MATCHER!F141="","",MATCHER!F141)</f>
        <v>Dam</v>
      </c>
      <c r="Q149" s="34" t="str">
        <f>IF(MATCHER!K141="","",MATCHER!K141)</f>
        <v>Nej</v>
      </c>
      <c r="R149" s="34" t="str">
        <f>IF(K149="","",IF(Q149&lt;&gt;"Ja","Ej aktuell",IF(P149="SAKNAS","NY KLASS",IF(MATCHER!N141&lt;&gt;"Ja",MATCHER!N141,IF(COUNTIF($A$13:$A$220,K149)=0,"NY MATCH","Matchdag finns")))))</f>
        <v>Ej aktuell</v>
      </c>
    </row>
    <row r="150" spans="1:18" ht="13">
      <c r="A150" s="31" t="s">
        <v>366</v>
      </c>
      <c r="B150" s="89">
        <v>46411</v>
      </c>
      <c r="C150" s="90">
        <v>0.625</v>
      </c>
      <c r="D150" s="31" t="s">
        <v>212</v>
      </c>
      <c r="E150" s="31" t="s">
        <v>234</v>
      </c>
      <c r="F150" s="31" t="str">
        <f t="shared" si="2"/>
        <v>Nej</v>
      </c>
      <c r="G150" s="91">
        <f>IFERROR(VLOOKUP(A150,MATCHER!$A$5:$M$504,2,FALSE()),"")</f>
        <v>46411</v>
      </c>
      <c r="H150" s="92">
        <f>IFERROR(VLOOKUP(A150,MATCHER!$A$5:$M$504,3,FALSE()),"")</f>
        <v>0.625</v>
      </c>
      <c r="I150" s="34" t="str">
        <f>IFERROR(VLOOKUP(A150,MATCHER!$A$5:$M$504,4,FALSE()),"")</f>
        <v>Solnahallen</v>
      </c>
      <c r="J150" s="34" t="str">
        <f>IF(F150&lt;&gt;"Ja","Ej aktuell",IF(COUNTIF(MATCHER!$A$5:$A$504,A150)=0,"BORTTAGEN MATCH",IF(AND(B150=G150,C150=H150,D150=I150),"Oförändrad",IF(AND(B150=G150,D150=I150),"ÄNDRAD TID","FLYTTAD MATCH"))))</f>
        <v>Ej aktuell</v>
      </c>
      <c r="K150" s="34" t="str">
        <f>IF(MATCHER!A142="","",MATCHER!A142)</f>
        <v>26 6 1221 085</v>
      </c>
      <c r="L150" s="91">
        <f>IF(MATCHER!B142="","",MATCHER!B142)</f>
        <v>46411</v>
      </c>
      <c r="M150" s="92">
        <f>IF(MATCHER!C142="","",MATCHER!C142)</f>
        <v>0.625</v>
      </c>
      <c r="N150" s="34" t="str">
        <f>IF(MATCHER!D142="","",MATCHER!D142)</f>
        <v>Solnahallen</v>
      </c>
      <c r="O150" s="34" t="str">
        <f>IF(MATCHER!E142="","",MATCHER!E142)</f>
        <v>Herrar - Herr 2 Öst</v>
      </c>
      <c r="P150" s="34" t="str">
        <f>IF(MATCHER!F142="","",MATCHER!F142)</f>
        <v>Herr</v>
      </c>
      <c r="Q150" s="34" t="str">
        <f>IF(MATCHER!K142="","",MATCHER!K142)</f>
        <v>Nej</v>
      </c>
      <c r="R150" s="34" t="str">
        <f>IF(K150="","",IF(Q150&lt;&gt;"Ja","Ej aktuell",IF(P150="SAKNAS","NY KLASS",IF(MATCHER!N142&lt;&gt;"Ja",MATCHER!N142,IF(COUNTIF($A$13:$A$220,K150)=0,"NY MATCH","Matchdag finns")))))</f>
        <v>Ej aktuell</v>
      </c>
    </row>
    <row r="151" spans="1:18" ht="13">
      <c r="A151" s="31" t="s">
        <v>367</v>
      </c>
      <c r="B151" s="89">
        <v>46413</v>
      </c>
      <c r="C151" s="90">
        <v>0.86458333333333304</v>
      </c>
      <c r="D151" s="31" t="s">
        <v>94</v>
      </c>
      <c r="E151" s="31" t="s">
        <v>213</v>
      </c>
      <c r="F151" s="31" t="str">
        <f t="shared" si="2"/>
        <v>Ja</v>
      </c>
      <c r="G151" s="91">
        <f>IFERROR(VLOOKUP(A151,MATCHER!$A$5:$M$504,2,FALSE()),"")</f>
        <v>46413</v>
      </c>
      <c r="H151" s="92">
        <f>IFERROR(VLOOKUP(A151,MATCHER!$A$5:$M$504,3,FALSE()),"")</f>
        <v>0.86458333333333337</v>
      </c>
      <c r="I151" s="34" t="str">
        <f>IFERROR(VLOOKUP(A151,MATCHER!$A$5:$M$504,4,FALSE()),"")</f>
        <v>Råsta Park</v>
      </c>
      <c r="J151" s="34" t="str">
        <f>IF(F151&lt;&gt;"Ja","Ej aktuell",IF(COUNTIF(MATCHER!$A$5:$A$504,A151)=0,"BORTTAGEN MATCH",IF(AND(B151=G151,C151=H151,D151=I151),"Oförändrad",IF(AND(B151=G151,D151=I151),"ÄNDRAD TID","FLYTTAD MATCH"))))</f>
        <v>Oförändrad</v>
      </c>
      <c r="K151" s="34" t="str">
        <f>IF(MATCHER!A143="","",MATCHER!A143)</f>
        <v>26 6 1311 075</v>
      </c>
      <c r="L151" s="91">
        <f>IF(MATCHER!B143="","",MATCHER!B143)</f>
        <v>46413</v>
      </c>
      <c r="M151" s="92">
        <f>IF(MATCHER!C143="","",MATCHER!C143)</f>
        <v>0.86458333333333337</v>
      </c>
      <c r="N151" s="34" t="str">
        <f>IF(MATCHER!D143="","",MATCHER!D143)</f>
        <v>Råsta Park</v>
      </c>
      <c r="O151" s="34" t="str">
        <f>IF(MATCHER!E143="","",MATCHER!E143)</f>
        <v>Flickor - F19 Öst - F19 Nivå 1 Öst</v>
      </c>
      <c r="P151" s="34" t="str">
        <f>IF(MATCHER!F143="","",MATCHER!F143)</f>
        <v>F19</v>
      </c>
      <c r="Q151" s="34" t="str">
        <f>IF(MATCHER!K143="","",MATCHER!K143)</f>
        <v>Ja</v>
      </c>
      <c r="R151" s="34" t="str">
        <f>IF(K151="","",IF(Q151&lt;&gt;"Ja","Ej aktuell",IF(P151="SAKNAS","NY KLASS",IF(MATCHER!N143&lt;&gt;"Ja",MATCHER!N143,IF(COUNTIF($A$13:$A$220,K151)=0,"NY MATCH","Matchdag finns")))))</f>
        <v>Matchdag finns</v>
      </c>
    </row>
    <row r="152" spans="1:18" ht="13">
      <c r="A152" s="31" t="s">
        <v>368</v>
      </c>
      <c r="B152" s="89">
        <v>46413</v>
      </c>
      <c r="C152" s="90">
        <v>0.875</v>
      </c>
      <c r="D152" s="31" t="s">
        <v>110</v>
      </c>
      <c r="E152" s="31" t="s">
        <v>263</v>
      </c>
      <c r="F152" s="31" t="str">
        <f t="shared" si="2"/>
        <v>Ja</v>
      </c>
      <c r="G152" s="91">
        <f>IFERROR(VLOOKUP(A152,MATCHER!$A$5:$M$504,2,FALSE()),"")</f>
        <v>46413</v>
      </c>
      <c r="H152" s="92">
        <f>IFERROR(VLOOKUP(A152,MATCHER!$A$5:$M$504,3,FALSE()),"")</f>
        <v>0.875</v>
      </c>
      <c r="I152" s="34" t="str">
        <f>IFERROR(VLOOKUP(A152,MATCHER!$A$5:$M$504,4,FALSE()),"")</f>
        <v>Tallbackaskolan</v>
      </c>
      <c r="J152" s="34" t="str">
        <f>IF(F152&lt;&gt;"Ja","Ej aktuell",IF(COUNTIF(MATCHER!$A$5:$A$504,A152)=0,"BORTTAGEN MATCH",IF(AND(B152=G152,C152=H152,D152=I152),"Oförändrad",IF(AND(B152=G152,D152=I152),"ÄNDRAD TID","FLYTTAD MATCH"))))</f>
        <v>Oförändrad</v>
      </c>
      <c r="K152" s="34" t="str">
        <f>IF(MATCHER!A144="","",MATCHER!A144)</f>
        <v>26 6 1151 014</v>
      </c>
      <c r="L152" s="91">
        <f>IF(MATCHER!B144="","",MATCHER!B144)</f>
        <v>46413</v>
      </c>
      <c r="M152" s="92">
        <f>IF(MATCHER!C144="","",MATCHER!C144)</f>
        <v>0.875</v>
      </c>
      <c r="N152" s="34" t="str">
        <f>IF(MATCHER!D144="","",MATCHER!D144)</f>
        <v>Tallbackaskolan</v>
      </c>
      <c r="O152" s="34" t="str">
        <f>IF(MATCHER!E144="","",MATCHER!E144)</f>
        <v>Damer - Dam trim Öst</v>
      </c>
      <c r="P152" s="34" t="str">
        <f>IF(MATCHER!F144="","",MATCHER!F144)</f>
        <v>Dam</v>
      </c>
      <c r="Q152" s="34" t="str">
        <f>IF(MATCHER!K144="","",MATCHER!K144)</f>
        <v>Ja</v>
      </c>
      <c r="R152" s="34" t="str">
        <f>IF(K152="","",IF(Q152&lt;&gt;"Ja","Ej aktuell",IF(P152="SAKNAS","NY KLASS",IF(MATCHER!N144&lt;&gt;"Ja",MATCHER!N144,IF(COUNTIF($A$13:$A$220,K152)=0,"NY MATCH","Matchdag finns")))))</f>
        <v>Matchdag finns</v>
      </c>
    </row>
    <row r="153" spans="1:18" ht="13">
      <c r="A153" s="31" t="s">
        <v>369</v>
      </c>
      <c r="B153" s="89">
        <v>46417</v>
      </c>
      <c r="C153" s="90">
        <v>0.42708333333333298</v>
      </c>
      <c r="D153" s="31" t="s">
        <v>94</v>
      </c>
      <c r="E153" s="31" t="s">
        <v>280</v>
      </c>
      <c r="F153" s="31" t="str">
        <f t="shared" si="2"/>
        <v>Ja</v>
      </c>
      <c r="G153" s="91">
        <f>IFERROR(VLOOKUP(A153,MATCHER!$A$5:$M$504,2,FALSE()),"")</f>
        <v>46417</v>
      </c>
      <c r="H153" s="92">
        <f>IFERROR(VLOOKUP(A153,MATCHER!$A$5:$M$504,3,FALSE()),"")</f>
        <v>0.42708333333333331</v>
      </c>
      <c r="I153" s="34" t="str">
        <f>IFERROR(VLOOKUP(A153,MATCHER!$A$5:$M$504,4,FALSE()),"")</f>
        <v>Råsta Park</v>
      </c>
      <c r="J153" s="34" t="str">
        <f>IF(F153&lt;&gt;"Ja","Ej aktuell",IF(COUNTIF(MATCHER!$A$5:$A$504,A153)=0,"BORTTAGEN MATCH",IF(AND(B153=G153,C153=H153,D153=I153),"Oförändrad",IF(AND(B153=G153,D153=I153),"ÄNDRAD TID","FLYTTAD MATCH"))))</f>
        <v>Oförändrad</v>
      </c>
      <c r="K153" s="34" t="str">
        <f>IF(MATCHER!A145="","",MATCHER!A145)</f>
        <v>26 6 1324 053</v>
      </c>
      <c r="L153" s="91">
        <f>IF(MATCHER!B145="","",MATCHER!B145)</f>
        <v>46417</v>
      </c>
      <c r="M153" s="92">
        <f>IF(MATCHER!C145="","",MATCHER!C145)</f>
        <v>0.42708333333333331</v>
      </c>
      <c r="N153" s="34" t="str">
        <f>IF(MATCHER!D145="","",MATCHER!D145)</f>
        <v>Råsta Park</v>
      </c>
      <c r="O153" s="34" t="str">
        <f>IF(MATCHER!E145="","",MATCHER!E145)</f>
        <v>Flickor - F16 Öst - F16 Nivå 3 Öst</v>
      </c>
      <c r="P153" s="34" t="str">
        <f>IF(MATCHER!F145="","",MATCHER!F145)</f>
        <v>F16</v>
      </c>
      <c r="Q153" s="34" t="str">
        <f>IF(MATCHER!K145="","",MATCHER!K145)</f>
        <v>Ja</v>
      </c>
      <c r="R153" s="34" t="str">
        <f>IF(K153="","",IF(Q153&lt;&gt;"Ja","Ej aktuell",IF(P153="SAKNAS","NY KLASS",IF(MATCHER!N145&lt;&gt;"Ja",MATCHER!N145,IF(COUNTIF($A$13:$A$220,K153)=0,"NY MATCH","Matchdag finns")))))</f>
        <v>Matchdag finns</v>
      </c>
    </row>
    <row r="154" spans="1:18" ht="13">
      <c r="A154" s="31">
        <v>529333</v>
      </c>
      <c r="B154" s="89">
        <v>46417</v>
      </c>
      <c r="C154" s="90">
        <v>0.375</v>
      </c>
      <c r="D154" s="31" t="s">
        <v>86</v>
      </c>
      <c r="E154" s="31" t="s">
        <v>370</v>
      </c>
      <c r="F154" s="31" t="str">
        <f t="shared" si="2"/>
        <v>Ja</v>
      </c>
      <c r="G154" s="91">
        <f>IFERROR(VLOOKUP(A154,MATCHER!$A$5:$M$504,2,FALSE()),"")</f>
        <v>46417</v>
      </c>
      <c r="H154" s="92">
        <f>IFERROR(VLOOKUP(A154,MATCHER!$A$5:$M$504,3,FALSE()),"")</f>
        <v>0.375</v>
      </c>
      <c r="I154" s="34" t="str">
        <f>IFERROR(VLOOKUP(A154,MATCHER!$A$5:$M$504,4,FALSE()),"")</f>
        <v>Ulriksdalshallen</v>
      </c>
      <c r="J154" s="34" t="str">
        <f>IF(F154&lt;&gt;"Ja","Ej aktuell",IF(COUNTIF(MATCHER!$A$5:$A$504,A154)=0,"BORTTAGEN MATCH",IF(AND(B154=G154,C154=H154,D154=I154),"Oförändrad",IF(AND(B154=G154,D154=I154),"ÄNDRAD TID","FLYTTAD MATCH"))))</f>
        <v>Oförändrad</v>
      </c>
      <c r="K154" s="34">
        <f>IF(MATCHER!A146="","",MATCHER!A146)</f>
        <v>529333</v>
      </c>
      <c r="L154" s="91">
        <f>IF(MATCHER!B146="","",MATCHER!B146)</f>
        <v>46417</v>
      </c>
      <c r="M154" s="92">
        <f>IF(MATCHER!C146="","",MATCHER!C146)</f>
        <v>0.375</v>
      </c>
      <c r="N154" s="34" t="str">
        <f>IF(MATCHER!D146="","",MATCHER!D146)</f>
        <v>Ulriksdalshallen</v>
      </c>
      <c r="O154" s="34" t="str">
        <f>IF(MATCHER!E146="","",MATCHER!E146)</f>
        <v>Arrangörsskap - Handbollfestival Vår - Omg1/23-24 jan alt 30-31jan</v>
      </c>
      <c r="P154" s="34" t="str">
        <f>IF(MATCHER!F146="","",MATCHER!F146)</f>
        <v>U8</v>
      </c>
      <c r="Q154" s="34" t="str">
        <f>IF(MATCHER!K146="","",MATCHER!K146)</f>
        <v>Ja</v>
      </c>
      <c r="R154" s="34" t="str">
        <f>IF(K154="","",IF(Q154&lt;&gt;"Ja","Ej aktuell",IF(P154="SAKNAS","NY KLASS",IF(MATCHER!N146&lt;&gt;"Ja",MATCHER!N146,IF(COUNTIF($A$13:$A$220,K154)=0,"NY MATCH","Matchdag finns")))))</f>
        <v>Matchdag finns</v>
      </c>
    </row>
    <row r="155" spans="1:18" ht="13">
      <c r="A155" s="31">
        <v>529884</v>
      </c>
      <c r="B155" s="89">
        <v>46417</v>
      </c>
      <c r="C155" s="90">
        <v>0.51041666666666696</v>
      </c>
      <c r="D155" s="31" t="s">
        <v>86</v>
      </c>
      <c r="E155" s="31" t="s">
        <v>371</v>
      </c>
      <c r="F155" s="31" t="str">
        <f t="shared" si="2"/>
        <v>Ja</v>
      </c>
      <c r="G155" s="91">
        <f>IFERROR(VLOOKUP(A155,MATCHER!$A$5:$M$504,2,FALSE()),"")</f>
        <v>46417</v>
      </c>
      <c r="H155" s="92">
        <f>IFERROR(VLOOKUP(A155,MATCHER!$A$5:$M$504,3,FALSE()),"")</f>
        <v>0.51041666666666663</v>
      </c>
      <c r="I155" s="34" t="str">
        <f>IFERROR(VLOOKUP(A155,MATCHER!$A$5:$M$504,4,FALSE()),"")</f>
        <v>Ulriksdalshallen</v>
      </c>
      <c r="J155" s="34" t="str">
        <f>IF(F155&lt;&gt;"Ja","Ej aktuell",IF(COUNTIF(MATCHER!$A$5:$A$504,A155)=0,"BORTTAGEN MATCH",IF(AND(B155=G155,C155=H155,D155=I155),"Oförändrad",IF(AND(B155=G155,D155=I155),"ÄNDRAD TID","FLYTTAD MATCH"))))</f>
        <v>Oförändrad</v>
      </c>
      <c r="K155" s="34">
        <f>IF(MATCHER!A147="","",MATCHER!A147)</f>
        <v>529884</v>
      </c>
      <c r="L155" s="91">
        <f>IF(MATCHER!B147="","",MATCHER!B147)</f>
        <v>46417</v>
      </c>
      <c r="M155" s="92">
        <f>IF(MATCHER!C147="","",MATCHER!C147)</f>
        <v>0.51041666666666663</v>
      </c>
      <c r="N155" s="34" t="str">
        <f>IF(MATCHER!D147="","",MATCHER!D147)</f>
        <v>Ulriksdalshallen</v>
      </c>
      <c r="O155" s="34" t="str">
        <f>IF(MATCHER!E147="","",MATCHER!E147)</f>
        <v>Arrangörsskap - Vårens spel - Omg2/ F10K P9M F9K/ 30-31jan</v>
      </c>
      <c r="P155" s="34" t="str">
        <f>IF(MATCHER!F147="","",MATCHER!F147)</f>
        <v>Kontrollera</v>
      </c>
      <c r="Q155" s="34" t="str">
        <f>IF(MATCHER!K147="","",MATCHER!K147)</f>
        <v>Ja</v>
      </c>
      <c r="R155" s="34" t="str">
        <f>IF(K155="","",IF(Q155&lt;&gt;"Ja","Ej aktuell",IF(P155="SAKNAS","NY KLASS",IF(MATCHER!N147&lt;&gt;"Ja",MATCHER!N147,IF(COUNTIF($A$13:$A$220,K155)=0,"NY MATCH","Matchdag finns")))))</f>
        <v>Matchdag finns</v>
      </c>
    </row>
    <row r="156" spans="1:18" ht="13">
      <c r="A156" s="31" t="s">
        <v>372</v>
      </c>
      <c r="B156" s="89">
        <v>46417</v>
      </c>
      <c r="C156" s="90">
        <v>0.69444444444444398</v>
      </c>
      <c r="D156" s="31" t="s">
        <v>86</v>
      </c>
      <c r="E156" s="31" t="s">
        <v>219</v>
      </c>
      <c r="F156" s="31" t="str">
        <f t="shared" si="2"/>
        <v>Ja</v>
      </c>
      <c r="G156" s="91">
        <f>IFERROR(VLOOKUP(A156,MATCHER!$A$5:$M$504,2,FALSE()),"")</f>
        <v>46417</v>
      </c>
      <c r="H156" s="92">
        <f>IFERROR(VLOOKUP(A156,MATCHER!$A$5:$M$504,3,FALSE()),"")</f>
        <v>0.69444444444444442</v>
      </c>
      <c r="I156" s="34" t="str">
        <f>IFERROR(VLOOKUP(A156,MATCHER!$A$5:$M$504,4,FALSE()),"")</f>
        <v>Ulriksdalshallen</v>
      </c>
      <c r="J156" s="34" t="str">
        <f>IF(F156&lt;&gt;"Ja","Ej aktuell",IF(COUNTIF(MATCHER!$A$5:$A$504,A156)=0,"BORTTAGEN MATCH",IF(AND(B156=G156,C156=H156,D156=I156),"Oförändrad",IF(AND(B156=G156,D156=I156),"ÄNDRAD TID","FLYTTAD MATCH"))))</f>
        <v>Oförändrad</v>
      </c>
      <c r="K156" s="34" t="str">
        <f>IF(MATCHER!A148="","",MATCHER!A148)</f>
        <v>26 6 1351 054</v>
      </c>
      <c r="L156" s="91">
        <f>IF(MATCHER!B148="","",MATCHER!B148)</f>
        <v>46417</v>
      </c>
      <c r="M156" s="92">
        <f>IF(MATCHER!C148="","",MATCHER!C148)</f>
        <v>0.69444444444444442</v>
      </c>
      <c r="N156" s="34" t="str">
        <f>IF(MATCHER!D148="","",MATCHER!D148)</f>
        <v>Ulriksdalshallen</v>
      </c>
      <c r="O156" s="34" t="str">
        <f>IF(MATCHER!E148="","",MATCHER!E148)</f>
        <v>Flickor - F13 Öst - F13 Nivå 1 Öst</v>
      </c>
      <c r="P156" s="34" t="str">
        <f>IF(MATCHER!F148="","",MATCHER!F148)</f>
        <v>F13</v>
      </c>
      <c r="Q156" s="34" t="str">
        <f>IF(MATCHER!K148="","",MATCHER!K148)</f>
        <v>Ja</v>
      </c>
      <c r="R156" s="34" t="str">
        <f>IF(K156="","",IF(Q156&lt;&gt;"Ja","Ej aktuell",IF(P156="SAKNAS","NY KLASS",IF(MATCHER!N148&lt;&gt;"Ja",MATCHER!N148,IF(COUNTIF($A$13:$A$220,K156)=0,"NY MATCH","Matchdag finns")))))</f>
        <v>Matchdag finns</v>
      </c>
    </row>
    <row r="157" spans="1:18" ht="13">
      <c r="A157" s="31" t="s">
        <v>373</v>
      </c>
      <c r="B157" s="89">
        <v>46417</v>
      </c>
      <c r="C157" s="90">
        <v>0.74305555555555602</v>
      </c>
      <c r="D157" s="31" t="s">
        <v>86</v>
      </c>
      <c r="E157" s="31" t="s">
        <v>229</v>
      </c>
      <c r="F157" s="31" t="str">
        <f t="shared" si="2"/>
        <v>Ja</v>
      </c>
      <c r="G157" s="91">
        <f>IFERROR(VLOOKUP(A157,MATCHER!$A$5:$M$504,2,FALSE()),"")</f>
        <v>46417</v>
      </c>
      <c r="H157" s="92">
        <f>IFERROR(VLOOKUP(A157,MATCHER!$A$5:$M$504,3,FALSE()),"")</f>
        <v>0.74305555555555558</v>
      </c>
      <c r="I157" s="34" t="str">
        <f>IFERROR(VLOOKUP(A157,MATCHER!$A$5:$M$504,4,FALSE()),"")</f>
        <v>Ulriksdalshallen</v>
      </c>
      <c r="J157" s="34" t="str">
        <f>IF(F157&lt;&gt;"Ja","Ej aktuell",IF(COUNTIF(MATCHER!$A$5:$A$504,A157)=0,"BORTTAGEN MATCH",IF(AND(B157=G157,C157=H157,D157=I157),"Oförändrad",IF(AND(B157=G157,D157=I157),"ÄNDRAD TID","FLYTTAD MATCH"))))</f>
        <v>Oförändrad</v>
      </c>
      <c r="K157" s="34" t="str">
        <f>IF(MATCHER!A149="","",MATCHER!A149)</f>
        <v>26 6 1343 044</v>
      </c>
      <c r="L157" s="91">
        <f>IF(MATCHER!B149="","",MATCHER!B149)</f>
        <v>46417</v>
      </c>
      <c r="M157" s="92">
        <f>IF(MATCHER!C149="","",MATCHER!C149)</f>
        <v>0.74305555555555558</v>
      </c>
      <c r="N157" s="34" t="str">
        <f>IF(MATCHER!D149="","",MATCHER!D149)</f>
        <v>Ulriksdalshallen</v>
      </c>
      <c r="O157" s="34" t="str">
        <f>IF(MATCHER!E149="","",MATCHER!E149)</f>
        <v>Flickor - F14 Öst - F14 Nivå 2 Öst Norra</v>
      </c>
      <c r="P157" s="34" t="str">
        <f>IF(MATCHER!F149="","",MATCHER!F149)</f>
        <v>F14</v>
      </c>
      <c r="Q157" s="34" t="str">
        <f>IF(MATCHER!K149="","",MATCHER!K149)</f>
        <v>Ja</v>
      </c>
      <c r="R157" s="34" t="str">
        <f>IF(K157="","",IF(Q157&lt;&gt;"Ja","Ej aktuell",IF(P157="SAKNAS","NY KLASS",IF(MATCHER!N149&lt;&gt;"Ja",MATCHER!N149,IF(COUNTIF($A$13:$A$220,K157)=0,"NY MATCH","Matchdag finns")))))</f>
        <v>Matchdag finns</v>
      </c>
    </row>
    <row r="158" spans="1:18" ht="13">
      <c r="A158" s="31" t="s">
        <v>374</v>
      </c>
      <c r="B158" s="89">
        <v>46424</v>
      </c>
      <c r="C158" s="90">
        <v>0.56944444444444398</v>
      </c>
      <c r="D158" s="31" t="s">
        <v>94</v>
      </c>
      <c r="E158" s="31" t="s">
        <v>223</v>
      </c>
      <c r="F158" s="31" t="str">
        <f t="shared" si="2"/>
        <v>Ja</v>
      </c>
      <c r="G158" s="91">
        <f>IFERROR(VLOOKUP(A158,MATCHER!$A$5:$M$504,2,FALSE()),"")</f>
        <v>46424</v>
      </c>
      <c r="H158" s="92">
        <f>IFERROR(VLOOKUP(A158,MATCHER!$A$5:$M$504,3,FALSE()),"")</f>
        <v>0.56944444444444442</v>
      </c>
      <c r="I158" s="34" t="str">
        <f>IFERROR(VLOOKUP(A158,MATCHER!$A$5:$M$504,4,FALSE()),"")</f>
        <v>Råsta Park</v>
      </c>
      <c r="J158" s="34" t="str">
        <f>IF(F158&lt;&gt;"Ja","Ej aktuell",IF(COUNTIF(MATCHER!$A$5:$A$504,A158)=0,"BORTTAGEN MATCH",IF(AND(B158=G158,C158=H158,D158=I158),"Oförändrad",IF(AND(B158=G158,D158=I158),"ÄNDRAD TID","FLYTTAD MATCH"))))</f>
        <v>Oförändrad</v>
      </c>
      <c r="K158" s="34" t="str">
        <f>IF(MATCHER!A150="","",MATCHER!A150)</f>
        <v>26 6 1524 065</v>
      </c>
      <c r="L158" s="91">
        <f>IF(MATCHER!B150="","",MATCHER!B150)</f>
        <v>46424</v>
      </c>
      <c r="M158" s="92">
        <f>IF(MATCHER!C150="","",MATCHER!C150)</f>
        <v>0.56944444444444442</v>
      </c>
      <c r="N158" s="34" t="str">
        <f>IF(MATCHER!D150="","",MATCHER!D150)</f>
        <v>Råsta Park</v>
      </c>
      <c r="O158" s="34" t="str">
        <f>IF(MATCHER!E150="","",MATCHER!E150)</f>
        <v>Pojkar - P16 Öst - P16 Nivå 3 Öst</v>
      </c>
      <c r="P158" s="34" t="str">
        <f>IF(MATCHER!F150="","",MATCHER!F150)</f>
        <v>P16</v>
      </c>
      <c r="Q158" s="34" t="str">
        <f>IF(MATCHER!K150="","",MATCHER!K150)</f>
        <v>Ja</v>
      </c>
      <c r="R158" s="34" t="str">
        <f>IF(K158="","",IF(Q158&lt;&gt;"Ja","Ej aktuell",IF(P158="SAKNAS","NY KLASS",IF(MATCHER!N150&lt;&gt;"Ja",MATCHER!N150,IF(COUNTIF($A$13:$A$220,K158)=0,"NY MATCH","Matchdag finns")))))</f>
        <v>Matchdag finns</v>
      </c>
    </row>
    <row r="159" spans="1:18" ht="13">
      <c r="A159" s="31" t="s">
        <v>375</v>
      </c>
      <c r="B159" s="89">
        <v>46424</v>
      </c>
      <c r="C159" s="90">
        <v>0.43055555555555602</v>
      </c>
      <c r="D159" s="31" t="s">
        <v>110</v>
      </c>
      <c r="E159" s="31" t="s">
        <v>221</v>
      </c>
      <c r="F159" s="31" t="str">
        <f t="shared" si="2"/>
        <v>Ja</v>
      </c>
      <c r="G159" s="91">
        <f>IFERROR(VLOOKUP(A159,MATCHER!$A$5:$M$504,2,FALSE()),"")</f>
        <v>46424</v>
      </c>
      <c r="H159" s="92">
        <f>IFERROR(VLOOKUP(A159,MATCHER!$A$5:$M$504,3,FALSE()),"")</f>
        <v>0.43055555555555558</v>
      </c>
      <c r="I159" s="34" t="str">
        <f>IFERROR(VLOOKUP(A159,MATCHER!$A$5:$M$504,4,FALSE()),"")</f>
        <v>Tallbackaskolan</v>
      </c>
      <c r="J159" s="34" t="str">
        <f>IF(F159&lt;&gt;"Ja","Ej aktuell",IF(COUNTIF(MATCHER!$A$5:$A$504,A159)=0,"BORTTAGEN MATCH",IF(AND(B159=G159,C159=H159,D159=I159),"Oförändrad",IF(AND(B159=G159,D159=I159),"ÄNDRAD TID","FLYTTAD MATCH"))))</f>
        <v>Oförändrad</v>
      </c>
      <c r="K159" s="34" t="str">
        <f>IF(MATCHER!A151="","",MATCHER!A151)</f>
        <v>26 6 1352 089</v>
      </c>
      <c r="L159" s="91">
        <f>IF(MATCHER!B151="","",MATCHER!B151)</f>
        <v>46424</v>
      </c>
      <c r="M159" s="92">
        <f>IF(MATCHER!C151="","",MATCHER!C151)</f>
        <v>0.43055555555555558</v>
      </c>
      <c r="N159" s="34" t="str">
        <f>IF(MATCHER!D151="","",MATCHER!D151)</f>
        <v>Tallbackaskolan</v>
      </c>
      <c r="O159" s="34" t="str">
        <f>IF(MATCHER!E151="","",MATCHER!E151)</f>
        <v>Flickor - F13 Öst - F13 Nivå 2 Öst Norra</v>
      </c>
      <c r="P159" s="34" t="str">
        <f>IF(MATCHER!F151="","",MATCHER!F151)</f>
        <v>F13</v>
      </c>
      <c r="Q159" s="34" t="str">
        <f>IF(MATCHER!K151="","",MATCHER!K151)</f>
        <v>Ja</v>
      </c>
      <c r="R159" s="34" t="str">
        <f>IF(K159="","",IF(Q159&lt;&gt;"Ja","Ej aktuell",IF(P159="SAKNAS","NY KLASS",IF(MATCHER!N151&lt;&gt;"Ja",MATCHER!N151,IF(COUNTIF($A$13:$A$220,K159)=0,"NY MATCH","Matchdag finns")))))</f>
        <v>Matchdag finns</v>
      </c>
    </row>
    <row r="160" spans="1:18" ht="13">
      <c r="A160" s="31" t="s">
        <v>376</v>
      </c>
      <c r="B160" s="89">
        <v>46425</v>
      </c>
      <c r="C160" s="90">
        <v>0.66666666666666696</v>
      </c>
      <c r="D160" s="31" t="s">
        <v>212</v>
      </c>
      <c r="E160" s="31" t="s">
        <v>231</v>
      </c>
      <c r="F160" s="31" t="str">
        <f t="shared" si="2"/>
        <v>Nej</v>
      </c>
      <c r="G160" s="91">
        <f>IFERROR(VLOOKUP(A160,MATCHER!$A$5:$M$504,2,FALSE()),"")</f>
        <v>46425</v>
      </c>
      <c r="H160" s="92">
        <f>IFERROR(VLOOKUP(A160,MATCHER!$A$5:$M$504,3,FALSE()),"")</f>
        <v>0.66666666666666663</v>
      </c>
      <c r="I160" s="34" t="str">
        <f>IFERROR(VLOOKUP(A160,MATCHER!$A$5:$M$504,4,FALSE()),"")</f>
        <v>Solnahallen</v>
      </c>
      <c r="J160" s="34" t="str">
        <f>IF(F160&lt;&gt;"Ja","Ej aktuell",IF(COUNTIF(MATCHER!$A$5:$A$504,A160)=0,"BORTTAGEN MATCH",IF(AND(B160=G160,C160=H160,D160=I160),"Oförändrad",IF(AND(B160=G160,D160=I160),"ÄNDRAD TID","FLYTTAD MATCH"))))</f>
        <v>Ej aktuell</v>
      </c>
      <c r="K160" s="34" t="str">
        <f>IF(MATCHER!A152="","",MATCHER!A152)</f>
        <v>26 -1 1121 093</v>
      </c>
      <c r="L160" s="91">
        <f>IF(MATCHER!B152="","",MATCHER!B152)</f>
        <v>46425</v>
      </c>
      <c r="M160" s="92">
        <f>IF(MATCHER!C152="","",MATCHER!C152)</f>
        <v>0.66666666666666663</v>
      </c>
      <c r="N160" s="34" t="str">
        <f>IF(MATCHER!D152="","",MATCHER!D152)</f>
        <v>Solnahallen</v>
      </c>
      <c r="O160" s="34" t="str">
        <f>IF(MATCHER!E152="","",MATCHER!E152)</f>
        <v>Damer - Damallsvenskan</v>
      </c>
      <c r="P160" s="34" t="str">
        <f>IF(MATCHER!F152="","",MATCHER!F152)</f>
        <v>Dam</v>
      </c>
      <c r="Q160" s="34" t="str">
        <f>IF(MATCHER!K152="","",MATCHER!K152)</f>
        <v>Nej</v>
      </c>
      <c r="R160" s="34" t="str">
        <f>IF(K160="","",IF(Q160&lt;&gt;"Ja","Ej aktuell",IF(P160="SAKNAS","NY KLASS",IF(MATCHER!N152&lt;&gt;"Ja",MATCHER!N152,IF(COUNTIF($A$13:$A$220,K160)=0,"NY MATCH","Matchdag finns")))))</f>
        <v>Ej aktuell</v>
      </c>
    </row>
    <row r="161" spans="1:18" ht="13">
      <c r="A161" s="31" t="s">
        <v>377</v>
      </c>
      <c r="B161" s="89">
        <v>46425</v>
      </c>
      <c r="C161" s="90">
        <v>0.77083333333333304</v>
      </c>
      <c r="D161" s="31" t="s">
        <v>212</v>
      </c>
      <c r="E161" s="31" t="s">
        <v>234</v>
      </c>
      <c r="F161" s="31" t="str">
        <f t="shared" si="2"/>
        <v>Nej</v>
      </c>
      <c r="G161" s="91">
        <f>IFERROR(VLOOKUP(A161,MATCHER!$A$5:$M$504,2,FALSE()),"")</f>
        <v>46425</v>
      </c>
      <c r="H161" s="92">
        <f>IFERROR(VLOOKUP(A161,MATCHER!$A$5:$M$504,3,FALSE()),"")</f>
        <v>0.77083333333333337</v>
      </c>
      <c r="I161" s="34" t="str">
        <f>IFERROR(VLOOKUP(A161,MATCHER!$A$5:$M$504,4,FALSE()),"")</f>
        <v>Solnahallen</v>
      </c>
      <c r="J161" s="34" t="str">
        <f>IF(F161&lt;&gt;"Ja","Ej aktuell",IF(COUNTIF(MATCHER!$A$5:$A$504,A161)=0,"BORTTAGEN MATCH",IF(AND(B161=G161,C161=H161,D161=I161),"Oförändrad",IF(AND(B161=G161,D161=I161),"ÄNDRAD TID","FLYTTAD MATCH"))))</f>
        <v>Ej aktuell</v>
      </c>
      <c r="K161" s="34" t="str">
        <f>IF(MATCHER!A153="","",MATCHER!A153)</f>
        <v>26 6 1221 098</v>
      </c>
      <c r="L161" s="91">
        <f>IF(MATCHER!B153="","",MATCHER!B153)</f>
        <v>46425</v>
      </c>
      <c r="M161" s="92">
        <f>IF(MATCHER!C153="","",MATCHER!C153)</f>
        <v>0.77083333333333337</v>
      </c>
      <c r="N161" s="34" t="str">
        <f>IF(MATCHER!D153="","",MATCHER!D153)</f>
        <v>Solnahallen</v>
      </c>
      <c r="O161" s="34" t="str">
        <f>IF(MATCHER!E153="","",MATCHER!E153)</f>
        <v>Herrar - Herr 2 Öst</v>
      </c>
      <c r="P161" s="34" t="str">
        <f>IF(MATCHER!F153="","",MATCHER!F153)</f>
        <v>Herr</v>
      </c>
      <c r="Q161" s="34" t="str">
        <f>IF(MATCHER!K153="","",MATCHER!K153)</f>
        <v>Nej</v>
      </c>
      <c r="R161" s="34" t="str">
        <f>IF(K161="","",IF(Q161&lt;&gt;"Ja","Ej aktuell",IF(P161="SAKNAS","NY KLASS",IF(MATCHER!N153&lt;&gt;"Ja",MATCHER!N153,IF(COUNTIF($A$13:$A$220,K161)=0,"NY MATCH","Matchdag finns")))))</f>
        <v>Ej aktuell</v>
      </c>
    </row>
    <row r="162" spans="1:18" ht="13">
      <c r="A162" s="31" t="s">
        <v>378</v>
      </c>
      <c r="B162" s="89">
        <v>46431</v>
      </c>
      <c r="C162" s="90">
        <v>0.56944444444444398</v>
      </c>
      <c r="D162" s="31" t="s">
        <v>94</v>
      </c>
      <c r="E162" s="31" t="s">
        <v>280</v>
      </c>
      <c r="F162" s="31" t="str">
        <f t="shared" si="2"/>
        <v>Ja</v>
      </c>
      <c r="G162" s="91">
        <f>IFERROR(VLOOKUP(A162,MATCHER!$A$5:$M$504,2,FALSE()),"")</f>
        <v>46431</v>
      </c>
      <c r="H162" s="92">
        <f>IFERROR(VLOOKUP(A162,MATCHER!$A$5:$M$504,3,FALSE()),"")</f>
        <v>0.56944444444444442</v>
      </c>
      <c r="I162" s="34" t="str">
        <f>IFERROR(VLOOKUP(A162,MATCHER!$A$5:$M$504,4,FALSE()),"")</f>
        <v>Råsta Park</v>
      </c>
      <c r="J162" s="34" t="str">
        <f>IF(F162&lt;&gt;"Ja","Ej aktuell",IF(COUNTIF(MATCHER!$A$5:$A$504,A162)=0,"BORTTAGEN MATCH",IF(AND(B162=G162,C162=H162,D162=I162),"Oförändrad",IF(AND(B162=G162,D162=I162),"ÄNDRAD TID","FLYTTAD MATCH"))))</f>
        <v>Oförändrad</v>
      </c>
      <c r="K162" s="34" t="str">
        <f>IF(MATCHER!A154="","",MATCHER!A154)</f>
        <v>26 6 1324 064</v>
      </c>
      <c r="L162" s="91">
        <f>IF(MATCHER!B154="","",MATCHER!B154)</f>
        <v>46431</v>
      </c>
      <c r="M162" s="92">
        <f>IF(MATCHER!C154="","",MATCHER!C154)</f>
        <v>0.56944444444444442</v>
      </c>
      <c r="N162" s="34" t="str">
        <f>IF(MATCHER!D154="","",MATCHER!D154)</f>
        <v>Råsta Park</v>
      </c>
      <c r="O162" s="34" t="str">
        <f>IF(MATCHER!E154="","",MATCHER!E154)</f>
        <v>Flickor - F16 Öst - F16 Nivå 3 Öst</v>
      </c>
      <c r="P162" s="34" t="str">
        <f>IF(MATCHER!F154="","",MATCHER!F154)</f>
        <v>F16</v>
      </c>
      <c r="Q162" s="34" t="str">
        <f>IF(MATCHER!K154="","",MATCHER!K154)</f>
        <v>Ja</v>
      </c>
      <c r="R162" s="34" t="str">
        <f>IF(K162="","",IF(Q162&lt;&gt;"Ja","Ej aktuell",IF(P162="SAKNAS","NY KLASS",IF(MATCHER!N154&lt;&gt;"Ja",MATCHER!N154,IF(COUNTIF($A$13:$A$220,K162)=0,"NY MATCH","Matchdag finns")))))</f>
        <v>Matchdag finns</v>
      </c>
    </row>
    <row r="163" spans="1:18" ht="13">
      <c r="A163" s="31">
        <v>529358</v>
      </c>
      <c r="B163" s="89">
        <v>46431</v>
      </c>
      <c r="C163" s="90">
        <v>0.375</v>
      </c>
      <c r="D163" s="31" t="s">
        <v>86</v>
      </c>
      <c r="E163" s="31" t="s">
        <v>379</v>
      </c>
      <c r="F163" s="31" t="str">
        <f t="shared" si="2"/>
        <v>Ja</v>
      </c>
      <c r="G163" s="91">
        <f>IFERROR(VLOOKUP(A163,MATCHER!$A$5:$M$504,2,FALSE()),"")</f>
        <v>46431</v>
      </c>
      <c r="H163" s="92">
        <f>IFERROR(VLOOKUP(A163,MATCHER!$A$5:$M$504,3,FALSE()),"")</f>
        <v>0.375</v>
      </c>
      <c r="I163" s="34" t="str">
        <f>IFERROR(VLOOKUP(A163,MATCHER!$A$5:$M$504,4,FALSE()),"")</f>
        <v>Ulriksdalshallen</v>
      </c>
      <c r="J163" s="34" t="str">
        <f>IF(F163&lt;&gt;"Ja","Ej aktuell",IF(COUNTIF(MATCHER!$A$5:$A$504,A163)=0,"BORTTAGEN MATCH",IF(AND(B163=G163,C163=H163,D163=I163),"Oförändrad",IF(AND(B163=G163,D163=I163),"ÄNDRAD TID","FLYTTAD MATCH"))))</f>
        <v>Oförändrad</v>
      </c>
      <c r="K163" s="34">
        <f>IF(MATCHER!A155="","",MATCHER!A155)</f>
        <v>529358</v>
      </c>
      <c r="L163" s="91">
        <f>IF(MATCHER!B155="","",MATCHER!B155)</f>
        <v>46431</v>
      </c>
      <c r="M163" s="92">
        <f>IF(MATCHER!C155="","",MATCHER!C155)</f>
        <v>0.375</v>
      </c>
      <c r="N163" s="34" t="str">
        <f>IF(MATCHER!D155="","",MATCHER!D155)</f>
        <v>Ulriksdalshallen</v>
      </c>
      <c r="O163" s="34" t="str">
        <f>IF(MATCHER!E155="","",MATCHER!E155)</f>
        <v>Arrangörsskap - Handbollfestival Vår - Omg2/ 13-14feb alt 20-21feb</v>
      </c>
      <c r="P163" s="34" t="str">
        <f>IF(MATCHER!F155="","",MATCHER!F155)</f>
        <v>U8</v>
      </c>
      <c r="Q163" s="34" t="str">
        <f>IF(MATCHER!K155="","",MATCHER!K155)</f>
        <v>Ja</v>
      </c>
      <c r="R163" s="34" t="str">
        <f>IF(K163="","",IF(Q163&lt;&gt;"Ja","Ej aktuell",IF(P163="SAKNAS","NY KLASS",IF(MATCHER!N155&lt;&gt;"Ja",MATCHER!N155,IF(COUNTIF($A$13:$A$220,K163)=0,"NY MATCH","Matchdag finns")))))</f>
        <v>Matchdag finns</v>
      </c>
    </row>
    <row r="164" spans="1:18" ht="13">
      <c r="A164" s="31" t="s">
        <v>380</v>
      </c>
      <c r="B164" s="89">
        <v>46431</v>
      </c>
      <c r="C164" s="90">
        <v>0.51041666666666696</v>
      </c>
      <c r="D164" s="31" t="s">
        <v>86</v>
      </c>
      <c r="E164" s="31" t="s">
        <v>381</v>
      </c>
      <c r="F164" s="31" t="str">
        <f t="shared" si="2"/>
        <v>Ja</v>
      </c>
      <c r="G164" s="91">
        <f>IFERROR(VLOOKUP(A164,MATCHER!$A$5:$M$504,2,FALSE()),"")</f>
        <v>46431</v>
      </c>
      <c r="H164" s="92">
        <f>IFERROR(VLOOKUP(A164,MATCHER!$A$5:$M$504,3,FALSE()),"")</f>
        <v>0.51041666666666663</v>
      </c>
      <c r="I164" s="34" t="str">
        <f>IFERROR(VLOOKUP(A164,MATCHER!$A$5:$M$504,4,FALSE()),"")</f>
        <v>Ulriksdalshallen</v>
      </c>
      <c r="J164" s="34" t="str">
        <f>IF(F164&lt;&gt;"Ja","Ej aktuell",IF(COUNTIF(MATCHER!$A$5:$A$504,A164)=0,"BORTTAGEN MATCH",IF(AND(B164=G164,C164=H164,D164=I164),"Oförändrad",IF(AND(B164=G164,D164=I164),"ÄNDRAD TID","FLYTTAD MATCH"))))</f>
        <v>Oförändrad</v>
      </c>
      <c r="K164" s="34" t="str">
        <f>IF(MATCHER!A156="","",MATCHER!A156)</f>
        <v>26 6 6436 001</v>
      </c>
      <c r="L164" s="91">
        <f>IF(MATCHER!B156="","",MATCHER!B156)</f>
        <v>46431</v>
      </c>
      <c r="M164" s="92">
        <f>IF(MATCHER!C156="","",MATCHER!C156)</f>
        <v>0.51041666666666663</v>
      </c>
      <c r="N164" s="34" t="str">
        <f>IF(MATCHER!D156="","",MATCHER!D156)</f>
        <v>Ulriksdalshallen</v>
      </c>
      <c r="O164" s="34" t="str">
        <f>IF(MATCHER!E156="","",MATCHER!E156)</f>
        <v>Östbollen - F12 Öst - Omgång 3</v>
      </c>
      <c r="P164" s="34" t="str">
        <f>IF(MATCHER!F156="","",MATCHER!F156)</f>
        <v>F12</v>
      </c>
      <c r="Q164" s="34" t="str">
        <f>IF(MATCHER!K156="","",MATCHER!K156)</f>
        <v>Ja</v>
      </c>
      <c r="R164" s="34" t="str">
        <f>IF(K164="","",IF(Q164&lt;&gt;"Ja","Ej aktuell",IF(P164="SAKNAS","NY KLASS",IF(MATCHER!N156&lt;&gt;"Ja",MATCHER!N156,IF(COUNTIF($A$13:$A$220,K164)=0,"NY MATCH","Matchdag finns")))))</f>
        <v>Matchdag finns</v>
      </c>
    </row>
    <row r="165" spans="1:18" ht="13">
      <c r="A165" s="31" t="s">
        <v>382</v>
      </c>
      <c r="B165" s="89">
        <v>46431</v>
      </c>
      <c r="C165" s="90">
        <v>0.54166666666666696</v>
      </c>
      <c r="D165" s="31" t="s">
        <v>86</v>
      </c>
      <c r="E165" s="31" t="s">
        <v>381</v>
      </c>
      <c r="F165" s="31" t="str">
        <f t="shared" si="2"/>
        <v>Ja</v>
      </c>
      <c r="G165" s="91">
        <f>IFERROR(VLOOKUP(A165,MATCHER!$A$5:$M$504,2,FALSE()),"")</f>
        <v>46431</v>
      </c>
      <c r="H165" s="92">
        <f>IFERROR(VLOOKUP(A165,MATCHER!$A$5:$M$504,3,FALSE()),"")</f>
        <v>0.54166666666666663</v>
      </c>
      <c r="I165" s="34" t="str">
        <f>IFERROR(VLOOKUP(A165,MATCHER!$A$5:$M$504,4,FALSE()),"")</f>
        <v>Ulriksdalshallen</v>
      </c>
      <c r="J165" s="34" t="str">
        <f>IF(F165&lt;&gt;"Ja","Ej aktuell",IF(COUNTIF(MATCHER!$A$5:$A$504,A165)=0,"BORTTAGEN MATCH",IF(AND(B165=G165,C165=H165,D165=I165),"Oförändrad",IF(AND(B165=G165,D165=I165),"ÄNDRAD TID","FLYTTAD MATCH"))))</f>
        <v>Oförändrad</v>
      </c>
      <c r="K165" s="34" t="str">
        <f>IF(MATCHER!A157="","",MATCHER!A157)</f>
        <v>26 6 6436 002</v>
      </c>
      <c r="L165" s="91">
        <f>IF(MATCHER!B157="","",MATCHER!B157)</f>
        <v>46431</v>
      </c>
      <c r="M165" s="92">
        <f>IF(MATCHER!C157="","",MATCHER!C157)</f>
        <v>0.54166666666666663</v>
      </c>
      <c r="N165" s="34" t="str">
        <f>IF(MATCHER!D157="","",MATCHER!D157)</f>
        <v>Ulriksdalshallen</v>
      </c>
      <c r="O165" s="34" t="str">
        <f>IF(MATCHER!E157="","",MATCHER!E157)</f>
        <v>Östbollen - F12 Öst - Omgång 3</v>
      </c>
      <c r="P165" s="34" t="str">
        <f>IF(MATCHER!F157="","",MATCHER!F157)</f>
        <v>F12</v>
      </c>
      <c r="Q165" s="34" t="str">
        <f>IF(MATCHER!K157="","",MATCHER!K157)</f>
        <v>Ja</v>
      </c>
      <c r="R165" s="34" t="str">
        <f>IF(K165="","",IF(Q165&lt;&gt;"Ja","Ej aktuell",IF(P165="SAKNAS","NY KLASS",IF(MATCHER!N157&lt;&gt;"Ja",MATCHER!N157,IF(COUNTIF($A$13:$A$220,K165)=0,"NY MATCH","Matchdag finns")))))</f>
        <v>Matchdag finns</v>
      </c>
    </row>
    <row r="166" spans="1:18" ht="13">
      <c r="A166" s="31" t="s">
        <v>383</v>
      </c>
      <c r="B166" s="89">
        <v>46431</v>
      </c>
      <c r="C166" s="90">
        <v>0.59375</v>
      </c>
      <c r="D166" s="31" t="s">
        <v>86</v>
      </c>
      <c r="E166" s="31" t="s">
        <v>381</v>
      </c>
      <c r="F166" s="31" t="str">
        <f t="shared" si="2"/>
        <v>Ja</v>
      </c>
      <c r="G166" s="91">
        <f>IFERROR(VLOOKUP(A166,MATCHER!$A$5:$M$504,2,FALSE()),"")</f>
        <v>46431</v>
      </c>
      <c r="H166" s="92">
        <f>IFERROR(VLOOKUP(A166,MATCHER!$A$5:$M$504,3,FALSE()),"")</f>
        <v>0.59375</v>
      </c>
      <c r="I166" s="34" t="str">
        <f>IFERROR(VLOOKUP(A166,MATCHER!$A$5:$M$504,4,FALSE()),"")</f>
        <v>Ulriksdalshallen</v>
      </c>
      <c r="J166" s="34" t="str">
        <f>IF(F166&lt;&gt;"Ja","Ej aktuell",IF(COUNTIF(MATCHER!$A$5:$A$504,A166)=0,"BORTTAGEN MATCH",IF(AND(B166=G166,C166=H166,D166=I166),"Oförändrad",IF(AND(B166=G166,D166=I166),"ÄNDRAD TID","FLYTTAD MATCH"))))</f>
        <v>Oförändrad</v>
      </c>
      <c r="K166" s="34" t="str">
        <f>IF(MATCHER!A158="","",MATCHER!A158)</f>
        <v>26 6 6436 003</v>
      </c>
      <c r="L166" s="91">
        <f>IF(MATCHER!B158="","",MATCHER!B158)</f>
        <v>46431</v>
      </c>
      <c r="M166" s="92">
        <f>IF(MATCHER!C158="","",MATCHER!C158)</f>
        <v>0.59375</v>
      </c>
      <c r="N166" s="34" t="str">
        <f>IF(MATCHER!D158="","",MATCHER!D158)</f>
        <v>Ulriksdalshallen</v>
      </c>
      <c r="O166" s="34" t="str">
        <f>IF(MATCHER!E158="","",MATCHER!E158)</f>
        <v>Östbollen - F12 Öst - Omgång 3</v>
      </c>
      <c r="P166" s="34" t="str">
        <f>IF(MATCHER!F158="","",MATCHER!F158)</f>
        <v>F12</v>
      </c>
      <c r="Q166" s="34" t="str">
        <f>IF(MATCHER!K158="","",MATCHER!K158)</f>
        <v>Ja</v>
      </c>
      <c r="R166" s="34" t="str">
        <f>IF(K166="","",IF(Q166&lt;&gt;"Ja","Ej aktuell",IF(P166="SAKNAS","NY KLASS",IF(MATCHER!N158&lt;&gt;"Ja",MATCHER!N158,IF(COUNTIF($A$13:$A$220,K166)=0,"NY MATCH","Matchdag finns")))))</f>
        <v>Matchdag finns</v>
      </c>
    </row>
    <row r="167" spans="1:18" ht="13">
      <c r="A167" s="31" t="s">
        <v>384</v>
      </c>
      <c r="B167" s="89">
        <v>46431</v>
      </c>
      <c r="C167" s="90">
        <v>0.625</v>
      </c>
      <c r="D167" s="31" t="s">
        <v>86</v>
      </c>
      <c r="E167" s="31" t="s">
        <v>381</v>
      </c>
      <c r="F167" s="31" t="str">
        <f t="shared" si="2"/>
        <v>Ja</v>
      </c>
      <c r="G167" s="91">
        <f>IFERROR(VLOOKUP(A167,MATCHER!$A$5:$M$504,2,FALSE()),"")</f>
        <v>46431</v>
      </c>
      <c r="H167" s="92">
        <f>IFERROR(VLOOKUP(A167,MATCHER!$A$5:$M$504,3,FALSE()),"")</f>
        <v>0.625</v>
      </c>
      <c r="I167" s="34" t="str">
        <f>IFERROR(VLOOKUP(A167,MATCHER!$A$5:$M$504,4,FALSE()),"")</f>
        <v>Ulriksdalshallen</v>
      </c>
      <c r="J167" s="34" t="str">
        <f>IF(F167&lt;&gt;"Ja","Ej aktuell",IF(COUNTIF(MATCHER!$A$5:$A$504,A167)=0,"BORTTAGEN MATCH",IF(AND(B167=G167,C167=H167,D167=I167),"Oförändrad",IF(AND(B167=G167,D167=I167),"ÄNDRAD TID","FLYTTAD MATCH"))))</f>
        <v>Oförändrad</v>
      </c>
      <c r="K167" s="34" t="str">
        <f>IF(MATCHER!A159="","",MATCHER!A159)</f>
        <v>26 6 6436 004</v>
      </c>
      <c r="L167" s="91">
        <f>IF(MATCHER!B159="","",MATCHER!B159)</f>
        <v>46431</v>
      </c>
      <c r="M167" s="92">
        <f>IF(MATCHER!C159="","",MATCHER!C159)</f>
        <v>0.625</v>
      </c>
      <c r="N167" s="34" t="str">
        <f>IF(MATCHER!D159="","",MATCHER!D159)</f>
        <v>Ulriksdalshallen</v>
      </c>
      <c r="O167" s="34" t="str">
        <f>IF(MATCHER!E159="","",MATCHER!E159)</f>
        <v>Östbollen - F12 Öst - Omgång 3</v>
      </c>
      <c r="P167" s="34" t="str">
        <f>IF(MATCHER!F159="","",MATCHER!F159)</f>
        <v>F12</v>
      </c>
      <c r="Q167" s="34" t="str">
        <f>IF(MATCHER!K159="","",MATCHER!K159)</f>
        <v>Ja</v>
      </c>
      <c r="R167" s="34" t="str">
        <f>IF(K167="","",IF(Q167&lt;&gt;"Ja","Ej aktuell",IF(P167="SAKNAS","NY KLASS",IF(MATCHER!N159&lt;&gt;"Ja",MATCHER!N159,IF(COUNTIF($A$13:$A$220,K167)=0,"NY MATCH","Matchdag finns")))))</f>
        <v>Matchdag finns</v>
      </c>
    </row>
    <row r="168" spans="1:18" ht="13">
      <c r="A168" s="31" t="s">
        <v>385</v>
      </c>
      <c r="B168" s="89">
        <v>46431</v>
      </c>
      <c r="C168" s="90">
        <v>0.67708333333333304</v>
      </c>
      <c r="D168" s="31" t="s">
        <v>86</v>
      </c>
      <c r="E168" s="31" t="s">
        <v>381</v>
      </c>
      <c r="F168" s="31" t="str">
        <f t="shared" si="2"/>
        <v>Ja</v>
      </c>
      <c r="G168" s="91">
        <f>IFERROR(VLOOKUP(A168,MATCHER!$A$5:$M$504,2,FALSE()),"")</f>
        <v>46431</v>
      </c>
      <c r="H168" s="92">
        <f>IFERROR(VLOOKUP(A168,MATCHER!$A$5:$M$504,3,FALSE()),"")</f>
        <v>0.67708333333333337</v>
      </c>
      <c r="I168" s="34" t="str">
        <f>IFERROR(VLOOKUP(A168,MATCHER!$A$5:$M$504,4,FALSE()),"")</f>
        <v>Ulriksdalshallen</v>
      </c>
      <c r="J168" s="34" t="str">
        <f>IF(F168&lt;&gt;"Ja","Ej aktuell",IF(COUNTIF(MATCHER!$A$5:$A$504,A168)=0,"BORTTAGEN MATCH",IF(AND(B168=G168,C168=H168,D168=I168),"Oförändrad",IF(AND(B168=G168,D168=I168),"ÄNDRAD TID","FLYTTAD MATCH"))))</f>
        <v>Oförändrad</v>
      </c>
      <c r="K168" s="34" t="str">
        <f>IF(MATCHER!A160="","",MATCHER!A160)</f>
        <v>26 6 6436 005</v>
      </c>
      <c r="L168" s="91">
        <f>IF(MATCHER!B160="","",MATCHER!B160)</f>
        <v>46431</v>
      </c>
      <c r="M168" s="92">
        <f>IF(MATCHER!C160="","",MATCHER!C160)</f>
        <v>0.67708333333333337</v>
      </c>
      <c r="N168" s="34" t="str">
        <f>IF(MATCHER!D160="","",MATCHER!D160)</f>
        <v>Ulriksdalshallen</v>
      </c>
      <c r="O168" s="34" t="str">
        <f>IF(MATCHER!E160="","",MATCHER!E160)</f>
        <v>Östbollen - F12 Öst - Omgång 3</v>
      </c>
      <c r="P168" s="34" t="str">
        <f>IF(MATCHER!F160="","",MATCHER!F160)</f>
        <v>F12</v>
      </c>
      <c r="Q168" s="34" t="str">
        <f>IF(MATCHER!K160="","",MATCHER!K160)</f>
        <v>Ja</v>
      </c>
      <c r="R168" s="34" t="str">
        <f>IF(K168="","",IF(Q168&lt;&gt;"Ja","Ej aktuell",IF(P168="SAKNAS","NY KLASS",IF(MATCHER!N160&lt;&gt;"Ja",MATCHER!N160,IF(COUNTIF($A$13:$A$220,K168)=0,"NY MATCH","Matchdag finns")))))</f>
        <v>Matchdag finns</v>
      </c>
    </row>
    <row r="169" spans="1:18" ht="13">
      <c r="A169" s="31" t="s">
        <v>386</v>
      </c>
      <c r="B169" s="89">
        <v>46431</v>
      </c>
      <c r="C169" s="90">
        <v>0.70833333333333304</v>
      </c>
      <c r="D169" s="31" t="s">
        <v>86</v>
      </c>
      <c r="E169" s="31" t="s">
        <v>381</v>
      </c>
      <c r="F169" s="31" t="str">
        <f t="shared" si="2"/>
        <v>Ja</v>
      </c>
      <c r="G169" s="91">
        <f>IFERROR(VLOOKUP(A169,MATCHER!$A$5:$M$504,2,FALSE()),"")</f>
        <v>46431</v>
      </c>
      <c r="H169" s="92">
        <f>IFERROR(VLOOKUP(A169,MATCHER!$A$5:$M$504,3,FALSE()),"")</f>
        <v>0.70833333333333337</v>
      </c>
      <c r="I169" s="34" t="str">
        <f>IFERROR(VLOOKUP(A169,MATCHER!$A$5:$M$504,4,FALSE()),"")</f>
        <v>Ulriksdalshallen</v>
      </c>
      <c r="J169" s="34" t="str">
        <f>IF(F169&lt;&gt;"Ja","Ej aktuell",IF(COUNTIF(MATCHER!$A$5:$A$504,A169)=0,"BORTTAGEN MATCH",IF(AND(B169=G169,C169=H169,D169=I169),"Oförändrad",IF(AND(B169=G169,D169=I169),"ÄNDRAD TID","FLYTTAD MATCH"))))</f>
        <v>Oförändrad</v>
      </c>
      <c r="K169" s="34" t="str">
        <f>IF(MATCHER!A161="","",MATCHER!A161)</f>
        <v>26 6 6436 006</v>
      </c>
      <c r="L169" s="91">
        <f>IF(MATCHER!B161="","",MATCHER!B161)</f>
        <v>46431</v>
      </c>
      <c r="M169" s="92">
        <f>IF(MATCHER!C161="","",MATCHER!C161)</f>
        <v>0.70833333333333337</v>
      </c>
      <c r="N169" s="34" t="str">
        <f>IF(MATCHER!D161="","",MATCHER!D161)</f>
        <v>Ulriksdalshallen</v>
      </c>
      <c r="O169" s="34" t="str">
        <f>IF(MATCHER!E161="","",MATCHER!E161)</f>
        <v>Östbollen - F12 Öst - Omgång 3</v>
      </c>
      <c r="P169" s="34" t="str">
        <f>IF(MATCHER!F161="","",MATCHER!F161)</f>
        <v>F12</v>
      </c>
      <c r="Q169" s="34" t="str">
        <f>IF(MATCHER!K161="","",MATCHER!K161)</f>
        <v>Ja</v>
      </c>
      <c r="R169" s="34" t="str">
        <f>IF(K169="","",IF(Q169&lt;&gt;"Ja","Ej aktuell",IF(P169="SAKNAS","NY KLASS",IF(MATCHER!N161&lt;&gt;"Ja",MATCHER!N161,IF(COUNTIF($A$13:$A$220,K169)=0,"NY MATCH","Matchdag finns")))))</f>
        <v>Matchdag finns</v>
      </c>
    </row>
    <row r="170" spans="1:18" ht="13">
      <c r="A170" s="31" t="s">
        <v>387</v>
      </c>
      <c r="B170" s="89">
        <v>46431</v>
      </c>
      <c r="C170" s="90">
        <v>0.75</v>
      </c>
      <c r="D170" s="31" t="s">
        <v>86</v>
      </c>
      <c r="E170" s="31" t="s">
        <v>219</v>
      </c>
      <c r="F170" s="31" t="str">
        <f t="shared" si="2"/>
        <v>Ja</v>
      </c>
      <c r="G170" s="91">
        <f>IFERROR(VLOOKUP(A170,MATCHER!$A$5:$M$504,2,FALSE()),"")</f>
        <v>46431</v>
      </c>
      <c r="H170" s="92">
        <f>IFERROR(VLOOKUP(A170,MATCHER!$A$5:$M$504,3,FALSE()),"")</f>
        <v>0.75</v>
      </c>
      <c r="I170" s="34" t="str">
        <f>IFERROR(VLOOKUP(A170,MATCHER!$A$5:$M$504,4,FALSE()),"")</f>
        <v>Ulriksdalshallen</v>
      </c>
      <c r="J170" s="34" t="str">
        <f>IF(F170&lt;&gt;"Ja","Ej aktuell",IF(COUNTIF(MATCHER!$A$5:$A$504,A170)=0,"BORTTAGEN MATCH",IF(AND(B170=G170,C170=H170,D170=I170),"Oförändrad",IF(AND(B170=G170,D170=I170),"ÄNDRAD TID","FLYTTAD MATCH"))))</f>
        <v>Oförändrad</v>
      </c>
      <c r="K170" s="34" t="str">
        <f>IF(MATCHER!A162="","",MATCHER!A162)</f>
        <v>26 6 1351 065</v>
      </c>
      <c r="L170" s="91">
        <f>IF(MATCHER!B162="","",MATCHER!B162)</f>
        <v>46431</v>
      </c>
      <c r="M170" s="92">
        <f>IF(MATCHER!C162="","",MATCHER!C162)</f>
        <v>0.75</v>
      </c>
      <c r="N170" s="34" t="str">
        <f>IF(MATCHER!D162="","",MATCHER!D162)</f>
        <v>Ulriksdalshallen</v>
      </c>
      <c r="O170" s="34" t="str">
        <f>IF(MATCHER!E162="","",MATCHER!E162)</f>
        <v>Flickor - F13 Öst - F13 Nivå 1 Öst</v>
      </c>
      <c r="P170" s="34" t="str">
        <f>IF(MATCHER!F162="","",MATCHER!F162)</f>
        <v>F13</v>
      </c>
      <c r="Q170" s="34" t="str">
        <f>IF(MATCHER!K162="","",MATCHER!K162)</f>
        <v>Ja</v>
      </c>
      <c r="R170" s="34" t="str">
        <f>IF(K170="","",IF(Q170&lt;&gt;"Ja","Ej aktuell",IF(P170="SAKNAS","NY KLASS",IF(MATCHER!N162&lt;&gt;"Ja",MATCHER!N162,IF(COUNTIF($A$13:$A$220,K170)=0,"NY MATCH","Matchdag finns")))))</f>
        <v>Matchdag finns</v>
      </c>
    </row>
    <row r="171" spans="1:18" ht="13">
      <c r="A171" s="31" t="s">
        <v>388</v>
      </c>
      <c r="B171" s="89">
        <v>46432</v>
      </c>
      <c r="C171" s="90">
        <v>0.41666666666666702</v>
      </c>
      <c r="D171" s="31" t="s">
        <v>212</v>
      </c>
      <c r="E171" s="31" t="s">
        <v>246</v>
      </c>
      <c r="F171" s="31" t="str">
        <f t="shared" si="2"/>
        <v>Nej</v>
      </c>
      <c r="G171" s="91">
        <f>IFERROR(VLOOKUP(A171,MATCHER!$A$5:$M$504,2,FALSE()),"")</f>
        <v>46432</v>
      </c>
      <c r="H171" s="92">
        <f>IFERROR(VLOOKUP(A171,MATCHER!$A$5:$M$504,3,FALSE()),"")</f>
        <v>0.41666666666666669</v>
      </c>
      <c r="I171" s="34" t="str">
        <f>IFERROR(VLOOKUP(A171,MATCHER!$A$5:$M$504,4,FALSE()),"")</f>
        <v>Solnahallen</v>
      </c>
      <c r="J171" s="34" t="str">
        <f>IF(F171&lt;&gt;"Ja","Ej aktuell",IF(COUNTIF(MATCHER!$A$5:$A$504,A171)=0,"BORTTAGEN MATCH",IF(AND(B171=G171,C171=H171,D171=I171),"Oförändrad",IF(AND(B171=G171,D171=I171),"ÄNDRAD TID","FLYTTAD MATCH"))))</f>
        <v>Ej aktuell</v>
      </c>
      <c r="K171" s="34" t="str">
        <f>IF(MATCHER!A163="","",MATCHER!A163)</f>
        <v>26 6 1141 060</v>
      </c>
      <c r="L171" s="91">
        <f>IF(MATCHER!B163="","",MATCHER!B163)</f>
        <v>46432</v>
      </c>
      <c r="M171" s="92">
        <f>IF(MATCHER!C163="","",MATCHER!C163)</f>
        <v>0.41666666666666669</v>
      </c>
      <c r="N171" s="34" t="str">
        <f>IF(MATCHER!D163="","",MATCHER!D163)</f>
        <v>Solnahallen</v>
      </c>
      <c r="O171" s="34" t="str">
        <f>IF(MATCHER!E163="","",MATCHER!E163)</f>
        <v>Damer - Dam 4 Öst - Dam 4 Öst Norra</v>
      </c>
      <c r="P171" s="34" t="str">
        <f>IF(MATCHER!F163="","",MATCHER!F163)</f>
        <v>Dam</v>
      </c>
      <c r="Q171" s="34" t="str">
        <f>IF(MATCHER!K163="","",MATCHER!K163)</f>
        <v>Nej</v>
      </c>
      <c r="R171" s="34" t="str">
        <f>IF(K171="","",IF(Q171&lt;&gt;"Ja","Ej aktuell",IF(P171="SAKNAS","NY KLASS",IF(MATCHER!N163&lt;&gt;"Ja",MATCHER!N163,IF(COUNTIF($A$13:$A$220,K171)=0,"NY MATCH","Matchdag finns")))))</f>
        <v>Ej aktuell</v>
      </c>
    </row>
    <row r="172" spans="1:18" ht="13">
      <c r="A172" s="31" t="s">
        <v>389</v>
      </c>
      <c r="B172" s="89">
        <v>46432</v>
      </c>
      <c r="C172" s="90">
        <v>0.66666666666666696</v>
      </c>
      <c r="D172" s="31" t="s">
        <v>212</v>
      </c>
      <c r="E172" s="31" t="s">
        <v>234</v>
      </c>
      <c r="F172" s="31" t="str">
        <f t="shared" si="2"/>
        <v>Nej</v>
      </c>
      <c r="G172" s="91">
        <f>IFERROR(VLOOKUP(A172,MATCHER!$A$5:$M$504,2,FALSE()),"")</f>
        <v>46432</v>
      </c>
      <c r="H172" s="92">
        <f>IFERROR(VLOOKUP(A172,MATCHER!$A$5:$M$504,3,FALSE()),"")</f>
        <v>0.66666666666666663</v>
      </c>
      <c r="I172" s="34" t="str">
        <f>IFERROR(VLOOKUP(A172,MATCHER!$A$5:$M$504,4,FALSE()),"")</f>
        <v>Solnahallen</v>
      </c>
      <c r="J172" s="34" t="str">
        <f>IF(F172&lt;&gt;"Ja","Ej aktuell",IF(COUNTIF(MATCHER!$A$5:$A$504,A172)=0,"BORTTAGEN MATCH",IF(AND(B172=G172,C172=H172,D172=I172),"Oförändrad",IF(AND(B172=G172,D172=I172),"ÄNDRAD TID","FLYTTAD MATCH"))))</f>
        <v>Ej aktuell</v>
      </c>
      <c r="K172" s="34" t="str">
        <f>IF(MATCHER!A164="","",MATCHER!A164)</f>
        <v>26 6 1221 103</v>
      </c>
      <c r="L172" s="91">
        <f>IF(MATCHER!B164="","",MATCHER!B164)</f>
        <v>46432</v>
      </c>
      <c r="M172" s="92">
        <f>IF(MATCHER!C164="","",MATCHER!C164)</f>
        <v>0.66666666666666663</v>
      </c>
      <c r="N172" s="34" t="str">
        <f>IF(MATCHER!D164="","",MATCHER!D164)</f>
        <v>Solnahallen</v>
      </c>
      <c r="O172" s="34" t="str">
        <f>IF(MATCHER!E164="","",MATCHER!E164)</f>
        <v>Herrar - Herr 2 Öst</v>
      </c>
      <c r="P172" s="34" t="str">
        <f>IF(MATCHER!F164="","",MATCHER!F164)</f>
        <v>Herr</v>
      </c>
      <c r="Q172" s="34" t="str">
        <f>IF(MATCHER!K164="","",MATCHER!K164)</f>
        <v>Nej</v>
      </c>
      <c r="R172" s="34" t="str">
        <f>IF(K172="","",IF(Q172&lt;&gt;"Ja","Ej aktuell",IF(P172="SAKNAS","NY KLASS",IF(MATCHER!N164&lt;&gt;"Ja",MATCHER!N164,IF(COUNTIF($A$13:$A$220,K172)=0,"NY MATCH","Matchdag finns")))))</f>
        <v>Ej aktuell</v>
      </c>
    </row>
    <row r="173" spans="1:18" ht="13">
      <c r="A173" s="31" t="s">
        <v>390</v>
      </c>
      <c r="B173" s="89">
        <v>46434</v>
      </c>
      <c r="C173" s="90">
        <v>0.86458333333333304</v>
      </c>
      <c r="D173" s="31" t="s">
        <v>94</v>
      </c>
      <c r="E173" s="31" t="s">
        <v>213</v>
      </c>
      <c r="F173" s="31" t="str">
        <f t="shared" si="2"/>
        <v>Ja</v>
      </c>
      <c r="G173" s="91">
        <f>IFERROR(VLOOKUP(A173,MATCHER!$A$5:$M$504,2,FALSE()),"")</f>
        <v>46434</v>
      </c>
      <c r="H173" s="92">
        <f>IFERROR(VLOOKUP(A173,MATCHER!$A$5:$M$504,3,FALSE()),"")</f>
        <v>0.86458333333333337</v>
      </c>
      <c r="I173" s="34" t="str">
        <f>IFERROR(VLOOKUP(A173,MATCHER!$A$5:$M$504,4,FALSE()),"")</f>
        <v>Råsta Park</v>
      </c>
      <c r="J173" s="34" t="str">
        <f>IF(F173&lt;&gt;"Ja","Ej aktuell",IF(COUNTIF(MATCHER!$A$5:$A$504,A173)=0,"BORTTAGEN MATCH",IF(AND(B173=G173,C173=H173,D173=I173),"Oförändrad",IF(AND(B173=G173,D173=I173),"ÄNDRAD TID","FLYTTAD MATCH"))))</f>
        <v>Oförändrad</v>
      </c>
      <c r="K173" s="34" t="str">
        <f>IF(MATCHER!A165="","",MATCHER!A165)</f>
        <v>26 6 1311 086</v>
      </c>
      <c r="L173" s="91">
        <f>IF(MATCHER!B165="","",MATCHER!B165)</f>
        <v>46434</v>
      </c>
      <c r="M173" s="92">
        <f>IF(MATCHER!C165="","",MATCHER!C165)</f>
        <v>0.86458333333333337</v>
      </c>
      <c r="N173" s="34" t="str">
        <f>IF(MATCHER!D165="","",MATCHER!D165)</f>
        <v>Råsta Park</v>
      </c>
      <c r="O173" s="34" t="str">
        <f>IF(MATCHER!E165="","",MATCHER!E165)</f>
        <v>Flickor - F19 Öst - F19 Nivå 1 Öst</v>
      </c>
      <c r="P173" s="34" t="str">
        <f>IF(MATCHER!F165="","",MATCHER!F165)</f>
        <v>F19</v>
      </c>
      <c r="Q173" s="34" t="str">
        <f>IF(MATCHER!K165="","",MATCHER!K165)</f>
        <v>Ja</v>
      </c>
      <c r="R173" s="34" t="str">
        <f>IF(K173="","",IF(Q173&lt;&gt;"Ja","Ej aktuell",IF(P173="SAKNAS","NY KLASS",IF(MATCHER!N165&lt;&gt;"Ja",MATCHER!N165,IF(COUNTIF($A$13:$A$220,K173)=0,"NY MATCH","Matchdag finns")))))</f>
        <v>Matchdag finns</v>
      </c>
    </row>
    <row r="174" spans="1:18" ht="13">
      <c r="A174" s="31" t="s">
        <v>391</v>
      </c>
      <c r="B174" s="89">
        <v>46438</v>
      </c>
      <c r="C174" s="90">
        <v>0.5</v>
      </c>
      <c r="D174" s="31" t="s">
        <v>212</v>
      </c>
      <c r="E174" s="31" t="s">
        <v>246</v>
      </c>
      <c r="F174" s="31" t="str">
        <f t="shared" si="2"/>
        <v>Nej</v>
      </c>
      <c r="G174" s="91">
        <f>IFERROR(VLOOKUP(A174,MATCHER!$A$5:$M$504,2,FALSE()),"")</f>
        <v>46438</v>
      </c>
      <c r="H174" s="92">
        <f>IFERROR(VLOOKUP(A174,MATCHER!$A$5:$M$504,3,FALSE()),"")</f>
        <v>0.5</v>
      </c>
      <c r="I174" s="34" t="str">
        <f>IFERROR(VLOOKUP(A174,MATCHER!$A$5:$M$504,4,FALSE()),"")</f>
        <v>Solnahallen</v>
      </c>
      <c r="J174" s="34" t="str">
        <f>IF(F174&lt;&gt;"Ja","Ej aktuell",IF(COUNTIF(MATCHER!$A$5:$A$504,A174)=0,"BORTTAGEN MATCH",IF(AND(B174=G174,C174=H174,D174=I174),"Oförändrad",IF(AND(B174=G174,D174=I174),"ÄNDRAD TID","FLYTTAD MATCH"))))</f>
        <v>Ej aktuell</v>
      </c>
      <c r="K174" s="34" t="str">
        <f>IF(MATCHER!A166="","",MATCHER!A166)</f>
        <v>26 6 1141 061</v>
      </c>
      <c r="L174" s="91">
        <f>IF(MATCHER!B166="","",MATCHER!B166)</f>
        <v>46438</v>
      </c>
      <c r="M174" s="92">
        <f>IF(MATCHER!C166="","",MATCHER!C166)</f>
        <v>0.5</v>
      </c>
      <c r="N174" s="34" t="str">
        <f>IF(MATCHER!D166="","",MATCHER!D166)</f>
        <v>Solnahallen</v>
      </c>
      <c r="O174" s="34" t="str">
        <f>IF(MATCHER!E166="","",MATCHER!E166)</f>
        <v>Damer - Dam 4 Öst - Dam 4 Öst Norra</v>
      </c>
      <c r="P174" s="34" t="str">
        <f>IF(MATCHER!F166="","",MATCHER!F166)</f>
        <v>Dam</v>
      </c>
      <c r="Q174" s="34" t="str">
        <f>IF(MATCHER!K166="","",MATCHER!K166)</f>
        <v>Nej</v>
      </c>
      <c r="R174" s="34" t="str">
        <f>IF(K174="","",IF(Q174&lt;&gt;"Ja","Ej aktuell",IF(P174="SAKNAS","NY KLASS",IF(MATCHER!N166&lt;&gt;"Ja",MATCHER!N166,IF(COUNTIF($A$13:$A$220,K174)=0,"NY MATCH","Matchdag finns")))))</f>
        <v>Ej aktuell</v>
      </c>
    </row>
    <row r="175" spans="1:18" ht="13">
      <c r="A175" s="31" t="s">
        <v>392</v>
      </c>
      <c r="B175" s="89">
        <v>46438</v>
      </c>
      <c r="C175" s="90">
        <v>0.625</v>
      </c>
      <c r="D175" s="31" t="s">
        <v>212</v>
      </c>
      <c r="E175" s="31" t="s">
        <v>231</v>
      </c>
      <c r="F175" s="31" t="str">
        <f t="shared" si="2"/>
        <v>Nej</v>
      </c>
      <c r="G175" s="91">
        <f>IFERROR(VLOOKUP(A175,MATCHER!$A$5:$M$504,2,FALSE()),"")</f>
        <v>46438</v>
      </c>
      <c r="H175" s="92">
        <f>IFERROR(VLOOKUP(A175,MATCHER!$A$5:$M$504,3,FALSE()),"")</f>
        <v>0.625</v>
      </c>
      <c r="I175" s="34" t="str">
        <f>IFERROR(VLOOKUP(A175,MATCHER!$A$5:$M$504,4,FALSE()),"")</f>
        <v>Solnahallen</v>
      </c>
      <c r="J175" s="34" t="str">
        <f>IF(F175&lt;&gt;"Ja","Ej aktuell",IF(COUNTIF(MATCHER!$A$5:$A$504,A175)=0,"BORTTAGEN MATCH",IF(AND(B175=G175,C175=H175,D175=I175),"Oförändrad",IF(AND(B175=G175,D175=I175),"ÄNDRAD TID","FLYTTAD MATCH"))))</f>
        <v>Ej aktuell</v>
      </c>
      <c r="K175" s="34" t="str">
        <f>IF(MATCHER!A167="","",MATCHER!A167)</f>
        <v>26 -1 1121 104</v>
      </c>
      <c r="L175" s="91">
        <f>IF(MATCHER!B167="","",MATCHER!B167)</f>
        <v>46438</v>
      </c>
      <c r="M175" s="92">
        <f>IF(MATCHER!C167="","",MATCHER!C167)</f>
        <v>0.625</v>
      </c>
      <c r="N175" s="34" t="str">
        <f>IF(MATCHER!D167="","",MATCHER!D167)</f>
        <v>Solnahallen</v>
      </c>
      <c r="O175" s="34" t="str">
        <f>IF(MATCHER!E167="","",MATCHER!E167)</f>
        <v>Damer - Damallsvenskan</v>
      </c>
      <c r="P175" s="34" t="str">
        <f>IF(MATCHER!F167="","",MATCHER!F167)</f>
        <v>Dam</v>
      </c>
      <c r="Q175" s="34" t="str">
        <f>IF(MATCHER!K167="","",MATCHER!K167)</f>
        <v>Nej</v>
      </c>
      <c r="R175" s="34" t="str">
        <f>IF(K175="","",IF(Q175&lt;&gt;"Ja","Ej aktuell",IF(P175="SAKNAS","NY KLASS",IF(MATCHER!N167&lt;&gt;"Ja",MATCHER!N167,IF(COUNTIF($A$13:$A$220,K175)=0,"NY MATCH","Matchdag finns")))))</f>
        <v>Ej aktuell</v>
      </c>
    </row>
    <row r="176" spans="1:18" ht="13">
      <c r="A176" s="31">
        <v>529974</v>
      </c>
      <c r="B176" s="89">
        <v>46438</v>
      </c>
      <c r="C176" s="90">
        <v>0.375</v>
      </c>
      <c r="D176" s="31" t="s">
        <v>110</v>
      </c>
      <c r="E176" s="31" t="s">
        <v>393</v>
      </c>
      <c r="F176" s="31" t="str">
        <f t="shared" si="2"/>
        <v>Ja</v>
      </c>
      <c r="G176" s="91">
        <f>IFERROR(VLOOKUP(A176,MATCHER!$A$5:$M$504,2,FALSE()),"")</f>
        <v>46438</v>
      </c>
      <c r="H176" s="92">
        <f>IFERROR(VLOOKUP(A176,MATCHER!$A$5:$M$504,3,FALSE()),"")</f>
        <v>0.375</v>
      </c>
      <c r="I176" s="34" t="str">
        <f>IFERROR(VLOOKUP(A176,MATCHER!$A$5:$M$504,4,FALSE()),"")</f>
        <v>Tallbackaskolan</v>
      </c>
      <c r="J176" s="34" t="str">
        <f>IF(F176&lt;&gt;"Ja","Ej aktuell",IF(COUNTIF(MATCHER!$A$5:$A$504,A176)=0,"BORTTAGEN MATCH",IF(AND(B176=G176,C176=H176,D176=I176),"Oförändrad",IF(AND(B176=G176,D176=I176),"ÄNDRAD TID","FLYTTAD MATCH"))))</f>
        <v>Oförändrad</v>
      </c>
      <c r="K176" s="34">
        <f>IF(MATCHER!A168="","",MATCHER!A168)</f>
        <v>529974</v>
      </c>
      <c r="L176" s="91">
        <f>IF(MATCHER!B168="","",MATCHER!B168)</f>
        <v>46438</v>
      </c>
      <c r="M176" s="92">
        <f>IF(MATCHER!C168="","",MATCHER!C168)</f>
        <v>0.375</v>
      </c>
      <c r="N176" s="34" t="str">
        <f>IF(MATCHER!D168="","",MATCHER!D168)</f>
        <v>Tallbackaskolan</v>
      </c>
      <c r="O176" s="34" t="str">
        <f>IF(MATCHER!E168="","",MATCHER!E168)</f>
        <v>Arrangörsskap - Vårens spel - Omg3/ P10K F9M P9K/ 20-21feb</v>
      </c>
      <c r="P176" s="34" t="str">
        <f>IF(MATCHER!F168="","",MATCHER!F168)</f>
        <v>Kontrollera</v>
      </c>
      <c r="Q176" s="34" t="str">
        <f>IF(MATCHER!K168="","",MATCHER!K168)</f>
        <v>Ja</v>
      </c>
      <c r="R176" s="34" t="str">
        <f>IF(K176="","",IF(Q176&lt;&gt;"Ja","Ej aktuell",IF(P176="SAKNAS","NY KLASS",IF(MATCHER!N168&lt;&gt;"Ja",MATCHER!N168,IF(COUNTIF($A$13:$A$220,K176)=0,"NY MATCH","Matchdag finns")))))</f>
        <v>Matchdag finns</v>
      </c>
    </row>
    <row r="177" spans="1:18" ht="13">
      <c r="A177" s="31" t="s">
        <v>394</v>
      </c>
      <c r="B177" s="89">
        <v>46438</v>
      </c>
      <c r="C177" s="90">
        <v>0.55208333333333304</v>
      </c>
      <c r="D177" s="31" t="s">
        <v>110</v>
      </c>
      <c r="E177" s="31" t="s">
        <v>221</v>
      </c>
      <c r="F177" s="31" t="str">
        <f t="shared" si="2"/>
        <v>Ja</v>
      </c>
      <c r="G177" s="91">
        <f>IFERROR(VLOOKUP(A177,MATCHER!$A$5:$M$504,2,FALSE()),"")</f>
        <v>46438</v>
      </c>
      <c r="H177" s="92">
        <f>IFERROR(VLOOKUP(A177,MATCHER!$A$5:$M$504,3,FALSE()),"")</f>
        <v>0.55208333333333337</v>
      </c>
      <c r="I177" s="34" t="str">
        <f>IFERROR(VLOOKUP(A177,MATCHER!$A$5:$M$504,4,FALSE()),"")</f>
        <v>Tallbackaskolan</v>
      </c>
      <c r="J177" s="34" t="str">
        <f>IF(F177&lt;&gt;"Ja","Ej aktuell",IF(COUNTIF(MATCHER!$A$5:$A$504,A177)=0,"BORTTAGEN MATCH",IF(AND(B177=G177,C177=H177,D177=I177),"Oförändrad",IF(AND(B177=G177,D177=I177),"ÄNDRAD TID","FLYTTAD MATCH"))))</f>
        <v>Oförändrad</v>
      </c>
      <c r="K177" s="34" t="str">
        <f>IF(MATCHER!A169="","",MATCHER!A169)</f>
        <v>26 6 1352 102</v>
      </c>
      <c r="L177" s="91">
        <f>IF(MATCHER!B169="","",MATCHER!B169)</f>
        <v>46438</v>
      </c>
      <c r="M177" s="92">
        <f>IF(MATCHER!C169="","",MATCHER!C169)</f>
        <v>0.55208333333333337</v>
      </c>
      <c r="N177" s="34" t="str">
        <f>IF(MATCHER!D169="","",MATCHER!D169)</f>
        <v>Tallbackaskolan</v>
      </c>
      <c r="O177" s="34" t="str">
        <f>IF(MATCHER!E169="","",MATCHER!E169)</f>
        <v>Flickor - F13 Öst - F13 Nivå 2 Öst Norra</v>
      </c>
      <c r="P177" s="34" t="str">
        <f>IF(MATCHER!F169="","",MATCHER!F169)</f>
        <v>F13</v>
      </c>
      <c r="Q177" s="34" t="str">
        <f>IF(MATCHER!K169="","",MATCHER!K169)</f>
        <v>Ja</v>
      </c>
      <c r="R177" s="34" t="str">
        <f>IF(K177="","",IF(Q177&lt;&gt;"Ja","Ej aktuell",IF(P177="SAKNAS","NY KLASS",IF(MATCHER!N169&lt;&gt;"Ja",MATCHER!N169,IF(COUNTIF($A$13:$A$220,K177)=0,"NY MATCH","Matchdag finns")))))</f>
        <v>Matchdag finns</v>
      </c>
    </row>
    <row r="178" spans="1:18" ht="13">
      <c r="A178" s="31" t="s">
        <v>395</v>
      </c>
      <c r="B178" s="89">
        <v>46445</v>
      </c>
      <c r="C178" s="90">
        <v>0.5625</v>
      </c>
      <c r="D178" s="31" t="s">
        <v>94</v>
      </c>
      <c r="E178" s="31" t="s">
        <v>234</v>
      </c>
      <c r="F178" s="31" t="str">
        <f t="shared" si="2"/>
        <v>Ja</v>
      </c>
      <c r="G178" s="91">
        <f>IFERROR(VLOOKUP(A178,MATCHER!$A$5:$M$504,2,FALSE()),"")</f>
        <v>46445</v>
      </c>
      <c r="H178" s="92">
        <f>IFERROR(VLOOKUP(A178,MATCHER!$A$5:$M$504,3,FALSE()),"")</f>
        <v>0.5625</v>
      </c>
      <c r="I178" s="34" t="str">
        <f>IFERROR(VLOOKUP(A178,MATCHER!$A$5:$M$504,4,FALSE()),"")</f>
        <v>Råsta Park</v>
      </c>
      <c r="J178" s="34" t="str">
        <f>IF(F178&lt;&gt;"Ja","Ej aktuell",IF(COUNTIF(MATCHER!$A$5:$A$504,A178)=0,"BORTTAGEN MATCH",IF(AND(B178=G178,C178=H178,D178=I178),"Oförändrad",IF(AND(B178=G178,D178=I178),"ÄNDRAD TID","FLYTTAD MATCH"))))</f>
        <v>Oförändrad</v>
      </c>
      <c r="K178" s="34" t="str">
        <f>IF(MATCHER!A170="","",MATCHER!A170)</f>
        <v>26 6 1221 115</v>
      </c>
      <c r="L178" s="91">
        <f>IF(MATCHER!B170="","",MATCHER!B170)</f>
        <v>46445</v>
      </c>
      <c r="M178" s="92">
        <f>IF(MATCHER!C170="","",MATCHER!C170)</f>
        <v>0.5625</v>
      </c>
      <c r="N178" s="34" t="str">
        <f>IF(MATCHER!D170="","",MATCHER!D170)</f>
        <v>Råsta Park</v>
      </c>
      <c r="O178" s="34" t="str">
        <f>IF(MATCHER!E170="","",MATCHER!E170)</f>
        <v>Herrar - Herr 2 Öst</v>
      </c>
      <c r="P178" s="34" t="str">
        <f>IF(MATCHER!F170="","",MATCHER!F170)</f>
        <v>Herr</v>
      </c>
      <c r="Q178" s="34" t="str">
        <f>IF(MATCHER!K170="","",MATCHER!K170)</f>
        <v>Ja</v>
      </c>
      <c r="R178" s="34" t="str">
        <f>IF(K178="","",IF(Q178&lt;&gt;"Ja","Ej aktuell",IF(P178="SAKNAS","NY KLASS",IF(MATCHER!N170&lt;&gt;"Ja",MATCHER!N170,IF(COUNTIF($A$13:$A$220,K178)=0,"NY MATCH","Matchdag finns")))))</f>
        <v>Matchdag finns</v>
      </c>
    </row>
    <row r="179" spans="1:18" ht="13">
      <c r="A179" s="31" t="s">
        <v>396</v>
      </c>
      <c r="B179" s="89">
        <v>46452</v>
      </c>
      <c r="C179" s="90">
        <v>0.625</v>
      </c>
      <c r="D179" s="31" t="s">
        <v>212</v>
      </c>
      <c r="E179" s="31" t="s">
        <v>231</v>
      </c>
      <c r="F179" s="31" t="str">
        <f t="shared" si="2"/>
        <v>Nej</v>
      </c>
      <c r="G179" s="91">
        <f>IFERROR(VLOOKUP(A179,MATCHER!$A$5:$M$504,2,FALSE()),"")</f>
        <v>46452</v>
      </c>
      <c r="H179" s="92">
        <f>IFERROR(VLOOKUP(A179,MATCHER!$A$5:$M$504,3,FALSE()),"")</f>
        <v>0.625</v>
      </c>
      <c r="I179" s="34" t="str">
        <f>IFERROR(VLOOKUP(A179,MATCHER!$A$5:$M$504,4,FALSE()),"")</f>
        <v>Solnahallen</v>
      </c>
      <c r="J179" s="34" t="str">
        <f>IF(F179&lt;&gt;"Ja","Ej aktuell",IF(COUNTIF(MATCHER!$A$5:$A$504,A179)=0,"BORTTAGEN MATCH",IF(AND(B179=G179,C179=H179,D179=I179),"Oförändrad",IF(AND(B179=G179,D179=I179),"ÄNDRAD TID","FLYTTAD MATCH"))))</f>
        <v>Ej aktuell</v>
      </c>
      <c r="K179" s="34" t="str">
        <f>IF(MATCHER!A171="","",MATCHER!A171)</f>
        <v>26 -1 1121 117</v>
      </c>
      <c r="L179" s="91">
        <f>IF(MATCHER!B171="","",MATCHER!B171)</f>
        <v>46452</v>
      </c>
      <c r="M179" s="92">
        <f>IF(MATCHER!C171="","",MATCHER!C171)</f>
        <v>0.625</v>
      </c>
      <c r="N179" s="34" t="str">
        <f>IF(MATCHER!D171="","",MATCHER!D171)</f>
        <v>Solnahallen</v>
      </c>
      <c r="O179" s="34" t="str">
        <f>IF(MATCHER!E171="","",MATCHER!E171)</f>
        <v>Damer - Damallsvenskan</v>
      </c>
      <c r="P179" s="34" t="str">
        <f>IF(MATCHER!F171="","",MATCHER!F171)</f>
        <v>Dam</v>
      </c>
      <c r="Q179" s="34" t="str">
        <f>IF(MATCHER!K171="","",MATCHER!K171)</f>
        <v>Nej</v>
      </c>
      <c r="R179" s="34" t="str">
        <f>IF(K179="","",IF(Q179&lt;&gt;"Ja","Ej aktuell",IF(P179="SAKNAS","NY KLASS",IF(MATCHER!N171&lt;&gt;"Ja",MATCHER!N171,IF(COUNTIF($A$13:$A$220,K179)=0,"NY MATCH","Matchdag finns")))))</f>
        <v>Ej aktuell</v>
      </c>
    </row>
    <row r="180" spans="1:18" ht="13">
      <c r="A180" s="31" t="s">
        <v>397</v>
      </c>
      <c r="B180" s="89">
        <v>46452</v>
      </c>
      <c r="C180" s="90">
        <v>0.72916666666666696</v>
      </c>
      <c r="D180" s="31" t="s">
        <v>212</v>
      </c>
      <c r="E180" s="31" t="s">
        <v>234</v>
      </c>
      <c r="F180" s="31" t="str">
        <f t="shared" si="2"/>
        <v>Nej</v>
      </c>
      <c r="G180" s="91">
        <f>IFERROR(VLOOKUP(A180,MATCHER!$A$5:$M$504,2,FALSE()),"")</f>
        <v>46452</v>
      </c>
      <c r="H180" s="92">
        <f>IFERROR(VLOOKUP(A180,MATCHER!$A$5:$M$504,3,FALSE()),"")</f>
        <v>0.72916666666666663</v>
      </c>
      <c r="I180" s="34" t="str">
        <f>IFERROR(VLOOKUP(A180,MATCHER!$A$5:$M$504,4,FALSE()),"")</f>
        <v>Solnahallen</v>
      </c>
      <c r="J180" s="34" t="str">
        <f>IF(F180&lt;&gt;"Ja","Ej aktuell",IF(COUNTIF(MATCHER!$A$5:$A$504,A180)=0,"BORTTAGEN MATCH",IF(AND(B180=G180,C180=H180,D180=I180),"Oförändrad",IF(AND(B180=G180,D180=I180),"ÄNDRAD TID","FLYTTAD MATCH"))))</f>
        <v>Ej aktuell</v>
      </c>
      <c r="K180" s="34" t="str">
        <f>IF(MATCHER!A172="","",MATCHER!A172)</f>
        <v>26 6 1221 121</v>
      </c>
      <c r="L180" s="91">
        <f>IF(MATCHER!B172="","",MATCHER!B172)</f>
        <v>46452</v>
      </c>
      <c r="M180" s="92">
        <f>IF(MATCHER!C172="","",MATCHER!C172)</f>
        <v>0.72916666666666663</v>
      </c>
      <c r="N180" s="34" t="str">
        <f>IF(MATCHER!D172="","",MATCHER!D172)</f>
        <v>Solnahallen</v>
      </c>
      <c r="O180" s="34" t="str">
        <f>IF(MATCHER!E172="","",MATCHER!E172)</f>
        <v>Herrar - Herr 2 Öst</v>
      </c>
      <c r="P180" s="34" t="str">
        <f>IF(MATCHER!F172="","",MATCHER!F172)</f>
        <v>Herr</v>
      </c>
      <c r="Q180" s="34" t="str">
        <f>IF(MATCHER!K172="","",MATCHER!K172)</f>
        <v>Nej</v>
      </c>
      <c r="R180" s="34" t="str">
        <f>IF(K180="","",IF(Q180&lt;&gt;"Ja","Ej aktuell",IF(P180="SAKNAS","NY KLASS",IF(MATCHER!N172&lt;&gt;"Ja",MATCHER!N172,IF(COUNTIF($A$13:$A$220,K180)=0,"NY MATCH","Matchdag finns")))))</f>
        <v>Ej aktuell</v>
      </c>
    </row>
    <row r="181" spans="1:18" ht="13">
      <c r="A181" s="31" t="s">
        <v>398</v>
      </c>
      <c r="B181" s="89">
        <v>46455</v>
      </c>
      <c r="C181" s="90">
        <v>0.875</v>
      </c>
      <c r="D181" s="31" t="s">
        <v>110</v>
      </c>
      <c r="E181" s="31" t="s">
        <v>263</v>
      </c>
      <c r="F181" s="31" t="str">
        <f t="shared" si="2"/>
        <v>Ja</v>
      </c>
      <c r="G181" s="91">
        <f>IFERROR(VLOOKUP(A181,MATCHER!$A$5:$M$504,2,FALSE()),"")</f>
        <v>46455</v>
      </c>
      <c r="H181" s="92">
        <f>IFERROR(VLOOKUP(A181,MATCHER!$A$5:$M$504,3,FALSE()),"")</f>
        <v>0.875</v>
      </c>
      <c r="I181" s="34" t="str">
        <f>IFERROR(VLOOKUP(A181,MATCHER!$A$5:$M$504,4,FALSE()),"")</f>
        <v>Tallbackaskolan</v>
      </c>
      <c r="J181" s="34" t="str">
        <f>IF(F181&lt;&gt;"Ja","Ej aktuell",IF(COUNTIF(MATCHER!$A$5:$A$504,A181)=0,"BORTTAGEN MATCH",IF(AND(B181=G181,C181=H181,D181=I181),"Oförändrad",IF(AND(B181=G181,D181=I181),"ÄNDRAD TID","FLYTTAD MATCH"))))</f>
        <v>Oförändrad</v>
      </c>
      <c r="K181" s="34" t="str">
        <f>IF(MATCHER!A173="","",MATCHER!A173)</f>
        <v>26 6 1151 017</v>
      </c>
      <c r="L181" s="91">
        <f>IF(MATCHER!B173="","",MATCHER!B173)</f>
        <v>46455</v>
      </c>
      <c r="M181" s="92">
        <f>IF(MATCHER!C173="","",MATCHER!C173)</f>
        <v>0.875</v>
      </c>
      <c r="N181" s="34" t="str">
        <f>IF(MATCHER!D173="","",MATCHER!D173)</f>
        <v>Tallbackaskolan</v>
      </c>
      <c r="O181" s="34" t="str">
        <f>IF(MATCHER!E173="","",MATCHER!E173)</f>
        <v>Damer - Dam trim Öst</v>
      </c>
      <c r="P181" s="34" t="str">
        <f>IF(MATCHER!F173="","",MATCHER!F173)</f>
        <v>Dam</v>
      </c>
      <c r="Q181" s="34" t="str">
        <f>IF(MATCHER!K173="","",MATCHER!K173)</f>
        <v>Ja</v>
      </c>
      <c r="R181" s="34" t="str">
        <f>IF(K181="","",IF(Q181&lt;&gt;"Ja","Ej aktuell",IF(P181="SAKNAS","NY KLASS",IF(MATCHER!N173&lt;&gt;"Ja",MATCHER!N173,IF(COUNTIF($A$13:$A$220,K181)=0,"NY MATCH","Matchdag finns")))))</f>
        <v>Matchdag finns</v>
      </c>
    </row>
    <row r="182" spans="1:18" ht="13">
      <c r="A182" s="31" t="s">
        <v>399</v>
      </c>
      <c r="B182" s="89">
        <v>46459</v>
      </c>
      <c r="C182" s="90">
        <v>0.48958333333333298</v>
      </c>
      <c r="D182" s="31" t="s">
        <v>94</v>
      </c>
      <c r="E182" s="31" t="s">
        <v>280</v>
      </c>
      <c r="F182" s="31" t="str">
        <f t="shared" si="2"/>
        <v>Ja</v>
      </c>
      <c r="G182" s="91">
        <f>IFERROR(VLOOKUP(A182,MATCHER!$A$5:$M$504,2,FALSE()),"")</f>
        <v>46459</v>
      </c>
      <c r="H182" s="92">
        <f>IFERROR(VLOOKUP(A182,MATCHER!$A$5:$M$504,3,FALSE()),"")</f>
        <v>0.48958333333333331</v>
      </c>
      <c r="I182" s="34" t="str">
        <f>IFERROR(VLOOKUP(A182,MATCHER!$A$5:$M$504,4,FALSE()),"")</f>
        <v>Råsta Park</v>
      </c>
      <c r="J182" s="34" t="str">
        <f>IF(F182&lt;&gt;"Ja","Ej aktuell",IF(COUNTIF(MATCHER!$A$5:$A$504,A182)=0,"BORTTAGEN MATCH",IF(AND(B182=G182,C182=H182,D182=I182),"Oförändrad",IF(AND(B182=G182,D182=I182),"ÄNDRAD TID","FLYTTAD MATCH"))))</f>
        <v>Oförändrad</v>
      </c>
      <c r="K182" s="34" t="str">
        <f>IF(MATCHER!A174="","",MATCHER!A174)</f>
        <v>26 6 1324 075</v>
      </c>
      <c r="L182" s="91">
        <f>IF(MATCHER!B174="","",MATCHER!B174)</f>
        <v>46459</v>
      </c>
      <c r="M182" s="92">
        <f>IF(MATCHER!C174="","",MATCHER!C174)</f>
        <v>0.48958333333333331</v>
      </c>
      <c r="N182" s="34" t="str">
        <f>IF(MATCHER!D174="","",MATCHER!D174)</f>
        <v>Råsta Park</v>
      </c>
      <c r="O182" s="34" t="str">
        <f>IF(MATCHER!E174="","",MATCHER!E174)</f>
        <v>Flickor - F16 Öst - F16 Nivå 3 Öst</v>
      </c>
      <c r="P182" s="34" t="str">
        <f>IF(MATCHER!F174="","",MATCHER!F174)</f>
        <v>F16</v>
      </c>
      <c r="Q182" s="34" t="str">
        <f>IF(MATCHER!K174="","",MATCHER!K174)</f>
        <v>Ja</v>
      </c>
      <c r="R182" s="34" t="str">
        <f>IF(K182="","",IF(Q182&lt;&gt;"Ja","Ej aktuell",IF(P182="SAKNAS","NY KLASS",IF(MATCHER!N174&lt;&gt;"Ja",MATCHER!N174,IF(COUNTIF($A$13:$A$220,K182)=0,"NY MATCH","Matchdag finns")))))</f>
        <v>Matchdag finns</v>
      </c>
    </row>
    <row r="183" spans="1:18" ht="13">
      <c r="A183" s="31" t="s">
        <v>400</v>
      </c>
      <c r="B183" s="89">
        <v>46459</v>
      </c>
      <c r="C183" s="90">
        <v>0.375</v>
      </c>
      <c r="D183" s="31" t="s">
        <v>110</v>
      </c>
      <c r="E183" s="31" t="s">
        <v>215</v>
      </c>
      <c r="F183" s="31" t="str">
        <f t="shared" si="2"/>
        <v>Ja</v>
      </c>
      <c r="G183" s="91">
        <f>IFERROR(VLOOKUP(A183,MATCHER!$A$5:$M$504,2,FALSE()),"")</f>
        <v>46459</v>
      </c>
      <c r="H183" s="92">
        <f>IFERROR(VLOOKUP(A183,MATCHER!$A$5:$M$504,3,FALSE()),"")</f>
        <v>0.375</v>
      </c>
      <c r="I183" s="34" t="str">
        <f>IFERROR(VLOOKUP(A183,MATCHER!$A$5:$M$504,4,FALSE()),"")</f>
        <v>Tallbackaskolan</v>
      </c>
      <c r="J183" s="34" t="str">
        <f>IF(F183&lt;&gt;"Ja","Ej aktuell",IF(COUNTIF(MATCHER!$A$5:$A$504,A183)=0,"BORTTAGEN MATCH",IF(AND(B183=G183,C183=H183,D183=I183),"Oförändrad",IF(AND(B183=G183,D183=I183),"ÄNDRAD TID","FLYTTAD MATCH"))))</f>
        <v>Oförändrad</v>
      </c>
      <c r="K183" s="34" t="str">
        <f>IF(MATCHER!A175="","",MATCHER!A175)</f>
        <v>26 6 1373 076</v>
      </c>
      <c r="L183" s="91">
        <f>IF(MATCHER!B175="","",MATCHER!B175)</f>
        <v>46459</v>
      </c>
      <c r="M183" s="92">
        <f>IF(MATCHER!C175="","",MATCHER!C175)</f>
        <v>0.375</v>
      </c>
      <c r="N183" s="34" t="str">
        <f>IF(MATCHER!D175="","",MATCHER!D175)</f>
        <v>Tallbackaskolan</v>
      </c>
      <c r="O183" s="34" t="str">
        <f>IF(MATCHER!E175="","",MATCHER!E175)</f>
        <v>Flickor - F11 Öst - F11 Nivå 2 Öst City</v>
      </c>
      <c r="P183" s="34" t="str">
        <f>IF(MATCHER!F175="","",MATCHER!F175)</f>
        <v>F11</v>
      </c>
      <c r="Q183" s="34" t="str">
        <f>IF(MATCHER!K175="","",MATCHER!K175)</f>
        <v>Ja</v>
      </c>
      <c r="R183" s="34" t="str">
        <f>IF(K183="","",IF(Q183&lt;&gt;"Ja","Ej aktuell",IF(P183="SAKNAS","NY KLASS",IF(MATCHER!N175&lt;&gt;"Ja",MATCHER!N175,IF(COUNTIF($A$13:$A$220,K183)=0,"NY MATCH","Matchdag finns")))))</f>
        <v>Matchdag finns</v>
      </c>
    </row>
    <row r="184" spans="1:18" ht="13">
      <c r="A184" s="31" t="s">
        <v>401</v>
      </c>
      <c r="B184" s="89">
        <v>46459</v>
      </c>
      <c r="C184" s="90">
        <v>0.41666666666666702</v>
      </c>
      <c r="D184" s="31" t="s">
        <v>110</v>
      </c>
      <c r="E184" s="31" t="s">
        <v>268</v>
      </c>
      <c r="F184" s="31" t="str">
        <f t="shared" si="2"/>
        <v>Ja</v>
      </c>
      <c r="G184" s="91">
        <f>IFERROR(VLOOKUP(A184,MATCHER!$A$5:$M$504,2,FALSE()),"")</f>
        <v>46459</v>
      </c>
      <c r="H184" s="92">
        <f>IFERROR(VLOOKUP(A184,MATCHER!$A$5:$M$504,3,FALSE()),"")</f>
        <v>0.41666666666666669</v>
      </c>
      <c r="I184" s="34" t="str">
        <f>IFERROR(VLOOKUP(A184,MATCHER!$A$5:$M$504,4,FALSE()),"")</f>
        <v>Tallbackaskolan</v>
      </c>
      <c r="J184" s="34" t="str">
        <f>IF(F184&lt;&gt;"Ja","Ej aktuell",IF(COUNTIF(MATCHER!$A$5:$A$504,A184)=0,"BORTTAGEN MATCH",IF(AND(B184=G184,C184=H184,D184=I184),"Oförändrad",IF(AND(B184=G184,D184=I184),"ÄNDRAD TID","FLYTTAD MATCH"))))</f>
        <v>Oförändrad</v>
      </c>
      <c r="K184" s="34" t="str">
        <f>IF(MATCHER!A176="","",MATCHER!A176)</f>
        <v>26 6 1562 088</v>
      </c>
      <c r="L184" s="91">
        <f>IF(MATCHER!B176="","",MATCHER!B176)</f>
        <v>46459</v>
      </c>
      <c r="M184" s="92">
        <f>IF(MATCHER!C176="","",MATCHER!C176)</f>
        <v>0.41666666666666669</v>
      </c>
      <c r="N184" s="34" t="str">
        <f>IF(MATCHER!D176="","",MATCHER!D176)</f>
        <v>Tallbackaskolan</v>
      </c>
      <c r="O184" s="34" t="str">
        <f>IF(MATCHER!E176="","",MATCHER!E176)</f>
        <v>Pojkar - P12 Öst - P12 Nivå 2 Öst Norra</v>
      </c>
      <c r="P184" s="34" t="str">
        <f>IF(MATCHER!F176="","",MATCHER!F176)</f>
        <v>P12</v>
      </c>
      <c r="Q184" s="34" t="str">
        <f>IF(MATCHER!K176="","",MATCHER!K176)</f>
        <v>Ja</v>
      </c>
      <c r="R184" s="34" t="str">
        <f>IF(K184="","",IF(Q184&lt;&gt;"Ja","Ej aktuell",IF(P184="SAKNAS","NY KLASS",IF(MATCHER!N176&lt;&gt;"Ja",MATCHER!N176,IF(COUNTIF($A$13:$A$220,K184)=0,"NY MATCH","Matchdag finns")))))</f>
        <v>Matchdag finns</v>
      </c>
    </row>
    <row r="185" spans="1:18" ht="13">
      <c r="A185" s="31" t="s">
        <v>402</v>
      </c>
      <c r="B185" s="89">
        <v>46459</v>
      </c>
      <c r="C185" s="90">
        <v>0.45833333333333298</v>
      </c>
      <c r="D185" s="31" t="s">
        <v>110</v>
      </c>
      <c r="E185" s="31" t="s">
        <v>215</v>
      </c>
      <c r="F185" s="31" t="str">
        <f t="shared" si="2"/>
        <v>Ja</v>
      </c>
      <c r="G185" s="91">
        <f>IFERROR(VLOOKUP(A185,MATCHER!$A$5:$M$504,2,FALSE()),"")</f>
        <v>46459</v>
      </c>
      <c r="H185" s="92">
        <f>IFERROR(VLOOKUP(A185,MATCHER!$A$5:$M$504,3,FALSE()),"")</f>
        <v>0.45833333333333331</v>
      </c>
      <c r="I185" s="34" t="str">
        <f>IFERROR(VLOOKUP(A185,MATCHER!$A$5:$M$504,4,FALSE()),"")</f>
        <v>Tallbackaskolan</v>
      </c>
      <c r="J185" s="34" t="str">
        <f>IF(F185&lt;&gt;"Ja","Ej aktuell",IF(COUNTIF(MATCHER!$A$5:$A$504,A185)=0,"BORTTAGEN MATCH",IF(AND(B185=G185,C185=H185,D185=I185),"Oförändrad",IF(AND(B185=G185,D185=I185),"ÄNDRAD TID","FLYTTAD MATCH"))))</f>
        <v>Oförändrad</v>
      </c>
      <c r="K185" s="34" t="str">
        <f>IF(MATCHER!A177="","",MATCHER!A177)</f>
        <v>26 6 1373 077</v>
      </c>
      <c r="L185" s="91">
        <f>IF(MATCHER!B177="","",MATCHER!B177)</f>
        <v>46459</v>
      </c>
      <c r="M185" s="92">
        <f>IF(MATCHER!C177="","",MATCHER!C177)</f>
        <v>0.45833333333333331</v>
      </c>
      <c r="N185" s="34" t="str">
        <f>IF(MATCHER!D177="","",MATCHER!D177)</f>
        <v>Tallbackaskolan</v>
      </c>
      <c r="O185" s="34" t="str">
        <f>IF(MATCHER!E177="","",MATCHER!E177)</f>
        <v>Flickor - F11 Öst - F11 Nivå 2 Öst City</v>
      </c>
      <c r="P185" s="34" t="str">
        <f>IF(MATCHER!F177="","",MATCHER!F177)</f>
        <v>F11</v>
      </c>
      <c r="Q185" s="34" t="str">
        <f>IF(MATCHER!K177="","",MATCHER!K177)</f>
        <v>Ja</v>
      </c>
      <c r="R185" s="34" t="str">
        <f>IF(K185="","",IF(Q185&lt;&gt;"Ja","Ej aktuell",IF(P185="SAKNAS","NY KLASS",IF(MATCHER!N177&lt;&gt;"Ja",MATCHER!N177,IF(COUNTIF($A$13:$A$220,K185)=0,"NY MATCH","Matchdag finns")))))</f>
        <v>Matchdag finns</v>
      </c>
    </row>
    <row r="186" spans="1:18" ht="13">
      <c r="A186" s="31" t="s">
        <v>403</v>
      </c>
      <c r="B186" s="89">
        <v>46459</v>
      </c>
      <c r="C186" s="90">
        <v>0.5</v>
      </c>
      <c r="D186" s="31" t="s">
        <v>110</v>
      </c>
      <c r="E186" s="31" t="s">
        <v>268</v>
      </c>
      <c r="F186" s="31" t="str">
        <f t="shared" si="2"/>
        <v>Ja</v>
      </c>
      <c r="G186" s="91">
        <f>IFERROR(VLOOKUP(A186,MATCHER!$A$5:$M$504,2,FALSE()),"")</f>
        <v>46459</v>
      </c>
      <c r="H186" s="92">
        <f>IFERROR(VLOOKUP(A186,MATCHER!$A$5:$M$504,3,FALSE()),"")</f>
        <v>0.5</v>
      </c>
      <c r="I186" s="34" t="str">
        <f>IFERROR(VLOOKUP(A186,MATCHER!$A$5:$M$504,4,FALSE()),"")</f>
        <v>Tallbackaskolan</v>
      </c>
      <c r="J186" s="34" t="str">
        <f>IF(F186&lt;&gt;"Ja","Ej aktuell",IF(COUNTIF(MATCHER!$A$5:$A$504,A186)=0,"BORTTAGEN MATCH",IF(AND(B186=G186,C186=H186,D186=I186),"Oförändrad",IF(AND(B186=G186,D186=I186),"ÄNDRAD TID","FLYTTAD MATCH"))))</f>
        <v>Oförändrad</v>
      </c>
      <c r="K186" s="34" t="str">
        <f>IF(MATCHER!A178="","",MATCHER!A178)</f>
        <v>26 6 1562 089</v>
      </c>
      <c r="L186" s="91">
        <f>IF(MATCHER!B178="","",MATCHER!B178)</f>
        <v>46459</v>
      </c>
      <c r="M186" s="92">
        <f>IF(MATCHER!C178="","",MATCHER!C178)</f>
        <v>0.5</v>
      </c>
      <c r="N186" s="34" t="str">
        <f>IF(MATCHER!D178="","",MATCHER!D178)</f>
        <v>Tallbackaskolan</v>
      </c>
      <c r="O186" s="34" t="str">
        <f>IF(MATCHER!E178="","",MATCHER!E178)</f>
        <v>Pojkar - P12 Öst - P12 Nivå 2 Öst Norra</v>
      </c>
      <c r="P186" s="34" t="str">
        <f>IF(MATCHER!F178="","",MATCHER!F178)</f>
        <v>P12</v>
      </c>
      <c r="Q186" s="34" t="str">
        <f>IF(MATCHER!K178="","",MATCHER!K178)</f>
        <v>Ja</v>
      </c>
      <c r="R186" s="34" t="str">
        <f>IF(K186="","",IF(Q186&lt;&gt;"Ja","Ej aktuell",IF(P186="SAKNAS","NY KLASS",IF(MATCHER!N178&lt;&gt;"Ja",MATCHER!N178,IF(COUNTIF($A$13:$A$220,K186)=0,"NY MATCH","Matchdag finns")))))</f>
        <v>Matchdag finns</v>
      </c>
    </row>
    <row r="187" spans="1:18" ht="13">
      <c r="A187" s="31" t="s">
        <v>404</v>
      </c>
      <c r="B187" s="89">
        <v>46459</v>
      </c>
      <c r="C187" s="90">
        <v>0.54166666666666696</v>
      </c>
      <c r="D187" s="31" t="s">
        <v>110</v>
      </c>
      <c r="E187" s="31" t="s">
        <v>215</v>
      </c>
      <c r="F187" s="31" t="str">
        <f t="shared" si="2"/>
        <v>Ja</v>
      </c>
      <c r="G187" s="91">
        <f>IFERROR(VLOOKUP(A187,MATCHER!$A$5:$M$504,2,FALSE()),"")</f>
        <v>46459</v>
      </c>
      <c r="H187" s="92">
        <f>IFERROR(VLOOKUP(A187,MATCHER!$A$5:$M$504,3,FALSE()),"")</f>
        <v>0.54166666666666663</v>
      </c>
      <c r="I187" s="34" t="str">
        <f>IFERROR(VLOOKUP(A187,MATCHER!$A$5:$M$504,4,FALSE()),"")</f>
        <v>Tallbackaskolan</v>
      </c>
      <c r="J187" s="34" t="str">
        <f>IF(F187&lt;&gt;"Ja","Ej aktuell",IF(COUNTIF(MATCHER!$A$5:$A$504,A187)=0,"BORTTAGEN MATCH",IF(AND(B187=G187,C187=H187,D187=I187),"Oförändrad",IF(AND(B187=G187,D187=I187),"ÄNDRAD TID","FLYTTAD MATCH"))))</f>
        <v>Oförändrad</v>
      </c>
      <c r="K187" s="34" t="str">
        <f>IF(MATCHER!A179="","",MATCHER!A179)</f>
        <v>26 6 1373 078</v>
      </c>
      <c r="L187" s="91">
        <f>IF(MATCHER!B179="","",MATCHER!B179)</f>
        <v>46459</v>
      </c>
      <c r="M187" s="92">
        <f>IF(MATCHER!C179="","",MATCHER!C179)</f>
        <v>0.54166666666666663</v>
      </c>
      <c r="N187" s="34" t="str">
        <f>IF(MATCHER!D179="","",MATCHER!D179)</f>
        <v>Tallbackaskolan</v>
      </c>
      <c r="O187" s="34" t="str">
        <f>IF(MATCHER!E179="","",MATCHER!E179)</f>
        <v>Flickor - F11 Öst - F11 Nivå 2 Öst City</v>
      </c>
      <c r="P187" s="34" t="str">
        <f>IF(MATCHER!F179="","",MATCHER!F179)</f>
        <v>F11</v>
      </c>
      <c r="Q187" s="34" t="str">
        <f>IF(MATCHER!K179="","",MATCHER!K179)</f>
        <v>Ja</v>
      </c>
      <c r="R187" s="34" t="str">
        <f>IF(K187="","",IF(Q187&lt;&gt;"Ja","Ej aktuell",IF(P187="SAKNAS","NY KLASS",IF(MATCHER!N179&lt;&gt;"Ja",MATCHER!N179,IF(COUNTIF($A$13:$A$220,K187)=0,"NY MATCH","Matchdag finns")))))</f>
        <v>Matchdag finns</v>
      </c>
    </row>
    <row r="188" spans="1:18" ht="13">
      <c r="A188" s="31" t="s">
        <v>405</v>
      </c>
      <c r="B188" s="89">
        <v>46459</v>
      </c>
      <c r="C188" s="90">
        <v>0.58333333333333304</v>
      </c>
      <c r="D188" s="31" t="s">
        <v>110</v>
      </c>
      <c r="E188" s="31" t="s">
        <v>268</v>
      </c>
      <c r="F188" s="31" t="str">
        <f t="shared" si="2"/>
        <v>Ja</v>
      </c>
      <c r="G188" s="91">
        <f>IFERROR(VLOOKUP(A188,MATCHER!$A$5:$M$504,2,FALSE()),"")</f>
        <v>46459</v>
      </c>
      <c r="H188" s="92">
        <f>IFERROR(VLOOKUP(A188,MATCHER!$A$5:$M$504,3,FALSE()),"")</f>
        <v>0.58333333333333337</v>
      </c>
      <c r="I188" s="34" t="str">
        <f>IFERROR(VLOOKUP(A188,MATCHER!$A$5:$M$504,4,FALSE()),"")</f>
        <v>Tallbackaskolan</v>
      </c>
      <c r="J188" s="34" t="str">
        <f>IF(F188&lt;&gt;"Ja","Ej aktuell",IF(COUNTIF(MATCHER!$A$5:$A$504,A188)=0,"BORTTAGEN MATCH",IF(AND(B188=G188,C188=H188,D188=I188),"Oförändrad",IF(AND(B188=G188,D188=I188),"ÄNDRAD TID","FLYTTAD MATCH"))))</f>
        <v>Oförändrad</v>
      </c>
      <c r="K188" s="34" t="str">
        <f>IF(MATCHER!A180="","",MATCHER!A180)</f>
        <v>26 6 1562 090</v>
      </c>
      <c r="L188" s="91">
        <f>IF(MATCHER!B180="","",MATCHER!B180)</f>
        <v>46459</v>
      </c>
      <c r="M188" s="92">
        <f>IF(MATCHER!C180="","",MATCHER!C180)</f>
        <v>0.58333333333333337</v>
      </c>
      <c r="N188" s="34" t="str">
        <f>IF(MATCHER!D180="","",MATCHER!D180)</f>
        <v>Tallbackaskolan</v>
      </c>
      <c r="O188" s="34" t="str">
        <f>IF(MATCHER!E180="","",MATCHER!E180)</f>
        <v>Pojkar - P12 Öst - P12 Nivå 2 Öst Norra</v>
      </c>
      <c r="P188" s="34" t="str">
        <f>IF(MATCHER!F180="","",MATCHER!F180)</f>
        <v>P12</v>
      </c>
      <c r="Q188" s="34" t="str">
        <f>IF(MATCHER!K180="","",MATCHER!K180)</f>
        <v>Ja</v>
      </c>
      <c r="R188" s="34" t="str">
        <f>IF(K188="","",IF(Q188&lt;&gt;"Ja","Ej aktuell",IF(P188="SAKNAS","NY KLASS",IF(MATCHER!N180&lt;&gt;"Ja",MATCHER!N180,IF(COUNTIF($A$13:$A$220,K188)=0,"NY MATCH","Matchdag finns")))))</f>
        <v>Matchdag finns</v>
      </c>
    </row>
    <row r="189" spans="1:18" ht="13">
      <c r="A189" s="31">
        <v>529383</v>
      </c>
      <c r="B189" s="89">
        <v>46459</v>
      </c>
      <c r="C189" s="90">
        <v>0.375</v>
      </c>
      <c r="D189" s="31" t="s">
        <v>86</v>
      </c>
      <c r="E189" s="31" t="s">
        <v>406</v>
      </c>
      <c r="F189" s="31" t="str">
        <f t="shared" si="2"/>
        <v>Ja</v>
      </c>
      <c r="G189" s="91">
        <f>IFERROR(VLOOKUP(A189,MATCHER!$A$5:$M$504,2,FALSE()),"")</f>
        <v>46459</v>
      </c>
      <c r="H189" s="92">
        <f>IFERROR(VLOOKUP(A189,MATCHER!$A$5:$M$504,3,FALSE()),"")</f>
        <v>0.375</v>
      </c>
      <c r="I189" s="34" t="str">
        <f>IFERROR(VLOOKUP(A189,MATCHER!$A$5:$M$504,4,FALSE()),"")</f>
        <v>Ulriksdalshallen</v>
      </c>
      <c r="J189" s="34" t="str">
        <f>IF(F189&lt;&gt;"Ja","Ej aktuell",IF(COUNTIF(MATCHER!$A$5:$A$504,A189)=0,"BORTTAGEN MATCH",IF(AND(B189=G189,C189=H189,D189=I189),"Oförändrad",IF(AND(B189=G189,D189=I189),"ÄNDRAD TID","FLYTTAD MATCH"))))</f>
        <v>Oförändrad</v>
      </c>
      <c r="K189" s="34">
        <f>IF(MATCHER!A181="","",MATCHER!A181)</f>
        <v>529383</v>
      </c>
      <c r="L189" s="91">
        <f>IF(MATCHER!B181="","",MATCHER!B181)</f>
        <v>46459</v>
      </c>
      <c r="M189" s="92">
        <f>IF(MATCHER!C181="","",MATCHER!C181)</f>
        <v>0.375</v>
      </c>
      <c r="N189" s="34" t="str">
        <f>IF(MATCHER!D181="","",MATCHER!D181)</f>
        <v>Ulriksdalshallen</v>
      </c>
      <c r="O189" s="34" t="str">
        <f>IF(MATCHER!E181="","",MATCHER!E181)</f>
        <v>Arrangörsskap - Handbollfestival Vår - Omg3/ 13-14mars alt 20-21mars</v>
      </c>
      <c r="P189" s="34" t="str">
        <f>IF(MATCHER!F181="","",MATCHER!F181)</f>
        <v>U8</v>
      </c>
      <c r="Q189" s="34" t="str">
        <f>IF(MATCHER!K181="","",MATCHER!K181)</f>
        <v>Ja</v>
      </c>
      <c r="R189" s="34" t="str">
        <f>IF(K189="","",IF(Q189&lt;&gt;"Ja","Ej aktuell",IF(P189="SAKNAS","NY KLASS",IF(MATCHER!N181&lt;&gt;"Ja",MATCHER!N181,IF(COUNTIF($A$13:$A$220,K189)=0,"NY MATCH","Matchdag finns")))))</f>
        <v>Matchdag finns</v>
      </c>
    </row>
    <row r="190" spans="1:18" ht="13">
      <c r="A190" s="31">
        <v>530023</v>
      </c>
      <c r="B190" s="89">
        <v>46459</v>
      </c>
      <c r="C190" s="90">
        <v>0.52083333333333304</v>
      </c>
      <c r="D190" s="31" t="s">
        <v>86</v>
      </c>
      <c r="E190" s="31" t="s">
        <v>407</v>
      </c>
      <c r="F190" s="31" t="str">
        <f t="shared" si="2"/>
        <v>Ja</v>
      </c>
      <c r="G190" s="91">
        <f>IFERROR(VLOOKUP(A190,MATCHER!$A$5:$M$504,2,FALSE()),"")</f>
        <v>46459</v>
      </c>
      <c r="H190" s="92">
        <f>IFERROR(VLOOKUP(A190,MATCHER!$A$5:$M$504,3,FALSE()),"")</f>
        <v>0.52083333333333337</v>
      </c>
      <c r="I190" s="34" t="str">
        <f>IFERROR(VLOOKUP(A190,MATCHER!$A$5:$M$504,4,FALSE()),"")</f>
        <v>Ulriksdalshallen</v>
      </c>
      <c r="J190" s="34" t="str">
        <f>IF(F190&lt;&gt;"Ja","Ej aktuell",IF(COUNTIF(MATCHER!$A$5:$A$504,A190)=0,"BORTTAGEN MATCH",IF(AND(B190=G190,C190=H190,D190=I190),"Oförändrad",IF(AND(B190=G190,D190=I190),"ÄNDRAD TID","FLYTTAD MATCH"))))</f>
        <v>Oförändrad</v>
      </c>
      <c r="K190" s="34">
        <f>IF(MATCHER!A182="","",MATCHER!A182)</f>
        <v>530023</v>
      </c>
      <c r="L190" s="91">
        <f>IF(MATCHER!B182="","",MATCHER!B182)</f>
        <v>46459</v>
      </c>
      <c r="M190" s="92">
        <f>IF(MATCHER!C182="","",MATCHER!C182)</f>
        <v>0.52083333333333337</v>
      </c>
      <c r="N190" s="34" t="str">
        <f>IF(MATCHER!D182="","",MATCHER!D182)</f>
        <v>Ulriksdalshallen</v>
      </c>
      <c r="O190" s="34" t="str">
        <f>IF(MATCHER!E182="","",MATCHER!E182)</f>
        <v>Arrangörsskap - Vårens spel - Omg4/ F10K P9M F9K/ 13-14mars</v>
      </c>
      <c r="P190" s="34" t="str">
        <f>IF(MATCHER!F182="","",MATCHER!F182)</f>
        <v>Kontrollera</v>
      </c>
      <c r="Q190" s="34" t="str">
        <f>IF(MATCHER!K182="","",MATCHER!K182)</f>
        <v>Ja</v>
      </c>
      <c r="R190" s="34" t="str">
        <f>IF(K190="","",IF(Q190&lt;&gt;"Ja","Ej aktuell",IF(P190="SAKNAS","NY KLASS",IF(MATCHER!N182&lt;&gt;"Ja",MATCHER!N182,IF(COUNTIF($A$13:$A$220,K190)=0,"NY MATCH","Matchdag finns")))))</f>
        <v>Matchdag finns</v>
      </c>
    </row>
    <row r="191" spans="1:18" ht="13">
      <c r="A191" s="31" t="s">
        <v>408</v>
      </c>
      <c r="B191" s="89">
        <v>46466</v>
      </c>
      <c r="C191" s="90">
        <v>0.56944444444444398</v>
      </c>
      <c r="D191" s="31" t="s">
        <v>94</v>
      </c>
      <c r="E191" s="31" t="s">
        <v>223</v>
      </c>
      <c r="F191" s="31" t="str">
        <f t="shared" si="2"/>
        <v>Ja</v>
      </c>
      <c r="G191" s="91">
        <f>IFERROR(VLOOKUP(A191,MATCHER!$A$5:$M$504,2,FALSE()),"")</f>
        <v>46466</v>
      </c>
      <c r="H191" s="92">
        <f>IFERROR(VLOOKUP(A191,MATCHER!$A$5:$M$504,3,FALSE()),"")</f>
        <v>0.56944444444444442</v>
      </c>
      <c r="I191" s="34" t="str">
        <f>IFERROR(VLOOKUP(A191,MATCHER!$A$5:$M$504,4,FALSE()),"")</f>
        <v>Råsta Park</v>
      </c>
      <c r="J191" s="34" t="str">
        <f>IF(F191&lt;&gt;"Ja","Ej aktuell",IF(COUNTIF(MATCHER!$A$5:$A$504,A191)=0,"BORTTAGEN MATCH",IF(AND(B191=G191,C191=H191,D191=I191),"Oförändrad",IF(AND(B191=G191,D191=I191),"ÄNDRAD TID","FLYTTAD MATCH"))))</f>
        <v>Oförändrad</v>
      </c>
      <c r="K191" s="34" t="str">
        <f>IF(MATCHER!A183="","",MATCHER!A183)</f>
        <v>26 6 1524 077</v>
      </c>
      <c r="L191" s="91">
        <f>IF(MATCHER!B183="","",MATCHER!B183)</f>
        <v>46466</v>
      </c>
      <c r="M191" s="92">
        <f>IF(MATCHER!C183="","",MATCHER!C183)</f>
        <v>0.56944444444444442</v>
      </c>
      <c r="N191" s="34" t="str">
        <f>IF(MATCHER!D183="","",MATCHER!D183)</f>
        <v>Råsta Park</v>
      </c>
      <c r="O191" s="34" t="str">
        <f>IF(MATCHER!E183="","",MATCHER!E183)</f>
        <v>Pojkar - P16 Öst - P16 Nivå 3 Öst</v>
      </c>
      <c r="P191" s="34" t="str">
        <f>IF(MATCHER!F183="","",MATCHER!F183)</f>
        <v>P16</v>
      </c>
      <c r="Q191" s="34" t="str">
        <f>IF(MATCHER!K183="","",MATCHER!K183)</f>
        <v>Ja</v>
      </c>
      <c r="R191" s="34" t="str">
        <f>IF(K191="","",IF(Q191&lt;&gt;"Ja","Ej aktuell",IF(P191="SAKNAS","NY KLASS",IF(MATCHER!N183&lt;&gt;"Ja",MATCHER!N183,IF(COUNTIF($A$13:$A$220,K191)=0,"NY MATCH","Matchdag finns")))))</f>
        <v>Matchdag finns</v>
      </c>
    </row>
    <row r="192" spans="1:18" ht="13">
      <c r="A192" s="31" t="s">
        <v>409</v>
      </c>
      <c r="B192" s="89">
        <v>46466</v>
      </c>
      <c r="C192" s="90">
        <v>0.54166666666666696</v>
      </c>
      <c r="D192" s="31" t="s">
        <v>212</v>
      </c>
      <c r="E192" s="31" t="s">
        <v>246</v>
      </c>
      <c r="F192" s="31" t="str">
        <f t="shared" si="2"/>
        <v>Nej</v>
      </c>
      <c r="G192" s="91">
        <f>IFERROR(VLOOKUP(A192,MATCHER!$A$5:$M$504,2,FALSE()),"")</f>
        <v>46466</v>
      </c>
      <c r="H192" s="92">
        <f>IFERROR(VLOOKUP(A192,MATCHER!$A$5:$M$504,3,FALSE()),"")</f>
        <v>0.54166666666666663</v>
      </c>
      <c r="I192" s="34" t="str">
        <f>IFERROR(VLOOKUP(A192,MATCHER!$A$5:$M$504,4,FALSE()),"")</f>
        <v>Solnahallen</v>
      </c>
      <c r="J192" s="34" t="str">
        <f>IF(F192&lt;&gt;"Ja","Ej aktuell",IF(COUNTIF(MATCHER!$A$5:$A$504,A192)=0,"BORTTAGEN MATCH",IF(AND(B192=G192,C192=H192,D192=I192),"Oförändrad",IF(AND(B192=G192,D192=I192),"ÄNDRAD TID","FLYTTAD MATCH"))))</f>
        <v>Ej aktuell</v>
      </c>
      <c r="K192" s="34" t="str">
        <f>IF(MATCHER!A184="","",MATCHER!A184)</f>
        <v>26 6 1141 071</v>
      </c>
      <c r="L192" s="91">
        <f>IF(MATCHER!B184="","",MATCHER!B184)</f>
        <v>46466</v>
      </c>
      <c r="M192" s="92">
        <f>IF(MATCHER!C184="","",MATCHER!C184)</f>
        <v>0.54166666666666663</v>
      </c>
      <c r="N192" s="34" t="str">
        <f>IF(MATCHER!D184="","",MATCHER!D184)</f>
        <v>Solnahallen</v>
      </c>
      <c r="O192" s="34" t="str">
        <f>IF(MATCHER!E184="","",MATCHER!E184)</f>
        <v>Damer - Dam 4 Öst - Dam 4 Öst Norra</v>
      </c>
      <c r="P192" s="34" t="str">
        <f>IF(MATCHER!F184="","",MATCHER!F184)</f>
        <v>Dam</v>
      </c>
      <c r="Q192" s="34" t="str">
        <f>IF(MATCHER!K184="","",MATCHER!K184)</f>
        <v>Nej</v>
      </c>
      <c r="R192" s="34" t="str">
        <f>IF(K192="","",IF(Q192&lt;&gt;"Ja","Ej aktuell",IF(P192="SAKNAS","NY KLASS",IF(MATCHER!N184&lt;&gt;"Ja",MATCHER!N184,IF(COUNTIF($A$13:$A$220,K192)=0,"NY MATCH","Matchdag finns")))))</f>
        <v>Ej aktuell</v>
      </c>
    </row>
    <row r="193" spans="1:18" ht="13">
      <c r="A193" s="31" t="s">
        <v>410</v>
      </c>
      <c r="B193" s="89">
        <v>46466</v>
      </c>
      <c r="C193" s="90">
        <v>0.66666666666666696</v>
      </c>
      <c r="D193" s="31" t="s">
        <v>212</v>
      </c>
      <c r="E193" s="31" t="s">
        <v>231</v>
      </c>
      <c r="F193" s="31" t="str">
        <f t="shared" si="2"/>
        <v>Nej</v>
      </c>
      <c r="G193" s="91">
        <f>IFERROR(VLOOKUP(A193,MATCHER!$A$5:$M$504,2,FALSE()),"")</f>
        <v>46466</v>
      </c>
      <c r="H193" s="92">
        <f>IFERROR(VLOOKUP(A193,MATCHER!$A$5:$M$504,3,FALSE()),"")</f>
        <v>0.66666666666666663</v>
      </c>
      <c r="I193" s="34" t="str">
        <f>IFERROR(VLOOKUP(A193,MATCHER!$A$5:$M$504,4,FALSE()),"")</f>
        <v>Solnahallen</v>
      </c>
      <c r="J193" s="34" t="str">
        <f>IF(F193&lt;&gt;"Ja","Ej aktuell",IF(COUNTIF(MATCHER!$A$5:$A$504,A193)=0,"BORTTAGEN MATCH",IF(AND(B193=G193,C193=H193,D193=I193),"Oförändrad",IF(AND(B193=G193,D193=I193),"ÄNDRAD TID","FLYTTAD MATCH"))))</f>
        <v>Ej aktuell</v>
      </c>
      <c r="K193" s="34" t="str">
        <f>IF(MATCHER!A185="","",MATCHER!A185)</f>
        <v>26 -1 1121 129</v>
      </c>
      <c r="L193" s="91">
        <f>IF(MATCHER!B185="","",MATCHER!B185)</f>
        <v>46466</v>
      </c>
      <c r="M193" s="92">
        <f>IF(MATCHER!C185="","",MATCHER!C185)</f>
        <v>0.66666666666666663</v>
      </c>
      <c r="N193" s="34" t="str">
        <f>IF(MATCHER!D185="","",MATCHER!D185)</f>
        <v>Solnahallen</v>
      </c>
      <c r="O193" s="34" t="str">
        <f>IF(MATCHER!E185="","",MATCHER!E185)</f>
        <v>Damer - Damallsvenskan</v>
      </c>
      <c r="P193" s="34" t="str">
        <f>IF(MATCHER!F185="","",MATCHER!F185)</f>
        <v>Dam</v>
      </c>
      <c r="Q193" s="34" t="str">
        <f>IF(MATCHER!K185="","",MATCHER!K185)</f>
        <v>Nej</v>
      </c>
      <c r="R193" s="34" t="str">
        <f>IF(K193="","",IF(Q193&lt;&gt;"Ja","Ej aktuell",IF(P193="SAKNAS","NY KLASS",IF(MATCHER!N185&lt;&gt;"Ja",MATCHER!N185,IF(COUNTIF($A$13:$A$220,K193)=0,"NY MATCH","Matchdag finns")))))</f>
        <v>Ej aktuell</v>
      </c>
    </row>
    <row r="194" spans="1:18" ht="13">
      <c r="A194" s="31" t="s">
        <v>411</v>
      </c>
      <c r="B194" s="89">
        <v>46466</v>
      </c>
      <c r="C194" s="90">
        <v>0.43055555555555602</v>
      </c>
      <c r="D194" s="31" t="s">
        <v>110</v>
      </c>
      <c r="E194" s="31" t="s">
        <v>283</v>
      </c>
      <c r="F194" s="31" t="str">
        <f t="shared" si="2"/>
        <v>Ja</v>
      </c>
      <c r="G194" s="91">
        <f>IFERROR(VLOOKUP(A194,MATCHER!$A$5:$M$504,2,FALSE()),"")</f>
        <v>46466</v>
      </c>
      <c r="H194" s="92">
        <f>IFERROR(VLOOKUP(A194,MATCHER!$A$5:$M$504,3,FALSE()),"")</f>
        <v>0.43055555555555558</v>
      </c>
      <c r="I194" s="34" t="str">
        <f>IFERROR(VLOOKUP(A194,MATCHER!$A$5:$M$504,4,FALSE()),"")</f>
        <v>Tallbackaskolan</v>
      </c>
      <c r="J194" s="34" t="str">
        <f>IF(F194&lt;&gt;"Ja","Ej aktuell",IF(COUNTIF(MATCHER!$A$5:$A$504,A194)=0,"BORTTAGEN MATCH",IF(AND(B194=G194,C194=H194,D194=I194),"Oförändrad",IF(AND(B194=G194,D194=I194),"ÄNDRAD TID","FLYTTAD MATCH"))))</f>
        <v>Oförändrad</v>
      </c>
      <c r="K194" s="34" t="str">
        <f>IF(MATCHER!A186="","",MATCHER!A186)</f>
        <v>26 6 1563 088</v>
      </c>
      <c r="L194" s="91">
        <f>IF(MATCHER!B186="","",MATCHER!B186)</f>
        <v>46466</v>
      </c>
      <c r="M194" s="92">
        <f>IF(MATCHER!C186="","",MATCHER!C186)</f>
        <v>0.43055555555555558</v>
      </c>
      <c r="N194" s="34" t="str">
        <f>IF(MATCHER!D186="","",MATCHER!D186)</f>
        <v>Tallbackaskolan</v>
      </c>
      <c r="O194" s="34" t="str">
        <f>IF(MATCHER!E186="","",MATCHER!E186)</f>
        <v>Pojkar - P12 Öst - P12 Nivå 2 Öst Södra</v>
      </c>
      <c r="P194" s="34" t="str">
        <f>IF(MATCHER!F186="","",MATCHER!F186)</f>
        <v>P12</v>
      </c>
      <c r="Q194" s="34" t="str">
        <f>IF(MATCHER!K186="","",MATCHER!K186)</f>
        <v>Ja</v>
      </c>
      <c r="R194" s="34" t="str">
        <f>IF(K194="","",IF(Q194&lt;&gt;"Ja","Ej aktuell",IF(P194="SAKNAS","NY KLASS",IF(MATCHER!N186&lt;&gt;"Ja",MATCHER!N186,IF(COUNTIF($A$13:$A$220,K194)=0,"NY MATCH","Matchdag finns")))))</f>
        <v>Matchdag finns</v>
      </c>
    </row>
    <row r="195" spans="1:18" ht="13">
      <c r="A195" s="31" t="s">
        <v>412</v>
      </c>
      <c r="B195" s="89">
        <v>46466</v>
      </c>
      <c r="C195" s="90">
        <v>0.47916666666666702</v>
      </c>
      <c r="D195" s="31" t="s">
        <v>110</v>
      </c>
      <c r="E195" s="31" t="s">
        <v>283</v>
      </c>
      <c r="F195" s="31" t="str">
        <f t="shared" si="2"/>
        <v>Ja</v>
      </c>
      <c r="G195" s="91">
        <f>IFERROR(VLOOKUP(A195,MATCHER!$A$5:$M$504,2,FALSE()),"")</f>
        <v>46466</v>
      </c>
      <c r="H195" s="92">
        <f>IFERROR(VLOOKUP(A195,MATCHER!$A$5:$M$504,3,FALSE()),"")</f>
        <v>0.47916666666666669</v>
      </c>
      <c r="I195" s="34" t="str">
        <f>IFERROR(VLOOKUP(A195,MATCHER!$A$5:$M$504,4,FALSE()),"")</f>
        <v>Tallbackaskolan</v>
      </c>
      <c r="J195" s="34" t="str">
        <f>IF(F195&lt;&gt;"Ja","Ej aktuell",IF(COUNTIF(MATCHER!$A$5:$A$504,A195)=0,"BORTTAGEN MATCH",IF(AND(B195=G195,C195=H195,D195=I195),"Oförändrad",IF(AND(B195=G195,D195=I195),"ÄNDRAD TID","FLYTTAD MATCH"))))</f>
        <v>Oförändrad</v>
      </c>
      <c r="K195" s="34" t="str">
        <f>IF(MATCHER!A187="","",MATCHER!A187)</f>
        <v>26 6 1563 089</v>
      </c>
      <c r="L195" s="91">
        <f>IF(MATCHER!B187="","",MATCHER!B187)</f>
        <v>46466</v>
      </c>
      <c r="M195" s="92">
        <f>IF(MATCHER!C187="","",MATCHER!C187)</f>
        <v>0.47916666666666669</v>
      </c>
      <c r="N195" s="34" t="str">
        <f>IF(MATCHER!D187="","",MATCHER!D187)</f>
        <v>Tallbackaskolan</v>
      </c>
      <c r="O195" s="34" t="str">
        <f>IF(MATCHER!E187="","",MATCHER!E187)</f>
        <v>Pojkar - P12 Öst - P12 Nivå 2 Öst Södra</v>
      </c>
      <c r="P195" s="34" t="str">
        <f>IF(MATCHER!F187="","",MATCHER!F187)</f>
        <v>P12</v>
      </c>
      <c r="Q195" s="34" t="str">
        <f>IF(MATCHER!K187="","",MATCHER!K187)</f>
        <v>Ja</v>
      </c>
      <c r="R195" s="34" t="str">
        <f>IF(K195="","",IF(Q195&lt;&gt;"Ja","Ej aktuell",IF(P195="SAKNAS","NY KLASS",IF(MATCHER!N187&lt;&gt;"Ja",MATCHER!N187,IF(COUNTIF($A$13:$A$220,K195)=0,"NY MATCH","Matchdag finns")))))</f>
        <v>Matchdag finns</v>
      </c>
    </row>
    <row r="196" spans="1:18" ht="13">
      <c r="A196" s="31" t="s">
        <v>413</v>
      </c>
      <c r="B196" s="89">
        <v>46466</v>
      </c>
      <c r="C196" s="90">
        <v>0.52777777777777801</v>
      </c>
      <c r="D196" s="31" t="s">
        <v>110</v>
      </c>
      <c r="E196" s="31" t="s">
        <v>283</v>
      </c>
      <c r="F196" s="31" t="str">
        <f t="shared" si="2"/>
        <v>Ja</v>
      </c>
      <c r="G196" s="91">
        <f>IFERROR(VLOOKUP(A196,MATCHER!$A$5:$M$504,2,FALSE()),"")</f>
        <v>46466</v>
      </c>
      <c r="H196" s="92">
        <f>IFERROR(VLOOKUP(A196,MATCHER!$A$5:$M$504,3,FALSE()),"")</f>
        <v>0.52777777777777779</v>
      </c>
      <c r="I196" s="34" t="str">
        <f>IFERROR(VLOOKUP(A196,MATCHER!$A$5:$M$504,4,FALSE()),"")</f>
        <v>Tallbackaskolan</v>
      </c>
      <c r="J196" s="34" t="str">
        <f>IF(F196&lt;&gt;"Ja","Ej aktuell",IF(COUNTIF(MATCHER!$A$5:$A$504,A196)=0,"BORTTAGEN MATCH",IF(AND(B196=G196,C196=H196,D196=I196),"Oförändrad",IF(AND(B196=G196,D196=I196),"ÄNDRAD TID","FLYTTAD MATCH"))))</f>
        <v>Oförändrad</v>
      </c>
      <c r="K196" s="34" t="str">
        <f>IF(MATCHER!A188="","",MATCHER!A188)</f>
        <v>26 6 1563 090</v>
      </c>
      <c r="L196" s="91">
        <f>IF(MATCHER!B188="","",MATCHER!B188)</f>
        <v>46466</v>
      </c>
      <c r="M196" s="92">
        <f>IF(MATCHER!C188="","",MATCHER!C188)</f>
        <v>0.52777777777777779</v>
      </c>
      <c r="N196" s="34" t="str">
        <f>IF(MATCHER!D188="","",MATCHER!D188)</f>
        <v>Tallbackaskolan</v>
      </c>
      <c r="O196" s="34" t="str">
        <f>IF(MATCHER!E188="","",MATCHER!E188)</f>
        <v>Pojkar - P12 Öst - P12 Nivå 2 Öst Södra</v>
      </c>
      <c r="P196" s="34" t="str">
        <f>IF(MATCHER!F188="","",MATCHER!F188)</f>
        <v>P12</v>
      </c>
      <c r="Q196" s="34" t="str">
        <f>IF(MATCHER!K188="","",MATCHER!K188)</f>
        <v>Ja</v>
      </c>
      <c r="R196" s="34" t="str">
        <f>IF(K196="","",IF(Q196&lt;&gt;"Ja","Ej aktuell",IF(P196="SAKNAS","NY KLASS",IF(MATCHER!N188&lt;&gt;"Ja",MATCHER!N188,IF(COUNTIF($A$13:$A$220,K196)=0,"NY MATCH","Matchdag finns")))))</f>
        <v>Matchdag finns</v>
      </c>
    </row>
    <row r="197" spans="1:18" ht="13">
      <c r="A197" s="31">
        <v>530062</v>
      </c>
      <c r="B197" s="89">
        <v>46466</v>
      </c>
      <c r="C197" s="90">
        <v>0.375</v>
      </c>
      <c r="D197" s="31" t="s">
        <v>86</v>
      </c>
      <c r="E197" s="31" t="s">
        <v>414</v>
      </c>
      <c r="F197" s="31" t="str">
        <f t="shared" si="2"/>
        <v>Ja</v>
      </c>
      <c r="G197" s="91">
        <f>IFERROR(VLOOKUP(A197,MATCHER!$A$5:$M$504,2,FALSE()),"")</f>
        <v>46466</v>
      </c>
      <c r="H197" s="92">
        <f>IFERROR(VLOOKUP(A197,MATCHER!$A$5:$M$504,3,FALSE()),"")</f>
        <v>0.375</v>
      </c>
      <c r="I197" s="34" t="str">
        <f>IFERROR(VLOOKUP(A197,MATCHER!$A$5:$M$504,4,FALSE()),"")</f>
        <v>Ulriksdalshallen</v>
      </c>
      <c r="J197" s="34" t="str">
        <f>IF(F197&lt;&gt;"Ja","Ej aktuell",IF(COUNTIF(MATCHER!$A$5:$A$504,A197)=0,"BORTTAGEN MATCH",IF(AND(B197=G197,C197=H197,D197=I197),"Oförändrad",IF(AND(B197=G197,D197=I197),"ÄNDRAD TID","FLYTTAD MATCH"))))</f>
        <v>Oförändrad</v>
      </c>
      <c r="K197" s="34">
        <f>IF(MATCHER!A189="","",MATCHER!A189)</f>
        <v>530062</v>
      </c>
      <c r="L197" s="91">
        <f>IF(MATCHER!B189="","",MATCHER!B189)</f>
        <v>46466</v>
      </c>
      <c r="M197" s="92">
        <f>IF(MATCHER!C189="","",MATCHER!C189)</f>
        <v>0.375</v>
      </c>
      <c r="N197" s="34" t="str">
        <f>IF(MATCHER!D189="","",MATCHER!D189)</f>
        <v>Ulriksdalshallen</v>
      </c>
      <c r="O197" s="34" t="str">
        <f>IF(MATCHER!E189="","",MATCHER!E189)</f>
        <v>Arrangörsskap - Vårens spel - Omg4/ P10K F9M P9K/ 20-21mars</v>
      </c>
      <c r="P197" s="34" t="str">
        <f>IF(MATCHER!F189="","",MATCHER!F189)</f>
        <v>Kontrollera</v>
      </c>
      <c r="Q197" s="34" t="str">
        <f>IF(MATCHER!K189="","",MATCHER!K189)</f>
        <v>Ja</v>
      </c>
      <c r="R197" s="34" t="str">
        <f>IF(K197="","",IF(Q197&lt;&gt;"Ja","Ej aktuell",IF(P197="SAKNAS","NY KLASS",IF(MATCHER!N189&lt;&gt;"Ja",MATCHER!N189,IF(COUNTIF($A$13:$A$220,K197)=0,"NY MATCH","Matchdag finns")))))</f>
        <v>Matchdag finns</v>
      </c>
    </row>
    <row r="198" spans="1:18" ht="13">
      <c r="A198" s="31" t="s">
        <v>415</v>
      </c>
      <c r="B198" s="89">
        <v>46466</v>
      </c>
      <c r="C198" s="90">
        <v>0.55555555555555602</v>
      </c>
      <c r="D198" s="31" t="s">
        <v>86</v>
      </c>
      <c r="E198" s="31" t="s">
        <v>219</v>
      </c>
      <c r="F198" s="31" t="str">
        <f t="shared" si="2"/>
        <v>Ja</v>
      </c>
      <c r="G198" s="91">
        <f>IFERROR(VLOOKUP(A198,MATCHER!$A$5:$M$504,2,FALSE()),"")</f>
        <v>46466</v>
      </c>
      <c r="H198" s="92">
        <f>IFERROR(VLOOKUP(A198,MATCHER!$A$5:$M$504,3,FALSE()),"")</f>
        <v>0.55555555555555558</v>
      </c>
      <c r="I198" s="34" t="str">
        <f>IFERROR(VLOOKUP(A198,MATCHER!$A$5:$M$504,4,FALSE()),"")</f>
        <v>Ulriksdalshallen</v>
      </c>
      <c r="J198" s="34" t="str">
        <f>IF(F198&lt;&gt;"Ja","Ej aktuell",IF(COUNTIF(MATCHER!$A$5:$A$504,A198)=0,"BORTTAGEN MATCH",IF(AND(B198=G198,C198=H198,D198=I198),"Oförändrad",IF(AND(B198=G198,D198=I198),"ÄNDRAD TID","FLYTTAD MATCH"))))</f>
        <v>Oförändrad</v>
      </c>
      <c r="K198" s="34" t="str">
        <f>IF(MATCHER!A190="","",MATCHER!A190)</f>
        <v>26 6 1351 077</v>
      </c>
      <c r="L198" s="91">
        <f>IF(MATCHER!B190="","",MATCHER!B190)</f>
        <v>46466</v>
      </c>
      <c r="M198" s="92">
        <f>IF(MATCHER!C190="","",MATCHER!C190)</f>
        <v>0.55555555555555558</v>
      </c>
      <c r="N198" s="34" t="str">
        <f>IF(MATCHER!D190="","",MATCHER!D190)</f>
        <v>Ulriksdalshallen</v>
      </c>
      <c r="O198" s="34" t="str">
        <f>IF(MATCHER!E190="","",MATCHER!E190)</f>
        <v>Flickor - F13 Öst - F13 Nivå 1 Öst</v>
      </c>
      <c r="P198" s="34" t="str">
        <f>IF(MATCHER!F190="","",MATCHER!F190)</f>
        <v>F13</v>
      </c>
      <c r="Q198" s="34" t="str">
        <f>IF(MATCHER!K190="","",MATCHER!K190)</f>
        <v>Ja</v>
      </c>
      <c r="R198" s="34" t="str">
        <f>IF(K198="","",IF(Q198&lt;&gt;"Ja","Ej aktuell",IF(P198="SAKNAS","NY KLASS",IF(MATCHER!N190&lt;&gt;"Ja",MATCHER!N190,IF(COUNTIF($A$13:$A$220,K198)=0,"NY MATCH","Matchdag finns")))))</f>
        <v>Matchdag finns</v>
      </c>
    </row>
    <row r="199" spans="1:18" ht="13">
      <c r="A199" s="31" t="s">
        <v>416</v>
      </c>
      <c r="B199" s="89">
        <v>46466</v>
      </c>
      <c r="C199" s="90">
        <v>0.60416666666666696</v>
      </c>
      <c r="D199" s="31" t="s">
        <v>86</v>
      </c>
      <c r="E199" s="31" t="s">
        <v>221</v>
      </c>
      <c r="F199" s="31" t="str">
        <f t="shared" si="2"/>
        <v>Ja</v>
      </c>
      <c r="G199" s="91">
        <f>IFERROR(VLOOKUP(A199,MATCHER!$A$5:$M$504,2,FALSE()),"")</f>
        <v>46466</v>
      </c>
      <c r="H199" s="92">
        <f>IFERROR(VLOOKUP(A199,MATCHER!$A$5:$M$504,3,FALSE()),"")</f>
        <v>0.60416666666666663</v>
      </c>
      <c r="I199" s="34" t="str">
        <f>IFERROR(VLOOKUP(A199,MATCHER!$A$5:$M$504,4,FALSE()),"")</f>
        <v>Ulriksdalshallen</v>
      </c>
      <c r="J199" s="34" t="str">
        <f>IF(F199&lt;&gt;"Ja","Ej aktuell",IF(COUNTIF(MATCHER!$A$5:$A$504,A199)=0,"BORTTAGEN MATCH",IF(AND(B199=G199,C199=H199,D199=I199),"Oförändrad",IF(AND(B199=G199,D199=I199),"ÄNDRAD TID","FLYTTAD MATCH"))))</f>
        <v>Oförändrad</v>
      </c>
      <c r="K199" s="34" t="str">
        <f>IF(MATCHER!A191="","",MATCHER!A191)</f>
        <v>26 6 1352 116</v>
      </c>
      <c r="L199" s="91">
        <f>IF(MATCHER!B191="","",MATCHER!B191)</f>
        <v>46466</v>
      </c>
      <c r="M199" s="92">
        <f>IF(MATCHER!C191="","",MATCHER!C191)</f>
        <v>0.60416666666666663</v>
      </c>
      <c r="N199" s="34" t="str">
        <f>IF(MATCHER!D191="","",MATCHER!D191)</f>
        <v>Ulriksdalshallen</v>
      </c>
      <c r="O199" s="34" t="str">
        <f>IF(MATCHER!E191="","",MATCHER!E191)</f>
        <v>Flickor - F13 Öst - F13 Nivå 2 Öst Norra</v>
      </c>
      <c r="P199" s="34" t="str">
        <f>IF(MATCHER!F191="","",MATCHER!F191)</f>
        <v>F13</v>
      </c>
      <c r="Q199" s="34" t="str">
        <f>IF(MATCHER!K191="","",MATCHER!K191)</f>
        <v>Ja</v>
      </c>
      <c r="R199" s="34" t="str">
        <f>IF(K199="","",IF(Q199&lt;&gt;"Ja","Ej aktuell",IF(P199="SAKNAS","NY KLASS",IF(MATCHER!N191&lt;&gt;"Ja",MATCHER!N191,IF(COUNTIF($A$13:$A$220,K199)=0,"NY MATCH","Matchdag finns")))))</f>
        <v>Matchdag finns</v>
      </c>
    </row>
    <row r="200" spans="1:18" ht="13">
      <c r="A200" s="31" t="s">
        <v>417</v>
      </c>
      <c r="B200" s="89">
        <v>46466</v>
      </c>
      <c r="C200" s="90">
        <v>0.65277777777777801</v>
      </c>
      <c r="D200" s="31" t="s">
        <v>86</v>
      </c>
      <c r="E200" s="31" t="s">
        <v>229</v>
      </c>
      <c r="F200" s="31" t="str">
        <f t="shared" si="2"/>
        <v>Ja</v>
      </c>
      <c r="G200" s="91">
        <f>IFERROR(VLOOKUP(A200,MATCHER!$A$5:$M$504,2,FALSE()),"")</f>
        <v>46466</v>
      </c>
      <c r="H200" s="92">
        <f>IFERROR(VLOOKUP(A200,MATCHER!$A$5:$M$504,3,FALSE()),"")</f>
        <v>0.65277777777777779</v>
      </c>
      <c r="I200" s="34" t="str">
        <f>IFERROR(VLOOKUP(A200,MATCHER!$A$5:$M$504,4,FALSE()),"")</f>
        <v>Ulriksdalshallen</v>
      </c>
      <c r="J200" s="34" t="str">
        <f>IF(F200&lt;&gt;"Ja","Ej aktuell",IF(COUNTIF(MATCHER!$A$5:$A$504,A200)=0,"BORTTAGEN MATCH",IF(AND(B200=G200,C200=H200,D200=I200),"Oförändrad",IF(AND(B200=G200,D200=I200),"ÄNDRAD TID","FLYTTAD MATCH"))))</f>
        <v>Oförändrad</v>
      </c>
      <c r="K200" s="34" t="str">
        <f>IF(MATCHER!A192="","",MATCHER!A192)</f>
        <v>26 6 1343 054</v>
      </c>
      <c r="L200" s="91">
        <f>IF(MATCHER!B192="","",MATCHER!B192)</f>
        <v>46466</v>
      </c>
      <c r="M200" s="92">
        <f>IF(MATCHER!C192="","",MATCHER!C192)</f>
        <v>0.65277777777777779</v>
      </c>
      <c r="N200" s="34" t="str">
        <f>IF(MATCHER!D192="","",MATCHER!D192)</f>
        <v>Ulriksdalshallen</v>
      </c>
      <c r="O200" s="34" t="str">
        <f>IF(MATCHER!E192="","",MATCHER!E192)</f>
        <v>Flickor - F14 Öst - F14 Nivå 2 Öst Norra</v>
      </c>
      <c r="P200" s="34" t="str">
        <f>IF(MATCHER!F192="","",MATCHER!F192)</f>
        <v>F14</v>
      </c>
      <c r="Q200" s="34" t="str">
        <f>IF(MATCHER!K192="","",MATCHER!K192)</f>
        <v>Ja</v>
      </c>
      <c r="R200" s="34" t="str">
        <f>IF(K200="","",IF(Q200&lt;&gt;"Ja","Ej aktuell",IF(P200="SAKNAS","NY KLASS",IF(MATCHER!N192&lt;&gt;"Ja",MATCHER!N192,IF(COUNTIF($A$13:$A$220,K200)=0,"NY MATCH","Matchdag finns")))))</f>
        <v>Matchdag finns</v>
      </c>
    </row>
    <row r="201" spans="1:18" ht="13">
      <c r="A201" s="31" t="s">
        <v>418</v>
      </c>
      <c r="B201" s="89">
        <v>46490</v>
      </c>
      <c r="C201" s="90">
        <v>0.86458333333333304</v>
      </c>
      <c r="D201" s="31" t="s">
        <v>94</v>
      </c>
      <c r="E201" s="31" t="s">
        <v>213</v>
      </c>
      <c r="F201" s="31" t="str">
        <f t="shared" si="2"/>
        <v>Ja</v>
      </c>
      <c r="G201" s="91">
        <f>IFERROR(VLOOKUP(A201,MATCHER!$A$5:$M$504,2,FALSE()),"")</f>
        <v>46490</v>
      </c>
      <c r="H201" s="92">
        <f>IFERROR(VLOOKUP(A201,MATCHER!$A$5:$M$504,3,FALSE()),"")</f>
        <v>0.86458333333333337</v>
      </c>
      <c r="I201" s="34" t="str">
        <f>IFERROR(VLOOKUP(A201,MATCHER!$A$5:$M$504,4,FALSE()),"")</f>
        <v>Råsta Park</v>
      </c>
      <c r="J201" s="34" t="str">
        <f>IF(F201&lt;&gt;"Ja","Ej aktuell",IF(COUNTIF(MATCHER!$A$5:$A$504,A201)=0,"BORTTAGEN MATCH",IF(AND(B201=G201,C201=H201,D201=I201),"Oförändrad",IF(AND(B201=G201,D201=I201),"ÄNDRAD TID","FLYTTAD MATCH"))))</f>
        <v>Oförändrad</v>
      </c>
      <c r="K201" s="34" t="str">
        <f>IF(MATCHER!A193="","",MATCHER!A193)</f>
        <v>26 6 1311 108</v>
      </c>
      <c r="L201" s="91">
        <f>IF(MATCHER!B193="","",MATCHER!B193)</f>
        <v>46490</v>
      </c>
      <c r="M201" s="92">
        <f>IF(MATCHER!C193="","",MATCHER!C193)</f>
        <v>0.86458333333333337</v>
      </c>
      <c r="N201" s="34" t="str">
        <f>IF(MATCHER!D193="","",MATCHER!D193)</f>
        <v>Råsta Park</v>
      </c>
      <c r="O201" s="34" t="str">
        <f>IF(MATCHER!E193="","",MATCHER!E193)</f>
        <v>Flickor - F19 Öst - F19 Nivå 1 Öst</v>
      </c>
      <c r="P201" s="34" t="str">
        <f>IF(MATCHER!F193="","",MATCHER!F193)</f>
        <v>F19</v>
      </c>
      <c r="Q201" s="34" t="str">
        <f>IF(MATCHER!K193="","",MATCHER!K193)</f>
        <v>Ja</v>
      </c>
      <c r="R201" s="34" t="str">
        <f>IF(K201="","",IF(Q201&lt;&gt;"Ja","Ej aktuell",IF(P201="SAKNAS","NY KLASS",IF(MATCHER!N193&lt;&gt;"Ja",MATCHER!N193,IF(COUNTIF($A$13:$A$220,K201)=0,"NY MATCH","Matchdag finns")))))</f>
        <v>Matchdag finns</v>
      </c>
    </row>
    <row r="202" spans="1:18" ht="13">
      <c r="A202" s="31" t="s">
        <v>419</v>
      </c>
      <c r="B202" s="89">
        <v>46494</v>
      </c>
      <c r="C202" s="90">
        <v>0.51388888888888895</v>
      </c>
      <c r="D202" s="31" t="s">
        <v>94</v>
      </c>
      <c r="E202" s="31" t="s">
        <v>223</v>
      </c>
      <c r="F202" s="31" t="str">
        <f t="shared" si="2"/>
        <v>Ja</v>
      </c>
      <c r="G202" s="91">
        <f>IFERROR(VLOOKUP(A202,MATCHER!$A$5:$M$504,2,FALSE()),"")</f>
        <v>46494</v>
      </c>
      <c r="H202" s="92">
        <f>IFERROR(VLOOKUP(A202,MATCHER!$A$5:$M$504,3,FALSE()),"")</f>
        <v>0.51388888888888884</v>
      </c>
      <c r="I202" s="34" t="str">
        <f>IFERROR(VLOOKUP(A202,MATCHER!$A$5:$M$504,4,FALSE()),"")</f>
        <v>Råsta Park</v>
      </c>
      <c r="J202" s="34" t="str">
        <f>IF(F202&lt;&gt;"Ja","Ej aktuell",IF(COUNTIF(MATCHER!$A$5:$A$504,A202)=0,"BORTTAGEN MATCH",IF(AND(B202=G202,C202=H202,D202=I202),"Oförändrad",IF(AND(B202=G202,D202=I202),"ÄNDRAD TID","FLYTTAD MATCH"))))</f>
        <v>Oförändrad</v>
      </c>
      <c r="K202" s="34" t="str">
        <f>IF(MATCHER!A194="","",MATCHER!A194)</f>
        <v>26 6 1524 088</v>
      </c>
      <c r="L202" s="91">
        <f>IF(MATCHER!B194="","",MATCHER!B194)</f>
        <v>46494</v>
      </c>
      <c r="M202" s="92">
        <f>IF(MATCHER!C194="","",MATCHER!C194)</f>
        <v>0.51388888888888884</v>
      </c>
      <c r="N202" s="34" t="str">
        <f>IF(MATCHER!D194="","",MATCHER!D194)</f>
        <v>Råsta Park</v>
      </c>
      <c r="O202" s="34" t="str">
        <f>IF(MATCHER!E194="","",MATCHER!E194)</f>
        <v>Pojkar - P16 Öst - P16 Nivå 3 Öst</v>
      </c>
      <c r="P202" s="34" t="str">
        <f>IF(MATCHER!F194="","",MATCHER!F194)</f>
        <v>P16</v>
      </c>
      <c r="Q202" s="34" t="str">
        <f>IF(MATCHER!K194="","",MATCHER!K194)</f>
        <v>Ja</v>
      </c>
      <c r="R202" s="34" t="str">
        <f>IF(K202="","",IF(Q202&lt;&gt;"Ja","Ej aktuell",IF(P202="SAKNAS","NY KLASS",IF(MATCHER!N194&lt;&gt;"Ja",MATCHER!N194,IF(COUNTIF($A$13:$A$220,K202)=0,"NY MATCH","Matchdag finns")))))</f>
        <v>Matchdag finns</v>
      </c>
    </row>
    <row r="203" spans="1:18" ht="13">
      <c r="A203" s="31" t="s">
        <v>420</v>
      </c>
      <c r="B203" s="89">
        <v>46494</v>
      </c>
      <c r="C203" s="90">
        <v>0.56944444444444398</v>
      </c>
      <c r="D203" s="31" t="s">
        <v>94</v>
      </c>
      <c r="E203" s="31" t="s">
        <v>280</v>
      </c>
      <c r="F203" s="31" t="str">
        <f t="shared" si="2"/>
        <v>Ja</v>
      </c>
      <c r="G203" s="91">
        <f>IFERROR(VLOOKUP(A203,MATCHER!$A$5:$M$504,2,FALSE()),"")</f>
        <v>46494</v>
      </c>
      <c r="H203" s="92">
        <f>IFERROR(VLOOKUP(A203,MATCHER!$A$5:$M$504,3,FALSE()),"")</f>
        <v>0.56944444444444442</v>
      </c>
      <c r="I203" s="34" t="str">
        <f>IFERROR(VLOOKUP(A203,MATCHER!$A$5:$M$504,4,FALSE()),"")</f>
        <v>Råsta Park</v>
      </c>
      <c r="J203" s="34" t="str">
        <f>IF(F203&lt;&gt;"Ja","Ej aktuell",IF(COUNTIF(MATCHER!$A$5:$A$504,A203)=0,"BORTTAGEN MATCH",IF(AND(B203=G203,C203=H203,D203=I203),"Oförändrad",IF(AND(B203=G203,D203=I203),"ÄNDRAD TID","FLYTTAD MATCH"))))</f>
        <v>Oförändrad</v>
      </c>
      <c r="K203" s="34" t="str">
        <f>IF(MATCHER!A195="","",MATCHER!A195)</f>
        <v>26 6 1324 087</v>
      </c>
      <c r="L203" s="91">
        <f>IF(MATCHER!B195="","",MATCHER!B195)</f>
        <v>46494</v>
      </c>
      <c r="M203" s="92">
        <f>IF(MATCHER!C195="","",MATCHER!C195)</f>
        <v>0.56944444444444442</v>
      </c>
      <c r="N203" s="34" t="str">
        <f>IF(MATCHER!D195="","",MATCHER!D195)</f>
        <v>Råsta Park</v>
      </c>
      <c r="O203" s="34" t="str">
        <f>IF(MATCHER!E195="","",MATCHER!E195)</f>
        <v>Flickor - F16 Öst - F16 Nivå 3 Öst</v>
      </c>
      <c r="P203" s="34" t="str">
        <f>IF(MATCHER!F195="","",MATCHER!F195)</f>
        <v>F16</v>
      </c>
      <c r="Q203" s="34" t="str">
        <f>IF(MATCHER!K195="","",MATCHER!K195)</f>
        <v>Ja</v>
      </c>
      <c r="R203" s="34" t="str">
        <f>IF(K203="","",IF(Q203&lt;&gt;"Ja","Ej aktuell",IF(P203="SAKNAS","NY KLASS",IF(MATCHER!N195&lt;&gt;"Ja",MATCHER!N195,IF(COUNTIF($A$13:$A$220,K203)=0,"NY MATCH","Matchdag finns")))))</f>
        <v>Matchdag finns</v>
      </c>
    </row>
    <row r="204" spans="1:18" ht="13">
      <c r="A204" s="31" t="s">
        <v>421</v>
      </c>
      <c r="B204" s="89">
        <v>46494</v>
      </c>
      <c r="C204" s="90">
        <v>0.43055555555555602</v>
      </c>
      <c r="D204" s="31" t="s">
        <v>110</v>
      </c>
      <c r="E204" s="31" t="s">
        <v>221</v>
      </c>
      <c r="F204" s="31" t="str">
        <f t="shared" si="2"/>
        <v>Ja</v>
      </c>
      <c r="G204" s="91">
        <f>IFERROR(VLOOKUP(A204,MATCHER!$A$5:$M$504,2,FALSE()),"")</f>
        <v>46494</v>
      </c>
      <c r="H204" s="92">
        <f>IFERROR(VLOOKUP(A204,MATCHER!$A$5:$M$504,3,FALSE()),"")</f>
        <v>0.43055555555555558</v>
      </c>
      <c r="I204" s="34" t="str">
        <f>IFERROR(VLOOKUP(A204,MATCHER!$A$5:$M$504,4,FALSE()),"")</f>
        <v>Tallbackaskolan</v>
      </c>
      <c r="J204" s="34" t="str">
        <f>IF(F204&lt;&gt;"Ja","Ej aktuell",IF(COUNTIF(MATCHER!$A$5:$A$504,A204)=0,"BORTTAGEN MATCH",IF(AND(B204=G204,C204=H204,D204=I204),"Oförändrad",IF(AND(B204=G204,D204=I204),"ÄNDRAD TID","FLYTTAD MATCH"))))</f>
        <v>Oförändrad</v>
      </c>
      <c r="K204" s="34" t="str">
        <f>IF(MATCHER!A196="","",MATCHER!A196)</f>
        <v>26 6 1352 129</v>
      </c>
      <c r="L204" s="91">
        <f>IF(MATCHER!B196="","",MATCHER!B196)</f>
        <v>46494</v>
      </c>
      <c r="M204" s="92">
        <f>IF(MATCHER!C196="","",MATCHER!C196)</f>
        <v>0.43055555555555558</v>
      </c>
      <c r="N204" s="34" t="str">
        <f>IF(MATCHER!D196="","",MATCHER!D196)</f>
        <v>Tallbackaskolan</v>
      </c>
      <c r="O204" s="34" t="str">
        <f>IF(MATCHER!E196="","",MATCHER!E196)</f>
        <v>Flickor - F13 Öst - F13 Nivå 2 Öst Norra</v>
      </c>
      <c r="P204" s="34" t="str">
        <f>IF(MATCHER!F196="","",MATCHER!F196)</f>
        <v>F13</v>
      </c>
      <c r="Q204" s="34" t="str">
        <f>IF(MATCHER!K196="","",MATCHER!K196)</f>
        <v>Ja</v>
      </c>
      <c r="R204" s="34" t="str">
        <f>IF(K204="","",IF(Q204&lt;&gt;"Ja","Ej aktuell",IF(P204="SAKNAS","NY KLASS",IF(MATCHER!N196&lt;&gt;"Ja",MATCHER!N196,IF(COUNTIF($A$13:$A$220,K204)=0,"NY MATCH","Matchdag finns")))))</f>
        <v>Matchdag finns</v>
      </c>
    </row>
    <row r="205" spans="1:18" ht="13">
      <c r="A205" s="31" t="s">
        <v>422</v>
      </c>
      <c r="B205" s="89">
        <v>46494</v>
      </c>
      <c r="C205" s="90">
        <v>0.48958333333333298</v>
      </c>
      <c r="D205" s="31" t="s">
        <v>110</v>
      </c>
      <c r="E205" s="31" t="s">
        <v>219</v>
      </c>
      <c r="F205" s="31" t="str">
        <f t="shared" ref="F205:F220" si="3">IF(A205="","",IF(D205="Solnahallen","Nej","Ja"))</f>
        <v>Ja</v>
      </c>
      <c r="G205" s="91">
        <f>IFERROR(VLOOKUP(A205,MATCHER!$A$5:$M$504,2,FALSE()),"")</f>
        <v>46494</v>
      </c>
      <c r="H205" s="92">
        <f>IFERROR(VLOOKUP(A205,MATCHER!$A$5:$M$504,3,FALSE()),"")</f>
        <v>0.48958333333333331</v>
      </c>
      <c r="I205" s="34" t="str">
        <f>IFERROR(VLOOKUP(A205,MATCHER!$A$5:$M$504,4,FALSE()),"")</f>
        <v>Tallbackaskolan</v>
      </c>
      <c r="J205" s="34" t="str">
        <f>IF(F205&lt;&gt;"Ja","Ej aktuell",IF(COUNTIF(MATCHER!$A$5:$A$504,A205)=0,"BORTTAGEN MATCH",IF(AND(B205=G205,C205=H205,D205=I205),"Oförändrad",IF(AND(B205=G205,D205=I205),"ÄNDRAD TID","FLYTTAD MATCH"))))</f>
        <v>Oförändrad</v>
      </c>
      <c r="K205" s="34" t="str">
        <f>IF(MATCHER!A197="","",MATCHER!A197)</f>
        <v>26 6 1351 088</v>
      </c>
      <c r="L205" s="91">
        <f>IF(MATCHER!B197="","",MATCHER!B197)</f>
        <v>46494</v>
      </c>
      <c r="M205" s="92">
        <f>IF(MATCHER!C197="","",MATCHER!C197)</f>
        <v>0.48958333333333331</v>
      </c>
      <c r="N205" s="34" t="str">
        <f>IF(MATCHER!D197="","",MATCHER!D197)</f>
        <v>Tallbackaskolan</v>
      </c>
      <c r="O205" s="34" t="str">
        <f>IF(MATCHER!E197="","",MATCHER!E197)</f>
        <v>Flickor - F13 Öst - F13 Nivå 1 Öst</v>
      </c>
      <c r="P205" s="34" t="str">
        <f>IF(MATCHER!F197="","",MATCHER!F197)</f>
        <v>F13</v>
      </c>
      <c r="Q205" s="34" t="str">
        <f>IF(MATCHER!K197="","",MATCHER!K197)</f>
        <v>Ja</v>
      </c>
      <c r="R205" s="34" t="str">
        <f>IF(K205="","",IF(Q205&lt;&gt;"Ja","Ej aktuell",IF(P205="SAKNAS","NY KLASS",IF(MATCHER!N197&lt;&gt;"Ja",MATCHER!N197,IF(COUNTIF($A$13:$A$220,K205)=0,"NY MATCH","Matchdag finns")))))</f>
        <v>Matchdag finns</v>
      </c>
    </row>
    <row r="206" spans="1:18" ht="13">
      <c r="A206" s="31"/>
      <c r="B206" s="89"/>
      <c r="C206" s="90"/>
      <c r="D206" s="31"/>
      <c r="E206" s="31"/>
      <c r="F206" s="31" t="str">
        <f t="shared" si="3"/>
        <v/>
      </c>
      <c r="G206" s="91" t="str">
        <f>IFERROR(VLOOKUP(A206,MATCHER!$A$5:$M$504,2,FALSE()),"")</f>
        <v/>
      </c>
      <c r="H206" s="92" t="str">
        <f>IFERROR(VLOOKUP(A206,MATCHER!$A$5:$M$504,3,FALSE()),"")</f>
        <v/>
      </c>
      <c r="I206" s="34" t="str">
        <f>IFERROR(VLOOKUP(A206,MATCHER!$A$5:$M$504,4,FALSE()),"")</f>
        <v/>
      </c>
      <c r="J206" s="34" t="str">
        <f>IF(F206&lt;&gt;"Ja","Ej aktuell",IF(COUNTIF(MATCHER!$A$5:$A$504,A206)=0,"BORTTAGEN MATCH",IF(AND(B206=G206,C206=H206,D206=I206),"Oförändrad",IF(AND(B206=G206,D206=I206),"ÄNDRAD TID","FLYTTAD MATCH"))))</f>
        <v>Ej aktuell</v>
      </c>
      <c r="K206" s="34" t="str">
        <f>IF(MATCHER!A198="","",MATCHER!A198)</f>
        <v/>
      </c>
      <c r="L206" s="91" t="str">
        <f>IF(MATCHER!B198="","",MATCHER!B198)</f>
        <v/>
      </c>
      <c r="M206" s="92" t="str">
        <f>IF(MATCHER!C198="","",MATCHER!C198)</f>
        <v/>
      </c>
      <c r="N206" s="34" t="str">
        <f>IF(MATCHER!D198="","",MATCHER!D198)</f>
        <v/>
      </c>
      <c r="O206" s="34" t="str">
        <f>IF(MATCHER!E198="","",MATCHER!E198)</f>
        <v/>
      </c>
      <c r="P206" s="34" t="str">
        <f>IF(MATCHER!F198="","",MATCHER!F198)</f>
        <v/>
      </c>
      <c r="Q206" s="34" t="str">
        <f>IF(MATCHER!K198="","",MATCHER!K198)</f>
        <v/>
      </c>
      <c r="R206" s="34" t="str">
        <f>IF(K206="","",IF(Q206&lt;&gt;"Ja","Ej aktuell",IF(P206="SAKNAS","NY KLASS",IF(MATCHER!N198&lt;&gt;"Ja",MATCHER!N198,IF(COUNTIF($A$13:$A$220,K206)=0,"NY MATCH","Matchdag finns")))))</f>
        <v/>
      </c>
    </row>
    <row r="207" spans="1:18" ht="13">
      <c r="A207" s="31"/>
      <c r="B207" s="89"/>
      <c r="C207" s="90"/>
      <c r="D207" s="31"/>
      <c r="E207" s="31"/>
      <c r="F207" s="31" t="str">
        <f t="shared" si="3"/>
        <v/>
      </c>
      <c r="G207" s="91" t="str">
        <f>IFERROR(VLOOKUP(A207,MATCHER!$A$5:$M$504,2,FALSE()),"")</f>
        <v/>
      </c>
      <c r="H207" s="92" t="str">
        <f>IFERROR(VLOOKUP(A207,MATCHER!$A$5:$M$504,3,FALSE()),"")</f>
        <v/>
      </c>
      <c r="I207" s="34" t="str">
        <f>IFERROR(VLOOKUP(A207,MATCHER!$A$5:$M$504,4,FALSE()),"")</f>
        <v/>
      </c>
      <c r="J207" s="34" t="str">
        <f>IF(F207&lt;&gt;"Ja","Ej aktuell",IF(COUNTIF(MATCHER!$A$5:$A$504,A207)=0,"BORTTAGEN MATCH",IF(AND(B207=G207,C207=H207,D207=I207),"Oförändrad",IF(AND(B207=G207,D207=I207),"ÄNDRAD TID","FLYTTAD MATCH"))))</f>
        <v>Ej aktuell</v>
      </c>
      <c r="K207" s="34" t="str">
        <f>IF(MATCHER!A199="","",MATCHER!A199)</f>
        <v/>
      </c>
      <c r="L207" s="91" t="str">
        <f>IF(MATCHER!B199="","",MATCHER!B199)</f>
        <v/>
      </c>
      <c r="M207" s="92" t="str">
        <f>IF(MATCHER!C199="","",MATCHER!C199)</f>
        <v/>
      </c>
      <c r="N207" s="34" t="str">
        <f>IF(MATCHER!D199="","",MATCHER!D199)</f>
        <v/>
      </c>
      <c r="O207" s="34" t="str">
        <f>IF(MATCHER!E199="","",MATCHER!E199)</f>
        <v/>
      </c>
      <c r="P207" s="34" t="str">
        <f>IF(MATCHER!F199="","",MATCHER!F199)</f>
        <v/>
      </c>
      <c r="Q207" s="34" t="str">
        <f>IF(MATCHER!K199="","",MATCHER!K199)</f>
        <v/>
      </c>
      <c r="R207" s="34" t="str">
        <f>IF(K207="","",IF(Q207&lt;&gt;"Ja","Ej aktuell",IF(P207="SAKNAS","NY KLASS",IF(MATCHER!N199&lt;&gt;"Ja",MATCHER!N199,IF(COUNTIF($A$13:$A$220,K207)=0,"NY MATCH","Matchdag finns")))))</f>
        <v/>
      </c>
    </row>
    <row r="208" spans="1:18" ht="13">
      <c r="A208" s="31"/>
      <c r="B208" s="89"/>
      <c r="C208" s="90"/>
      <c r="D208" s="31"/>
      <c r="E208" s="31"/>
      <c r="F208" s="31" t="str">
        <f t="shared" si="3"/>
        <v/>
      </c>
      <c r="G208" s="91" t="str">
        <f>IFERROR(VLOOKUP(A208,MATCHER!$A$5:$M$504,2,FALSE()),"")</f>
        <v/>
      </c>
      <c r="H208" s="92" t="str">
        <f>IFERROR(VLOOKUP(A208,MATCHER!$A$5:$M$504,3,FALSE()),"")</f>
        <v/>
      </c>
      <c r="I208" s="34" t="str">
        <f>IFERROR(VLOOKUP(A208,MATCHER!$A$5:$M$504,4,FALSE()),"")</f>
        <v/>
      </c>
      <c r="J208" s="34" t="str">
        <f>IF(F208&lt;&gt;"Ja","Ej aktuell",IF(COUNTIF(MATCHER!$A$5:$A$504,A208)=0,"BORTTAGEN MATCH",IF(AND(B208=G208,C208=H208,D208=I208),"Oförändrad",IF(AND(B208=G208,D208=I208),"ÄNDRAD TID","FLYTTAD MATCH"))))</f>
        <v>Ej aktuell</v>
      </c>
      <c r="K208" s="34" t="str">
        <f>IF(MATCHER!A200="","",MATCHER!A200)</f>
        <v/>
      </c>
      <c r="L208" s="91" t="str">
        <f>IF(MATCHER!B200="","",MATCHER!B200)</f>
        <v/>
      </c>
      <c r="M208" s="92" t="str">
        <f>IF(MATCHER!C200="","",MATCHER!C200)</f>
        <v/>
      </c>
      <c r="N208" s="34" t="str">
        <f>IF(MATCHER!D200="","",MATCHER!D200)</f>
        <v/>
      </c>
      <c r="O208" s="34" t="str">
        <f>IF(MATCHER!E200="","",MATCHER!E200)</f>
        <v/>
      </c>
      <c r="P208" s="34" t="str">
        <f>IF(MATCHER!F200="","",MATCHER!F200)</f>
        <v/>
      </c>
      <c r="Q208" s="34" t="str">
        <f>IF(MATCHER!K200="","",MATCHER!K200)</f>
        <v/>
      </c>
      <c r="R208" s="34" t="str">
        <f>IF(K208="","",IF(Q208&lt;&gt;"Ja","Ej aktuell",IF(P208="SAKNAS","NY KLASS",IF(MATCHER!N200&lt;&gt;"Ja",MATCHER!N200,IF(COUNTIF($A$13:$A$220,K208)=0,"NY MATCH","Matchdag finns")))))</f>
        <v/>
      </c>
    </row>
    <row r="209" spans="1:18" ht="13">
      <c r="A209" s="31"/>
      <c r="B209" s="89"/>
      <c r="C209" s="90"/>
      <c r="D209" s="31"/>
      <c r="E209" s="31"/>
      <c r="F209" s="31" t="str">
        <f t="shared" si="3"/>
        <v/>
      </c>
      <c r="G209" s="91" t="str">
        <f>IFERROR(VLOOKUP(A209,MATCHER!$A$5:$M$504,2,FALSE()),"")</f>
        <v/>
      </c>
      <c r="H209" s="92" t="str">
        <f>IFERROR(VLOOKUP(A209,MATCHER!$A$5:$M$504,3,FALSE()),"")</f>
        <v/>
      </c>
      <c r="I209" s="34" t="str">
        <f>IFERROR(VLOOKUP(A209,MATCHER!$A$5:$M$504,4,FALSE()),"")</f>
        <v/>
      </c>
      <c r="J209" s="34" t="str">
        <f>IF(F209&lt;&gt;"Ja","Ej aktuell",IF(COUNTIF(MATCHER!$A$5:$A$504,A209)=0,"BORTTAGEN MATCH",IF(AND(B209=G209,C209=H209,D209=I209),"Oförändrad",IF(AND(B209=G209,D209=I209),"ÄNDRAD TID","FLYTTAD MATCH"))))</f>
        <v>Ej aktuell</v>
      </c>
      <c r="K209" s="34" t="str">
        <f>IF(MATCHER!A201="","",MATCHER!A201)</f>
        <v/>
      </c>
      <c r="L209" s="91" t="str">
        <f>IF(MATCHER!B201="","",MATCHER!B201)</f>
        <v/>
      </c>
      <c r="M209" s="92" t="str">
        <f>IF(MATCHER!C201="","",MATCHER!C201)</f>
        <v/>
      </c>
      <c r="N209" s="34" t="str">
        <f>IF(MATCHER!D201="","",MATCHER!D201)</f>
        <v/>
      </c>
      <c r="O209" s="34" t="str">
        <f>IF(MATCHER!E201="","",MATCHER!E201)</f>
        <v/>
      </c>
      <c r="P209" s="34" t="str">
        <f>IF(MATCHER!F201="","",MATCHER!F201)</f>
        <v/>
      </c>
      <c r="Q209" s="34" t="str">
        <f>IF(MATCHER!K201="","",MATCHER!K201)</f>
        <v/>
      </c>
      <c r="R209" s="34" t="str">
        <f>IF(K209="","",IF(Q209&lt;&gt;"Ja","Ej aktuell",IF(P209="SAKNAS","NY KLASS",IF(MATCHER!N201&lt;&gt;"Ja",MATCHER!N201,IF(COUNTIF($A$13:$A$220,K209)=0,"NY MATCH","Matchdag finns")))))</f>
        <v/>
      </c>
    </row>
    <row r="210" spans="1:18" ht="13">
      <c r="A210" s="31"/>
      <c r="B210" s="89"/>
      <c r="C210" s="90"/>
      <c r="D210" s="31"/>
      <c r="E210" s="31"/>
      <c r="F210" s="31" t="str">
        <f t="shared" si="3"/>
        <v/>
      </c>
      <c r="G210" s="91" t="str">
        <f>IFERROR(VLOOKUP(A210,MATCHER!$A$5:$M$504,2,FALSE()),"")</f>
        <v/>
      </c>
      <c r="H210" s="92" t="str">
        <f>IFERROR(VLOOKUP(A210,MATCHER!$A$5:$M$504,3,FALSE()),"")</f>
        <v/>
      </c>
      <c r="I210" s="34" t="str">
        <f>IFERROR(VLOOKUP(A210,MATCHER!$A$5:$M$504,4,FALSE()),"")</f>
        <v/>
      </c>
      <c r="J210" s="34" t="str">
        <f>IF(F210&lt;&gt;"Ja","Ej aktuell",IF(COUNTIF(MATCHER!$A$5:$A$504,A210)=0,"BORTTAGEN MATCH",IF(AND(B210=G210,C210=H210,D210=I210),"Oförändrad",IF(AND(B210=G210,D210=I210),"ÄNDRAD TID","FLYTTAD MATCH"))))</f>
        <v>Ej aktuell</v>
      </c>
      <c r="K210" s="34" t="str">
        <f>IF(MATCHER!A202="","",MATCHER!A202)</f>
        <v/>
      </c>
      <c r="L210" s="91" t="str">
        <f>IF(MATCHER!B202="","",MATCHER!B202)</f>
        <v/>
      </c>
      <c r="M210" s="92" t="str">
        <f>IF(MATCHER!C202="","",MATCHER!C202)</f>
        <v/>
      </c>
      <c r="N210" s="34" t="str">
        <f>IF(MATCHER!D202="","",MATCHER!D202)</f>
        <v/>
      </c>
      <c r="O210" s="34" t="str">
        <f>IF(MATCHER!E202="","",MATCHER!E202)</f>
        <v/>
      </c>
      <c r="P210" s="34" t="str">
        <f>IF(MATCHER!F202="","",MATCHER!F202)</f>
        <v/>
      </c>
      <c r="Q210" s="34" t="str">
        <f>IF(MATCHER!K202="","",MATCHER!K202)</f>
        <v/>
      </c>
      <c r="R210" s="34" t="str">
        <f>IF(K210="","",IF(Q210&lt;&gt;"Ja","Ej aktuell",IF(P210="SAKNAS","NY KLASS",IF(MATCHER!N202&lt;&gt;"Ja",MATCHER!N202,IF(COUNTIF($A$13:$A$220,K210)=0,"NY MATCH","Matchdag finns")))))</f>
        <v/>
      </c>
    </row>
    <row r="211" spans="1:18" ht="13">
      <c r="A211" s="31"/>
      <c r="B211" s="89"/>
      <c r="C211" s="90"/>
      <c r="D211" s="31"/>
      <c r="E211" s="31"/>
      <c r="F211" s="31" t="str">
        <f t="shared" si="3"/>
        <v/>
      </c>
      <c r="G211" s="91" t="str">
        <f>IFERROR(VLOOKUP(A211,MATCHER!$A$5:$M$504,2,FALSE()),"")</f>
        <v/>
      </c>
      <c r="H211" s="92" t="str">
        <f>IFERROR(VLOOKUP(A211,MATCHER!$A$5:$M$504,3,FALSE()),"")</f>
        <v/>
      </c>
      <c r="I211" s="34" t="str">
        <f>IFERROR(VLOOKUP(A211,MATCHER!$A$5:$M$504,4,FALSE()),"")</f>
        <v/>
      </c>
      <c r="J211" s="34" t="str">
        <f>IF(F211&lt;&gt;"Ja","Ej aktuell",IF(COUNTIF(MATCHER!$A$5:$A$504,A211)=0,"BORTTAGEN MATCH",IF(AND(B211=G211,C211=H211,D211=I211),"Oförändrad",IF(AND(B211=G211,D211=I211),"ÄNDRAD TID","FLYTTAD MATCH"))))</f>
        <v>Ej aktuell</v>
      </c>
      <c r="K211" s="34" t="str">
        <f>IF(MATCHER!A203="","",MATCHER!A203)</f>
        <v/>
      </c>
      <c r="L211" s="91" t="str">
        <f>IF(MATCHER!B203="","",MATCHER!B203)</f>
        <v/>
      </c>
      <c r="M211" s="92" t="str">
        <f>IF(MATCHER!C203="","",MATCHER!C203)</f>
        <v/>
      </c>
      <c r="N211" s="34" t="str">
        <f>IF(MATCHER!D203="","",MATCHER!D203)</f>
        <v/>
      </c>
      <c r="O211" s="34" t="str">
        <f>IF(MATCHER!E203="","",MATCHER!E203)</f>
        <v/>
      </c>
      <c r="P211" s="34" t="str">
        <f>IF(MATCHER!F203="","",MATCHER!F203)</f>
        <v/>
      </c>
      <c r="Q211" s="34" t="str">
        <f>IF(MATCHER!K203="","",MATCHER!K203)</f>
        <v/>
      </c>
      <c r="R211" s="34" t="str">
        <f>IF(K211="","",IF(Q211&lt;&gt;"Ja","Ej aktuell",IF(P211="SAKNAS","NY KLASS",IF(MATCHER!N203&lt;&gt;"Ja",MATCHER!N203,IF(COUNTIF($A$13:$A$220,K211)=0,"NY MATCH","Matchdag finns")))))</f>
        <v/>
      </c>
    </row>
    <row r="212" spans="1:18" ht="13">
      <c r="A212" s="31"/>
      <c r="B212" s="89"/>
      <c r="C212" s="90"/>
      <c r="D212" s="31"/>
      <c r="E212" s="31"/>
      <c r="F212" s="31" t="str">
        <f t="shared" si="3"/>
        <v/>
      </c>
      <c r="G212" s="91" t="str">
        <f>IFERROR(VLOOKUP(A212,MATCHER!$A$5:$M$504,2,FALSE()),"")</f>
        <v/>
      </c>
      <c r="H212" s="92" t="str">
        <f>IFERROR(VLOOKUP(A212,MATCHER!$A$5:$M$504,3,FALSE()),"")</f>
        <v/>
      </c>
      <c r="I212" s="34" t="str">
        <f>IFERROR(VLOOKUP(A212,MATCHER!$A$5:$M$504,4,FALSE()),"")</f>
        <v/>
      </c>
      <c r="J212" s="34" t="str">
        <f>IF(F212&lt;&gt;"Ja","Ej aktuell",IF(COUNTIF(MATCHER!$A$5:$A$504,A212)=0,"BORTTAGEN MATCH",IF(AND(B212=G212,C212=H212,D212=I212),"Oförändrad",IF(AND(B212=G212,D212=I212),"ÄNDRAD TID","FLYTTAD MATCH"))))</f>
        <v>Ej aktuell</v>
      </c>
      <c r="K212" s="34" t="str">
        <f>IF(MATCHER!A204="","",MATCHER!A204)</f>
        <v/>
      </c>
      <c r="L212" s="91" t="str">
        <f>IF(MATCHER!B204="","",MATCHER!B204)</f>
        <v/>
      </c>
      <c r="M212" s="92" t="str">
        <f>IF(MATCHER!C204="","",MATCHER!C204)</f>
        <v/>
      </c>
      <c r="N212" s="34" t="str">
        <f>IF(MATCHER!D204="","",MATCHER!D204)</f>
        <v/>
      </c>
      <c r="O212" s="34" t="str">
        <f>IF(MATCHER!E204="","",MATCHER!E204)</f>
        <v/>
      </c>
      <c r="P212" s="34" t="str">
        <f>IF(MATCHER!F204="","",MATCHER!F204)</f>
        <v/>
      </c>
      <c r="Q212" s="34" t="str">
        <f>IF(MATCHER!K204="","",MATCHER!K204)</f>
        <v/>
      </c>
      <c r="R212" s="34" t="str">
        <f>IF(K212="","",IF(Q212&lt;&gt;"Ja","Ej aktuell",IF(P212="SAKNAS","NY KLASS",IF(MATCHER!N204&lt;&gt;"Ja",MATCHER!N204,IF(COUNTIF($A$13:$A$220,K212)=0,"NY MATCH","Matchdag finns")))))</f>
        <v/>
      </c>
    </row>
    <row r="213" spans="1:18" ht="13">
      <c r="A213" s="31"/>
      <c r="B213" s="89"/>
      <c r="C213" s="90"/>
      <c r="D213" s="31"/>
      <c r="E213" s="31"/>
      <c r="F213" s="31" t="str">
        <f t="shared" si="3"/>
        <v/>
      </c>
      <c r="G213" s="91" t="str">
        <f>IFERROR(VLOOKUP(A213,MATCHER!$A$5:$M$504,2,FALSE()),"")</f>
        <v/>
      </c>
      <c r="H213" s="92" t="str">
        <f>IFERROR(VLOOKUP(A213,MATCHER!$A$5:$M$504,3,FALSE()),"")</f>
        <v/>
      </c>
      <c r="I213" s="34" t="str">
        <f>IFERROR(VLOOKUP(A213,MATCHER!$A$5:$M$504,4,FALSE()),"")</f>
        <v/>
      </c>
      <c r="J213" s="34" t="str">
        <f>IF(F213&lt;&gt;"Ja","Ej aktuell",IF(COUNTIF(MATCHER!$A$5:$A$504,A213)=0,"BORTTAGEN MATCH",IF(AND(B213=G213,C213=H213,D213=I213),"Oförändrad",IF(AND(B213=G213,D213=I213),"ÄNDRAD TID","FLYTTAD MATCH"))))</f>
        <v>Ej aktuell</v>
      </c>
      <c r="K213" s="34" t="str">
        <f>IF(MATCHER!A205="","",MATCHER!A205)</f>
        <v/>
      </c>
      <c r="L213" s="91" t="str">
        <f>IF(MATCHER!B205="","",MATCHER!B205)</f>
        <v/>
      </c>
      <c r="M213" s="92" t="str">
        <f>IF(MATCHER!C205="","",MATCHER!C205)</f>
        <v/>
      </c>
      <c r="N213" s="34" t="str">
        <f>IF(MATCHER!D205="","",MATCHER!D205)</f>
        <v/>
      </c>
      <c r="O213" s="34" t="str">
        <f>IF(MATCHER!E205="","",MATCHER!E205)</f>
        <v/>
      </c>
      <c r="P213" s="34" t="str">
        <f>IF(MATCHER!F205="","",MATCHER!F205)</f>
        <v/>
      </c>
      <c r="Q213" s="34" t="str">
        <f>IF(MATCHER!K205="","",MATCHER!K205)</f>
        <v/>
      </c>
      <c r="R213" s="34" t="str">
        <f>IF(K213="","",IF(Q213&lt;&gt;"Ja","Ej aktuell",IF(P213="SAKNAS","NY KLASS",IF(MATCHER!N205&lt;&gt;"Ja",MATCHER!N205,IF(COUNTIF($A$13:$A$220,K213)=0,"NY MATCH","Matchdag finns")))))</f>
        <v/>
      </c>
    </row>
    <row r="214" spans="1:18" ht="13">
      <c r="A214" s="31"/>
      <c r="B214" s="89"/>
      <c r="C214" s="90"/>
      <c r="D214" s="31"/>
      <c r="E214" s="31"/>
      <c r="F214" s="31" t="str">
        <f t="shared" si="3"/>
        <v/>
      </c>
      <c r="G214" s="91" t="str">
        <f>IFERROR(VLOOKUP(A214,MATCHER!$A$5:$M$504,2,FALSE()),"")</f>
        <v/>
      </c>
      <c r="H214" s="92" t="str">
        <f>IFERROR(VLOOKUP(A214,MATCHER!$A$5:$M$504,3,FALSE()),"")</f>
        <v/>
      </c>
      <c r="I214" s="34" t="str">
        <f>IFERROR(VLOOKUP(A214,MATCHER!$A$5:$M$504,4,FALSE()),"")</f>
        <v/>
      </c>
      <c r="J214" s="34" t="str">
        <f>IF(F214&lt;&gt;"Ja","Ej aktuell",IF(COUNTIF(MATCHER!$A$5:$A$504,A214)=0,"BORTTAGEN MATCH",IF(AND(B214=G214,C214=H214,D214=I214),"Oförändrad",IF(AND(B214=G214,D214=I214),"ÄNDRAD TID","FLYTTAD MATCH"))))</f>
        <v>Ej aktuell</v>
      </c>
      <c r="K214" s="34" t="str">
        <f>IF(MATCHER!A206="","",MATCHER!A206)</f>
        <v/>
      </c>
      <c r="L214" s="91" t="str">
        <f>IF(MATCHER!B206="","",MATCHER!B206)</f>
        <v/>
      </c>
      <c r="M214" s="92" t="str">
        <f>IF(MATCHER!C206="","",MATCHER!C206)</f>
        <v/>
      </c>
      <c r="N214" s="34" t="str">
        <f>IF(MATCHER!D206="","",MATCHER!D206)</f>
        <v/>
      </c>
      <c r="O214" s="34" t="str">
        <f>IF(MATCHER!E206="","",MATCHER!E206)</f>
        <v/>
      </c>
      <c r="P214" s="34" t="str">
        <f>IF(MATCHER!F206="","",MATCHER!F206)</f>
        <v/>
      </c>
      <c r="Q214" s="34" t="str">
        <f>IF(MATCHER!K206="","",MATCHER!K206)</f>
        <v/>
      </c>
      <c r="R214" s="34" t="str">
        <f>IF(K214="","",IF(Q214&lt;&gt;"Ja","Ej aktuell",IF(P214="SAKNAS","NY KLASS",IF(MATCHER!N206&lt;&gt;"Ja",MATCHER!N206,IF(COUNTIF($A$13:$A$220,K214)=0,"NY MATCH","Matchdag finns")))))</f>
        <v/>
      </c>
    </row>
    <row r="215" spans="1:18" ht="13">
      <c r="A215" s="31"/>
      <c r="B215" s="89"/>
      <c r="C215" s="90"/>
      <c r="D215" s="31"/>
      <c r="E215" s="31"/>
      <c r="F215" s="31" t="str">
        <f t="shared" si="3"/>
        <v/>
      </c>
      <c r="G215" s="91" t="str">
        <f>IFERROR(VLOOKUP(A215,MATCHER!$A$5:$M$504,2,FALSE()),"")</f>
        <v/>
      </c>
      <c r="H215" s="92" t="str">
        <f>IFERROR(VLOOKUP(A215,MATCHER!$A$5:$M$504,3,FALSE()),"")</f>
        <v/>
      </c>
      <c r="I215" s="34" t="str">
        <f>IFERROR(VLOOKUP(A215,MATCHER!$A$5:$M$504,4,FALSE()),"")</f>
        <v/>
      </c>
      <c r="J215" s="34" t="str">
        <f>IF(F215&lt;&gt;"Ja","Ej aktuell",IF(COUNTIF(MATCHER!$A$5:$A$504,A215)=0,"BORTTAGEN MATCH",IF(AND(B215=G215,C215=H215,D215=I215),"Oförändrad",IF(AND(B215=G215,D215=I215),"ÄNDRAD TID","FLYTTAD MATCH"))))</f>
        <v>Ej aktuell</v>
      </c>
      <c r="K215" s="34" t="str">
        <f>IF(MATCHER!A207="","",MATCHER!A207)</f>
        <v/>
      </c>
      <c r="L215" s="91" t="str">
        <f>IF(MATCHER!B207="","",MATCHER!B207)</f>
        <v/>
      </c>
      <c r="M215" s="92" t="str">
        <f>IF(MATCHER!C207="","",MATCHER!C207)</f>
        <v/>
      </c>
      <c r="N215" s="34" t="str">
        <f>IF(MATCHER!D207="","",MATCHER!D207)</f>
        <v/>
      </c>
      <c r="O215" s="34" t="str">
        <f>IF(MATCHER!E207="","",MATCHER!E207)</f>
        <v/>
      </c>
      <c r="P215" s="34" t="str">
        <f>IF(MATCHER!F207="","",MATCHER!F207)</f>
        <v/>
      </c>
      <c r="Q215" s="34" t="str">
        <f>IF(MATCHER!K207="","",MATCHER!K207)</f>
        <v/>
      </c>
      <c r="R215" s="34" t="str">
        <f>IF(K215="","",IF(Q215&lt;&gt;"Ja","Ej aktuell",IF(P215="SAKNAS","NY KLASS",IF(MATCHER!N207&lt;&gt;"Ja",MATCHER!N207,IF(COUNTIF($A$13:$A$220,K215)=0,"NY MATCH","Matchdag finns")))))</f>
        <v/>
      </c>
    </row>
    <row r="216" spans="1:18" ht="13">
      <c r="A216" s="31"/>
      <c r="B216" s="89"/>
      <c r="C216" s="90"/>
      <c r="D216" s="31"/>
      <c r="E216" s="31"/>
      <c r="F216" s="31" t="str">
        <f t="shared" si="3"/>
        <v/>
      </c>
      <c r="G216" s="91" t="str">
        <f>IFERROR(VLOOKUP(A216,MATCHER!$A$5:$M$504,2,FALSE()),"")</f>
        <v/>
      </c>
      <c r="H216" s="92" t="str">
        <f>IFERROR(VLOOKUP(A216,MATCHER!$A$5:$M$504,3,FALSE()),"")</f>
        <v/>
      </c>
      <c r="I216" s="34" t="str">
        <f>IFERROR(VLOOKUP(A216,MATCHER!$A$5:$M$504,4,FALSE()),"")</f>
        <v/>
      </c>
      <c r="J216" s="34" t="str">
        <f>IF(F216&lt;&gt;"Ja","Ej aktuell",IF(COUNTIF(MATCHER!$A$5:$A$504,A216)=0,"BORTTAGEN MATCH",IF(AND(B216=G216,C216=H216,D216=I216),"Oförändrad",IF(AND(B216=G216,D216=I216),"ÄNDRAD TID","FLYTTAD MATCH"))))</f>
        <v>Ej aktuell</v>
      </c>
      <c r="K216" s="34" t="str">
        <f>IF(MATCHER!A208="","",MATCHER!A208)</f>
        <v/>
      </c>
      <c r="L216" s="91" t="str">
        <f>IF(MATCHER!B208="","",MATCHER!B208)</f>
        <v/>
      </c>
      <c r="M216" s="92" t="str">
        <f>IF(MATCHER!C208="","",MATCHER!C208)</f>
        <v/>
      </c>
      <c r="N216" s="34" t="str">
        <f>IF(MATCHER!D208="","",MATCHER!D208)</f>
        <v/>
      </c>
      <c r="O216" s="34" t="str">
        <f>IF(MATCHER!E208="","",MATCHER!E208)</f>
        <v/>
      </c>
      <c r="P216" s="34" t="str">
        <f>IF(MATCHER!F208="","",MATCHER!F208)</f>
        <v/>
      </c>
      <c r="Q216" s="34" t="str">
        <f>IF(MATCHER!K208="","",MATCHER!K208)</f>
        <v/>
      </c>
      <c r="R216" s="34" t="str">
        <f>IF(K216="","",IF(Q216&lt;&gt;"Ja","Ej aktuell",IF(P216="SAKNAS","NY KLASS",IF(MATCHER!N208&lt;&gt;"Ja",MATCHER!N208,IF(COUNTIF($A$13:$A$220,K216)=0,"NY MATCH","Matchdag finns")))))</f>
        <v/>
      </c>
    </row>
    <row r="217" spans="1:18" ht="13">
      <c r="A217" s="31"/>
      <c r="B217" s="89"/>
      <c r="C217" s="90"/>
      <c r="D217" s="31"/>
      <c r="E217" s="31"/>
      <c r="F217" s="31" t="str">
        <f t="shared" si="3"/>
        <v/>
      </c>
      <c r="G217" s="91" t="str">
        <f>IFERROR(VLOOKUP(A217,MATCHER!$A$5:$M$504,2,FALSE()),"")</f>
        <v/>
      </c>
      <c r="H217" s="92" t="str">
        <f>IFERROR(VLOOKUP(A217,MATCHER!$A$5:$M$504,3,FALSE()),"")</f>
        <v/>
      </c>
      <c r="I217" s="34" t="str">
        <f>IFERROR(VLOOKUP(A217,MATCHER!$A$5:$M$504,4,FALSE()),"")</f>
        <v/>
      </c>
      <c r="J217" s="34" t="str">
        <f>IF(F217&lt;&gt;"Ja","Ej aktuell",IF(COUNTIF(MATCHER!$A$5:$A$504,A217)=0,"BORTTAGEN MATCH",IF(AND(B217=G217,C217=H217,D217=I217),"Oförändrad",IF(AND(B217=G217,D217=I217),"ÄNDRAD TID","FLYTTAD MATCH"))))</f>
        <v>Ej aktuell</v>
      </c>
      <c r="K217" s="34" t="str">
        <f>IF(MATCHER!A209="","",MATCHER!A209)</f>
        <v/>
      </c>
      <c r="L217" s="91" t="str">
        <f>IF(MATCHER!B209="","",MATCHER!B209)</f>
        <v/>
      </c>
      <c r="M217" s="92" t="str">
        <f>IF(MATCHER!C209="","",MATCHER!C209)</f>
        <v/>
      </c>
      <c r="N217" s="34" t="str">
        <f>IF(MATCHER!D209="","",MATCHER!D209)</f>
        <v/>
      </c>
      <c r="O217" s="34" t="str">
        <f>IF(MATCHER!E209="","",MATCHER!E209)</f>
        <v/>
      </c>
      <c r="P217" s="34" t="str">
        <f>IF(MATCHER!F209="","",MATCHER!F209)</f>
        <v/>
      </c>
      <c r="Q217" s="34" t="str">
        <f>IF(MATCHER!K209="","",MATCHER!K209)</f>
        <v/>
      </c>
      <c r="R217" s="34" t="str">
        <f>IF(K217="","",IF(Q217&lt;&gt;"Ja","Ej aktuell",IF(P217="SAKNAS","NY KLASS",IF(MATCHER!N209&lt;&gt;"Ja",MATCHER!N209,IF(COUNTIF($A$13:$A$220,K217)=0,"NY MATCH","Matchdag finns")))))</f>
        <v/>
      </c>
    </row>
    <row r="218" spans="1:18" ht="13">
      <c r="A218" s="31"/>
      <c r="B218" s="89"/>
      <c r="C218" s="90"/>
      <c r="D218" s="31"/>
      <c r="E218" s="31"/>
      <c r="F218" s="31" t="str">
        <f t="shared" si="3"/>
        <v/>
      </c>
      <c r="G218" s="91" t="str">
        <f>IFERROR(VLOOKUP(A218,MATCHER!$A$5:$M$504,2,FALSE()),"")</f>
        <v/>
      </c>
      <c r="H218" s="92" t="str">
        <f>IFERROR(VLOOKUP(A218,MATCHER!$A$5:$M$504,3,FALSE()),"")</f>
        <v/>
      </c>
      <c r="I218" s="34" t="str">
        <f>IFERROR(VLOOKUP(A218,MATCHER!$A$5:$M$504,4,FALSE()),"")</f>
        <v/>
      </c>
      <c r="J218" s="34" t="str">
        <f>IF(F218&lt;&gt;"Ja","Ej aktuell",IF(COUNTIF(MATCHER!$A$5:$A$504,A218)=0,"BORTTAGEN MATCH",IF(AND(B218=G218,C218=H218,D218=I218),"Oförändrad",IF(AND(B218=G218,D218=I218),"ÄNDRAD TID","FLYTTAD MATCH"))))</f>
        <v>Ej aktuell</v>
      </c>
      <c r="K218" s="34" t="str">
        <f>IF(MATCHER!A210="","",MATCHER!A210)</f>
        <v/>
      </c>
      <c r="L218" s="91" t="str">
        <f>IF(MATCHER!B210="","",MATCHER!B210)</f>
        <v/>
      </c>
      <c r="M218" s="92" t="str">
        <f>IF(MATCHER!C210="","",MATCHER!C210)</f>
        <v/>
      </c>
      <c r="N218" s="34" t="str">
        <f>IF(MATCHER!D210="","",MATCHER!D210)</f>
        <v/>
      </c>
      <c r="O218" s="34" t="str">
        <f>IF(MATCHER!E210="","",MATCHER!E210)</f>
        <v/>
      </c>
      <c r="P218" s="34" t="str">
        <f>IF(MATCHER!F210="","",MATCHER!F210)</f>
        <v/>
      </c>
      <c r="Q218" s="34" t="str">
        <f>IF(MATCHER!K210="","",MATCHER!K210)</f>
        <v/>
      </c>
      <c r="R218" s="34" t="str">
        <f>IF(K218="","",IF(Q218&lt;&gt;"Ja","Ej aktuell",IF(P218="SAKNAS","NY KLASS",IF(MATCHER!N210&lt;&gt;"Ja",MATCHER!N210,IF(COUNTIF($A$13:$A$220,K218)=0,"NY MATCH","Matchdag finns")))))</f>
        <v/>
      </c>
    </row>
    <row r="219" spans="1:18" ht="13">
      <c r="A219" s="31"/>
      <c r="B219" s="89"/>
      <c r="C219" s="90"/>
      <c r="D219" s="31"/>
      <c r="E219" s="31"/>
      <c r="F219" s="31" t="str">
        <f t="shared" si="3"/>
        <v/>
      </c>
      <c r="G219" s="91" t="str">
        <f>IFERROR(VLOOKUP(A219,MATCHER!$A$5:$M$504,2,FALSE()),"")</f>
        <v/>
      </c>
      <c r="H219" s="92" t="str">
        <f>IFERROR(VLOOKUP(A219,MATCHER!$A$5:$M$504,3,FALSE()),"")</f>
        <v/>
      </c>
      <c r="I219" s="34" t="str">
        <f>IFERROR(VLOOKUP(A219,MATCHER!$A$5:$M$504,4,FALSE()),"")</f>
        <v/>
      </c>
      <c r="J219" s="34" t="str">
        <f>IF(F219&lt;&gt;"Ja","Ej aktuell",IF(COUNTIF(MATCHER!$A$5:$A$504,A219)=0,"BORTTAGEN MATCH",IF(AND(B219=G219,C219=H219,D219=I219),"Oförändrad",IF(AND(B219=G219,D219=I219),"ÄNDRAD TID","FLYTTAD MATCH"))))</f>
        <v>Ej aktuell</v>
      </c>
      <c r="K219" s="34" t="str">
        <f>IF(MATCHER!A211="","",MATCHER!A211)</f>
        <v/>
      </c>
      <c r="L219" s="91" t="str">
        <f>IF(MATCHER!B211="","",MATCHER!B211)</f>
        <v/>
      </c>
      <c r="M219" s="92" t="str">
        <f>IF(MATCHER!C211="","",MATCHER!C211)</f>
        <v/>
      </c>
      <c r="N219" s="34" t="str">
        <f>IF(MATCHER!D211="","",MATCHER!D211)</f>
        <v/>
      </c>
      <c r="O219" s="34" t="str">
        <f>IF(MATCHER!E211="","",MATCHER!E211)</f>
        <v/>
      </c>
      <c r="P219" s="34" t="str">
        <f>IF(MATCHER!F211="","",MATCHER!F211)</f>
        <v/>
      </c>
      <c r="Q219" s="34" t="str">
        <f>IF(MATCHER!K211="","",MATCHER!K211)</f>
        <v/>
      </c>
      <c r="R219" s="34" t="str">
        <f>IF(K219="","",IF(Q219&lt;&gt;"Ja","Ej aktuell",IF(P219="SAKNAS","NY KLASS",IF(MATCHER!N211&lt;&gt;"Ja",MATCHER!N211,IF(COUNTIF($A$13:$A$220,K219)=0,"NY MATCH","Matchdag finns")))))</f>
        <v/>
      </c>
    </row>
    <row r="220" spans="1:18" ht="13">
      <c r="A220" s="31"/>
      <c r="B220" s="89"/>
      <c r="C220" s="90"/>
      <c r="D220" s="31"/>
      <c r="E220" s="31"/>
      <c r="F220" s="31" t="str">
        <f t="shared" si="3"/>
        <v/>
      </c>
      <c r="G220" s="91" t="str">
        <f>IFERROR(VLOOKUP(A220,MATCHER!$A$5:$M$504,2,FALSE()),"")</f>
        <v/>
      </c>
      <c r="H220" s="92" t="str">
        <f>IFERROR(VLOOKUP(A220,MATCHER!$A$5:$M$504,3,FALSE()),"")</f>
        <v/>
      </c>
      <c r="I220" s="34" t="str">
        <f>IFERROR(VLOOKUP(A220,MATCHER!$A$5:$M$504,4,FALSE()),"")</f>
        <v/>
      </c>
      <c r="J220" s="34" t="str">
        <f>IF(F220&lt;&gt;"Ja","Ej aktuell",IF(COUNTIF(MATCHER!$A$5:$A$504,A220)=0,"BORTTAGEN MATCH",IF(AND(B220=G220,C220=H220,D220=I220),"Oförändrad",IF(AND(B220=G220,D220=I220),"ÄNDRAD TID","FLYTTAD MATCH"))))</f>
        <v>Ej aktuell</v>
      </c>
      <c r="K220" s="34" t="str">
        <f>IF(MATCHER!A212="","",MATCHER!A212)</f>
        <v/>
      </c>
      <c r="L220" s="91" t="str">
        <f>IF(MATCHER!B212="","",MATCHER!B212)</f>
        <v/>
      </c>
      <c r="M220" s="92" t="str">
        <f>IF(MATCHER!C212="","",MATCHER!C212)</f>
        <v/>
      </c>
      <c r="N220" s="34" t="str">
        <f>IF(MATCHER!D212="","",MATCHER!D212)</f>
        <v/>
      </c>
      <c r="O220" s="34" t="str">
        <f>IF(MATCHER!E212="","",MATCHER!E212)</f>
        <v/>
      </c>
      <c r="P220" s="34" t="str">
        <f>IF(MATCHER!F212="","",MATCHER!F212)</f>
        <v/>
      </c>
      <c r="Q220" s="34" t="str">
        <f>IF(MATCHER!K212="","",MATCHER!K212)</f>
        <v/>
      </c>
      <c r="R220" s="34" t="str">
        <f>IF(K220="","",IF(Q220&lt;&gt;"Ja","Ej aktuell",IF(P220="SAKNAS","NY KLASS",IF(MATCHER!N212&lt;&gt;"Ja",MATCHER!N212,IF(COUNTIF($A$13:$A$220,K220)=0,"NY MATCH","Matchdag finns")))))</f>
        <v/>
      </c>
    </row>
    <row r="221" spans="1:18" ht="13">
      <c r="A221" s="1"/>
      <c r="B221" s="1"/>
      <c r="C221" s="1"/>
      <c r="D221" s="1"/>
      <c r="E221" s="1"/>
      <c r="F221" s="1"/>
      <c r="G221" s="1"/>
      <c r="H221" s="1"/>
      <c r="I221" s="1"/>
      <c r="J221" s="1"/>
      <c r="K221" s="34" t="str">
        <f>IF(MATCHER!A213="","",MATCHER!A213)</f>
        <v/>
      </c>
      <c r="L221" s="91" t="str">
        <f>IF(MATCHER!B213="","",MATCHER!B213)</f>
        <v/>
      </c>
      <c r="M221" s="92" t="str">
        <f>IF(MATCHER!C213="","",MATCHER!C213)</f>
        <v/>
      </c>
      <c r="N221" s="34" t="str">
        <f>IF(MATCHER!D213="","",MATCHER!D213)</f>
        <v/>
      </c>
      <c r="O221" s="34" t="str">
        <f>IF(MATCHER!E213="","",MATCHER!E213)</f>
        <v/>
      </c>
      <c r="P221" s="34" t="str">
        <f>IF(MATCHER!F213="","",MATCHER!F213)</f>
        <v/>
      </c>
      <c r="Q221" s="34" t="str">
        <f>IF(MATCHER!K213="","",MATCHER!K213)</f>
        <v/>
      </c>
      <c r="R221" s="34" t="str">
        <f>IF(K221="","",IF(Q221&lt;&gt;"Ja","Ej aktuell",IF(P221="SAKNAS","NY KLASS",IF(MATCHER!N213&lt;&gt;"Ja",MATCHER!N213,IF(COUNTIF($A$13:$A$220,K221)=0,"NY MATCH","Matchdag finns")))))</f>
        <v/>
      </c>
    </row>
    <row r="222" spans="1:18" ht="13">
      <c r="A222" s="1"/>
      <c r="B222" s="1"/>
      <c r="C222" s="1"/>
      <c r="D222" s="1"/>
      <c r="E222" s="1"/>
      <c r="F222" s="1"/>
      <c r="G222" s="1"/>
      <c r="H222" s="1"/>
      <c r="I222" s="1"/>
      <c r="J222" s="1"/>
      <c r="K222" s="34" t="str">
        <f>IF(MATCHER!A214="","",MATCHER!A214)</f>
        <v/>
      </c>
      <c r="L222" s="91" t="str">
        <f>IF(MATCHER!B214="","",MATCHER!B214)</f>
        <v/>
      </c>
      <c r="M222" s="92" t="str">
        <f>IF(MATCHER!C214="","",MATCHER!C214)</f>
        <v/>
      </c>
      <c r="N222" s="34" t="str">
        <f>IF(MATCHER!D214="","",MATCHER!D214)</f>
        <v/>
      </c>
      <c r="O222" s="34" t="str">
        <f>IF(MATCHER!E214="","",MATCHER!E214)</f>
        <v/>
      </c>
      <c r="P222" s="34" t="str">
        <f>IF(MATCHER!F214="","",MATCHER!F214)</f>
        <v/>
      </c>
      <c r="Q222" s="34" t="str">
        <f>IF(MATCHER!K214="","",MATCHER!K214)</f>
        <v/>
      </c>
      <c r="R222" s="34" t="str">
        <f>IF(K222="","",IF(Q222&lt;&gt;"Ja","Ej aktuell",IF(P222="SAKNAS","NY KLASS",IF(MATCHER!N214&lt;&gt;"Ja",MATCHER!N214,IF(COUNTIF($A$13:$A$220,K222)=0,"NY MATCH","Matchdag finns")))))</f>
        <v/>
      </c>
    </row>
    <row r="223" spans="1:18" ht="13">
      <c r="A223" s="1"/>
      <c r="B223" s="1"/>
      <c r="C223" s="1"/>
      <c r="D223" s="1"/>
      <c r="E223" s="1"/>
      <c r="F223" s="1"/>
      <c r="G223" s="1"/>
      <c r="H223" s="1"/>
      <c r="I223" s="1"/>
      <c r="J223" s="1"/>
      <c r="K223" s="34" t="str">
        <f>IF(MATCHER!A215="","",MATCHER!A215)</f>
        <v/>
      </c>
      <c r="L223" s="91" t="str">
        <f>IF(MATCHER!B215="","",MATCHER!B215)</f>
        <v/>
      </c>
      <c r="M223" s="92" t="str">
        <f>IF(MATCHER!C215="","",MATCHER!C215)</f>
        <v/>
      </c>
      <c r="N223" s="34" t="str">
        <f>IF(MATCHER!D215="","",MATCHER!D215)</f>
        <v/>
      </c>
      <c r="O223" s="34" t="str">
        <f>IF(MATCHER!E215="","",MATCHER!E215)</f>
        <v/>
      </c>
      <c r="P223" s="34" t="str">
        <f>IF(MATCHER!F215="","",MATCHER!F215)</f>
        <v/>
      </c>
      <c r="Q223" s="34" t="str">
        <f>IF(MATCHER!K215="","",MATCHER!K215)</f>
        <v/>
      </c>
      <c r="R223" s="34" t="str">
        <f>IF(K223="","",IF(Q223&lt;&gt;"Ja","Ej aktuell",IF(P223="SAKNAS","NY KLASS",IF(MATCHER!N215&lt;&gt;"Ja",MATCHER!N215,IF(COUNTIF($A$13:$A$220,K223)=0,"NY MATCH","Matchdag finns")))))</f>
        <v/>
      </c>
    </row>
    <row r="224" spans="1:18" ht="13">
      <c r="A224" s="1"/>
      <c r="B224" s="1"/>
      <c r="C224" s="1"/>
      <c r="D224" s="1"/>
      <c r="E224" s="1"/>
      <c r="F224" s="1"/>
      <c r="G224" s="1"/>
      <c r="H224" s="1"/>
      <c r="I224" s="1"/>
      <c r="J224" s="1"/>
      <c r="K224" s="34" t="str">
        <f>IF(MATCHER!A216="","",MATCHER!A216)</f>
        <v/>
      </c>
      <c r="L224" s="91" t="str">
        <f>IF(MATCHER!B216="","",MATCHER!B216)</f>
        <v/>
      </c>
      <c r="M224" s="92" t="str">
        <f>IF(MATCHER!C216="","",MATCHER!C216)</f>
        <v/>
      </c>
      <c r="N224" s="34" t="str">
        <f>IF(MATCHER!D216="","",MATCHER!D216)</f>
        <v/>
      </c>
      <c r="O224" s="34" t="str">
        <f>IF(MATCHER!E216="","",MATCHER!E216)</f>
        <v/>
      </c>
      <c r="P224" s="34" t="str">
        <f>IF(MATCHER!F216="","",MATCHER!F216)</f>
        <v/>
      </c>
      <c r="Q224" s="34" t="str">
        <f>IF(MATCHER!K216="","",MATCHER!K216)</f>
        <v/>
      </c>
      <c r="R224" s="34" t="str">
        <f>IF(K224="","",IF(Q224&lt;&gt;"Ja","Ej aktuell",IF(P224="SAKNAS","NY KLASS",IF(MATCHER!N216&lt;&gt;"Ja",MATCHER!N216,IF(COUNTIF($A$13:$A$220,K224)=0,"NY MATCH","Matchdag finns")))))</f>
        <v/>
      </c>
    </row>
    <row r="225" spans="1:18" ht="13">
      <c r="A225" s="1"/>
      <c r="B225" s="1"/>
      <c r="C225" s="1"/>
      <c r="D225" s="1"/>
      <c r="E225" s="1"/>
      <c r="F225" s="1"/>
      <c r="G225" s="1"/>
      <c r="H225" s="1"/>
      <c r="I225" s="1"/>
      <c r="J225" s="1"/>
      <c r="K225" s="34" t="str">
        <f>IF(MATCHER!A217="","",MATCHER!A217)</f>
        <v/>
      </c>
      <c r="L225" s="91" t="str">
        <f>IF(MATCHER!B217="","",MATCHER!B217)</f>
        <v/>
      </c>
      <c r="M225" s="92" t="str">
        <f>IF(MATCHER!C217="","",MATCHER!C217)</f>
        <v/>
      </c>
      <c r="N225" s="34" t="str">
        <f>IF(MATCHER!D217="","",MATCHER!D217)</f>
        <v/>
      </c>
      <c r="O225" s="34" t="str">
        <f>IF(MATCHER!E217="","",MATCHER!E217)</f>
        <v/>
      </c>
      <c r="P225" s="34" t="str">
        <f>IF(MATCHER!F217="","",MATCHER!F217)</f>
        <v/>
      </c>
      <c r="Q225" s="34" t="str">
        <f>IF(MATCHER!K217="","",MATCHER!K217)</f>
        <v/>
      </c>
      <c r="R225" s="34" t="str">
        <f>IF(K225="","",IF(Q225&lt;&gt;"Ja","Ej aktuell",IF(P225="SAKNAS","NY KLASS",IF(MATCHER!N217&lt;&gt;"Ja",MATCHER!N217,IF(COUNTIF($A$13:$A$220,K225)=0,"NY MATCH","Matchdag finns")))))</f>
        <v/>
      </c>
    </row>
    <row r="226" spans="1:18" ht="13">
      <c r="A226" s="1"/>
      <c r="B226" s="1"/>
      <c r="C226" s="1"/>
      <c r="D226" s="1"/>
      <c r="E226" s="1"/>
      <c r="F226" s="1"/>
      <c r="G226" s="1"/>
      <c r="H226" s="1"/>
      <c r="I226" s="1"/>
      <c r="J226" s="1"/>
      <c r="K226" s="34" t="str">
        <f>IF(MATCHER!A218="","",MATCHER!A218)</f>
        <v/>
      </c>
      <c r="L226" s="91" t="str">
        <f>IF(MATCHER!B218="","",MATCHER!B218)</f>
        <v/>
      </c>
      <c r="M226" s="92" t="str">
        <f>IF(MATCHER!C218="","",MATCHER!C218)</f>
        <v/>
      </c>
      <c r="N226" s="34" t="str">
        <f>IF(MATCHER!D218="","",MATCHER!D218)</f>
        <v/>
      </c>
      <c r="O226" s="34" t="str">
        <f>IF(MATCHER!E218="","",MATCHER!E218)</f>
        <v/>
      </c>
      <c r="P226" s="34" t="str">
        <f>IF(MATCHER!F218="","",MATCHER!F218)</f>
        <v/>
      </c>
      <c r="Q226" s="34" t="str">
        <f>IF(MATCHER!K218="","",MATCHER!K218)</f>
        <v/>
      </c>
      <c r="R226" s="34" t="str">
        <f>IF(K226="","",IF(Q226&lt;&gt;"Ja","Ej aktuell",IF(P226="SAKNAS","NY KLASS",IF(MATCHER!N218&lt;&gt;"Ja",MATCHER!N218,IF(COUNTIF($A$13:$A$220,K226)=0,"NY MATCH","Matchdag finns")))))</f>
        <v/>
      </c>
    </row>
    <row r="227" spans="1:18" ht="13">
      <c r="A227" s="1"/>
      <c r="B227" s="1"/>
      <c r="C227" s="1"/>
      <c r="D227" s="1"/>
      <c r="E227" s="1"/>
      <c r="F227" s="1"/>
      <c r="G227" s="1"/>
      <c r="H227" s="1"/>
      <c r="I227" s="1"/>
      <c r="J227" s="1"/>
      <c r="K227" s="34" t="str">
        <f>IF(MATCHER!A219="","",MATCHER!A219)</f>
        <v/>
      </c>
      <c r="L227" s="91" t="str">
        <f>IF(MATCHER!B219="","",MATCHER!B219)</f>
        <v/>
      </c>
      <c r="M227" s="92" t="str">
        <f>IF(MATCHER!C219="","",MATCHER!C219)</f>
        <v/>
      </c>
      <c r="N227" s="34" t="str">
        <f>IF(MATCHER!D219="","",MATCHER!D219)</f>
        <v/>
      </c>
      <c r="O227" s="34" t="str">
        <f>IF(MATCHER!E219="","",MATCHER!E219)</f>
        <v/>
      </c>
      <c r="P227" s="34" t="str">
        <f>IF(MATCHER!F219="","",MATCHER!F219)</f>
        <v/>
      </c>
      <c r="Q227" s="34" t="str">
        <f>IF(MATCHER!K219="","",MATCHER!K219)</f>
        <v/>
      </c>
      <c r="R227" s="34" t="str">
        <f>IF(K227="","",IF(Q227&lt;&gt;"Ja","Ej aktuell",IF(P227="SAKNAS","NY KLASS",IF(MATCHER!N219&lt;&gt;"Ja",MATCHER!N219,IF(COUNTIF($A$13:$A$220,K227)=0,"NY MATCH","Matchdag finns")))))</f>
        <v/>
      </c>
    </row>
    <row r="228" spans="1:18" ht="13">
      <c r="A228" s="1"/>
      <c r="B228" s="1"/>
      <c r="C228" s="1"/>
      <c r="D228" s="1"/>
      <c r="E228" s="1"/>
      <c r="F228" s="1"/>
      <c r="G228" s="1"/>
      <c r="H228" s="1"/>
      <c r="I228" s="1"/>
      <c r="J228" s="1"/>
      <c r="K228" s="34" t="str">
        <f>IF(MATCHER!A220="","",MATCHER!A220)</f>
        <v/>
      </c>
      <c r="L228" s="91" t="str">
        <f>IF(MATCHER!B220="","",MATCHER!B220)</f>
        <v/>
      </c>
      <c r="M228" s="92" t="str">
        <f>IF(MATCHER!C220="","",MATCHER!C220)</f>
        <v/>
      </c>
      <c r="N228" s="34" t="str">
        <f>IF(MATCHER!D220="","",MATCHER!D220)</f>
        <v/>
      </c>
      <c r="O228" s="34" t="str">
        <f>IF(MATCHER!E220="","",MATCHER!E220)</f>
        <v/>
      </c>
      <c r="P228" s="34" t="str">
        <f>IF(MATCHER!F220="","",MATCHER!F220)</f>
        <v/>
      </c>
      <c r="Q228" s="34" t="str">
        <f>IF(MATCHER!K220="","",MATCHER!K220)</f>
        <v/>
      </c>
      <c r="R228" s="34" t="str">
        <f>IF(K228="","",IF(Q228&lt;&gt;"Ja","Ej aktuell",IF(P228="SAKNAS","NY KLASS",IF(MATCHER!N220&lt;&gt;"Ja",MATCHER!N220,IF(COUNTIF($A$13:$A$220,K228)=0,"NY MATCH","Matchdag finns")))))</f>
        <v/>
      </c>
    </row>
    <row r="229" spans="1:18" ht="13">
      <c r="A229" s="1"/>
      <c r="B229" s="1"/>
      <c r="C229" s="1"/>
      <c r="D229" s="1"/>
      <c r="E229" s="1"/>
      <c r="F229" s="1"/>
      <c r="G229" s="1"/>
      <c r="H229" s="1"/>
      <c r="I229" s="1"/>
      <c r="J229" s="1"/>
      <c r="K229" s="34" t="str">
        <f>IF(MATCHER!A221="","",MATCHER!A221)</f>
        <v/>
      </c>
      <c r="L229" s="91" t="str">
        <f>IF(MATCHER!B221="","",MATCHER!B221)</f>
        <v/>
      </c>
      <c r="M229" s="92" t="str">
        <f>IF(MATCHER!C221="","",MATCHER!C221)</f>
        <v/>
      </c>
      <c r="N229" s="34" t="str">
        <f>IF(MATCHER!D221="","",MATCHER!D221)</f>
        <v/>
      </c>
      <c r="O229" s="34" t="str">
        <f>IF(MATCHER!E221="","",MATCHER!E221)</f>
        <v/>
      </c>
      <c r="P229" s="34" t="str">
        <f>IF(MATCHER!F221="","",MATCHER!F221)</f>
        <v/>
      </c>
      <c r="Q229" s="34" t="str">
        <f>IF(MATCHER!K221="","",MATCHER!K221)</f>
        <v/>
      </c>
      <c r="R229" s="34" t="str">
        <f>IF(K229="","",IF(Q229&lt;&gt;"Ja","Ej aktuell",IF(P229="SAKNAS","NY KLASS",IF(MATCHER!N221&lt;&gt;"Ja",MATCHER!N221,IF(COUNTIF($A$13:$A$220,K229)=0,"NY MATCH","Matchdag finns")))))</f>
        <v/>
      </c>
    </row>
    <row r="230" spans="1:18" ht="13">
      <c r="A230" s="1"/>
      <c r="B230" s="1"/>
      <c r="C230" s="1"/>
      <c r="D230" s="1"/>
      <c r="E230" s="1"/>
      <c r="F230" s="1"/>
      <c r="G230" s="1"/>
      <c r="H230" s="1"/>
      <c r="I230" s="1"/>
      <c r="J230" s="1"/>
      <c r="K230" s="34" t="str">
        <f>IF(MATCHER!A222="","",MATCHER!A222)</f>
        <v/>
      </c>
      <c r="L230" s="91" t="str">
        <f>IF(MATCHER!B222="","",MATCHER!B222)</f>
        <v/>
      </c>
      <c r="M230" s="92" t="str">
        <f>IF(MATCHER!C222="","",MATCHER!C222)</f>
        <v/>
      </c>
      <c r="N230" s="34" t="str">
        <f>IF(MATCHER!D222="","",MATCHER!D222)</f>
        <v/>
      </c>
      <c r="O230" s="34" t="str">
        <f>IF(MATCHER!E222="","",MATCHER!E222)</f>
        <v/>
      </c>
      <c r="P230" s="34" t="str">
        <f>IF(MATCHER!F222="","",MATCHER!F222)</f>
        <v/>
      </c>
      <c r="Q230" s="34" t="str">
        <f>IF(MATCHER!K222="","",MATCHER!K222)</f>
        <v/>
      </c>
      <c r="R230" s="34" t="str">
        <f>IF(K230="","",IF(Q230&lt;&gt;"Ja","Ej aktuell",IF(P230="SAKNAS","NY KLASS",IF(MATCHER!N222&lt;&gt;"Ja",MATCHER!N222,IF(COUNTIF($A$13:$A$220,K230)=0,"NY MATCH","Matchdag finns")))))</f>
        <v/>
      </c>
    </row>
    <row r="231" spans="1:18" ht="13">
      <c r="A231" s="1"/>
      <c r="B231" s="1"/>
      <c r="C231" s="1"/>
      <c r="D231" s="1"/>
      <c r="E231" s="1"/>
      <c r="F231" s="1"/>
      <c r="G231" s="1"/>
      <c r="H231" s="1"/>
      <c r="I231" s="1"/>
      <c r="J231" s="1"/>
      <c r="K231" s="34" t="str">
        <f>IF(MATCHER!A223="","",MATCHER!A223)</f>
        <v/>
      </c>
      <c r="L231" s="91" t="str">
        <f>IF(MATCHER!B223="","",MATCHER!B223)</f>
        <v/>
      </c>
      <c r="M231" s="92" t="str">
        <f>IF(MATCHER!C223="","",MATCHER!C223)</f>
        <v/>
      </c>
      <c r="N231" s="34" t="str">
        <f>IF(MATCHER!D223="","",MATCHER!D223)</f>
        <v/>
      </c>
      <c r="O231" s="34" t="str">
        <f>IF(MATCHER!E223="","",MATCHER!E223)</f>
        <v/>
      </c>
      <c r="P231" s="34" t="str">
        <f>IF(MATCHER!F223="","",MATCHER!F223)</f>
        <v/>
      </c>
      <c r="Q231" s="34" t="str">
        <f>IF(MATCHER!K223="","",MATCHER!K223)</f>
        <v/>
      </c>
      <c r="R231" s="34" t="str">
        <f>IF(K231="","",IF(Q231&lt;&gt;"Ja","Ej aktuell",IF(P231="SAKNAS","NY KLASS",IF(MATCHER!N223&lt;&gt;"Ja",MATCHER!N223,IF(COUNTIF($A$13:$A$220,K231)=0,"NY MATCH","Matchdag finns")))))</f>
        <v/>
      </c>
    </row>
    <row r="232" spans="1:18" ht="13">
      <c r="A232" s="1"/>
      <c r="B232" s="1"/>
      <c r="C232" s="1"/>
      <c r="D232" s="1"/>
      <c r="E232" s="1"/>
      <c r="F232" s="1"/>
      <c r="G232" s="1"/>
      <c r="H232" s="1"/>
      <c r="I232" s="1"/>
      <c r="J232" s="1"/>
      <c r="K232" s="34" t="str">
        <f>IF(MATCHER!A224="","",MATCHER!A224)</f>
        <v/>
      </c>
      <c r="L232" s="91" t="str">
        <f>IF(MATCHER!B224="","",MATCHER!B224)</f>
        <v/>
      </c>
      <c r="M232" s="92" t="str">
        <f>IF(MATCHER!C224="","",MATCHER!C224)</f>
        <v/>
      </c>
      <c r="N232" s="34" t="str">
        <f>IF(MATCHER!D224="","",MATCHER!D224)</f>
        <v/>
      </c>
      <c r="O232" s="34" t="str">
        <f>IF(MATCHER!E224="","",MATCHER!E224)</f>
        <v/>
      </c>
      <c r="P232" s="34" t="str">
        <f>IF(MATCHER!F224="","",MATCHER!F224)</f>
        <v/>
      </c>
      <c r="Q232" s="34" t="str">
        <f>IF(MATCHER!K224="","",MATCHER!K224)</f>
        <v/>
      </c>
      <c r="R232" s="34" t="str">
        <f>IF(K232="","",IF(Q232&lt;&gt;"Ja","Ej aktuell",IF(P232="SAKNAS","NY KLASS",IF(MATCHER!N224&lt;&gt;"Ja",MATCHER!N224,IF(COUNTIF($A$13:$A$220,K232)=0,"NY MATCH","Matchdag finns")))))</f>
        <v/>
      </c>
    </row>
    <row r="233" spans="1:18" ht="13">
      <c r="A233" s="1"/>
      <c r="B233" s="1"/>
      <c r="C233" s="1"/>
      <c r="D233" s="1"/>
      <c r="E233" s="1"/>
      <c r="F233" s="1"/>
      <c r="G233" s="1"/>
      <c r="H233" s="1"/>
      <c r="I233" s="1"/>
      <c r="J233" s="1"/>
      <c r="K233" s="34" t="str">
        <f>IF(MATCHER!A225="","",MATCHER!A225)</f>
        <v/>
      </c>
      <c r="L233" s="91" t="str">
        <f>IF(MATCHER!B225="","",MATCHER!B225)</f>
        <v/>
      </c>
      <c r="M233" s="92" t="str">
        <f>IF(MATCHER!C225="","",MATCHER!C225)</f>
        <v/>
      </c>
      <c r="N233" s="34" t="str">
        <f>IF(MATCHER!D225="","",MATCHER!D225)</f>
        <v/>
      </c>
      <c r="O233" s="34" t="str">
        <f>IF(MATCHER!E225="","",MATCHER!E225)</f>
        <v/>
      </c>
      <c r="P233" s="34" t="str">
        <f>IF(MATCHER!F225="","",MATCHER!F225)</f>
        <v/>
      </c>
      <c r="Q233" s="34" t="str">
        <f>IF(MATCHER!K225="","",MATCHER!K225)</f>
        <v/>
      </c>
      <c r="R233" s="34" t="str">
        <f>IF(K233="","",IF(Q233&lt;&gt;"Ja","Ej aktuell",IF(P233="SAKNAS","NY KLASS",IF(MATCHER!N225&lt;&gt;"Ja",MATCHER!N225,IF(COUNTIF($A$13:$A$220,K233)=0,"NY MATCH","Matchdag finns")))))</f>
        <v/>
      </c>
    </row>
    <row r="234" spans="1:18" ht="13">
      <c r="A234" s="1"/>
      <c r="B234" s="1"/>
      <c r="C234" s="1"/>
      <c r="D234" s="1"/>
      <c r="E234" s="1"/>
      <c r="F234" s="1"/>
      <c r="G234" s="1"/>
      <c r="H234" s="1"/>
      <c r="I234" s="1"/>
      <c r="J234" s="1"/>
      <c r="K234" s="34" t="str">
        <f>IF(MATCHER!A226="","",MATCHER!A226)</f>
        <v/>
      </c>
      <c r="L234" s="91" t="str">
        <f>IF(MATCHER!B226="","",MATCHER!B226)</f>
        <v/>
      </c>
      <c r="M234" s="92" t="str">
        <f>IF(MATCHER!C226="","",MATCHER!C226)</f>
        <v/>
      </c>
      <c r="N234" s="34" t="str">
        <f>IF(MATCHER!D226="","",MATCHER!D226)</f>
        <v/>
      </c>
      <c r="O234" s="34" t="str">
        <f>IF(MATCHER!E226="","",MATCHER!E226)</f>
        <v/>
      </c>
      <c r="P234" s="34" t="str">
        <f>IF(MATCHER!F226="","",MATCHER!F226)</f>
        <v/>
      </c>
      <c r="Q234" s="34" t="str">
        <f>IF(MATCHER!K226="","",MATCHER!K226)</f>
        <v/>
      </c>
      <c r="R234" s="34" t="str">
        <f>IF(K234="","",IF(Q234&lt;&gt;"Ja","Ej aktuell",IF(P234="SAKNAS","NY KLASS",IF(MATCHER!N226&lt;&gt;"Ja",MATCHER!N226,IF(COUNTIF($A$13:$A$220,K234)=0,"NY MATCH","Matchdag finns")))))</f>
        <v/>
      </c>
    </row>
    <row r="235" spans="1:18" ht="13">
      <c r="A235" s="1"/>
      <c r="B235" s="1"/>
      <c r="C235" s="1"/>
      <c r="D235" s="1"/>
      <c r="E235" s="1"/>
      <c r="F235" s="1"/>
      <c r="G235" s="1"/>
      <c r="H235" s="1"/>
      <c r="I235" s="1"/>
      <c r="J235" s="1"/>
      <c r="K235" s="34" t="str">
        <f>IF(MATCHER!A227="","",MATCHER!A227)</f>
        <v/>
      </c>
      <c r="L235" s="91" t="str">
        <f>IF(MATCHER!B227="","",MATCHER!B227)</f>
        <v/>
      </c>
      <c r="M235" s="92" t="str">
        <f>IF(MATCHER!C227="","",MATCHER!C227)</f>
        <v/>
      </c>
      <c r="N235" s="34" t="str">
        <f>IF(MATCHER!D227="","",MATCHER!D227)</f>
        <v/>
      </c>
      <c r="O235" s="34" t="str">
        <f>IF(MATCHER!E227="","",MATCHER!E227)</f>
        <v/>
      </c>
      <c r="P235" s="34" t="str">
        <f>IF(MATCHER!F227="","",MATCHER!F227)</f>
        <v/>
      </c>
      <c r="Q235" s="34" t="str">
        <f>IF(MATCHER!K227="","",MATCHER!K227)</f>
        <v/>
      </c>
      <c r="R235" s="34" t="str">
        <f>IF(K235="","",IF(Q235&lt;&gt;"Ja","Ej aktuell",IF(P235="SAKNAS","NY KLASS",IF(MATCHER!N227&lt;&gt;"Ja",MATCHER!N227,IF(COUNTIF($A$13:$A$220,K235)=0,"NY MATCH","Matchdag finns")))))</f>
        <v/>
      </c>
    </row>
    <row r="236" spans="1:18" ht="13">
      <c r="A236" s="1"/>
      <c r="B236" s="1"/>
      <c r="C236" s="1"/>
      <c r="D236" s="1"/>
      <c r="E236" s="1"/>
      <c r="F236" s="1"/>
      <c r="G236" s="1"/>
      <c r="H236" s="1"/>
      <c r="I236" s="1"/>
      <c r="J236" s="1"/>
      <c r="K236" s="34" t="str">
        <f>IF(MATCHER!A228="","",MATCHER!A228)</f>
        <v/>
      </c>
      <c r="L236" s="91" t="str">
        <f>IF(MATCHER!B228="","",MATCHER!B228)</f>
        <v/>
      </c>
      <c r="M236" s="92" t="str">
        <f>IF(MATCHER!C228="","",MATCHER!C228)</f>
        <v/>
      </c>
      <c r="N236" s="34" t="str">
        <f>IF(MATCHER!D228="","",MATCHER!D228)</f>
        <v/>
      </c>
      <c r="O236" s="34" t="str">
        <f>IF(MATCHER!E228="","",MATCHER!E228)</f>
        <v/>
      </c>
      <c r="P236" s="34" t="str">
        <f>IF(MATCHER!F228="","",MATCHER!F228)</f>
        <v/>
      </c>
      <c r="Q236" s="34" t="str">
        <f>IF(MATCHER!K228="","",MATCHER!K228)</f>
        <v/>
      </c>
      <c r="R236" s="34" t="str">
        <f>IF(K236="","",IF(Q236&lt;&gt;"Ja","Ej aktuell",IF(P236="SAKNAS","NY KLASS",IF(MATCHER!N228&lt;&gt;"Ja",MATCHER!N228,IF(COUNTIF($A$13:$A$220,K236)=0,"NY MATCH","Matchdag finns")))))</f>
        <v/>
      </c>
    </row>
    <row r="237" spans="1:18" ht="13">
      <c r="A237" s="1"/>
      <c r="B237" s="1"/>
      <c r="C237" s="1"/>
      <c r="D237" s="1"/>
      <c r="E237" s="1"/>
      <c r="F237" s="1"/>
      <c r="G237" s="1"/>
      <c r="H237" s="1"/>
      <c r="I237" s="1"/>
      <c r="J237" s="1"/>
      <c r="K237" s="34" t="str">
        <f>IF(MATCHER!A229="","",MATCHER!A229)</f>
        <v/>
      </c>
      <c r="L237" s="91" t="str">
        <f>IF(MATCHER!B229="","",MATCHER!B229)</f>
        <v/>
      </c>
      <c r="M237" s="92" t="str">
        <f>IF(MATCHER!C229="","",MATCHER!C229)</f>
        <v/>
      </c>
      <c r="N237" s="34" t="str">
        <f>IF(MATCHER!D229="","",MATCHER!D229)</f>
        <v/>
      </c>
      <c r="O237" s="34" t="str">
        <f>IF(MATCHER!E229="","",MATCHER!E229)</f>
        <v/>
      </c>
      <c r="P237" s="34" t="str">
        <f>IF(MATCHER!F229="","",MATCHER!F229)</f>
        <v/>
      </c>
      <c r="Q237" s="34" t="str">
        <f>IF(MATCHER!K229="","",MATCHER!K229)</f>
        <v/>
      </c>
      <c r="R237" s="34" t="str">
        <f>IF(K237="","",IF(Q237&lt;&gt;"Ja","Ej aktuell",IF(P237="SAKNAS","NY KLASS",IF(MATCHER!N229&lt;&gt;"Ja",MATCHER!N229,IF(COUNTIF($A$13:$A$220,K237)=0,"NY MATCH","Matchdag finns")))))</f>
        <v/>
      </c>
    </row>
    <row r="238" spans="1:18" ht="13">
      <c r="A238" s="1"/>
      <c r="B238" s="1"/>
      <c r="C238" s="1"/>
      <c r="D238" s="1"/>
      <c r="E238" s="1"/>
      <c r="F238" s="1"/>
      <c r="G238" s="1"/>
      <c r="H238" s="1"/>
      <c r="I238" s="1"/>
      <c r="J238" s="1"/>
      <c r="K238" s="34" t="str">
        <f>IF(MATCHER!A230="","",MATCHER!A230)</f>
        <v/>
      </c>
      <c r="L238" s="91" t="str">
        <f>IF(MATCHER!B230="","",MATCHER!B230)</f>
        <v/>
      </c>
      <c r="M238" s="92" t="str">
        <f>IF(MATCHER!C230="","",MATCHER!C230)</f>
        <v/>
      </c>
      <c r="N238" s="34" t="str">
        <f>IF(MATCHER!D230="","",MATCHER!D230)</f>
        <v/>
      </c>
      <c r="O238" s="34" t="str">
        <f>IF(MATCHER!E230="","",MATCHER!E230)</f>
        <v/>
      </c>
      <c r="P238" s="34" t="str">
        <f>IF(MATCHER!F230="","",MATCHER!F230)</f>
        <v/>
      </c>
      <c r="Q238" s="34" t="str">
        <f>IF(MATCHER!K230="","",MATCHER!K230)</f>
        <v/>
      </c>
      <c r="R238" s="34" t="str">
        <f>IF(K238="","",IF(Q238&lt;&gt;"Ja","Ej aktuell",IF(P238="SAKNAS","NY KLASS",IF(MATCHER!N230&lt;&gt;"Ja",MATCHER!N230,IF(COUNTIF($A$13:$A$220,K238)=0,"NY MATCH","Matchdag finns")))))</f>
        <v/>
      </c>
    </row>
    <row r="239" spans="1:18" ht="13">
      <c r="A239" s="1"/>
      <c r="B239" s="1"/>
      <c r="C239" s="1"/>
      <c r="D239" s="1"/>
      <c r="E239" s="1"/>
      <c r="F239" s="1"/>
      <c r="G239" s="1"/>
      <c r="H239" s="1"/>
      <c r="I239" s="1"/>
      <c r="J239" s="1"/>
      <c r="K239" s="34" t="str">
        <f>IF(MATCHER!A231="","",MATCHER!A231)</f>
        <v/>
      </c>
      <c r="L239" s="91" t="str">
        <f>IF(MATCHER!B231="","",MATCHER!B231)</f>
        <v/>
      </c>
      <c r="M239" s="92" t="str">
        <f>IF(MATCHER!C231="","",MATCHER!C231)</f>
        <v/>
      </c>
      <c r="N239" s="34" t="str">
        <f>IF(MATCHER!D231="","",MATCHER!D231)</f>
        <v/>
      </c>
      <c r="O239" s="34" t="str">
        <f>IF(MATCHER!E231="","",MATCHER!E231)</f>
        <v/>
      </c>
      <c r="P239" s="34" t="str">
        <f>IF(MATCHER!F231="","",MATCHER!F231)</f>
        <v/>
      </c>
      <c r="Q239" s="34" t="str">
        <f>IF(MATCHER!K231="","",MATCHER!K231)</f>
        <v/>
      </c>
      <c r="R239" s="34" t="str">
        <f>IF(K239="","",IF(Q239&lt;&gt;"Ja","Ej aktuell",IF(P239="SAKNAS","NY KLASS",IF(MATCHER!N231&lt;&gt;"Ja",MATCHER!N231,IF(COUNTIF($A$13:$A$220,K239)=0,"NY MATCH","Matchdag finns")))))</f>
        <v/>
      </c>
    </row>
    <row r="240" spans="1:18" ht="13">
      <c r="A240" s="1"/>
      <c r="B240" s="1"/>
      <c r="C240" s="1"/>
      <c r="D240" s="1"/>
      <c r="E240" s="1"/>
      <c r="F240" s="1"/>
      <c r="G240" s="1"/>
      <c r="H240" s="1"/>
      <c r="I240" s="1"/>
      <c r="J240" s="1"/>
      <c r="K240" s="34" t="str">
        <f>IF(MATCHER!A232="","",MATCHER!A232)</f>
        <v/>
      </c>
      <c r="L240" s="91" t="str">
        <f>IF(MATCHER!B232="","",MATCHER!B232)</f>
        <v/>
      </c>
      <c r="M240" s="92" t="str">
        <f>IF(MATCHER!C232="","",MATCHER!C232)</f>
        <v/>
      </c>
      <c r="N240" s="34" t="str">
        <f>IF(MATCHER!D232="","",MATCHER!D232)</f>
        <v/>
      </c>
      <c r="O240" s="34" t="str">
        <f>IF(MATCHER!E232="","",MATCHER!E232)</f>
        <v/>
      </c>
      <c r="P240" s="34" t="str">
        <f>IF(MATCHER!F232="","",MATCHER!F232)</f>
        <v/>
      </c>
      <c r="Q240" s="34" t="str">
        <f>IF(MATCHER!K232="","",MATCHER!K232)</f>
        <v/>
      </c>
      <c r="R240" s="34" t="str">
        <f>IF(K240="","",IF(Q240&lt;&gt;"Ja","Ej aktuell",IF(P240="SAKNAS","NY KLASS",IF(MATCHER!N232&lt;&gt;"Ja",MATCHER!N232,IF(COUNTIF($A$13:$A$220,K240)=0,"NY MATCH","Matchdag finns")))))</f>
        <v/>
      </c>
    </row>
    <row r="241" spans="1:18" ht="13">
      <c r="A241" s="1"/>
      <c r="B241" s="1"/>
      <c r="C241" s="1"/>
      <c r="D241" s="1"/>
      <c r="E241" s="1"/>
      <c r="F241" s="1"/>
      <c r="G241" s="1"/>
      <c r="H241" s="1"/>
      <c r="I241" s="1"/>
      <c r="J241" s="1"/>
      <c r="K241" s="34" t="str">
        <f>IF(MATCHER!A233="","",MATCHER!A233)</f>
        <v/>
      </c>
      <c r="L241" s="91" t="str">
        <f>IF(MATCHER!B233="","",MATCHER!B233)</f>
        <v/>
      </c>
      <c r="M241" s="92" t="str">
        <f>IF(MATCHER!C233="","",MATCHER!C233)</f>
        <v/>
      </c>
      <c r="N241" s="34" t="str">
        <f>IF(MATCHER!D233="","",MATCHER!D233)</f>
        <v/>
      </c>
      <c r="O241" s="34" t="str">
        <f>IF(MATCHER!E233="","",MATCHER!E233)</f>
        <v/>
      </c>
      <c r="P241" s="34" t="str">
        <f>IF(MATCHER!F233="","",MATCHER!F233)</f>
        <v/>
      </c>
      <c r="Q241" s="34" t="str">
        <f>IF(MATCHER!K233="","",MATCHER!K233)</f>
        <v/>
      </c>
      <c r="R241" s="34" t="str">
        <f>IF(K241="","",IF(Q241&lt;&gt;"Ja","Ej aktuell",IF(P241="SAKNAS","NY KLASS",IF(MATCHER!N233&lt;&gt;"Ja",MATCHER!N233,IF(COUNTIF($A$13:$A$220,K241)=0,"NY MATCH","Matchdag finns")))))</f>
        <v/>
      </c>
    </row>
    <row r="242" spans="1:18" ht="13">
      <c r="A242" s="1"/>
      <c r="B242" s="1"/>
      <c r="C242" s="1"/>
      <c r="D242" s="1"/>
      <c r="E242" s="1"/>
      <c r="F242" s="1"/>
      <c r="G242" s="1"/>
      <c r="H242" s="1"/>
      <c r="I242" s="1"/>
      <c r="J242" s="1"/>
      <c r="K242" s="34" t="str">
        <f>IF(MATCHER!A234="","",MATCHER!A234)</f>
        <v/>
      </c>
      <c r="L242" s="91" t="str">
        <f>IF(MATCHER!B234="","",MATCHER!B234)</f>
        <v/>
      </c>
      <c r="M242" s="92" t="str">
        <f>IF(MATCHER!C234="","",MATCHER!C234)</f>
        <v/>
      </c>
      <c r="N242" s="34" t="str">
        <f>IF(MATCHER!D234="","",MATCHER!D234)</f>
        <v/>
      </c>
      <c r="O242" s="34" t="str">
        <f>IF(MATCHER!E234="","",MATCHER!E234)</f>
        <v/>
      </c>
      <c r="P242" s="34" t="str">
        <f>IF(MATCHER!F234="","",MATCHER!F234)</f>
        <v/>
      </c>
      <c r="Q242" s="34" t="str">
        <f>IF(MATCHER!K234="","",MATCHER!K234)</f>
        <v/>
      </c>
      <c r="R242" s="34" t="str">
        <f>IF(K242="","",IF(Q242&lt;&gt;"Ja","Ej aktuell",IF(P242="SAKNAS","NY KLASS",IF(MATCHER!N234&lt;&gt;"Ja",MATCHER!N234,IF(COUNTIF($A$13:$A$220,K242)=0,"NY MATCH","Matchdag finns")))))</f>
        <v/>
      </c>
    </row>
    <row r="243" spans="1:18" ht="13">
      <c r="A243" s="1"/>
      <c r="B243" s="1"/>
      <c r="C243" s="1"/>
      <c r="D243" s="1"/>
      <c r="E243" s="1"/>
      <c r="F243" s="1"/>
      <c r="G243" s="1"/>
      <c r="H243" s="1"/>
      <c r="I243" s="1"/>
      <c r="J243" s="1"/>
      <c r="K243" s="34" t="str">
        <f>IF(MATCHER!A235="","",MATCHER!A235)</f>
        <v/>
      </c>
      <c r="L243" s="91" t="str">
        <f>IF(MATCHER!B235="","",MATCHER!B235)</f>
        <v/>
      </c>
      <c r="M243" s="92" t="str">
        <f>IF(MATCHER!C235="","",MATCHER!C235)</f>
        <v/>
      </c>
      <c r="N243" s="34" t="str">
        <f>IF(MATCHER!D235="","",MATCHER!D235)</f>
        <v/>
      </c>
      <c r="O243" s="34" t="str">
        <f>IF(MATCHER!E235="","",MATCHER!E235)</f>
        <v/>
      </c>
      <c r="P243" s="34" t="str">
        <f>IF(MATCHER!F235="","",MATCHER!F235)</f>
        <v/>
      </c>
      <c r="Q243" s="34" t="str">
        <f>IF(MATCHER!K235="","",MATCHER!K235)</f>
        <v/>
      </c>
      <c r="R243" s="34" t="str">
        <f>IF(K243="","",IF(Q243&lt;&gt;"Ja","Ej aktuell",IF(P243="SAKNAS","NY KLASS",IF(MATCHER!N235&lt;&gt;"Ja",MATCHER!N235,IF(COUNTIF($A$13:$A$220,K243)=0,"NY MATCH","Matchdag finns")))))</f>
        <v/>
      </c>
    </row>
    <row r="244" spans="1:18" ht="13">
      <c r="A244" s="1"/>
      <c r="B244" s="1"/>
      <c r="C244" s="1"/>
      <c r="D244" s="1"/>
      <c r="E244" s="1"/>
      <c r="F244" s="1"/>
      <c r="G244" s="1"/>
      <c r="H244" s="1"/>
      <c r="I244" s="1"/>
      <c r="J244" s="1"/>
      <c r="K244" s="34" t="str">
        <f>IF(MATCHER!A236="","",MATCHER!A236)</f>
        <v/>
      </c>
      <c r="L244" s="91" t="str">
        <f>IF(MATCHER!B236="","",MATCHER!B236)</f>
        <v/>
      </c>
      <c r="M244" s="92" t="str">
        <f>IF(MATCHER!C236="","",MATCHER!C236)</f>
        <v/>
      </c>
      <c r="N244" s="34" t="str">
        <f>IF(MATCHER!D236="","",MATCHER!D236)</f>
        <v/>
      </c>
      <c r="O244" s="34" t="str">
        <f>IF(MATCHER!E236="","",MATCHER!E236)</f>
        <v/>
      </c>
      <c r="P244" s="34" t="str">
        <f>IF(MATCHER!F236="","",MATCHER!F236)</f>
        <v/>
      </c>
      <c r="Q244" s="34" t="str">
        <f>IF(MATCHER!K236="","",MATCHER!K236)</f>
        <v/>
      </c>
      <c r="R244" s="34" t="str">
        <f>IF(K244="","",IF(Q244&lt;&gt;"Ja","Ej aktuell",IF(P244="SAKNAS","NY KLASS",IF(MATCHER!N236&lt;&gt;"Ja",MATCHER!N236,IF(COUNTIF($A$13:$A$220,K244)=0,"NY MATCH","Matchdag finns")))))</f>
        <v/>
      </c>
    </row>
    <row r="245" spans="1:18" ht="13">
      <c r="A245" s="1"/>
      <c r="B245" s="1"/>
      <c r="C245" s="1"/>
      <c r="D245" s="1"/>
      <c r="E245" s="1"/>
      <c r="F245" s="1"/>
      <c r="G245" s="1"/>
      <c r="H245" s="1"/>
      <c r="I245" s="1"/>
      <c r="J245" s="1"/>
      <c r="K245" s="34" t="str">
        <f>IF(MATCHER!A237="","",MATCHER!A237)</f>
        <v/>
      </c>
      <c r="L245" s="91" t="str">
        <f>IF(MATCHER!B237="","",MATCHER!B237)</f>
        <v/>
      </c>
      <c r="M245" s="92" t="str">
        <f>IF(MATCHER!C237="","",MATCHER!C237)</f>
        <v/>
      </c>
      <c r="N245" s="34" t="str">
        <f>IF(MATCHER!D237="","",MATCHER!D237)</f>
        <v/>
      </c>
      <c r="O245" s="34" t="str">
        <f>IF(MATCHER!E237="","",MATCHER!E237)</f>
        <v/>
      </c>
      <c r="P245" s="34" t="str">
        <f>IF(MATCHER!F237="","",MATCHER!F237)</f>
        <v/>
      </c>
      <c r="Q245" s="34" t="str">
        <f>IF(MATCHER!K237="","",MATCHER!K237)</f>
        <v/>
      </c>
      <c r="R245" s="34" t="str">
        <f>IF(K245="","",IF(Q245&lt;&gt;"Ja","Ej aktuell",IF(P245="SAKNAS","NY KLASS",IF(MATCHER!N237&lt;&gt;"Ja",MATCHER!N237,IF(COUNTIF($A$13:$A$220,K245)=0,"NY MATCH","Matchdag finns")))))</f>
        <v/>
      </c>
    </row>
    <row r="246" spans="1:18" ht="13">
      <c r="A246" s="1"/>
      <c r="B246" s="1"/>
      <c r="C246" s="1"/>
      <c r="D246" s="1"/>
      <c r="E246" s="1"/>
      <c r="F246" s="1"/>
      <c r="G246" s="1"/>
      <c r="H246" s="1"/>
      <c r="I246" s="1"/>
      <c r="J246" s="1"/>
      <c r="K246" s="34" t="str">
        <f>IF(MATCHER!A238="","",MATCHER!A238)</f>
        <v/>
      </c>
      <c r="L246" s="91" t="str">
        <f>IF(MATCHER!B238="","",MATCHER!B238)</f>
        <v/>
      </c>
      <c r="M246" s="92" t="str">
        <f>IF(MATCHER!C238="","",MATCHER!C238)</f>
        <v/>
      </c>
      <c r="N246" s="34" t="str">
        <f>IF(MATCHER!D238="","",MATCHER!D238)</f>
        <v/>
      </c>
      <c r="O246" s="34" t="str">
        <f>IF(MATCHER!E238="","",MATCHER!E238)</f>
        <v/>
      </c>
      <c r="P246" s="34" t="str">
        <f>IF(MATCHER!F238="","",MATCHER!F238)</f>
        <v/>
      </c>
      <c r="Q246" s="34" t="str">
        <f>IF(MATCHER!K238="","",MATCHER!K238)</f>
        <v/>
      </c>
      <c r="R246" s="34" t="str">
        <f>IF(K246="","",IF(Q246&lt;&gt;"Ja","Ej aktuell",IF(P246="SAKNAS","NY KLASS",IF(MATCHER!N238&lt;&gt;"Ja",MATCHER!N238,IF(COUNTIF($A$13:$A$220,K246)=0,"NY MATCH","Matchdag finns")))))</f>
        <v/>
      </c>
    </row>
    <row r="247" spans="1:18" ht="13">
      <c r="A247" s="1"/>
      <c r="B247" s="1"/>
      <c r="C247" s="1"/>
      <c r="D247" s="1"/>
      <c r="E247" s="1"/>
      <c r="F247" s="1"/>
      <c r="G247" s="1"/>
      <c r="H247" s="1"/>
      <c r="I247" s="1"/>
      <c r="J247" s="1"/>
      <c r="K247" s="34" t="str">
        <f>IF(MATCHER!A239="","",MATCHER!A239)</f>
        <v/>
      </c>
      <c r="L247" s="91" t="str">
        <f>IF(MATCHER!B239="","",MATCHER!B239)</f>
        <v/>
      </c>
      <c r="M247" s="92" t="str">
        <f>IF(MATCHER!C239="","",MATCHER!C239)</f>
        <v/>
      </c>
      <c r="N247" s="34" t="str">
        <f>IF(MATCHER!D239="","",MATCHER!D239)</f>
        <v/>
      </c>
      <c r="O247" s="34" t="str">
        <f>IF(MATCHER!E239="","",MATCHER!E239)</f>
        <v/>
      </c>
      <c r="P247" s="34" t="str">
        <f>IF(MATCHER!F239="","",MATCHER!F239)</f>
        <v/>
      </c>
      <c r="Q247" s="34" t="str">
        <f>IF(MATCHER!K239="","",MATCHER!K239)</f>
        <v/>
      </c>
      <c r="R247" s="34" t="str">
        <f>IF(K247="","",IF(Q247&lt;&gt;"Ja","Ej aktuell",IF(P247="SAKNAS","NY KLASS",IF(MATCHER!N239&lt;&gt;"Ja",MATCHER!N239,IF(COUNTIF($A$13:$A$220,K247)=0,"NY MATCH","Matchdag finns")))))</f>
        <v/>
      </c>
    </row>
    <row r="248" spans="1:18" ht="13">
      <c r="A248" s="1"/>
      <c r="B248" s="1"/>
      <c r="C248" s="1"/>
      <c r="D248" s="1"/>
      <c r="E248" s="1"/>
      <c r="F248" s="1"/>
      <c r="G248" s="1"/>
      <c r="H248" s="1"/>
      <c r="I248" s="1"/>
      <c r="J248" s="1"/>
      <c r="K248" s="34" t="str">
        <f>IF(MATCHER!A240="","",MATCHER!A240)</f>
        <v/>
      </c>
      <c r="L248" s="91" t="str">
        <f>IF(MATCHER!B240="","",MATCHER!B240)</f>
        <v/>
      </c>
      <c r="M248" s="92" t="str">
        <f>IF(MATCHER!C240="","",MATCHER!C240)</f>
        <v/>
      </c>
      <c r="N248" s="34" t="str">
        <f>IF(MATCHER!D240="","",MATCHER!D240)</f>
        <v/>
      </c>
      <c r="O248" s="34" t="str">
        <f>IF(MATCHER!E240="","",MATCHER!E240)</f>
        <v/>
      </c>
      <c r="P248" s="34" t="str">
        <f>IF(MATCHER!F240="","",MATCHER!F240)</f>
        <v/>
      </c>
      <c r="Q248" s="34" t="str">
        <f>IF(MATCHER!K240="","",MATCHER!K240)</f>
        <v/>
      </c>
      <c r="R248" s="34" t="str">
        <f>IF(K248="","",IF(Q248&lt;&gt;"Ja","Ej aktuell",IF(P248="SAKNAS","NY KLASS",IF(MATCHER!N240&lt;&gt;"Ja",MATCHER!N240,IF(COUNTIF($A$13:$A$220,K248)=0,"NY MATCH","Matchdag finns")))))</f>
        <v/>
      </c>
    </row>
    <row r="249" spans="1:18" ht="13">
      <c r="A249" s="1"/>
      <c r="B249" s="1"/>
      <c r="C249" s="1"/>
      <c r="D249" s="1"/>
      <c r="E249" s="1"/>
      <c r="F249" s="1"/>
      <c r="G249" s="1"/>
      <c r="H249" s="1"/>
      <c r="I249" s="1"/>
      <c r="J249" s="1"/>
      <c r="K249" s="34" t="str">
        <f>IF(MATCHER!A241="","",MATCHER!A241)</f>
        <v/>
      </c>
      <c r="L249" s="91" t="str">
        <f>IF(MATCHER!B241="","",MATCHER!B241)</f>
        <v/>
      </c>
      <c r="M249" s="92" t="str">
        <f>IF(MATCHER!C241="","",MATCHER!C241)</f>
        <v/>
      </c>
      <c r="N249" s="34" t="str">
        <f>IF(MATCHER!D241="","",MATCHER!D241)</f>
        <v/>
      </c>
      <c r="O249" s="34" t="str">
        <f>IF(MATCHER!E241="","",MATCHER!E241)</f>
        <v/>
      </c>
      <c r="P249" s="34" t="str">
        <f>IF(MATCHER!F241="","",MATCHER!F241)</f>
        <v/>
      </c>
      <c r="Q249" s="34" t="str">
        <f>IF(MATCHER!K241="","",MATCHER!K241)</f>
        <v/>
      </c>
      <c r="R249" s="34" t="str">
        <f>IF(K249="","",IF(Q249&lt;&gt;"Ja","Ej aktuell",IF(P249="SAKNAS","NY KLASS",IF(MATCHER!N241&lt;&gt;"Ja",MATCHER!N241,IF(COUNTIF($A$13:$A$220,K249)=0,"NY MATCH","Matchdag finns")))))</f>
        <v/>
      </c>
    </row>
    <row r="250" spans="1:18" ht="13">
      <c r="A250" s="1"/>
      <c r="B250" s="1"/>
      <c r="C250" s="1"/>
      <c r="D250" s="1"/>
      <c r="E250" s="1"/>
      <c r="F250" s="1"/>
      <c r="G250" s="1"/>
      <c r="H250" s="1"/>
      <c r="I250" s="1"/>
      <c r="J250" s="1"/>
      <c r="K250" s="34" t="str">
        <f>IF(MATCHER!A242="","",MATCHER!A242)</f>
        <v/>
      </c>
      <c r="L250" s="91" t="str">
        <f>IF(MATCHER!B242="","",MATCHER!B242)</f>
        <v/>
      </c>
      <c r="M250" s="92" t="str">
        <f>IF(MATCHER!C242="","",MATCHER!C242)</f>
        <v/>
      </c>
      <c r="N250" s="34" t="str">
        <f>IF(MATCHER!D242="","",MATCHER!D242)</f>
        <v/>
      </c>
      <c r="O250" s="34" t="str">
        <f>IF(MATCHER!E242="","",MATCHER!E242)</f>
        <v/>
      </c>
      <c r="P250" s="34" t="str">
        <f>IF(MATCHER!F242="","",MATCHER!F242)</f>
        <v/>
      </c>
      <c r="Q250" s="34" t="str">
        <f>IF(MATCHER!K242="","",MATCHER!K242)</f>
        <v/>
      </c>
      <c r="R250" s="34" t="str">
        <f>IF(K250="","",IF(Q250&lt;&gt;"Ja","Ej aktuell",IF(P250="SAKNAS","NY KLASS",IF(MATCHER!N242&lt;&gt;"Ja",MATCHER!N242,IF(COUNTIF($A$13:$A$220,K250)=0,"NY MATCH","Matchdag finns")))))</f>
        <v/>
      </c>
    </row>
    <row r="251" spans="1:18" ht="13">
      <c r="A251" s="1"/>
      <c r="B251" s="1"/>
      <c r="C251" s="1"/>
      <c r="D251" s="1"/>
      <c r="E251" s="1"/>
      <c r="F251" s="1"/>
      <c r="G251" s="1"/>
      <c r="H251" s="1"/>
      <c r="I251" s="1"/>
      <c r="J251" s="1"/>
      <c r="K251" s="34" t="str">
        <f>IF(MATCHER!A243="","",MATCHER!A243)</f>
        <v/>
      </c>
      <c r="L251" s="91" t="str">
        <f>IF(MATCHER!B243="","",MATCHER!B243)</f>
        <v/>
      </c>
      <c r="M251" s="92" t="str">
        <f>IF(MATCHER!C243="","",MATCHER!C243)</f>
        <v/>
      </c>
      <c r="N251" s="34" t="str">
        <f>IF(MATCHER!D243="","",MATCHER!D243)</f>
        <v/>
      </c>
      <c r="O251" s="34" t="str">
        <f>IF(MATCHER!E243="","",MATCHER!E243)</f>
        <v/>
      </c>
      <c r="P251" s="34" t="str">
        <f>IF(MATCHER!F243="","",MATCHER!F243)</f>
        <v/>
      </c>
      <c r="Q251" s="34" t="str">
        <f>IF(MATCHER!K243="","",MATCHER!K243)</f>
        <v/>
      </c>
      <c r="R251" s="34" t="str">
        <f>IF(K251="","",IF(Q251&lt;&gt;"Ja","Ej aktuell",IF(P251="SAKNAS","NY KLASS",IF(MATCHER!N243&lt;&gt;"Ja",MATCHER!N243,IF(COUNTIF($A$13:$A$220,K251)=0,"NY MATCH","Matchdag finns")))))</f>
        <v/>
      </c>
    </row>
    <row r="252" spans="1:18" ht="13">
      <c r="A252" s="1"/>
      <c r="B252" s="1"/>
      <c r="C252" s="1"/>
      <c r="D252" s="1"/>
      <c r="E252" s="1"/>
      <c r="F252" s="1"/>
      <c r="G252" s="1"/>
      <c r="H252" s="1"/>
      <c r="I252" s="1"/>
      <c r="J252" s="1"/>
      <c r="K252" s="34" t="str">
        <f>IF(MATCHER!A244="","",MATCHER!A244)</f>
        <v/>
      </c>
      <c r="L252" s="91" t="str">
        <f>IF(MATCHER!B244="","",MATCHER!B244)</f>
        <v/>
      </c>
      <c r="M252" s="92" t="str">
        <f>IF(MATCHER!C244="","",MATCHER!C244)</f>
        <v/>
      </c>
      <c r="N252" s="34" t="str">
        <f>IF(MATCHER!D244="","",MATCHER!D244)</f>
        <v/>
      </c>
      <c r="O252" s="34" t="str">
        <f>IF(MATCHER!E244="","",MATCHER!E244)</f>
        <v/>
      </c>
      <c r="P252" s="34" t="str">
        <f>IF(MATCHER!F244="","",MATCHER!F244)</f>
        <v/>
      </c>
      <c r="Q252" s="34" t="str">
        <f>IF(MATCHER!K244="","",MATCHER!K244)</f>
        <v/>
      </c>
      <c r="R252" s="34" t="str">
        <f>IF(K252="","",IF(Q252&lt;&gt;"Ja","Ej aktuell",IF(P252="SAKNAS","NY KLASS",IF(MATCHER!N244&lt;&gt;"Ja",MATCHER!N244,IF(COUNTIF($A$13:$A$220,K252)=0,"NY MATCH","Matchdag finns")))))</f>
        <v/>
      </c>
    </row>
    <row r="253" spans="1:18" ht="13">
      <c r="A253" s="1"/>
      <c r="B253" s="1"/>
      <c r="C253" s="1"/>
      <c r="D253" s="1"/>
      <c r="E253" s="1"/>
      <c r="F253" s="1"/>
      <c r="G253" s="1"/>
      <c r="H253" s="1"/>
      <c r="I253" s="1"/>
      <c r="J253" s="1"/>
      <c r="K253" s="34" t="str">
        <f>IF(MATCHER!A245="","",MATCHER!A245)</f>
        <v/>
      </c>
      <c r="L253" s="91" t="str">
        <f>IF(MATCHER!B245="","",MATCHER!B245)</f>
        <v/>
      </c>
      <c r="M253" s="92" t="str">
        <f>IF(MATCHER!C245="","",MATCHER!C245)</f>
        <v/>
      </c>
      <c r="N253" s="34" t="str">
        <f>IF(MATCHER!D245="","",MATCHER!D245)</f>
        <v/>
      </c>
      <c r="O253" s="34" t="str">
        <f>IF(MATCHER!E245="","",MATCHER!E245)</f>
        <v/>
      </c>
      <c r="P253" s="34" t="str">
        <f>IF(MATCHER!F245="","",MATCHER!F245)</f>
        <v/>
      </c>
      <c r="Q253" s="34" t="str">
        <f>IF(MATCHER!K245="","",MATCHER!K245)</f>
        <v/>
      </c>
      <c r="R253" s="34" t="str">
        <f>IF(K253="","",IF(Q253&lt;&gt;"Ja","Ej aktuell",IF(P253="SAKNAS","NY KLASS",IF(MATCHER!N245&lt;&gt;"Ja",MATCHER!N245,IF(COUNTIF($A$13:$A$220,K253)=0,"NY MATCH","Matchdag finns")))))</f>
        <v/>
      </c>
    </row>
    <row r="254" spans="1:18" ht="13">
      <c r="A254" s="1"/>
      <c r="B254" s="1"/>
      <c r="C254" s="1"/>
      <c r="D254" s="1"/>
      <c r="E254" s="1"/>
      <c r="F254" s="1"/>
      <c r="G254" s="1"/>
      <c r="H254" s="1"/>
      <c r="I254" s="1"/>
      <c r="J254" s="1"/>
      <c r="K254" s="34" t="str">
        <f>IF(MATCHER!A246="","",MATCHER!A246)</f>
        <v/>
      </c>
      <c r="L254" s="91" t="str">
        <f>IF(MATCHER!B246="","",MATCHER!B246)</f>
        <v/>
      </c>
      <c r="M254" s="92" t="str">
        <f>IF(MATCHER!C246="","",MATCHER!C246)</f>
        <v/>
      </c>
      <c r="N254" s="34" t="str">
        <f>IF(MATCHER!D246="","",MATCHER!D246)</f>
        <v/>
      </c>
      <c r="O254" s="34" t="str">
        <f>IF(MATCHER!E246="","",MATCHER!E246)</f>
        <v/>
      </c>
      <c r="P254" s="34" t="str">
        <f>IF(MATCHER!F246="","",MATCHER!F246)</f>
        <v/>
      </c>
      <c r="Q254" s="34" t="str">
        <f>IF(MATCHER!K246="","",MATCHER!K246)</f>
        <v/>
      </c>
      <c r="R254" s="34" t="str">
        <f>IF(K254="","",IF(Q254&lt;&gt;"Ja","Ej aktuell",IF(P254="SAKNAS","NY KLASS",IF(MATCHER!N246&lt;&gt;"Ja",MATCHER!N246,IF(COUNTIF($A$13:$A$220,K254)=0,"NY MATCH","Matchdag finns")))))</f>
        <v/>
      </c>
    </row>
    <row r="255" spans="1:18" ht="13">
      <c r="A255" s="1"/>
      <c r="B255" s="1"/>
      <c r="C255" s="1"/>
      <c r="D255" s="1"/>
      <c r="E255" s="1"/>
      <c r="F255" s="1"/>
      <c r="G255" s="1"/>
      <c r="H255" s="1"/>
      <c r="I255" s="1"/>
      <c r="J255" s="1"/>
      <c r="K255" s="34" t="str">
        <f>IF(MATCHER!A247="","",MATCHER!A247)</f>
        <v/>
      </c>
      <c r="L255" s="91" t="str">
        <f>IF(MATCHER!B247="","",MATCHER!B247)</f>
        <v/>
      </c>
      <c r="M255" s="92" t="str">
        <f>IF(MATCHER!C247="","",MATCHER!C247)</f>
        <v/>
      </c>
      <c r="N255" s="34" t="str">
        <f>IF(MATCHER!D247="","",MATCHER!D247)</f>
        <v/>
      </c>
      <c r="O255" s="34" t="str">
        <f>IF(MATCHER!E247="","",MATCHER!E247)</f>
        <v/>
      </c>
      <c r="P255" s="34" t="str">
        <f>IF(MATCHER!F247="","",MATCHER!F247)</f>
        <v/>
      </c>
      <c r="Q255" s="34" t="str">
        <f>IF(MATCHER!K247="","",MATCHER!K247)</f>
        <v/>
      </c>
      <c r="R255" s="34" t="str">
        <f>IF(K255="","",IF(Q255&lt;&gt;"Ja","Ej aktuell",IF(P255="SAKNAS","NY KLASS",IF(MATCHER!N247&lt;&gt;"Ja",MATCHER!N247,IF(COUNTIF($A$13:$A$220,K255)=0,"NY MATCH","Matchdag finns")))))</f>
        <v/>
      </c>
    </row>
    <row r="256" spans="1:18" ht="13">
      <c r="A256" s="1"/>
      <c r="B256" s="1"/>
      <c r="C256" s="1"/>
      <c r="D256" s="1"/>
      <c r="E256" s="1"/>
      <c r="F256" s="1"/>
      <c r="G256" s="1"/>
      <c r="H256" s="1"/>
      <c r="I256" s="1"/>
      <c r="J256" s="1"/>
      <c r="K256" s="34" t="str">
        <f>IF(MATCHER!A248="","",MATCHER!A248)</f>
        <v/>
      </c>
      <c r="L256" s="91" t="str">
        <f>IF(MATCHER!B248="","",MATCHER!B248)</f>
        <v/>
      </c>
      <c r="M256" s="92" t="str">
        <f>IF(MATCHER!C248="","",MATCHER!C248)</f>
        <v/>
      </c>
      <c r="N256" s="34" t="str">
        <f>IF(MATCHER!D248="","",MATCHER!D248)</f>
        <v/>
      </c>
      <c r="O256" s="34" t="str">
        <f>IF(MATCHER!E248="","",MATCHER!E248)</f>
        <v/>
      </c>
      <c r="P256" s="34" t="str">
        <f>IF(MATCHER!F248="","",MATCHER!F248)</f>
        <v/>
      </c>
      <c r="Q256" s="34" t="str">
        <f>IF(MATCHER!K248="","",MATCHER!K248)</f>
        <v/>
      </c>
      <c r="R256" s="34" t="str">
        <f>IF(K256="","",IF(Q256&lt;&gt;"Ja","Ej aktuell",IF(P256="SAKNAS","NY KLASS",IF(MATCHER!N248&lt;&gt;"Ja",MATCHER!N248,IF(COUNTIF($A$13:$A$220,K256)=0,"NY MATCH","Matchdag finns")))))</f>
        <v/>
      </c>
    </row>
    <row r="257" spans="1:18" ht="13">
      <c r="A257" s="1"/>
      <c r="B257" s="1"/>
      <c r="C257" s="1"/>
      <c r="D257" s="1"/>
      <c r="E257" s="1"/>
      <c r="F257" s="1"/>
      <c r="G257" s="1"/>
      <c r="H257" s="1"/>
      <c r="I257" s="1"/>
      <c r="J257" s="1"/>
      <c r="K257" s="34" t="str">
        <f>IF(MATCHER!A249="","",MATCHER!A249)</f>
        <v/>
      </c>
      <c r="L257" s="91" t="str">
        <f>IF(MATCHER!B249="","",MATCHER!B249)</f>
        <v/>
      </c>
      <c r="M257" s="92" t="str">
        <f>IF(MATCHER!C249="","",MATCHER!C249)</f>
        <v/>
      </c>
      <c r="N257" s="34" t="str">
        <f>IF(MATCHER!D249="","",MATCHER!D249)</f>
        <v/>
      </c>
      <c r="O257" s="34" t="str">
        <f>IF(MATCHER!E249="","",MATCHER!E249)</f>
        <v/>
      </c>
      <c r="P257" s="34" t="str">
        <f>IF(MATCHER!F249="","",MATCHER!F249)</f>
        <v/>
      </c>
      <c r="Q257" s="34" t="str">
        <f>IF(MATCHER!K249="","",MATCHER!K249)</f>
        <v/>
      </c>
      <c r="R257" s="34" t="str">
        <f>IF(K257="","",IF(Q257&lt;&gt;"Ja","Ej aktuell",IF(P257="SAKNAS","NY KLASS",IF(MATCHER!N249&lt;&gt;"Ja",MATCHER!N249,IF(COUNTIF($A$13:$A$220,K257)=0,"NY MATCH","Matchdag finns")))))</f>
        <v/>
      </c>
    </row>
    <row r="258" spans="1:18" ht="13">
      <c r="A258" s="1"/>
      <c r="B258" s="1"/>
      <c r="C258" s="1"/>
      <c r="D258" s="1"/>
      <c r="E258" s="1"/>
      <c r="F258" s="1"/>
      <c r="G258" s="1"/>
      <c r="H258" s="1"/>
      <c r="I258" s="1"/>
      <c r="J258" s="1"/>
      <c r="K258" s="34" t="str">
        <f>IF(MATCHER!A250="","",MATCHER!A250)</f>
        <v/>
      </c>
      <c r="L258" s="91" t="str">
        <f>IF(MATCHER!B250="","",MATCHER!B250)</f>
        <v/>
      </c>
      <c r="M258" s="92" t="str">
        <f>IF(MATCHER!C250="","",MATCHER!C250)</f>
        <v/>
      </c>
      <c r="N258" s="34" t="str">
        <f>IF(MATCHER!D250="","",MATCHER!D250)</f>
        <v/>
      </c>
      <c r="O258" s="34" t="str">
        <f>IF(MATCHER!E250="","",MATCHER!E250)</f>
        <v/>
      </c>
      <c r="P258" s="34" t="str">
        <f>IF(MATCHER!F250="","",MATCHER!F250)</f>
        <v/>
      </c>
      <c r="Q258" s="34" t="str">
        <f>IF(MATCHER!K250="","",MATCHER!K250)</f>
        <v/>
      </c>
      <c r="R258" s="34" t="str">
        <f>IF(K258="","",IF(Q258&lt;&gt;"Ja","Ej aktuell",IF(P258="SAKNAS","NY KLASS",IF(MATCHER!N250&lt;&gt;"Ja",MATCHER!N250,IF(COUNTIF($A$13:$A$220,K258)=0,"NY MATCH","Matchdag finns")))))</f>
        <v/>
      </c>
    </row>
    <row r="259" spans="1:18" ht="13">
      <c r="A259" s="1"/>
      <c r="B259" s="1"/>
      <c r="C259" s="1"/>
      <c r="D259" s="1"/>
      <c r="E259" s="1"/>
      <c r="F259" s="1"/>
      <c r="G259" s="1"/>
      <c r="H259" s="1"/>
      <c r="I259" s="1"/>
      <c r="J259" s="1"/>
      <c r="K259" s="34" t="str">
        <f>IF(MATCHER!A251="","",MATCHER!A251)</f>
        <v/>
      </c>
      <c r="L259" s="91" t="str">
        <f>IF(MATCHER!B251="","",MATCHER!B251)</f>
        <v/>
      </c>
      <c r="M259" s="92" t="str">
        <f>IF(MATCHER!C251="","",MATCHER!C251)</f>
        <v/>
      </c>
      <c r="N259" s="34" t="str">
        <f>IF(MATCHER!D251="","",MATCHER!D251)</f>
        <v/>
      </c>
      <c r="O259" s="34" t="str">
        <f>IF(MATCHER!E251="","",MATCHER!E251)</f>
        <v/>
      </c>
      <c r="P259" s="34" t="str">
        <f>IF(MATCHER!F251="","",MATCHER!F251)</f>
        <v/>
      </c>
      <c r="Q259" s="34" t="str">
        <f>IF(MATCHER!K251="","",MATCHER!K251)</f>
        <v/>
      </c>
      <c r="R259" s="34" t="str">
        <f>IF(K259="","",IF(Q259&lt;&gt;"Ja","Ej aktuell",IF(P259="SAKNAS","NY KLASS",IF(MATCHER!N251&lt;&gt;"Ja",MATCHER!N251,IF(COUNTIF($A$13:$A$220,K259)=0,"NY MATCH","Matchdag finns")))))</f>
        <v/>
      </c>
    </row>
    <row r="260" spans="1:18" ht="13">
      <c r="A260" s="1"/>
      <c r="B260" s="1"/>
      <c r="C260" s="1"/>
      <c r="D260" s="1"/>
      <c r="E260" s="1"/>
      <c r="F260" s="1"/>
      <c r="G260" s="1"/>
      <c r="H260" s="1"/>
      <c r="I260" s="1"/>
      <c r="J260" s="1"/>
      <c r="K260" s="34" t="str">
        <f>IF(MATCHER!A252="","",MATCHER!A252)</f>
        <v/>
      </c>
      <c r="L260" s="91" t="str">
        <f>IF(MATCHER!B252="","",MATCHER!B252)</f>
        <v/>
      </c>
      <c r="M260" s="92" t="str">
        <f>IF(MATCHER!C252="","",MATCHER!C252)</f>
        <v/>
      </c>
      <c r="N260" s="34" t="str">
        <f>IF(MATCHER!D252="","",MATCHER!D252)</f>
        <v/>
      </c>
      <c r="O260" s="34" t="str">
        <f>IF(MATCHER!E252="","",MATCHER!E252)</f>
        <v/>
      </c>
      <c r="P260" s="34" t="str">
        <f>IF(MATCHER!F252="","",MATCHER!F252)</f>
        <v/>
      </c>
      <c r="Q260" s="34" t="str">
        <f>IF(MATCHER!K252="","",MATCHER!K252)</f>
        <v/>
      </c>
      <c r="R260" s="34" t="str">
        <f>IF(K260="","",IF(Q260&lt;&gt;"Ja","Ej aktuell",IF(P260="SAKNAS","NY KLASS",IF(MATCHER!N252&lt;&gt;"Ja",MATCHER!N252,IF(COUNTIF($A$13:$A$220,K260)=0,"NY MATCH","Matchdag finns")))))</f>
        <v/>
      </c>
    </row>
    <row r="261" spans="1:18" ht="13">
      <c r="A261" s="1"/>
      <c r="B261" s="1"/>
      <c r="C261" s="1"/>
      <c r="D261" s="1"/>
      <c r="E261" s="1"/>
      <c r="F261" s="1"/>
      <c r="G261" s="1"/>
      <c r="H261" s="1"/>
      <c r="I261" s="1"/>
      <c r="J261" s="1"/>
      <c r="K261" s="34" t="str">
        <f>IF(MATCHER!A253="","",MATCHER!A253)</f>
        <v/>
      </c>
      <c r="L261" s="91" t="str">
        <f>IF(MATCHER!B253="","",MATCHER!B253)</f>
        <v/>
      </c>
      <c r="M261" s="92" t="str">
        <f>IF(MATCHER!C253="","",MATCHER!C253)</f>
        <v/>
      </c>
      <c r="N261" s="34" t="str">
        <f>IF(MATCHER!D253="","",MATCHER!D253)</f>
        <v/>
      </c>
      <c r="O261" s="34" t="str">
        <f>IF(MATCHER!E253="","",MATCHER!E253)</f>
        <v/>
      </c>
      <c r="P261" s="34" t="str">
        <f>IF(MATCHER!F253="","",MATCHER!F253)</f>
        <v/>
      </c>
      <c r="Q261" s="34" t="str">
        <f>IF(MATCHER!K253="","",MATCHER!K253)</f>
        <v/>
      </c>
      <c r="R261" s="34" t="str">
        <f>IF(K261="","",IF(Q261&lt;&gt;"Ja","Ej aktuell",IF(P261="SAKNAS","NY KLASS",IF(MATCHER!N253&lt;&gt;"Ja",MATCHER!N253,IF(COUNTIF($A$13:$A$220,K261)=0,"NY MATCH","Matchdag finns")))))</f>
        <v/>
      </c>
    </row>
    <row r="262" spans="1:18" ht="13">
      <c r="A262" s="1"/>
      <c r="B262" s="1"/>
      <c r="C262" s="1"/>
      <c r="D262" s="1"/>
      <c r="E262" s="1"/>
      <c r="F262" s="1"/>
      <c r="G262" s="1"/>
      <c r="H262" s="1"/>
      <c r="I262" s="1"/>
      <c r="J262" s="1"/>
      <c r="K262" s="34" t="str">
        <f>IF(MATCHER!A254="","",MATCHER!A254)</f>
        <v/>
      </c>
      <c r="L262" s="91" t="str">
        <f>IF(MATCHER!B254="","",MATCHER!B254)</f>
        <v/>
      </c>
      <c r="M262" s="92" t="str">
        <f>IF(MATCHER!C254="","",MATCHER!C254)</f>
        <v/>
      </c>
      <c r="N262" s="34" t="str">
        <f>IF(MATCHER!D254="","",MATCHER!D254)</f>
        <v/>
      </c>
      <c r="O262" s="34" t="str">
        <f>IF(MATCHER!E254="","",MATCHER!E254)</f>
        <v/>
      </c>
      <c r="P262" s="34" t="str">
        <f>IF(MATCHER!F254="","",MATCHER!F254)</f>
        <v/>
      </c>
      <c r="Q262" s="34" t="str">
        <f>IF(MATCHER!K254="","",MATCHER!K254)</f>
        <v/>
      </c>
      <c r="R262" s="34" t="str">
        <f>IF(K262="","",IF(Q262&lt;&gt;"Ja","Ej aktuell",IF(P262="SAKNAS","NY KLASS",IF(MATCHER!N254&lt;&gt;"Ja",MATCHER!N254,IF(COUNTIF($A$13:$A$220,K262)=0,"NY MATCH","Matchdag finns")))))</f>
        <v/>
      </c>
    </row>
    <row r="263" spans="1:18" ht="13">
      <c r="A263" s="1"/>
      <c r="B263" s="1"/>
      <c r="C263" s="1"/>
      <c r="D263" s="1"/>
      <c r="E263" s="1"/>
      <c r="F263" s="1"/>
      <c r="G263" s="1"/>
      <c r="H263" s="1"/>
      <c r="I263" s="1"/>
      <c r="J263" s="1"/>
      <c r="K263" s="34" t="str">
        <f>IF(MATCHER!A255="","",MATCHER!A255)</f>
        <v/>
      </c>
      <c r="L263" s="91" t="str">
        <f>IF(MATCHER!B255="","",MATCHER!B255)</f>
        <v/>
      </c>
      <c r="M263" s="92" t="str">
        <f>IF(MATCHER!C255="","",MATCHER!C255)</f>
        <v/>
      </c>
      <c r="N263" s="34" t="str">
        <f>IF(MATCHER!D255="","",MATCHER!D255)</f>
        <v/>
      </c>
      <c r="O263" s="34" t="str">
        <f>IF(MATCHER!E255="","",MATCHER!E255)</f>
        <v/>
      </c>
      <c r="P263" s="34" t="str">
        <f>IF(MATCHER!F255="","",MATCHER!F255)</f>
        <v/>
      </c>
      <c r="Q263" s="34" t="str">
        <f>IF(MATCHER!K255="","",MATCHER!K255)</f>
        <v/>
      </c>
      <c r="R263" s="34" t="str">
        <f>IF(K263="","",IF(Q263&lt;&gt;"Ja","Ej aktuell",IF(P263="SAKNAS","NY KLASS",IF(MATCHER!N255&lt;&gt;"Ja",MATCHER!N255,IF(COUNTIF($A$13:$A$220,K263)=0,"NY MATCH","Matchdag finns")))))</f>
        <v/>
      </c>
    </row>
    <row r="264" spans="1:18" ht="13">
      <c r="A264" s="1"/>
      <c r="B264" s="1"/>
      <c r="C264" s="1"/>
      <c r="D264" s="1"/>
      <c r="E264" s="1"/>
      <c r="F264" s="1"/>
      <c r="G264" s="1"/>
      <c r="H264" s="1"/>
      <c r="I264" s="1"/>
      <c r="J264" s="1"/>
      <c r="K264" s="34" t="str">
        <f>IF(MATCHER!A256="","",MATCHER!A256)</f>
        <v/>
      </c>
      <c r="L264" s="91" t="str">
        <f>IF(MATCHER!B256="","",MATCHER!B256)</f>
        <v/>
      </c>
      <c r="M264" s="92" t="str">
        <f>IF(MATCHER!C256="","",MATCHER!C256)</f>
        <v/>
      </c>
      <c r="N264" s="34" t="str">
        <f>IF(MATCHER!D256="","",MATCHER!D256)</f>
        <v/>
      </c>
      <c r="O264" s="34" t="str">
        <f>IF(MATCHER!E256="","",MATCHER!E256)</f>
        <v/>
      </c>
      <c r="P264" s="34" t="str">
        <f>IF(MATCHER!F256="","",MATCHER!F256)</f>
        <v/>
      </c>
      <c r="Q264" s="34" t="str">
        <f>IF(MATCHER!K256="","",MATCHER!K256)</f>
        <v/>
      </c>
      <c r="R264" s="34" t="str">
        <f>IF(K264="","",IF(Q264&lt;&gt;"Ja","Ej aktuell",IF(P264="SAKNAS","NY KLASS",IF(MATCHER!N256&lt;&gt;"Ja",MATCHER!N256,IF(COUNTIF($A$13:$A$220,K264)=0,"NY MATCH","Matchdag finns")))))</f>
        <v/>
      </c>
    </row>
    <row r="265" spans="1:18" ht="13">
      <c r="A265" s="1"/>
      <c r="B265" s="1"/>
      <c r="C265" s="1"/>
      <c r="D265" s="1"/>
      <c r="E265" s="1"/>
      <c r="F265" s="1"/>
      <c r="G265" s="1"/>
      <c r="H265" s="1"/>
      <c r="I265" s="1"/>
      <c r="J265" s="1"/>
      <c r="K265" s="34" t="str">
        <f>IF(MATCHER!A257="","",MATCHER!A257)</f>
        <v/>
      </c>
      <c r="L265" s="91" t="str">
        <f>IF(MATCHER!B257="","",MATCHER!B257)</f>
        <v/>
      </c>
      <c r="M265" s="92" t="str">
        <f>IF(MATCHER!C257="","",MATCHER!C257)</f>
        <v/>
      </c>
      <c r="N265" s="34" t="str">
        <f>IF(MATCHER!D257="","",MATCHER!D257)</f>
        <v/>
      </c>
      <c r="O265" s="34" t="str">
        <f>IF(MATCHER!E257="","",MATCHER!E257)</f>
        <v/>
      </c>
      <c r="P265" s="34" t="str">
        <f>IF(MATCHER!F257="","",MATCHER!F257)</f>
        <v/>
      </c>
      <c r="Q265" s="34" t="str">
        <f>IF(MATCHER!K257="","",MATCHER!K257)</f>
        <v/>
      </c>
      <c r="R265" s="34" t="str">
        <f>IF(K265="","",IF(Q265&lt;&gt;"Ja","Ej aktuell",IF(P265="SAKNAS","NY KLASS",IF(MATCHER!N257&lt;&gt;"Ja",MATCHER!N257,IF(COUNTIF($A$13:$A$220,K265)=0,"NY MATCH","Matchdag finns")))))</f>
        <v/>
      </c>
    </row>
    <row r="266" spans="1:18" ht="13">
      <c r="A266" s="1"/>
      <c r="B266" s="1"/>
      <c r="C266" s="1"/>
      <c r="D266" s="1"/>
      <c r="E266" s="1"/>
      <c r="F266" s="1"/>
      <c r="G266" s="1"/>
      <c r="H266" s="1"/>
      <c r="I266" s="1"/>
      <c r="J266" s="1"/>
      <c r="K266" s="34" t="str">
        <f>IF(MATCHER!A258="","",MATCHER!A258)</f>
        <v/>
      </c>
      <c r="L266" s="91" t="str">
        <f>IF(MATCHER!B258="","",MATCHER!B258)</f>
        <v/>
      </c>
      <c r="M266" s="92" t="str">
        <f>IF(MATCHER!C258="","",MATCHER!C258)</f>
        <v/>
      </c>
      <c r="N266" s="34" t="str">
        <f>IF(MATCHER!D258="","",MATCHER!D258)</f>
        <v/>
      </c>
      <c r="O266" s="34" t="str">
        <f>IF(MATCHER!E258="","",MATCHER!E258)</f>
        <v/>
      </c>
      <c r="P266" s="34" t="str">
        <f>IF(MATCHER!F258="","",MATCHER!F258)</f>
        <v/>
      </c>
      <c r="Q266" s="34" t="str">
        <f>IF(MATCHER!K258="","",MATCHER!K258)</f>
        <v/>
      </c>
      <c r="R266" s="34" t="str">
        <f>IF(K266="","",IF(Q266&lt;&gt;"Ja","Ej aktuell",IF(P266="SAKNAS","NY KLASS",IF(MATCHER!N258&lt;&gt;"Ja",MATCHER!N258,IF(COUNTIF($A$13:$A$220,K266)=0,"NY MATCH","Matchdag finns")))))</f>
        <v/>
      </c>
    </row>
    <row r="267" spans="1:18" ht="13">
      <c r="A267" s="1"/>
      <c r="B267" s="1"/>
      <c r="C267" s="1"/>
      <c r="D267" s="1"/>
      <c r="E267" s="1"/>
      <c r="F267" s="1"/>
      <c r="G267" s="1"/>
      <c r="H267" s="1"/>
      <c r="I267" s="1"/>
      <c r="J267" s="1"/>
      <c r="K267" s="34" t="str">
        <f>IF(MATCHER!A259="","",MATCHER!A259)</f>
        <v/>
      </c>
      <c r="L267" s="91" t="str">
        <f>IF(MATCHER!B259="","",MATCHER!B259)</f>
        <v/>
      </c>
      <c r="M267" s="92" t="str">
        <f>IF(MATCHER!C259="","",MATCHER!C259)</f>
        <v/>
      </c>
      <c r="N267" s="34" t="str">
        <f>IF(MATCHER!D259="","",MATCHER!D259)</f>
        <v/>
      </c>
      <c r="O267" s="34" t="str">
        <f>IF(MATCHER!E259="","",MATCHER!E259)</f>
        <v/>
      </c>
      <c r="P267" s="34" t="str">
        <f>IF(MATCHER!F259="","",MATCHER!F259)</f>
        <v/>
      </c>
      <c r="Q267" s="34" t="str">
        <f>IF(MATCHER!K259="","",MATCHER!K259)</f>
        <v/>
      </c>
      <c r="R267" s="34" t="str">
        <f>IF(K267="","",IF(Q267&lt;&gt;"Ja","Ej aktuell",IF(P267="SAKNAS","NY KLASS",IF(MATCHER!N259&lt;&gt;"Ja",MATCHER!N259,IF(COUNTIF($A$13:$A$220,K267)=0,"NY MATCH","Matchdag finns")))))</f>
        <v/>
      </c>
    </row>
    <row r="268" spans="1:18" ht="13">
      <c r="A268" s="1"/>
      <c r="B268" s="1"/>
      <c r="C268" s="1"/>
      <c r="D268" s="1"/>
      <c r="E268" s="1"/>
      <c r="F268" s="1"/>
      <c r="G268" s="1"/>
      <c r="H268" s="1"/>
      <c r="I268" s="1"/>
      <c r="J268" s="1"/>
      <c r="K268" s="34" t="str">
        <f>IF(MATCHER!A260="","",MATCHER!A260)</f>
        <v/>
      </c>
      <c r="L268" s="91" t="str">
        <f>IF(MATCHER!B260="","",MATCHER!B260)</f>
        <v/>
      </c>
      <c r="M268" s="92" t="str">
        <f>IF(MATCHER!C260="","",MATCHER!C260)</f>
        <v/>
      </c>
      <c r="N268" s="34" t="str">
        <f>IF(MATCHER!D260="","",MATCHER!D260)</f>
        <v/>
      </c>
      <c r="O268" s="34" t="str">
        <f>IF(MATCHER!E260="","",MATCHER!E260)</f>
        <v/>
      </c>
      <c r="P268" s="34" t="str">
        <f>IF(MATCHER!F260="","",MATCHER!F260)</f>
        <v/>
      </c>
      <c r="Q268" s="34" t="str">
        <f>IF(MATCHER!K260="","",MATCHER!K260)</f>
        <v/>
      </c>
      <c r="R268" s="34" t="str">
        <f>IF(K268="","",IF(Q268&lt;&gt;"Ja","Ej aktuell",IF(P268="SAKNAS","NY KLASS",IF(MATCHER!N260&lt;&gt;"Ja",MATCHER!N260,IF(COUNTIF($A$13:$A$220,K268)=0,"NY MATCH","Matchdag finns")))))</f>
        <v/>
      </c>
    </row>
    <row r="269" spans="1:18" ht="13">
      <c r="A269" s="1"/>
      <c r="B269" s="1"/>
      <c r="C269" s="1"/>
      <c r="D269" s="1"/>
      <c r="E269" s="1"/>
      <c r="F269" s="1"/>
      <c r="G269" s="1"/>
      <c r="H269" s="1"/>
      <c r="I269" s="1"/>
      <c r="J269" s="1"/>
      <c r="K269" s="34" t="str">
        <f>IF(MATCHER!A261="","",MATCHER!A261)</f>
        <v/>
      </c>
      <c r="L269" s="91" t="str">
        <f>IF(MATCHER!B261="","",MATCHER!B261)</f>
        <v/>
      </c>
      <c r="M269" s="92" t="str">
        <f>IF(MATCHER!C261="","",MATCHER!C261)</f>
        <v/>
      </c>
      <c r="N269" s="34" t="str">
        <f>IF(MATCHER!D261="","",MATCHER!D261)</f>
        <v/>
      </c>
      <c r="O269" s="34" t="str">
        <f>IF(MATCHER!E261="","",MATCHER!E261)</f>
        <v/>
      </c>
      <c r="P269" s="34" t="str">
        <f>IF(MATCHER!F261="","",MATCHER!F261)</f>
        <v/>
      </c>
      <c r="Q269" s="34" t="str">
        <f>IF(MATCHER!K261="","",MATCHER!K261)</f>
        <v/>
      </c>
      <c r="R269" s="34" t="str">
        <f>IF(K269="","",IF(Q269&lt;&gt;"Ja","Ej aktuell",IF(P269="SAKNAS","NY KLASS",IF(MATCHER!N261&lt;&gt;"Ja",MATCHER!N261,IF(COUNTIF($A$13:$A$220,K269)=0,"NY MATCH","Matchdag finns")))))</f>
        <v/>
      </c>
    </row>
    <row r="270" spans="1:18" ht="13">
      <c r="A270" s="1"/>
      <c r="B270" s="1"/>
      <c r="C270" s="1"/>
      <c r="D270" s="1"/>
      <c r="E270" s="1"/>
      <c r="F270" s="1"/>
      <c r="G270" s="1"/>
      <c r="H270" s="1"/>
      <c r="I270" s="1"/>
      <c r="J270" s="1"/>
      <c r="K270" s="34" t="str">
        <f>IF(MATCHER!A262="","",MATCHER!A262)</f>
        <v/>
      </c>
      <c r="L270" s="91" t="str">
        <f>IF(MATCHER!B262="","",MATCHER!B262)</f>
        <v/>
      </c>
      <c r="M270" s="92" t="str">
        <f>IF(MATCHER!C262="","",MATCHER!C262)</f>
        <v/>
      </c>
      <c r="N270" s="34" t="str">
        <f>IF(MATCHER!D262="","",MATCHER!D262)</f>
        <v/>
      </c>
      <c r="O270" s="34" t="str">
        <f>IF(MATCHER!E262="","",MATCHER!E262)</f>
        <v/>
      </c>
      <c r="P270" s="34" t="str">
        <f>IF(MATCHER!F262="","",MATCHER!F262)</f>
        <v/>
      </c>
      <c r="Q270" s="34" t="str">
        <f>IF(MATCHER!K262="","",MATCHER!K262)</f>
        <v/>
      </c>
      <c r="R270" s="34" t="str">
        <f>IF(K270="","",IF(Q270&lt;&gt;"Ja","Ej aktuell",IF(P270="SAKNAS","NY KLASS",IF(MATCHER!N262&lt;&gt;"Ja",MATCHER!N262,IF(COUNTIF($A$13:$A$220,K270)=0,"NY MATCH","Matchdag finns")))))</f>
        <v/>
      </c>
    </row>
    <row r="271" spans="1:18" ht="13">
      <c r="A271" s="1"/>
      <c r="B271" s="1"/>
      <c r="C271" s="1"/>
      <c r="D271" s="1"/>
      <c r="E271" s="1"/>
      <c r="F271" s="1"/>
      <c r="G271" s="1"/>
      <c r="H271" s="1"/>
      <c r="I271" s="1"/>
      <c r="J271" s="1"/>
      <c r="K271" s="34" t="str">
        <f>IF(MATCHER!A263="","",MATCHER!A263)</f>
        <v/>
      </c>
      <c r="L271" s="91" t="str">
        <f>IF(MATCHER!B263="","",MATCHER!B263)</f>
        <v/>
      </c>
      <c r="M271" s="92" t="str">
        <f>IF(MATCHER!C263="","",MATCHER!C263)</f>
        <v/>
      </c>
      <c r="N271" s="34" t="str">
        <f>IF(MATCHER!D263="","",MATCHER!D263)</f>
        <v/>
      </c>
      <c r="O271" s="34" t="str">
        <f>IF(MATCHER!E263="","",MATCHER!E263)</f>
        <v/>
      </c>
      <c r="P271" s="34" t="str">
        <f>IF(MATCHER!F263="","",MATCHER!F263)</f>
        <v/>
      </c>
      <c r="Q271" s="34" t="str">
        <f>IF(MATCHER!K263="","",MATCHER!K263)</f>
        <v/>
      </c>
      <c r="R271" s="34" t="str">
        <f>IF(K271="","",IF(Q271&lt;&gt;"Ja","Ej aktuell",IF(P271="SAKNAS","NY KLASS",IF(MATCHER!N263&lt;&gt;"Ja",MATCHER!N263,IF(COUNTIF($A$13:$A$220,K271)=0,"NY MATCH","Matchdag finns")))))</f>
        <v/>
      </c>
    </row>
    <row r="272" spans="1:18" ht="13">
      <c r="A272" s="1"/>
      <c r="B272" s="1"/>
      <c r="C272" s="1"/>
      <c r="D272" s="1"/>
      <c r="E272" s="1"/>
      <c r="F272" s="1"/>
      <c r="G272" s="1"/>
      <c r="H272" s="1"/>
      <c r="I272" s="1"/>
      <c r="J272" s="1"/>
      <c r="K272" s="34" t="str">
        <f>IF(MATCHER!A264="","",MATCHER!A264)</f>
        <v/>
      </c>
      <c r="L272" s="91" t="str">
        <f>IF(MATCHER!B264="","",MATCHER!B264)</f>
        <v/>
      </c>
      <c r="M272" s="92" t="str">
        <f>IF(MATCHER!C264="","",MATCHER!C264)</f>
        <v/>
      </c>
      <c r="N272" s="34" t="str">
        <f>IF(MATCHER!D264="","",MATCHER!D264)</f>
        <v/>
      </c>
      <c r="O272" s="34" t="str">
        <f>IF(MATCHER!E264="","",MATCHER!E264)</f>
        <v/>
      </c>
      <c r="P272" s="34" t="str">
        <f>IF(MATCHER!F264="","",MATCHER!F264)</f>
        <v/>
      </c>
      <c r="Q272" s="34" t="str">
        <f>IF(MATCHER!K264="","",MATCHER!K264)</f>
        <v/>
      </c>
      <c r="R272" s="34" t="str">
        <f>IF(K272="","",IF(Q272&lt;&gt;"Ja","Ej aktuell",IF(P272="SAKNAS","NY KLASS",IF(MATCHER!N264&lt;&gt;"Ja",MATCHER!N264,IF(COUNTIF($A$13:$A$220,K272)=0,"NY MATCH","Matchdag finns")))))</f>
        <v/>
      </c>
    </row>
    <row r="273" spans="1:18" ht="13">
      <c r="A273" s="1"/>
      <c r="B273" s="1"/>
      <c r="C273" s="1"/>
      <c r="D273" s="1"/>
      <c r="E273" s="1"/>
      <c r="F273" s="1"/>
      <c r="G273" s="1"/>
      <c r="H273" s="1"/>
      <c r="I273" s="1"/>
      <c r="J273" s="1"/>
      <c r="K273" s="34" t="str">
        <f>IF(MATCHER!A265="","",MATCHER!A265)</f>
        <v/>
      </c>
      <c r="L273" s="91" t="str">
        <f>IF(MATCHER!B265="","",MATCHER!B265)</f>
        <v/>
      </c>
      <c r="M273" s="92" t="str">
        <f>IF(MATCHER!C265="","",MATCHER!C265)</f>
        <v/>
      </c>
      <c r="N273" s="34" t="str">
        <f>IF(MATCHER!D265="","",MATCHER!D265)</f>
        <v/>
      </c>
      <c r="O273" s="34" t="str">
        <f>IF(MATCHER!E265="","",MATCHER!E265)</f>
        <v/>
      </c>
      <c r="P273" s="34" t="str">
        <f>IF(MATCHER!F265="","",MATCHER!F265)</f>
        <v/>
      </c>
      <c r="Q273" s="34" t="str">
        <f>IF(MATCHER!K265="","",MATCHER!K265)</f>
        <v/>
      </c>
      <c r="R273" s="34" t="str">
        <f>IF(K273="","",IF(Q273&lt;&gt;"Ja","Ej aktuell",IF(P273="SAKNAS","NY KLASS",IF(MATCHER!N265&lt;&gt;"Ja",MATCHER!N265,IF(COUNTIF($A$13:$A$220,K273)=0,"NY MATCH","Matchdag finns")))))</f>
        <v/>
      </c>
    </row>
    <row r="274" spans="1:18" ht="13">
      <c r="A274" s="1"/>
      <c r="B274" s="1"/>
      <c r="C274" s="1"/>
      <c r="D274" s="1"/>
      <c r="E274" s="1"/>
      <c r="F274" s="1"/>
      <c r="G274" s="1"/>
      <c r="H274" s="1"/>
      <c r="I274" s="1"/>
      <c r="J274" s="1"/>
      <c r="K274" s="34" t="str">
        <f>IF(MATCHER!A266="","",MATCHER!A266)</f>
        <v/>
      </c>
      <c r="L274" s="91" t="str">
        <f>IF(MATCHER!B266="","",MATCHER!B266)</f>
        <v/>
      </c>
      <c r="M274" s="92" t="str">
        <f>IF(MATCHER!C266="","",MATCHER!C266)</f>
        <v/>
      </c>
      <c r="N274" s="34" t="str">
        <f>IF(MATCHER!D266="","",MATCHER!D266)</f>
        <v/>
      </c>
      <c r="O274" s="34" t="str">
        <f>IF(MATCHER!E266="","",MATCHER!E266)</f>
        <v/>
      </c>
      <c r="P274" s="34" t="str">
        <f>IF(MATCHER!F266="","",MATCHER!F266)</f>
        <v/>
      </c>
      <c r="Q274" s="34" t="str">
        <f>IF(MATCHER!K266="","",MATCHER!K266)</f>
        <v/>
      </c>
      <c r="R274" s="34" t="str">
        <f>IF(K274="","",IF(Q274&lt;&gt;"Ja","Ej aktuell",IF(P274="SAKNAS","NY KLASS",IF(MATCHER!N266&lt;&gt;"Ja",MATCHER!N266,IF(COUNTIF($A$13:$A$220,K274)=0,"NY MATCH","Matchdag finns")))))</f>
        <v/>
      </c>
    </row>
    <row r="275" spans="1:18" ht="13">
      <c r="A275" s="1"/>
      <c r="B275" s="1"/>
      <c r="C275" s="1"/>
      <c r="D275" s="1"/>
      <c r="E275" s="1"/>
      <c r="F275" s="1"/>
      <c r="G275" s="1"/>
      <c r="H275" s="1"/>
      <c r="I275" s="1"/>
      <c r="J275" s="1"/>
      <c r="K275" s="34" t="str">
        <f>IF(MATCHER!A267="","",MATCHER!A267)</f>
        <v/>
      </c>
      <c r="L275" s="91" t="str">
        <f>IF(MATCHER!B267="","",MATCHER!B267)</f>
        <v/>
      </c>
      <c r="M275" s="92" t="str">
        <f>IF(MATCHER!C267="","",MATCHER!C267)</f>
        <v/>
      </c>
      <c r="N275" s="34" t="str">
        <f>IF(MATCHER!D267="","",MATCHER!D267)</f>
        <v/>
      </c>
      <c r="O275" s="34" t="str">
        <f>IF(MATCHER!E267="","",MATCHER!E267)</f>
        <v/>
      </c>
      <c r="P275" s="34" t="str">
        <f>IF(MATCHER!F267="","",MATCHER!F267)</f>
        <v/>
      </c>
      <c r="Q275" s="34" t="str">
        <f>IF(MATCHER!K267="","",MATCHER!K267)</f>
        <v/>
      </c>
      <c r="R275" s="34" t="str">
        <f>IF(K275="","",IF(Q275&lt;&gt;"Ja","Ej aktuell",IF(P275="SAKNAS","NY KLASS",IF(MATCHER!N267&lt;&gt;"Ja",MATCHER!N267,IF(COUNTIF($A$13:$A$220,K275)=0,"NY MATCH","Matchdag finns")))))</f>
        <v/>
      </c>
    </row>
    <row r="276" spans="1:18" ht="13">
      <c r="A276" s="1"/>
      <c r="B276" s="1"/>
      <c r="C276" s="1"/>
      <c r="D276" s="1"/>
      <c r="E276" s="1"/>
      <c r="F276" s="1"/>
      <c r="G276" s="1"/>
      <c r="H276" s="1"/>
      <c r="I276" s="1"/>
      <c r="J276" s="1"/>
      <c r="K276" s="34" t="str">
        <f>IF(MATCHER!A268="","",MATCHER!A268)</f>
        <v/>
      </c>
      <c r="L276" s="91" t="str">
        <f>IF(MATCHER!B268="","",MATCHER!B268)</f>
        <v/>
      </c>
      <c r="M276" s="92" t="str">
        <f>IF(MATCHER!C268="","",MATCHER!C268)</f>
        <v/>
      </c>
      <c r="N276" s="34" t="str">
        <f>IF(MATCHER!D268="","",MATCHER!D268)</f>
        <v/>
      </c>
      <c r="O276" s="34" t="str">
        <f>IF(MATCHER!E268="","",MATCHER!E268)</f>
        <v/>
      </c>
      <c r="P276" s="34" t="str">
        <f>IF(MATCHER!F268="","",MATCHER!F268)</f>
        <v/>
      </c>
      <c r="Q276" s="34" t="str">
        <f>IF(MATCHER!K268="","",MATCHER!K268)</f>
        <v/>
      </c>
      <c r="R276" s="34" t="str">
        <f>IF(K276="","",IF(Q276&lt;&gt;"Ja","Ej aktuell",IF(P276="SAKNAS","NY KLASS",IF(MATCHER!N268&lt;&gt;"Ja",MATCHER!N268,IF(COUNTIF($A$13:$A$220,K276)=0,"NY MATCH","Matchdag finns")))))</f>
        <v/>
      </c>
    </row>
    <row r="277" spans="1:18" ht="13">
      <c r="A277" s="1"/>
      <c r="B277" s="1"/>
      <c r="C277" s="1"/>
      <c r="D277" s="1"/>
      <c r="E277" s="1"/>
      <c r="F277" s="1"/>
      <c r="G277" s="1"/>
      <c r="H277" s="1"/>
      <c r="I277" s="1"/>
      <c r="J277" s="1"/>
      <c r="K277" s="34" t="str">
        <f>IF(MATCHER!A269="","",MATCHER!A269)</f>
        <v/>
      </c>
      <c r="L277" s="91" t="str">
        <f>IF(MATCHER!B269="","",MATCHER!B269)</f>
        <v/>
      </c>
      <c r="M277" s="92" t="str">
        <f>IF(MATCHER!C269="","",MATCHER!C269)</f>
        <v/>
      </c>
      <c r="N277" s="34" t="str">
        <f>IF(MATCHER!D269="","",MATCHER!D269)</f>
        <v/>
      </c>
      <c r="O277" s="34" t="str">
        <f>IF(MATCHER!E269="","",MATCHER!E269)</f>
        <v/>
      </c>
      <c r="P277" s="34" t="str">
        <f>IF(MATCHER!F269="","",MATCHER!F269)</f>
        <v/>
      </c>
      <c r="Q277" s="34" t="str">
        <f>IF(MATCHER!K269="","",MATCHER!K269)</f>
        <v/>
      </c>
      <c r="R277" s="34" t="str">
        <f>IF(K277="","",IF(Q277&lt;&gt;"Ja","Ej aktuell",IF(P277="SAKNAS","NY KLASS",IF(MATCHER!N269&lt;&gt;"Ja",MATCHER!N269,IF(COUNTIF($A$13:$A$220,K277)=0,"NY MATCH","Matchdag finns")))))</f>
        <v/>
      </c>
    </row>
    <row r="278" spans="1:18" ht="13">
      <c r="A278" s="1"/>
      <c r="B278" s="1"/>
      <c r="C278" s="1"/>
      <c r="D278" s="1"/>
      <c r="E278" s="1"/>
      <c r="F278" s="1"/>
      <c r="G278" s="1"/>
      <c r="H278" s="1"/>
      <c r="I278" s="1"/>
      <c r="J278" s="1"/>
      <c r="K278" s="34" t="str">
        <f>IF(MATCHER!A270="","",MATCHER!A270)</f>
        <v/>
      </c>
      <c r="L278" s="91" t="str">
        <f>IF(MATCHER!B270="","",MATCHER!B270)</f>
        <v/>
      </c>
      <c r="M278" s="92" t="str">
        <f>IF(MATCHER!C270="","",MATCHER!C270)</f>
        <v/>
      </c>
      <c r="N278" s="34" t="str">
        <f>IF(MATCHER!D270="","",MATCHER!D270)</f>
        <v/>
      </c>
      <c r="O278" s="34" t="str">
        <f>IF(MATCHER!E270="","",MATCHER!E270)</f>
        <v/>
      </c>
      <c r="P278" s="34" t="str">
        <f>IF(MATCHER!F270="","",MATCHER!F270)</f>
        <v/>
      </c>
      <c r="Q278" s="34" t="str">
        <f>IF(MATCHER!K270="","",MATCHER!K270)</f>
        <v/>
      </c>
      <c r="R278" s="34" t="str">
        <f>IF(K278="","",IF(Q278&lt;&gt;"Ja","Ej aktuell",IF(P278="SAKNAS","NY KLASS",IF(MATCHER!N270&lt;&gt;"Ja",MATCHER!N270,IF(COUNTIF($A$13:$A$220,K278)=0,"NY MATCH","Matchdag finns")))))</f>
        <v/>
      </c>
    </row>
    <row r="279" spans="1:18" ht="13">
      <c r="A279" s="1"/>
      <c r="B279" s="1"/>
      <c r="C279" s="1"/>
      <c r="D279" s="1"/>
      <c r="E279" s="1"/>
      <c r="F279" s="1"/>
      <c r="G279" s="1"/>
      <c r="H279" s="1"/>
      <c r="I279" s="1"/>
      <c r="J279" s="1"/>
      <c r="K279" s="34" t="str">
        <f>IF(MATCHER!A271="","",MATCHER!A271)</f>
        <v/>
      </c>
      <c r="L279" s="91" t="str">
        <f>IF(MATCHER!B271="","",MATCHER!B271)</f>
        <v/>
      </c>
      <c r="M279" s="92" t="str">
        <f>IF(MATCHER!C271="","",MATCHER!C271)</f>
        <v/>
      </c>
      <c r="N279" s="34" t="str">
        <f>IF(MATCHER!D271="","",MATCHER!D271)</f>
        <v/>
      </c>
      <c r="O279" s="34" t="str">
        <f>IF(MATCHER!E271="","",MATCHER!E271)</f>
        <v/>
      </c>
      <c r="P279" s="34" t="str">
        <f>IF(MATCHER!F271="","",MATCHER!F271)</f>
        <v/>
      </c>
      <c r="Q279" s="34" t="str">
        <f>IF(MATCHER!K271="","",MATCHER!K271)</f>
        <v/>
      </c>
      <c r="R279" s="34" t="str">
        <f>IF(K279="","",IF(Q279&lt;&gt;"Ja","Ej aktuell",IF(P279="SAKNAS","NY KLASS",IF(MATCHER!N271&lt;&gt;"Ja",MATCHER!N271,IF(COUNTIF($A$13:$A$220,K279)=0,"NY MATCH","Matchdag finns")))))</f>
        <v/>
      </c>
    </row>
    <row r="280" spans="1:18" ht="13">
      <c r="A280" s="1"/>
      <c r="B280" s="1"/>
      <c r="C280" s="1"/>
      <c r="D280" s="1"/>
      <c r="E280" s="1"/>
      <c r="F280" s="1"/>
      <c r="G280" s="1"/>
      <c r="H280" s="1"/>
      <c r="I280" s="1"/>
      <c r="J280" s="1"/>
      <c r="K280" s="34" t="str">
        <f>IF(MATCHER!A272="","",MATCHER!A272)</f>
        <v/>
      </c>
      <c r="L280" s="91" t="str">
        <f>IF(MATCHER!B272="","",MATCHER!B272)</f>
        <v/>
      </c>
      <c r="M280" s="92" t="str">
        <f>IF(MATCHER!C272="","",MATCHER!C272)</f>
        <v/>
      </c>
      <c r="N280" s="34" t="str">
        <f>IF(MATCHER!D272="","",MATCHER!D272)</f>
        <v/>
      </c>
      <c r="O280" s="34" t="str">
        <f>IF(MATCHER!E272="","",MATCHER!E272)</f>
        <v/>
      </c>
      <c r="P280" s="34" t="str">
        <f>IF(MATCHER!F272="","",MATCHER!F272)</f>
        <v/>
      </c>
      <c r="Q280" s="34" t="str">
        <f>IF(MATCHER!K272="","",MATCHER!K272)</f>
        <v/>
      </c>
      <c r="R280" s="34" t="str">
        <f>IF(K280="","",IF(Q280&lt;&gt;"Ja","Ej aktuell",IF(P280="SAKNAS","NY KLASS",IF(MATCHER!N272&lt;&gt;"Ja",MATCHER!N272,IF(COUNTIF($A$13:$A$220,K280)=0,"NY MATCH","Matchdag finns")))))</f>
        <v/>
      </c>
    </row>
    <row r="281" spans="1:18" ht="13">
      <c r="A281" s="1"/>
      <c r="B281" s="1"/>
      <c r="C281" s="1"/>
      <c r="D281" s="1"/>
      <c r="E281" s="1"/>
      <c r="F281" s="1"/>
      <c r="G281" s="1"/>
      <c r="H281" s="1"/>
      <c r="I281" s="1"/>
      <c r="J281" s="1"/>
      <c r="K281" s="34" t="str">
        <f>IF(MATCHER!A273="","",MATCHER!A273)</f>
        <v/>
      </c>
      <c r="L281" s="91" t="str">
        <f>IF(MATCHER!B273="","",MATCHER!B273)</f>
        <v/>
      </c>
      <c r="M281" s="92" t="str">
        <f>IF(MATCHER!C273="","",MATCHER!C273)</f>
        <v/>
      </c>
      <c r="N281" s="34" t="str">
        <f>IF(MATCHER!D273="","",MATCHER!D273)</f>
        <v/>
      </c>
      <c r="O281" s="34" t="str">
        <f>IF(MATCHER!E273="","",MATCHER!E273)</f>
        <v/>
      </c>
      <c r="P281" s="34" t="str">
        <f>IF(MATCHER!F273="","",MATCHER!F273)</f>
        <v/>
      </c>
      <c r="Q281" s="34" t="str">
        <f>IF(MATCHER!K273="","",MATCHER!K273)</f>
        <v/>
      </c>
      <c r="R281" s="34" t="str">
        <f>IF(K281="","",IF(Q281&lt;&gt;"Ja","Ej aktuell",IF(P281="SAKNAS","NY KLASS",IF(MATCHER!N273&lt;&gt;"Ja",MATCHER!N273,IF(COUNTIF($A$13:$A$220,K281)=0,"NY MATCH","Matchdag finns")))))</f>
        <v/>
      </c>
    </row>
    <row r="282" spans="1:18" ht="13">
      <c r="A282" s="1"/>
      <c r="B282" s="1"/>
      <c r="C282" s="1"/>
      <c r="D282" s="1"/>
      <c r="E282" s="1"/>
      <c r="F282" s="1"/>
      <c r="G282" s="1"/>
      <c r="H282" s="1"/>
      <c r="I282" s="1"/>
      <c r="J282" s="1"/>
      <c r="K282" s="34" t="str">
        <f>IF(MATCHER!A274="","",MATCHER!A274)</f>
        <v/>
      </c>
      <c r="L282" s="91" t="str">
        <f>IF(MATCHER!B274="","",MATCHER!B274)</f>
        <v/>
      </c>
      <c r="M282" s="92" t="str">
        <f>IF(MATCHER!C274="","",MATCHER!C274)</f>
        <v/>
      </c>
      <c r="N282" s="34" t="str">
        <f>IF(MATCHER!D274="","",MATCHER!D274)</f>
        <v/>
      </c>
      <c r="O282" s="34" t="str">
        <f>IF(MATCHER!E274="","",MATCHER!E274)</f>
        <v/>
      </c>
      <c r="P282" s="34" t="str">
        <f>IF(MATCHER!F274="","",MATCHER!F274)</f>
        <v/>
      </c>
      <c r="Q282" s="34" t="str">
        <f>IF(MATCHER!K274="","",MATCHER!K274)</f>
        <v/>
      </c>
      <c r="R282" s="34" t="str">
        <f>IF(K282="","",IF(Q282&lt;&gt;"Ja","Ej aktuell",IF(P282="SAKNAS","NY KLASS",IF(MATCHER!N274&lt;&gt;"Ja",MATCHER!N274,IF(COUNTIF($A$13:$A$220,K282)=0,"NY MATCH","Matchdag finns")))))</f>
        <v/>
      </c>
    </row>
    <row r="283" spans="1:18" ht="13">
      <c r="A283" s="1"/>
      <c r="B283" s="1"/>
      <c r="C283" s="1"/>
      <c r="D283" s="1"/>
      <c r="E283" s="1"/>
      <c r="F283" s="1"/>
      <c r="G283" s="1"/>
      <c r="H283" s="1"/>
      <c r="I283" s="1"/>
      <c r="J283" s="1"/>
      <c r="K283" s="34" t="str">
        <f>IF(MATCHER!A275="","",MATCHER!A275)</f>
        <v/>
      </c>
      <c r="L283" s="91" t="str">
        <f>IF(MATCHER!B275="","",MATCHER!B275)</f>
        <v/>
      </c>
      <c r="M283" s="92" t="str">
        <f>IF(MATCHER!C275="","",MATCHER!C275)</f>
        <v/>
      </c>
      <c r="N283" s="34" t="str">
        <f>IF(MATCHER!D275="","",MATCHER!D275)</f>
        <v/>
      </c>
      <c r="O283" s="34" t="str">
        <f>IF(MATCHER!E275="","",MATCHER!E275)</f>
        <v/>
      </c>
      <c r="P283" s="34" t="str">
        <f>IF(MATCHER!F275="","",MATCHER!F275)</f>
        <v/>
      </c>
      <c r="Q283" s="34" t="str">
        <f>IF(MATCHER!K275="","",MATCHER!K275)</f>
        <v/>
      </c>
      <c r="R283" s="34" t="str">
        <f>IF(K283="","",IF(Q283&lt;&gt;"Ja","Ej aktuell",IF(P283="SAKNAS","NY KLASS",IF(MATCHER!N275&lt;&gt;"Ja",MATCHER!N275,IF(COUNTIF($A$13:$A$220,K283)=0,"NY MATCH","Matchdag finns")))))</f>
        <v/>
      </c>
    </row>
    <row r="284" spans="1:18" ht="13">
      <c r="A284" s="1"/>
      <c r="B284" s="1"/>
      <c r="C284" s="1"/>
      <c r="D284" s="1"/>
      <c r="E284" s="1"/>
      <c r="F284" s="1"/>
      <c r="G284" s="1"/>
      <c r="H284" s="1"/>
      <c r="I284" s="1"/>
      <c r="J284" s="1"/>
      <c r="K284" s="34" t="str">
        <f>IF(MATCHER!A276="","",MATCHER!A276)</f>
        <v/>
      </c>
      <c r="L284" s="91" t="str">
        <f>IF(MATCHER!B276="","",MATCHER!B276)</f>
        <v/>
      </c>
      <c r="M284" s="92" t="str">
        <f>IF(MATCHER!C276="","",MATCHER!C276)</f>
        <v/>
      </c>
      <c r="N284" s="34" t="str">
        <f>IF(MATCHER!D276="","",MATCHER!D276)</f>
        <v/>
      </c>
      <c r="O284" s="34" t="str">
        <f>IF(MATCHER!E276="","",MATCHER!E276)</f>
        <v/>
      </c>
      <c r="P284" s="34" t="str">
        <f>IF(MATCHER!F276="","",MATCHER!F276)</f>
        <v/>
      </c>
      <c r="Q284" s="34" t="str">
        <f>IF(MATCHER!K276="","",MATCHER!K276)</f>
        <v/>
      </c>
      <c r="R284" s="34" t="str">
        <f>IF(K284="","",IF(Q284&lt;&gt;"Ja","Ej aktuell",IF(P284="SAKNAS","NY KLASS",IF(MATCHER!N276&lt;&gt;"Ja",MATCHER!N276,IF(COUNTIF($A$13:$A$220,K284)=0,"NY MATCH","Matchdag finns")))))</f>
        <v/>
      </c>
    </row>
    <row r="285" spans="1:18" ht="13">
      <c r="A285" s="1"/>
      <c r="B285" s="1"/>
      <c r="C285" s="1"/>
      <c r="D285" s="1"/>
      <c r="E285" s="1"/>
      <c r="F285" s="1"/>
      <c r="G285" s="1"/>
      <c r="H285" s="1"/>
      <c r="I285" s="1"/>
      <c r="J285" s="1"/>
      <c r="K285" s="34" t="str">
        <f>IF(MATCHER!A277="","",MATCHER!A277)</f>
        <v/>
      </c>
      <c r="L285" s="91" t="str">
        <f>IF(MATCHER!B277="","",MATCHER!B277)</f>
        <v/>
      </c>
      <c r="M285" s="92" t="str">
        <f>IF(MATCHER!C277="","",MATCHER!C277)</f>
        <v/>
      </c>
      <c r="N285" s="34" t="str">
        <f>IF(MATCHER!D277="","",MATCHER!D277)</f>
        <v/>
      </c>
      <c r="O285" s="34" t="str">
        <f>IF(MATCHER!E277="","",MATCHER!E277)</f>
        <v/>
      </c>
      <c r="P285" s="34" t="str">
        <f>IF(MATCHER!F277="","",MATCHER!F277)</f>
        <v/>
      </c>
      <c r="Q285" s="34" t="str">
        <f>IF(MATCHER!K277="","",MATCHER!K277)</f>
        <v/>
      </c>
      <c r="R285" s="34" t="str">
        <f>IF(K285="","",IF(Q285&lt;&gt;"Ja","Ej aktuell",IF(P285="SAKNAS","NY KLASS",IF(MATCHER!N277&lt;&gt;"Ja",MATCHER!N277,IF(COUNTIF($A$13:$A$220,K285)=0,"NY MATCH","Matchdag finns")))))</f>
        <v/>
      </c>
    </row>
    <row r="286" spans="1:18" ht="13">
      <c r="A286" s="1"/>
      <c r="B286" s="1"/>
      <c r="C286" s="1"/>
      <c r="D286" s="1"/>
      <c r="E286" s="1"/>
      <c r="F286" s="1"/>
      <c r="G286" s="1"/>
      <c r="H286" s="1"/>
      <c r="I286" s="1"/>
      <c r="J286" s="1"/>
      <c r="K286" s="34" t="str">
        <f>IF(MATCHER!A278="","",MATCHER!A278)</f>
        <v/>
      </c>
      <c r="L286" s="91" t="str">
        <f>IF(MATCHER!B278="","",MATCHER!B278)</f>
        <v/>
      </c>
      <c r="M286" s="92" t="str">
        <f>IF(MATCHER!C278="","",MATCHER!C278)</f>
        <v/>
      </c>
      <c r="N286" s="34" t="str">
        <f>IF(MATCHER!D278="","",MATCHER!D278)</f>
        <v/>
      </c>
      <c r="O286" s="34" t="str">
        <f>IF(MATCHER!E278="","",MATCHER!E278)</f>
        <v/>
      </c>
      <c r="P286" s="34" t="str">
        <f>IF(MATCHER!F278="","",MATCHER!F278)</f>
        <v/>
      </c>
      <c r="Q286" s="34" t="str">
        <f>IF(MATCHER!K278="","",MATCHER!K278)</f>
        <v/>
      </c>
      <c r="R286" s="34" t="str">
        <f>IF(K286="","",IF(Q286&lt;&gt;"Ja","Ej aktuell",IF(P286="SAKNAS","NY KLASS",IF(MATCHER!N278&lt;&gt;"Ja",MATCHER!N278,IF(COUNTIF($A$13:$A$220,K286)=0,"NY MATCH","Matchdag finns")))))</f>
        <v/>
      </c>
    </row>
    <row r="287" spans="1:18" ht="13">
      <c r="A287" s="1"/>
      <c r="B287" s="1"/>
      <c r="C287" s="1"/>
      <c r="D287" s="1"/>
      <c r="E287" s="1"/>
      <c r="F287" s="1"/>
      <c r="G287" s="1"/>
      <c r="H287" s="1"/>
      <c r="I287" s="1"/>
      <c r="J287" s="1"/>
      <c r="K287" s="34" t="str">
        <f>IF(MATCHER!A279="","",MATCHER!A279)</f>
        <v/>
      </c>
      <c r="L287" s="91" t="str">
        <f>IF(MATCHER!B279="","",MATCHER!B279)</f>
        <v/>
      </c>
      <c r="M287" s="92" t="str">
        <f>IF(MATCHER!C279="","",MATCHER!C279)</f>
        <v/>
      </c>
      <c r="N287" s="34" t="str">
        <f>IF(MATCHER!D279="","",MATCHER!D279)</f>
        <v/>
      </c>
      <c r="O287" s="34" t="str">
        <f>IF(MATCHER!E279="","",MATCHER!E279)</f>
        <v/>
      </c>
      <c r="P287" s="34" t="str">
        <f>IF(MATCHER!F279="","",MATCHER!F279)</f>
        <v/>
      </c>
      <c r="Q287" s="34" t="str">
        <f>IF(MATCHER!K279="","",MATCHER!K279)</f>
        <v/>
      </c>
      <c r="R287" s="34" t="str">
        <f>IF(K287="","",IF(Q287&lt;&gt;"Ja","Ej aktuell",IF(P287="SAKNAS","NY KLASS",IF(MATCHER!N279&lt;&gt;"Ja",MATCHER!N279,IF(COUNTIF($A$13:$A$220,K287)=0,"NY MATCH","Matchdag finns")))))</f>
        <v/>
      </c>
    </row>
    <row r="288" spans="1:18" ht="13">
      <c r="A288" s="1"/>
      <c r="B288" s="1"/>
      <c r="C288" s="1"/>
      <c r="D288" s="1"/>
      <c r="E288" s="1"/>
      <c r="F288" s="1"/>
      <c r="G288" s="1"/>
      <c r="H288" s="1"/>
      <c r="I288" s="1"/>
      <c r="J288" s="1"/>
      <c r="K288" s="34" t="str">
        <f>IF(MATCHER!A280="","",MATCHER!A280)</f>
        <v/>
      </c>
      <c r="L288" s="91" t="str">
        <f>IF(MATCHER!B280="","",MATCHER!B280)</f>
        <v/>
      </c>
      <c r="M288" s="92" t="str">
        <f>IF(MATCHER!C280="","",MATCHER!C280)</f>
        <v/>
      </c>
      <c r="N288" s="34" t="str">
        <f>IF(MATCHER!D280="","",MATCHER!D280)</f>
        <v/>
      </c>
      <c r="O288" s="34" t="str">
        <f>IF(MATCHER!E280="","",MATCHER!E280)</f>
        <v/>
      </c>
      <c r="P288" s="34" t="str">
        <f>IF(MATCHER!F280="","",MATCHER!F280)</f>
        <v/>
      </c>
      <c r="Q288" s="34" t="str">
        <f>IF(MATCHER!K280="","",MATCHER!K280)</f>
        <v/>
      </c>
      <c r="R288" s="34" t="str">
        <f>IF(K288="","",IF(Q288&lt;&gt;"Ja","Ej aktuell",IF(P288="SAKNAS","NY KLASS",IF(MATCHER!N280&lt;&gt;"Ja",MATCHER!N280,IF(COUNTIF($A$13:$A$220,K288)=0,"NY MATCH","Matchdag finns")))))</f>
        <v/>
      </c>
    </row>
    <row r="289" spans="1:18" ht="13">
      <c r="A289" s="1"/>
      <c r="B289" s="1"/>
      <c r="C289" s="1"/>
      <c r="D289" s="1"/>
      <c r="E289" s="1"/>
      <c r="F289" s="1"/>
      <c r="G289" s="1"/>
      <c r="H289" s="1"/>
      <c r="I289" s="1"/>
      <c r="J289" s="1"/>
      <c r="K289" s="34" t="str">
        <f>IF(MATCHER!A281="","",MATCHER!A281)</f>
        <v/>
      </c>
      <c r="L289" s="91" t="str">
        <f>IF(MATCHER!B281="","",MATCHER!B281)</f>
        <v/>
      </c>
      <c r="M289" s="92" t="str">
        <f>IF(MATCHER!C281="","",MATCHER!C281)</f>
        <v/>
      </c>
      <c r="N289" s="34" t="str">
        <f>IF(MATCHER!D281="","",MATCHER!D281)</f>
        <v/>
      </c>
      <c r="O289" s="34" t="str">
        <f>IF(MATCHER!E281="","",MATCHER!E281)</f>
        <v/>
      </c>
      <c r="P289" s="34" t="str">
        <f>IF(MATCHER!F281="","",MATCHER!F281)</f>
        <v/>
      </c>
      <c r="Q289" s="34" t="str">
        <f>IF(MATCHER!K281="","",MATCHER!K281)</f>
        <v/>
      </c>
      <c r="R289" s="34" t="str">
        <f>IF(K289="","",IF(Q289&lt;&gt;"Ja","Ej aktuell",IF(P289="SAKNAS","NY KLASS",IF(MATCHER!N281&lt;&gt;"Ja",MATCHER!N281,IF(COUNTIF($A$13:$A$220,K289)=0,"NY MATCH","Matchdag finns")))))</f>
        <v/>
      </c>
    </row>
    <row r="290" spans="1:18" ht="13">
      <c r="A290" s="1"/>
      <c r="B290" s="1"/>
      <c r="C290" s="1"/>
      <c r="D290" s="1"/>
      <c r="E290" s="1"/>
      <c r="F290" s="1"/>
      <c r="G290" s="1"/>
      <c r="H290" s="1"/>
      <c r="I290" s="1"/>
      <c r="J290" s="1"/>
      <c r="K290" s="34" t="str">
        <f>IF(MATCHER!A282="","",MATCHER!A282)</f>
        <v/>
      </c>
      <c r="L290" s="91" t="str">
        <f>IF(MATCHER!B282="","",MATCHER!B282)</f>
        <v/>
      </c>
      <c r="M290" s="92" t="str">
        <f>IF(MATCHER!C282="","",MATCHER!C282)</f>
        <v/>
      </c>
      <c r="N290" s="34" t="str">
        <f>IF(MATCHER!D282="","",MATCHER!D282)</f>
        <v/>
      </c>
      <c r="O290" s="34" t="str">
        <f>IF(MATCHER!E282="","",MATCHER!E282)</f>
        <v/>
      </c>
      <c r="P290" s="34" t="str">
        <f>IF(MATCHER!F282="","",MATCHER!F282)</f>
        <v/>
      </c>
      <c r="Q290" s="34" t="str">
        <f>IF(MATCHER!K282="","",MATCHER!K282)</f>
        <v/>
      </c>
      <c r="R290" s="34" t="str">
        <f>IF(K290="","",IF(Q290&lt;&gt;"Ja","Ej aktuell",IF(P290="SAKNAS","NY KLASS",IF(MATCHER!N282&lt;&gt;"Ja",MATCHER!N282,IF(COUNTIF($A$13:$A$220,K290)=0,"NY MATCH","Matchdag finns")))))</f>
        <v/>
      </c>
    </row>
    <row r="291" spans="1:18" ht="13">
      <c r="A291" s="1"/>
      <c r="B291" s="1"/>
      <c r="C291" s="1"/>
      <c r="D291" s="1"/>
      <c r="E291" s="1"/>
      <c r="F291" s="1"/>
      <c r="G291" s="1"/>
      <c r="H291" s="1"/>
      <c r="I291" s="1"/>
      <c r="J291" s="1"/>
      <c r="K291" s="34" t="str">
        <f>IF(MATCHER!A283="","",MATCHER!A283)</f>
        <v/>
      </c>
      <c r="L291" s="91" t="str">
        <f>IF(MATCHER!B283="","",MATCHER!B283)</f>
        <v/>
      </c>
      <c r="M291" s="92" t="str">
        <f>IF(MATCHER!C283="","",MATCHER!C283)</f>
        <v/>
      </c>
      <c r="N291" s="34" t="str">
        <f>IF(MATCHER!D283="","",MATCHER!D283)</f>
        <v/>
      </c>
      <c r="O291" s="34" t="str">
        <f>IF(MATCHER!E283="","",MATCHER!E283)</f>
        <v/>
      </c>
      <c r="P291" s="34" t="str">
        <f>IF(MATCHER!F283="","",MATCHER!F283)</f>
        <v/>
      </c>
      <c r="Q291" s="34" t="str">
        <f>IF(MATCHER!K283="","",MATCHER!K283)</f>
        <v/>
      </c>
      <c r="R291" s="34" t="str">
        <f>IF(K291="","",IF(Q291&lt;&gt;"Ja","Ej aktuell",IF(P291="SAKNAS","NY KLASS",IF(MATCHER!N283&lt;&gt;"Ja",MATCHER!N283,IF(COUNTIF($A$13:$A$220,K291)=0,"NY MATCH","Matchdag finns")))))</f>
        <v/>
      </c>
    </row>
    <row r="292" spans="1:18" ht="13">
      <c r="A292" s="1"/>
      <c r="B292" s="1"/>
      <c r="C292" s="1"/>
      <c r="D292" s="1"/>
      <c r="E292" s="1"/>
      <c r="F292" s="1"/>
      <c r="G292" s="1"/>
      <c r="H292" s="1"/>
      <c r="I292" s="1"/>
      <c r="J292" s="1"/>
      <c r="K292" s="34" t="str">
        <f>IF(MATCHER!A284="","",MATCHER!A284)</f>
        <v/>
      </c>
      <c r="L292" s="91" t="str">
        <f>IF(MATCHER!B284="","",MATCHER!B284)</f>
        <v/>
      </c>
      <c r="M292" s="92" t="str">
        <f>IF(MATCHER!C284="","",MATCHER!C284)</f>
        <v/>
      </c>
      <c r="N292" s="34" t="str">
        <f>IF(MATCHER!D284="","",MATCHER!D284)</f>
        <v/>
      </c>
      <c r="O292" s="34" t="str">
        <f>IF(MATCHER!E284="","",MATCHER!E284)</f>
        <v/>
      </c>
      <c r="P292" s="34" t="str">
        <f>IF(MATCHER!F284="","",MATCHER!F284)</f>
        <v/>
      </c>
      <c r="Q292" s="34" t="str">
        <f>IF(MATCHER!K284="","",MATCHER!K284)</f>
        <v/>
      </c>
      <c r="R292" s="34" t="str">
        <f>IF(K292="","",IF(Q292&lt;&gt;"Ja","Ej aktuell",IF(P292="SAKNAS","NY KLASS",IF(MATCHER!N284&lt;&gt;"Ja",MATCHER!N284,IF(COUNTIF($A$13:$A$220,K292)=0,"NY MATCH","Matchdag finns")))))</f>
        <v/>
      </c>
    </row>
    <row r="293" spans="1:18" ht="13">
      <c r="A293" s="1"/>
      <c r="B293" s="1"/>
      <c r="C293" s="1"/>
      <c r="D293" s="1"/>
      <c r="E293" s="1"/>
      <c r="F293" s="1"/>
      <c r="G293" s="1"/>
      <c r="H293" s="1"/>
      <c r="I293" s="1"/>
      <c r="J293" s="1"/>
      <c r="K293" s="34" t="str">
        <f>IF(MATCHER!A285="","",MATCHER!A285)</f>
        <v/>
      </c>
      <c r="L293" s="91" t="str">
        <f>IF(MATCHER!B285="","",MATCHER!B285)</f>
        <v/>
      </c>
      <c r="M293" s="92" t="str">
        <f>IF(MATCHER!C285="","",MATCHER!C285)</f>
        <v/>
      </c>
      <c r="N293" s="34" t="str">
        <f>IF(MATCHER!D285="","",MATCHER!D285)</f>
        <v/>
      </c>
      <c r="O293" s="34" t="str">
        <f>IF(MATCHER!E285="","",MATCHER!E285)</f>
        <v/>
      </c>
      <c r="P293" s="34" t="str">
        <f>IF(MATCHER!F285="","",MATCHER!F285)</f>
        <v/>
      </c>
      <c r="Q293" s="34" t="str">
        <f>IF(MATCHER!K285="","",MATCHER!K285)</f>
        <v/>
      </c>
      <c r="R293" s="34" t="str">
        <f>IF(K293="","",IF(Q293&lt;&gt;"Ja","Ej aktuell",IF(P293="SAKNAS","NY KLASS",IF(MATCHER!N285&lt;&gt;"Ja",MATCHER!N285,IF(COUNTIF($A$13:$A$220,K293)=0,"NY MATCH","Matchdag finns")))))</f>
        <v/>
      </c>
    </row>
    <row r="294" spans="1:18" ht="13">
      <c r="A294" s="1"/>
      <c r="B294" s="1"/>
      <c r="C294" s="1"/>
      <c r="D294" s="1"/>
      <c r="E294" s="1"/>
      <c r="F294" s="1"/>
      <c r="G294" s="1"/>
      <c r="H294" s="1"/>
      <c r="I294" s="1"/>
      <c r="J294" s="1"/>
      <c r="K294" s="34" t="str">
        <f>IF(MATCHER!A286="","",MATCHER!A286)</f>
        <v/>
      </c>
      <c r="L294" s="91" t="str">
        <f>IF(MATCHER!B286="","",MATCHER!B286)</f>
        <v/>
      </c>
      <c r="M294" s="92" t="str">
        <f>IF(MATCHER!C286="","",MATCHER!C286)</f>
        <v/>
      </c>
      <c r="N294" s="34" t="str">
        <f>IF(MATCHER!D286="","",MATCHER!D286)</f>
        <v/>
      </c>
      <c r="O294" s="34" t="str">
        <f>IF(MATCHER!E286="","",MATCHER!E286)</f>
        <v/>
      </c>
      <c r="P294" s="34" t="str">
        <f>IF(MATCHER!F286="","",MATCHER!F286)</f>
        <v/>
      </c>
      <c r="Q294" s="34" t="str">
        <f>IF(MATCHER!K286="","",MATCHER!K286)</f>
        <v/>
      </c>
      <c r="R294" s="34" t="str">
        <f>IF(K294="","",IF(Q294&lt;&gt;"Ja","Ej aktuell",IF(P294="SAKNAS","NY KLASS",IF(MATCHER!N286&lt;&gt;"Ja",MATCHER!N286,IF(COUNTIF($A$13:$A$220,K294)=0,"NY MATCH","Matchdag finns")))))</f>
        <v/>
      </c>
    </row>
    <row r="295" spans="1:18" ht="13">
      <c r="A295" s="1"/>
      <c r="B295" s="1"/>
      <c r="C295" s="1"/>
      <c r="D295" s="1"/>
      <c r="E295" s="1"/>
      <c r="F295" s="1"/>
      <c r="G295" s="1"/>
      <c r="H295" s="1"/>
      <c r="I295" s="1"/>
      <c r="J295" s="1"/>
      <c r="K295" s="34" t="str">
        <f>IF(MATCHER!A287="","",MATCHER!A287)</f>
        <v/>
      </c>
      <c r="L295" s="91" t="str">
        <f>IF(MATCHER!B287="","",MATCHER!B287)</f>
        <v/>
      </c>
      <c r="M295" s="92" t="str">
        <f>IF(MATCHER!C287="","",MATCHER!C287)</f>
        <v/>
      </c>
      <c r="N295" s="34" t="str">
        <f>IF(MATCHER!D287="","",MATCHER!D287)</f>
        <v/>
      </c>
      <c r="O295" s="34" t="str">
        <f>IF(MATCHER!E287="","",MATCHER!E287)</f>
        <v/>
      </c>
      <c r="P295" s="34" t="str">
        <f>IF(MATCHER!F287="","",MATCHER!F287)</f>
        <v/>
      </c>
      <c r="Q295" s="34" t="str">
        <f>IF(MATCHER!K287="","",MATCHER!K287)</f>
        <v/>
      </c>
      <c r="R295" s="34" t="str">
        <f>IF(K295="","",IF(Q295&lt;&gt;"Ja","Ej aktuell",IF(P295="SAKNAS","NY KLASS",IF(MATCHER!N287&lt;&gt;"Ja",MATCHER!N287,IF(COUNTIF($A$13:$A$220,K295)=0,"NY MATCH","Matchdag finns")))))</f>
        <v/>
      </c>
    </row>
    <row r="296" spans="1:18" ht="13">
      <c r="A296" s="1"/>
      <c r="B296" s="1"/>
      <c r="C296" s="1"/>
      <c r="D296" s="1"/>
      <c r="E296" s="1"/>
      <c r="F296" s="1"/>
      <c r="G296" s="1"/>
      <c r="H296" s="1"/>
      <c r="I296" s="1"/>
      <c r="J296" s="1"/>
      <c r="K296" s="34" t="str">
        <f>IF(MATCHER!A288="","",MATCHER!A288)</f>
        <v/>
      </c>
      <c r="L296" s="91" t="str">
        <f>IF(MATCHER!B288="","",MATCHER!B288)</f>
        <v/>
      </c>
      <c r="M296" s="92" t="str">
        <f>IF(MATCHER!C288="","",MATCHER!C288)</f>
        <v/>
      </c>
      <c r="N296" s="34" t="str">
        <f>IF(MATCHER!D288="","",MATCHER!D288)</f>
        <v/>
      </c>
      <c r="O296" s="34" t="str">
        <f>IF(MATCHER!E288="","",MATCHER!E288)</f>
        <v/>
      </c>
      <c r="P296" s="34" t="str">
        <f>IF(MATCHER!F288="","",MATCHER!F288)</f>
        <v/>
      </c>
      <c r="Q296" s="34" t="str">
        <f>IF(MATCHER!K288="","",MATCHER!K288)</f>
        <v/>
      </c>
      <c r="R296" s="34" t="str">
        <f>IF(K296="","",IF(Q296&lt;&gt;"Ja","Ej aktuell",IF(P296="SAKNAS","NY KLASS",IF(MATCHER!N288&lt;&gt;"Ja",MATCHER!N288,IF(COUNTIF($A$13:$A$220,K296)=0,"NY MATCH","Matchdag finns")))))</f>
        <v/>
      </c>
    </row>
    <row r="297" spans="1:18" ht="13">
      <c r="A297" s="1"/>
      <c r="B297" s="1"/>
      <c r="C297" s="1"/>
      <c r="D297" s="1"/>
      <c r="E297" s="1"/>
      <c r="F297" s="1"/>
      <c r="G297" s="1"/>
      <c r="H297" s="1"/>
      <c r="I297" s="1"/>
      <c r="J297" s="1"/>
      <c r="K297" s="34" t="str">
        <f>IF(MATCHER!A289="","",MATCHER!A289)</f>
        <v/>
      </c>
      <c r="L297" s="91" t="str">
        <f>IF(MATCHER!B289="","",MATCHER!B289)</f>
        <v/>
      </c>
      <c r="M297" s="92" t="str">
        <f>IF(MATCHER!C289="","",MATCHER!C289)</f>
        <v/>
      </c>
      <c r="N297" s="34" t="str">
        <f>IF(MATCHER!D289="","",MATCHER!D289)</f>
        <v/>
      </c>
      <c r="O297" s="34" t="str">
        <f>IF(MATCHER!E289="","",MATCHER!E289)</f>
        <v/>
      </c>
      <c r="P297" s="34" t="str">
        <f>IF(MATCHER!F289="","",MATCHER!F289)</f>
        <v/>
      </c>
      <c r="Q297" s="34" t="str">
        <f>IF(MATCHER!K289="","",MATCHER!K289)</f>
        <v/>
      </c>
      <c r="R297" s="34" t="str">
        <f>IF(K297="","",IF(Q297&lt;&gt;"Ja","Ej aktuell",IF(P297="SAKNAS","NY KLASS",IF(MATCHER!N289&lt;&gt;"Ja",MATCHER!N289,IF(COUNTIF($A$13:$A$220,K297)=0,"NY MATCH","Matchdag finns")))))</f>
        <v/>
      </c>
    </row>
    <row r="298" spans="1:18" ht="13">
      <c r="A298" s="1"/>
      <c r="B298" s="1"/>
      <c r="C298" s="1"/>
      <c r="D298" s="1"/>
      <c r="E298" s="1"/>
      <c r="F298" s="1"/>
      <c r="G298" s="1"/>
      <c r="H298" s="1"/>
      <c r="I298" s="1"/>
      <c r="J298" s="1"/>
      <c r="K298" s="34" t="str">
        <f>IF(MATCHER!A290="","",MATCHER!A290)</f>
        <v/>
      </c>
      <c r="L298" s="91" t="str">
        <f>IF(MATCHER!B290="","",MATCHER!B290)</f>
        <v/>
      </c>
      <c r="M298" s="92" t="str">
        <f>IF(MATCHER!C290="","",MATCHER!C290)</f>
        <v/>
      </c>
      <c r="N298" s="34" t="str">
        <f>IF(MATCHER!D290="","",MATCHER!D290)</f>
        <v/>
      </c>
      <c r="O298" s="34" t="str">
        <f>IF(MATCHER!E290="","",MATCHER!E290)</f>
        <v/>
      </c>
      <c r="P298" s="34" t="str">
        <f>IF(MATCHER!F290="","",MATCHER!F290)</f>
        <v/>
      </c>
      <c r="Q298" s="34" t="str">
        <f>IF(MATCHER!K290="","",MATCHER!K290)</f>
        <v/>
      </c>
      <c r="R298" s="34" t="str">
        <f>IF(K298="","",IF(Q298&lt;&gt;"Ja","Ej aktuell",IF(P298="SAKNAS","NY KLASS",IF(MATCHER!N290&lt;&gt;"Ja",MATCHER!N290,IF(COUNTIF($A$13:$A$220,K298)=0,"NY MATCH","Matchdag finns")))))</f>
        <v/>
      </c>
    </row>
    <row r="299" spans="1:18" ht="13">
      <c r="A299" s="1"/>
      <c r="B299" s="1"/>
      <c r="C299" s="1"/>
      <c r="D299" s="1"/>
      <c r="E299" s="1"/>
      <c r="F299" s="1"/>
      <c r="G299" s="1"/>
      <c r="H299" s="1"/>
      <c r="I299" s="1"/>
      <c r="J299" s="1"/>
      <c r="K299" s="34" t="str">
        <f>IF(MATCHER!A291="","",MATCHER!A291)</f>
        <v/>
      </c>
      <c r="L299" s="91" t="str">
        <f>IF(MATCHER!B291="","",MATCHER!B291)</f>
        <v/>
      </c>
      <c r="M299" s="92" t="str">
        <f>IF(MATCHER!C291="","",MATCHER!C291)</f>
        <v/>
      </c>
      <c r="N299" s="34" t="str">
        <f>IF(MATCHER!D291="","",MATCHER!D291)</f>
        <v/>
      </c>
      <c r="O299" s="34" t="str">
        <f>IF(MATCHER!E291="","",MATCHER!E291)</f>
        <v/>
      </c>
      <c r="P299" s="34" t="str">
        <f>IF(MATCHER!F291="","",MATCHER!F291)</f>
        <v/>
      </c>
      <c r="Q299" s="34" t="str">
        <f>IF(MATCHER!K291="","",MATCHER!K291)</f>
        <v/>
      </c>
      <c r="R299" s="34" t="str">
        <f>IF(K299="","",IF(Q299&lt;&gt;"Ja","Ej aktuell",IF(P299="SAKNAS","NY KLASS",IF(MATCHER!N291&lt;&gt;"Ja",MATCHER!N291,IF(COUNTIF($A$13:$A$220,K299)=0,"NY MATCH","Matchdag finns")))))</f>
        <v/>
      </c>
    </row>
    <row r="300" spans="1:18" ht="13">
      <c r="A300" s="1"/>
      <c r="B300" s="1"/>
      <c r="C300" s="1"/>
      <c r="D300" s="1"/>
      <c r="E300" s="1"/>
      <c r="F300" s="1"/>
      <c r="G300" s="1"/>
      <c r="H300" s="1"/>
      <c r="I300" s="1"/>
      <c r="J300" s="1"/>
      <c r="K300" s="34" t="str">
        <f>IF(MATCHER!A292="","",MATCHER!A292)</f>
        <v/>
      </c>
      <c r="L300" s="91" t="str">
        <f>IF(MATCHER!B292="","",MATCHER!B292)</f>
        <v/>
      </c>
      <c r="M300" s="92" t="str">
        <f>IF(MATCHER!C292="","",MATCHER!C292)</f>
        <v/>
      </c>
      <c r="N300" s="34" t="str">
        <f>IF(MATCHER!D292="","",MATCHER!D292)</f>
        <v/>
      </c>
      <c r="O300" s="34" t="str">
        <f>IF(MATCHER!E292="","",MATCHER!E292)</f>
        <v/>
      </c>
      <c r="P300" s="34" t="str">
        <f>IF(MATCHER!F292="","",MATCHER!F292)</f>
        <v/>
      </c>
      <c r="Q300" s="34" t="str">
        <f>IF(MATCHER!K292="","",MATCHER!K292)</f>
        <v/>
      </c>
      <c r="R300" s="34" t="str">
        <f>IF(K300="","",IF(Q300&lt;&gt;"Ja","Ej aktuell",IF(P300="SAKNAS","NY KLASS",IF(MATCHER!N292&lt;&gt;"Ja",MATCHER!N292,IF(COUNTIF($A$13:$A$220,K300)=0,"NY MATCH","Matchdag finns")))))</f>
        <v/>
      </c>
    </row>
    <row r="301" spans="1:18" ht="13">
      <c r="A301" s="1"/>
      <c r="B301" s="1"/>
      <c r="C301" s="1"/>
      <c r="D301" s="1"/>
      <c r="E301" s="1"/>
      <c r="F301" s="1"/>
      <c r="G301" s="1"/>
      <c r="H301" s="1"/>
      <c r="I301" s="1"/>
      <c r="J301" s="1"/>
      <c r="K301" s="34" t="str">
        <f>IF(MATCHER!A293="","",MATCHER!A293)</f>
        <v/>
      </c>
      <c r="L301" s="91" t="str">
        <f>IF(MATCHER!B293="","",MATCHER!B293)</f>
        <v/>
      </c>
      <c r="M301" s="92" t="str">
        <f>IF(MATCHER!C293="","",MATCHER!C293)</f>
        <v/>
      </c>
      <c r="N301" s="34" t="str">
        <f>IF(MATCHER!D293="","",MATCHER!D293)</f>
        <v/>
      </c>
      <c r="O301" s="34" t="str">
        <f>IF(MATCHER!E293="","",MATCHER!E293)</f>
        <v/>
      </c>
      <c r="P301" s="34" t="str">
        <f>IF(MATCHER!F293="","",MATCHER!F293)</f>
        <v/>
      </c>
      <c r="Q301" s="34" t="str">
        <f>IF(MATCHER!K293="","",MATCHER!K293)</f>
        <v/>
      </c>
      <c r="R301" s="34" t="str">
        <f>IF(K301="","",IF(Q301&lt;&gt;"Ja","Ej aktuell",IF(P301="SAKNAS","NY KLASS",IF(MATCHER!N293&lt;&gt;"Ja",MATCHER!N293,IF(COUNTIF($A$13:$A$220,K301)=0,"NY MATCH","Matchdag finns")))))</f>
        <v/>
      </c>
    </row>
    <row r="302" spans="1:18" ht="13">
      <c r="A302" s="1"/>
      <c r="B302" s="1"/>
      <c r="C302" s="1"/>
      <c r="D302" s="1"/>
      <c r="E302" s="1"/>
      <c r="F302" s="1"/>
      <c r="G302" s="1"/>
      <c r="H302" s="1"/>
      <c r="I302" s="1"/>
      <c r="J302" s="1"/>
      <c r="K302" s="34" t="str">
        <f>IF(MATCHER!A294="","",MATCHER!A294)</f>
        <v/>
      </c>
      <c r="L302" s="91" t="str">
        <f>IF(MATCHER!B294="","",MATCHER!B294)</f>
        <v/>
      </c>
      <c r="M302" s="92" t="str">
        <f>IF(MATCHER!C294="","",MATCHER!C294)</f>
        <v/>
      </c>
      <c r="N302" s="34" t="str">
        <f>IF(MATCHER!D294="","",MATCHER!D294)</f>
        <v/>
      </c>
      <c r="O302" s="34" t="str">
        <f>IF(MATCHER!E294="","",MATCHER!E294)</f>
        <v/>
      </c>
      <c r="P302" s="34" t="str">
        <f>IF(MATCHER!F294="","",MATCHER!F294)</f>
        <v/>
      </c>
      <c r="Q302" s="34" t="str">
        <f>IF(MATCHER!K294="","",MATCHER!K294)</f>
        <v/>
      </c>
      <c r="R302" s="34" t="str">
        <f>IF(K302="","",IF(Q302&lt;&gt;"Ja","Ej aktuell",IF(P302="SAKNAS","NY KLASS",IF(MATCHER!N294&lt;&gt;"Ja",MATCHER!N294,IF(COUNTIF($A$13:$A$220,K302)=0,"NY MATCH","Matchdag finns")))))</f>
        <v/>
      </c>
    </row>
    <row r="303" spans="1:18" ht="13">
      <c r="A303" s="1"/>
      <c r="B303" s="1"/>
      <c r="C303" s="1"/>
      <c r="D303" s="1"/>
      <c r="E303" s="1"/>
      <c r="F303" s="1"/>
      <c r="G303" s="1"/>
      <c r="H303" s="1"/>
      <c r="I303" s="1"/>
      <c r="J303" s="1"/>
      <c r="K303" s="34" t="str">
        <f>IF(MATCHER!A295="","",MATCHER!A295)</f>
        <v/>
      </c>
      <c r="L303" s="91" t="str">
        <f>IF(MATCHER!B295="","",MATCHER!B295)</f>
        <v/>
      </c>
      <c r="M303" s="92" t="str">
        <f>IF(MATCHER!C295="","",MATCHER!C295)</f>
        <v/>
      </c>
      <c r="N303" s="34" t="str">
        <f>IF(MATCHER!D295="","",MATCHER!D295)</f>
        <v/>
      </c>
      <c r="O303" s="34" t="str">
        <f>IF(MATCHER!E295="","",MATCHER!E295)</f>
        <v/>
      </c>
      <c r="P303" s="34" t="str">
        <f>IF(MATCHER!F295="","",MATCHER!F295)</f>
        <v/>
      </c>
      <c r="Q303" s="34" t="str">
        <f>IF(MATCHER!K295="","",MATCHER!K295)</f>
        <v/>
      </c>
      <c r="R303" s="34" t="str">
        <f>IF(K303="","",IF(Q303&lt;&gt;"Ja","Ej aktuell",IF(P303="SAKNAS","NY KLASS",IF(MATCHER!N295&lt;&gt;"Ja",MATCHER!N295,IF(COUNTIF($A$13:$A$220,K303)=0,"NY MATCH","Matchdag finns")))))</f>
        <v/>
      </c>
    </row>
    <row r="304" spans="1:18" ht="13">
      <c r="A304" s="1"/>
      <c r="B304" s="1"/>
      <c r="C304" s="1"/>
      <c r="D304" s="1"/>
      <c r="E304" s="1"/>
      <c r="F304" s="1"/>
      <c r="G304" s="1"/>
      <c r="H304" s="1"/>
      <c r="I304" s="1"/>
      <c r="J304" s="1"/>
      <c r="K304" s="34" t="str">
        <f>IF(MATCHER!A296="","",MATCHER!A296)</f>
        <v/>
      </c>
      <c r="L304" s="91" t="str">
        <f>IF(MATCHER!B296="","",MATCHER!B296)</f>
        <v/>
      </c>
      <c r="M304" s="92" t="str">
        <f>IF(MATCHER!C296="","",MATCHER!C296)</f>
        <v/>
      </c>
      <c r="N304" s="34" t="str">
        <f>IF(MATCHER!D296="","",MATCHER!D296)</f>
        <v/>
      </c>
      <c r="O304" s="34" t="str">
        <f>IF(MATCHER!E296="","",MATCHER!E296)</f>
        <v/>
      </c>
      <c r="P304" s="34" t="str">
        <f>IF(MATCHER!F296="","",MATCHER!F296)</f>
        <v/>
      </c>
      <c r="Q304" s="34" t="str">
        <f>IF(MATCHER!K296="","",MATCHER!K296)</f>
        <v/>
      </c>
      <c r="R304" s="34" t="str">
        <f>IF(K304="","",IF(Q304&lt;&gt;"Ja","Ej aktuell",IF(P304="SAKNAS","NY KLASS",IF(MATCHER!N296&lt;&gt;"Ja",MATCHER!N296,IF(COUNTIF($A$13:$A$220,K304)=0,"NY MATCH","Matchdag finns")))))</f>
        <v/>
      </c>
    </row>
    <row r="305" spans="1:18" ht="13">
      <c r="A305" s="1"/>
      <c r="B305" s="1"/>
      <c r="C305" s="1"/>
      <c r="D305" s="1"/>
      <c r="E305" s="1"/>
      <c r="F305" s="1"/>
      <c r="G305" s="1"/>
      <c r="H305" s="1"/>
      <c r="I305" s="1"/>
      <c r="J305" s="1"/>
      <c r="K305" s="34" t="str">
        <f>IF(MATCHER!A297="","",MATCHER!A297)</f>
        <v/>
      </c>
      <c r="L305" s="91" t="str">
        <f>IF(MATCHER!B297="","",MATCHER!B297)</f>
        <v/>
      </c>
      <c r="M305" s="92" t="str">
        <f>IF(MATCHER!C297="","",MATCHER!C297)</f>
        <v/>
      </c>
      <c r="N305" s="34" t="str">
        <f>IF(MATCHER!D297="","",MATCHER!D297)</f>
        <v/>
      </c>
      <c r="O305" s="34" t="str">
        <f>IF(MATCHER!E297="","",MATCHER!E297)</f>
        <v/>
      </c>
      <c r="P305" s="34" t="str">
        <f>IF(MATCHER!F297="","",MATCHER!F297)</f>
        <v/>
      </c>
      <c r="Q305" s="34" t="str">
        <f>IF(MATCHER!K297="","",MATCHER!K297)</f>
        <v/>
      </c>
      <c r="R305" s="34" t="str">
        <f>IF(K305="","",IF(Q305&lt;&gt;"Ja","Ej aktuell",IF(P305="SAKNAS","NY KLASS",IF(MATCHER!N297&lt;&gt;"Ja",MATCHER!N297,IF(COUNTIF($A$13:$A$220,K305)=0,"NY MATCH","Matchdag finns")))))</f>
        <v/>
      </c>
    </row>
    <row r="306" spans="1:18" ht="13">
      <c r="A306" s="1"/>
      <c r="B306" s="1"/>
      <c r="C306" s="1"/>
      <c r="D306" s="1"/>
      <c r="E306" s="1"/>
      <c r="F306" s="1"/>
      <c r="G306" s="1"/>
      <c r="H306" s="1"/>
      <c r="I306" s="1"/>
      <c r="J306" s="1"/>
      <c r="K306" s="34" t="str">
        <f>IF(MATCHER!A298="","",MATCHER!A298)</f>
        <v/>
      </c>
      <c r="L306" s="91" t="str">
        <f>IF(MATCHER!B298="","",MATCHER!B298)</f>
        <v/>
      </c>
      <c r="M306" s="92" t="str">
        <f>IF(MATCHER!C298="","",MATCHER!C298)</f>
        <v/>
      </c>
      <c r="N306" s="34" t="str">
        <f>IF(MATCHER!D298="","",MATCHER!D298)</f>
        <v/>
      </c>
      <c r="O306" s="34" t="str">
        <f>IF(MATCHER!E298="","",MATCHER!E298)</f>
        <v/>
      </c>
      <c r="P306" s="34" t="str">
        <f>IF(MATCHER!F298="","",MATCHER!F298)</f>
        <v/>
      </c>
      <c r="Q306" s="34" t="str">
        <f>IF(MATCHER!K298="","",MATCHER!K298)</f>
        <v/>
      </c>
      <c r="R306" s="34" t="str">
        <f>IF(K306="","",IF(Q306&lt;&gt;"Ja","Ej aktuell",IF(P306="SAKNAS","NY KLASS",IF(MATCHER!N298&lt;&gt;"Ja",MATCHER!N298,IF(COUNTIF($A$13:$A$220,K306)=0,"NY MATCH","Matchdag finns")))))</f>
        <v/>
      </c>
    </row>
    <row r="307" spans="1:18" ht="13">
      <c r="A307" s="1"/>
      <c r="B307" s="1"/>
      <c r="C307" s="1"/>
      <c r="D307" s="1"/>
      <c r="E307" s="1"/>
      <c r="F307" s="1"/>
      <c r="G307" s="1"/>
      <c r="H307" s="1"/>
      <c r="I307" s="1"/>
      <c r="J307" s="1"/>
      <c r="K307" s="34" t="str">
        <f>IF(MATCHER!A299="","",MATCHER!A299)</f>
        <v/>
      </c>
      <c r="L307" s="91" t="str">
        <f>IF(MATCHER!B299="","",MATCHER!B299)</f>
        <v/>
      </c>
      <c r="M307" s="92" t="str">
        <f>IF(MATCHER!C299="","",MATCHER!C299)</f>
        <v/>
      </c>
      <c r="N307" s="34" t="str">
        <f>IF(MATCHER!D299="","",MATCHER!D299)</f>
        <v/>
      </c>
      <c r="O307" s="34" t="str">
        <f>IF(MATCHER!E299="","",MATCHER!E299)</f>
        <v/>
      </c>
      <c r="P307" s="34" t="str">
        <f>IF(MATCHER!F299="","",MATCHER!F299)</f>
        <v/>
      </c>
      <c r="Q307" s="34" t="str">
        <f>IF(MATCHER!K299="","",MATCHER!K299)</f>
        <v/>
      </c>
      <c r="R307" s="34" t="str">
        <f>IF(K307="","",IF(Q307&lt;&gt;"Ja","Ej aktuell",IF(P307="SAKNAS","NY KLASS",IF(MATCHER!N299&lt;&gt;"Ja",MATCHER!N299,IF(COUNTIF($A$13:$A$220,K307)=0,"NY MATCH","Matchdag finns")))))</f>
        <v/>
      </c>
    </row>
    <row r="308" spans="1:18" ht="13">
      <c r="A308" s="1"/>
      <c r="B308" s="1"/>
      <c r="C308" s="1"/>
      <c r="D308" s="1"/>
      <c r="E308" s="1"/>
      <c r="F308" s="1"/>
      <c r="G308" s="1"/>
      <c r="H308" s="1"/>
      <c r="I308" s="1"/>
      <c r="J308" s="1"/>
      <c r="K308" s="34" t="str">
        <f>IF(MATCHER!A300="","",MATCHER!A300)</f>
        <v/>
      </c>
      <c r="L308" s="91" t="str">
        <f>IF(MATCHER!B300="","",MATCHER!B300)</f>
        <v/>
      </c>
      <c r="M308" s="92" t="str">
        <f>IF(MATCHER!C300="","",MATCHER!C300)</f>
        <v/>
      </c>
      <c r="N308" s="34" t="str">
        <f>IF(MATCHER!D300="","",MATCHER!D300)</f>
        <v/>
      </c>
      <c r="O308" s="34" t="str">
        <f>IF(MATCHER!E300="","",MATCHER!E300)</f>
        <v/>
      </c>
      <c r="P308" s="34" t="str">
        <f>IF(MATCHER!F300="","",MATCHER!F300)</f>
        <v/>
      </c>
      <c r="Q308" s="34" t="str">
        <f>IF(MATCHER!K300="","",MATCHER!K300)</f>
        <v/>
      </c>
      <c r="R308" s="34" t="str">
        <f>IF(K308="","",IF(Q308&lt;&gt;"Ja","Ej aktuell",IF(P308="SAKNAS","NY KLASS",IF(MATCHER!N300&lt;&gt;"Ja",MATCHER!N300,IF(COUNTIF($A$13:$A$220,K308)=0,"NY MATCH","Matchdag finns")))))</f>
        <v/>
      </c>
    </row>
    <row r="309" spans="1:18" ht="13">
      <c r="A309" s="1"/>
      <c r="B309" s="1"/>
      <c r="C309" s="1"/>
      <c r="D309" s="1"/>
      <c r="E309" s="1"/>
      <c r="F309" s="1"/>
      <c r="G309" s="1"/>
      <c r="H309" s="1"/>
      <c r="I309" s="1"/>
      <c r="J309" s="1"/>
      <c r="K309" s="34" t="str">
        <f>IF(MATCHER!A301="","",MATCHER!A301)</f>
        <v/>
      </c>
      <c r="L309" s="91" t="str">
        <f>IF(MATCHER!B301="","",MATCHER!B301)</f>
        <v/>
      </c>
      <c r="M309" s="92" t="str">
        <f>IF(MATCHER!C301="","",MATCHER!C301)</f>
        <v/>
      </c>
      <c r="N309" s="34" t="str">
        <f>IF(MATCHER!D301="","",MATCHER!D301)</f>
        <v/>
      </c>
      <c r="O309" s="34" t="str">
        <f>IF(MATCHER!E301="","",MATCHER!E301)</f>
        <v/>
      </c>
      <c r="P309" s="34" t="str">
        <f>IF(MATCHER!F301="","",MATCHER!F301)</f>
        <v/>
      </c>
      <c r="Q309" s="34" t="str">
        <f>IF(MATCHER!K301="","",MATCHER!K301)</f>
        <v/>
      </c>
      <c r="R309" s="34" t="str">
        <f>IF(K309="","",IF(Q309&lt;&gt;"Ja","Ej aktuell",IF(P309="SAKNAS","NY KLASS",IF(MATCHER!N301&lt;&gt;"Ja",MATCHER!N301,IF(COUNTIF($A$13:$A$220,K309)=0,"NY MATCH","Matchdag finns")))))</f>
        <v/>
      </c>
    </row>
    <row r="310" spans="1:18" ht="13">
      <c r="A310" s="1"/>
      <c r="B310" s="1"/>
      <c r="C310" s="1"/>
      <c r="D310" s="1"/>
      <c r="E310" s="1"/>
      <c r="F310" s="1"/>
      <c r="G310" s="1"/>
      <c r="H310" s="1"/>
      <c r="I310" s="1"/>
      <c r="J310" s="1"/>
      <c r="K310" s="34" t="str">
        <f>IF(MATCHER!A302="","",MATCHER!A302)</f>
        <v/>
      </c>
      <c r="L310" s="91" t="str">
        <f>IF(MATCHER!B302="","",MATCHER!B302)</f>
        <v/>
      </c>
      <c r="M310" s="92" t="str">
        <f>IF(MATCHER!C302="","",MATCHER!C302)</f>
        <v/>
      </c>
      <c r="N310" s="34" t="str">
        <f>IF(MATCHER!D302="","",MATCHER!D302)</f>
        <v/>
      </c>
      <c r="O310" s="34" t="str">
        <f>IF(MATCHER!E302="","",MATCHER!E302)</f>
        <v/>
      </c>
      <c r="P310" s="34" t="str">
        <f>IF(MATCHER!F302="","",MATCHER!F302)</f>
        <v/>
      </c>
      <c r="Q310" s="34" t="str">
        <f>IF(MATCHER!K302="","",MATCHER!K302)</f>
        <v/>
      </c>
      <c r="R310" s="34" t="str">
        <f>IF(K310="","",IF(Q310&lt;&gt;"Ja","Ej aktuell",IF(P310="SAKNAS","NY KLASS",IF(MATCHER!N302&lt;&gt;"Ja",MATCHER!N302,IF(COUNTIF($A$13:$A$220,K310)=0,"NY MATCH","Matchdag finns")))))</f>
        <v/>
      </c>
    </row>
    <row r="311" spans="1:18" ht="13">
      <c r="A311" s="1"/>
      <c r="B311" s="1"/>
      <c r="C311" s="1"/>
      <c r="D311" s="1"/>
      <c r="E311" s="1"/>
      <c r="F311" s="1"/>
      <c r="G311" s="1"/>
      <c r="H311" s="1"/>
      <c r="I311" s="1"/>
      <c r="J311" s="1"/>
      <c r="K311" s="34" t="str">
        <f>IF(MATCHER!A303="","",MATCHER!A303)</f>
        <v/>
      </c>
      <c r="L311" s="91" t="str">
        <f>IF(MATCHER!B303="","",MATCHER!B303)</f>
        <v/>
      </c>
      <c r="M311" s="92" t="str">
        <f>IF(MATCHER!C303="","",MATCHER!C303)</f>
        <v/>
      </c>
      <c r="N311" s="34" t="str">
        <f>IF(MATCHER!D303="","",MATCHER!D303)</f>
        <v/>
      </c>
      <c r="O311" s="34" t="str">
        <f>IF(MATCHER!E303="","",MATCHER!E303)</f>
        <v/>
      </c>
      <c r="P311" s="34" t="str">
        <f>IF(MATCHER!F303="","",MATCHER!F303)</f>
        <v/>
      </c>
      <c r="Q311" s="34" t="str">
        <f>IF(MATCHER!K303="","",MATCHER!K303)</f>
        <v/>
      </c>
      <c r="R311" s="34" t="str">
        <f>IF(K311="","",IF(Q311&lt;&gt;"Ja","Ej aktuell",IF(P311="SAKNAS","NY KLASS",IF(MATCHER!N303&lt;&gt;"Ja",MATCHER!N303,IF(COUNTIF($A$13:$A$220,K311)=0,"NY MATCH","Matchdag finns")))))</f>
        <v/>
      </c>
    </row>
    <row r="312" spans="1:18" ht="13">
      <c r="A312" s="1"/>
      <c r="B312" s="1"/>
      <c r="C312" s="1"/>
      <c r="D312" s="1"/>
      <c r="E312" s="1"/>
      <c r="F312" s="1"/>
      <c r="G312" s="1"/>
      <c r="H312" s="1"/>
      <c r="I312" s="1"/>
      <c r="J312" s="1"/>
      <c r="K312" s="34" t="str">
        <f>IF(MATCHER!A304="","",MATCHER!A304)</f>
        <v/>
      </c>
      <c r="L312" s="91" t="str">
        <f>IF(MATCHER!B304="","",MATCHER!B304)</f>
        <v/>
      </c>
      <c r="M312" s="92" t="str">
        <f>IF(MATCHER!C304="","",MATCHER!C304)</f>
        <v/>
      </c>
      <c r="N312" s="34" t="str">
        <f>IF(MATCHER!D304="","",MATCHER!D304)</f>
        <v/>
      </c>
      <c r="O312" s="34" t="str">
        <f>IF(MATCHER!E304="","",MATCHER!E304)</f>
        <v/>
      </c>
      <c r="P312" s="34" t="str">
        <f>IF(MATCHER!F304="","",MATCHER!F304)</f>
        <v/>
      </c>
      <c r="Q312" s="34" t="str">
        <f>IF(MATCHER!K304="","",MATCHER!K304)</f>
        <v/>
      </c>
      <c r="R312" s="34" t="str">
        <f>IF(K312="","",IF(Q312&lt;&gt;"Ja","Ej aktuell",IF(P312="SAKNAS","NY KLASS",IF(MATCHER!N304&lt;&gt;"Ja",MATCHER!N304,IF(COUNTIF($A$13:$A$220,K312)=0,"NY MATCH","Matchdag finns")))))</f>
        <v/>
      </c>
    </row>
    <row r="313" spans="1:18" ht="13">
      <c r="A313" s="1"/>
      <c r="B313" s="1"/>
      <c r="C313" s="1"/>
      <c r="D313" s="1"/>
      <c r="E313" s="1"/>
      <c r="F313" s="1"/>
      <c r="G313" s="1"/>
      <c r="H313" s="1"/>
      <c r="I313" s="1"/>
      <c r="J313" s="1"/>
      <c r="K313" s="34" t="str">
        <f>IF(MATCHER!A305="","",MATCHER!A305)</f>
        <v/>
      </c>
      <c r="L313" s="91" t="str">
        <f>IF(MATCHER!B305="","",MATCHER!B305)</f>
        <v/>
      </c>
      <c r="M313" s="92" t="str">
        <f>IF(MATCHER!C305="","",MATCHER!C305)</f>
        <v/>
      </c>
      <c r="N313" s="34" t="str">
        <f>IF(MATCHER!D305="","",MATCHER!D305)</f>
        <v/>
      </c>
      <c r="O313" s="34" t="str">
        <f>IF(MATCHER!E305="","",MATCHER!E305)</f>
        <v/>
      </c>
      <c r="P313" s="34" t="str">
        <f>IF(MATCHER!F305="","",MATCHER!F305)</f>
        <v/>
      </c>
      <c r="Q313" s="34" t="str">
        <f>IF(MATCHER!K305="","",MATCHER!K305)</f>
        <v/>
      </c>
      <c r="R313" s="34" t="str">
        <f>IF(K313="","",IF(Q313&lt;&gt;"Ja","Ej aktuell",IF(P313="SAKNAS","NY KLASS",IF(MATCHER!N305&lt;&gt;"Ja",MATCHER!N305,IF(COUNTIF($A$13:$A$220,K313)=0,"NY MATCH","Matchdag finns")))))</f>
        <v/>
      </c>
    </row>
    <row r="314" spans="1:18" ht="13">
      <c r="A314" s="1"/>
      <c r="B314" s="1"/>
      <c r="C314" s="1"/>
      <c r="D314" s="1"/>
      <c r="E314" s="1"/>
      <c r="F314" s="1"/>
      <c r="G314" s="1"/>
      <c r="H314" s="1"/>
      <c r="I314" s="1"/>
      <c r="J314" s="1"/>
      <c r="K314" s="34" t="str">
        <f>IF(MATCHER!A306="","",MATCHER!A306)</f>
        <v/>
      </c>
      <c r="L314" s="91" t="str">
        <f>IF(MATCHER!B306="","",MATCHER!B306)</f>
        <v/>
      </c>
      <c r="M314" s="92" t="str">
        <f>IF(MATCHER!C306="","",MATCHER!C306)</f>
        <v/>
      </c>
      <c r="N314" s="34" t="str">
        <f>IF(MATCHER!D306="","",MATCHER!D306)</f>
        <v/>
      </c>
      <c r="O314" s="34" t="str">
        <f>IF(MATCHER!E306="","",MATCHER!E306)</f>
        <v/>
      </c>
      <c r="P314" s="34" t="str">
        <f>IF(MATCHER!F306="","",MATCHER!F306)</f>
        <v/>
      </c>
      <c r="Q314" s="34" t="str">
        <f>IF(MATCHER!K306="","",MATCHER!K306)</f>
        <v/>
      </c>
      <c r="R314" s="34" t="str">
        <f>IF(K314="","",IF(Q314&lt;&gt;"Ja","Ej aktuell",IF(P314="SAKNAS","NY KLASS",IF(MATCHER!N306&lt;&gt;"Ja",MATCHER!N306,IF(COUNTIF($A$13:$A$220,K314)=0,"NY MATCH","Matchdag finns")))))</f>
        <v/>
      </c>
    </row>
    <row r="315" spans="1:18" ht="13">
      <c r="A315" s="1"/>
      <c r="B315" s="1"/>
      <c r="C315" s="1"/>
      <c r="D315" s="1"/>
      <c r="E315" s="1"/>
      <c r="F315" s="1"/>
      <c r="G315" s="1"/>
      <c r="H315" s="1"/>
      <c r="I315" s="1"/>
      <c r="J315" s="1"/>
      <c r="K315" s="34" t="str">
        <f>IF(MATCHER!A307="","",MATCHER!A307)</f>
        <v/>
      </c>
      <c r="L315" s="91" t="str">
        <f>IF(MATCHER!B307="","",MATCHER!B307)</f>
        <v/>
      </c>
      <c r="M315" s="92" t="str">
        <f>IF(MATCHER!C307="","",MATCHER!C307)</f>
        <v/>
      </c>
      <c r="N315" s="34" t="str">
        <f>IF(MATCHER!D307="","",MATCHER!D307)</f>
        <v/>
      </c>
      <c r="O315" s="34" t="str">
        <f>IF(MATCHER!E307="","",MATCHER!E307)</f>
        <v/>
      </c>
      <c r="P315" s="34" t="str">
        <f>IF(MATCHER!F307="","",MATCHER!F307)</f>
        <v/>
      </c>
      <c r="Q315" s="34" t="str">
        <f>IF(MATCHER!K307="","",MATCHER!K307)</f>
        <v/>
      </c>
      <c r="R315" s="34" t="str">
        <f>IF(K315="","",IF(Q315&lt;&gt;"Ja","Ej aktuell",IF(P315="SAKNAS","NY KLASS",IF(MATCHER!N307&lt;&gt;"Ja",MATCHER!N307,IF(COUNTIF($A$13:$A$220,K315)=0,"NY MATCH","Matchdag finns")))))</f>
        <v/>
      </c>
    </row>
    <row r="316" spans="1:18" ht="13">
      <c r="A316" s="1"/>
      <c r="B316" s="1"/>
      <c r="C316" s="1"/>
      <c r="D316" s="1"/>
      <c r="E316" s="1"/>
      <c r="F316" s="1"/>
      <c r="G316" s="1"/>
      <c r="H316" s="1"/>
      <c r="I316" s="1"/>
      <c r="J316" s="1"/>
      <c r="K316" s="34" t="str">
        <f>IF(MATCHER!A308="","",MATCHER!A308)</f>
        <v/>
      </c>
      <c r="L316" s="91" t="str">
        <f>IF(MATCHER!B308="","",MATCHER!B308)</f>
        <v/>
      </c>
      <c r="M316" s="92" t="str">
        <f>IF(MATCHER!C308="","",MATCHER!C308)</f>
        <v/>
      </c>
      <c r="N316" s="34" t="str">
        <f>IF(MATCHER!D308="","",MATCHER!D308)</f>
        <v/>
      </c>
      <c r="O316" s="34" t="str">
        <f>IF(MATCHER!E308="","",MATCHER!E308)</f>
        <v/>
      </c>
      <c r="P316" s="34" t="str">
        <f>IF(MATCHER!F308="","",MATCHER!F308)</f>
        <v/>
      </c>
      <c r="Q316" s="34" t="str">
        <f>IF(MATCHER!K308="","",MATCHER!K308)</f>
        <v/>
      </c>
      <c r="R316" s="34" t="str">
        <f>IF(K316="","",IF(Q316&lt;&gt;"Ja","Ej aktuell",IF(P316="SAKNAS","NY KLASS",IF(MATCHER!N308&lt;&gt;"Ja",MATCHER!N308,IF(COUNTIF($A$13:$A$220,K316)=0,"NY MATCH","Matchdag finns")))))</f>
        <v/>
      </c>
    </row>
    <row r="317" spans="1:18" ht="13">
      <c r="A317" s="1"/>
      <c r="B317" s="1"/>
      <c r="C317" s="1"/>
      <c r="D317" s="1"/>
      <c r="E317" s="1"/>
      <c r="F317" s="1"/>
      <c r="G317" s="1"/>
      <c r="H317" s="1"/>
      <c r="I317" s="1"/>
      <c r="J317" s="1"/>
      <c r="K317" s="34" t="str">
        <f>IF(MATCHER!A309="","",MATCHER!A309)</f>
        <v/>
      </c>
      <c r="L317" s="91" t="str">
        <f>IF(MATCHER!B309="","",MATCHER!B309)</f>
        <v/>
      </c>
      <c r="M317" s="92" t="str">
        <f>IF(MATCHER!C309="","",MATCHER!C309)</f>
        <v/>
      </c>
      <c r="N317" s="34" t="str">
        <f>IF(MATCHER!D309="","",MATCHER!D309)</f>
        <v/>
      </c>
      <c r="O317" s="34" t="str">
        <f>IF(MATCHER!E309="","",MATCHER!E309)</f>
        <v/>
      </c>
      <c r="P317" s="34" t="str">
        <f>IF(MATCHER!F309="","",MATCHER!F309)</f>
        <v/>
      </c>
      <c r="Q317" s="34" t="str">
        <f>IF(MATCHER!K309="","",MATCHER!K309)</f>
        <v/>
      </c>
      <c r="R317" s="34" t="str">
        <f>IF(K317="","",IF(Q317&lt;&gt;"Ja","Ej aktuell",IF(P317="SAKNAS","NY KLASS",IF(MATCHER!N309&lt;&gt;"Ja",MATCHER!N309,IF(COUNTIF($A$13:$A$220,K317)=0,"NY MATCH","Matchdag finns")))))</f>
        <v/>
      </c>
    </row>
    <row r="318" spans="1:18" ht="13">
      <c r="A318" s="1"/>
      <c r="B318" s="1"/>
      <c r="C318" s="1"/>
      <c r="D318" s="1"/>
      <c r="E318" s="1"/>
      <c r="F318" s="1"/>
      <c r="G318" s="1"/>
      <c r="H318" s="1"/>
      <c r="I318" s="1"/>
      <c r="J318" s="1"/>
      <c r="K318" s="34" t="str">
        <f>IF(MATCHER!A310="","",MATCHER!A310)</f>
        <v/>
      </c>
      <c r="L318" s="91" t="str">
        <f>IF(MATCHER!B310="","",MATCHER!B310)</f>
        <v/>
      </c>
      <c r="M318" s="92" t="str">
        <f>IF(MATCHER!C310="","",MATCHER!C310)</f>
        <v/>
      </c>
      <c r="N318" s="34" t="str">
        <f>IF(MATCHER!D310="","",MATCHER!D310)</f>
        <v/>
      </c>
      <c r="O318" s="34" t="str">
        <f>IF(MATCHER!E310="","",MATCHER!E310)</f>
        <v/>
      </c>
      <c r="P318" s="34" t="str">
        <f>IF(MATCHER!F310="","",MATCHER!F310)</f>
        <v/>
      </c>
      <c r="Q318" s="34" t="str">
        <f>IF(MATCHER!K310="","",MATCHER!K310)</f>
        <v/>
      </c>
      <c r="R318" s="34" t="str">
        <f>IF(K318="","",IF(Q318&lt;&gt;"Ja","Ej aktuell",IF(P318="SAKNAS","NY KLASS",IF(MATCHER!N310&lt;&gt;"Ja",MATCHER!N310,IF(COUNTIF($A$13:$A$220,K318)=0,"NY MATCH","Matchdag finns")))))</f>
        <v/>
      </c>
    </row>
    <row r="319" spans="1:18" ht="13">
      <c r="A319" s="1"/>
      <c r="B319" s="1"/>
      <c r="C319" s="1"/>
      <c r="D319" s="1"/>
      <c r="E319" s="1"/>
      <c r="F319" s="1"/>
      <c r="G319" s="1"/>
      <c r="H319" s="1"/>
      <c r="I319" s="1"/>
      <c r="J319" s="1"/>
      <c r="K319" s="34" t="str">
        <f>IF(MATCHER!A311="","",MATCHER!A311)</f>
        <v/>
      </c>
      <c r="L319" s="91" t="str">
        <f>IF(MATCHER!B311="","",MATCHER!B311)</f>
        <v/>
      </c>
      <c r="M319" s="92" t="str">
        <f>IF(MATCHER!C311="","",MATCHER!C311)</f>
        <v/>
      </c>
      <c r="N319" s="34" t="str">
        <f>IF(MATCHER!D311="","",MATCHER!D311)</f>
        <v/>
      </c>
      <c r="O319" s="34" t="str">
        <f>IF(MATCHER!E311="","",MATCHER!E311)</f>
        <v/>
      </c>
      <c r="P319" s="34" t="str">
        <f>IF(MATCHER!F311="","",MATCHER!F311)</f>
        <v/>
      </c>
      <c r="Q319" s="34" t="str">
        <f>IF(MATCHER!K311="","",MATCHER!K311)</f>
        <v/>
      </c>
      <c r="R319" s="34" t="str">
        <f>IF(K319="","",IF(Q319&lt;&gt;"Ja","Ej aktuell",IF(P319="SAKNAS","NY KLASS",IF(MATCHER!N311&lt;&gt;"Ja",MATCHER!N311,IF(COUNTIF($A$13:$A$220,K319)=0,"NY MATCH","Matchdag finns")))))</f>
        <v/>
      </c>
    </row>
    <row r="320" spans="1:18" ht="13">
      <c r="A320" s="1"/>
      <c r="B320" s="1"/>
      <c r="C320" s="1"/>
      <c r="D320" s="1"/>
      <c r="E320" s="1"/>
      <c r="F320" s="1"/>
      <c r="G320" s="1"/>
      <c r="H320" s="1"/>
      <c r="I320" s="1"/>
      <c r="J320" s="1"/>
      <c r="K320" s="34" t="str">
        <f>IF(MATCHER!A312="","",MATCHER!A312)</f>
        <v/>
      </c>
      <c r="L320" s="91" t="str">
        <f>IF(MATCHER!B312="","",MATCHER!B312)</f>
        <v/>
      </c>
      <c r="M320" s="92" t="str">
        <f>IF(MATCHER!C312="","",MATCHER!C312)</f>
        <v/>
      </c>
      <c r="N320" s="34" t="str">
        <f>IF(MATCHER!D312="","",MATCHER!D312)</f>
        <v/>
      </c>
      <c r="O320" s="34" t="str">
        <f>IF(MATCHER!E312="","",MATCHER!E312)</f>
        <v/>
      </c>
      <c r="P320" s="34" t="str">
        <f>IF(MATCHER!F312="","",MATCHER!F312)</f>
        <v/>
      </c>
      <c r="Q320" s="34" t="str">
        <f>IF(MATCHER!K312="","",MATCHER!K312)</f>
        <v/>
      </c>
      <c r="R320" s="34" t="str">
        <f>IF(K320="","",IF(Q320&lt;&gt;"Ja","Ej aktuell",IF(P320="SAKNAS","NY KLASS",IF(MATCHER!N312&lt;&gt;"Ja",MATCHER!N312,IF(COUNTIF($A$13:$A$220,K320)=0,"NY MATCH","Matchdag finns")))))</f>
        <v/>
      </c>
    </row>
    <row r="321" spans="1:18" ht="13">
      <c r="A321" s="1"/>
      <c r="B321" s="1"/>
      <c r="C321" s="1"/>
      <c r="D321" s="1"/>
      <c r="E321" s="1"/>
      <c r="F321" s="1"/>
      <c r="G321" s="1"/>
      <c r="H321" s="1"/>
      <c r="I321" s="1"/>
      <c r="J321" s="1"/>
      <c r="K321" s="34" t="str">
        <f>IF(MATCHER!A313="","",MATCHER!A313)</f>
        <v/>
      </c>
      <c r="L321" s="91" t="str">
        <f>IF(MATCHER!B313="","",MATCHER!B313)</f>
        <v/>
      </c>
      <c r="M321" s="92" t="str">
        <f>IF(MATCHER!C313="","",MATCHER!C313)</f>
        <v/>
      </c>
      <c r="N321" s="34" t="str">
        <f>IF(MATCHER!D313="","",MATCHER!D313)</f>
        <v/>
      </c>
      <c r="O321" s="34" t="str">
        <f>IF(MATCHER!E313="","",MATCHER!E313)</f>
        <v/>
      </c>
      <c r="P321" s="34" t="str">
        <f>IF(MATCHER!F313="","",MATCHER!F313)</f>
        <v/>
      </c>
      <c r="Q321" s="34" t="str">
        <f>IF(MATCHER!K313="","",MATCHER!K313)</f>
        <v/>
      </c>
      <c r="R321" s="34" t="str">
        <f>IF(K321="","",IF(Q321&lt;&gt;"Ja","Ej aktuell",IF(P321="SAKNAS","NY KLASS",IF(MATCHER!N313&lt;&gt;"Ja",MATCHER!N313,IF(COUNTIF($A$13:$A$220,K321)=0,"NY MATCH","Matchdag finns")))))</f>
        <v/>
      </c>
    </row>
    <row r="322" spans="1:18" ht="13">
      <c r="A322" s="1"/>
      <c r="B322" s="1"/>
      <c r="C322" s="1"/>
      <c r="D322" s="1"/>
      <c r="E322" s="1"/>
      <c r="F322" s="1"/>
      <c r="G322" s="1"/>
      <c r="H322" s="1"/>
      <c r="I322" s="1"/>
      <c r="J322" s="1"/>
      <c r="K322" s="34" t="str">
        <f>IF(MATCHER!A314="","",MATCHER!A314)</f>
        <v/>
      </c>
      <c r="L322" s="91" t="str">
        <f>IF(MATCHER!B314="","",MATCHER!B314)</f>
        <v/>
      </c>
      <c r="M322" s="92" t="str">
        <f>IF(MATCHER!C314="","",MATCHER!C314)</f>
        <v/>
      </c>
      <c r="N322" s="34" t="str">
        <f>IF(MATCHER!D314="","",MATCHER!D314)</f>
        <v/>
      </c>
      <c r="O322" s="34" t="str">
        <f>IF(MATCHER!E314="","",MATCHER!E314)</f>
        <v/>
      </c>
      <c r="P322" s="34" t="str">
        <f>IF(MATCHER!F314="","",MATCHER!F314)</f>
        <v/>
      </c>
      <c r="Q322" s="34" t="str">
        <f>IF(MATCHER!K314="","",MATCHER!K314)</f>
        <v/>
      </c>
      <c r="R322" s="34" t="str">
        <f>IF(K322="","",IF(Q322&lt;&gt;"Ja","Ej aktuell",IF(P322="SAKNAS","NY KLASS",IF(MATCHER!N314&lt;&gt;"Ja",MATCHER!N314,IF(COUNTIF($A$13:$A$220,K322)=0,"NY MATCH","Matchdag finns")))))</f>
        <v/>
      </c>
    </row>
    <row r="323" spans="1:18" ht="13">
      <c r="A323" s="1"/>
      <c r="B323" s="1"/>
      <c r="C323" s="1"/>
      <c r="D323" s="1"/>
      <c r="E323" s="1"/>
      <c r="F323" s="1"/>
      <c r="G323" s="1"/>
      <c r="H323" s="1"/>
      <c r="I323" s="1"/>
      <c r="J323" s="1"/>
      <c r="K323" s="34" t="str">
        <f>IF(MATCHER!A315="","",MATCHER!A315)</f>
        <v/>
      </c>
      <c r="L323" s="91" t="str">
        <f>IF(MATCHER!B315="","",MATCHER!B315)</f>
        <v/>
      </c>
      <c r="M323" s="92" t="str">
        <f>IF(MATCHER!C315="","",MATCHER!C315)</f>
        <v/>
      </c>
      <c r="N323" s="34" t="str">
        <f>IF(MATCHER!D315="","",MATCHER!D315)</f>
        <v/>
      </c>
      <c r="O323" s="34" t="str">
        <f>IF(MATCHER!E315="","",MATCHER!E315)</f>
        <v/>
      </c>
      <c r="P323" s="34" t="str">
        <f>IF(MATCHER!F315="","",MATCHER!F315)</f>
        <v/>
      </c>
      <c r="Q323" s="34" t="str">
        <f>IF(MATCHER!K315="","",MATCHER!K315)</f>
        <v/>
      </c>
      <c r="R323" s="34" t="str">
        <f>IF(K323="","",IF(Q323&lt;&gt;"Ja","Ej aktuell",IF(P323="SAKNAS","NY KLASS",IF(MATCHER!N315&lt;&gt;"Ja",MATCHER!N315,IF(COUNTIF($A$13:$A$220,K323)=0,"NY MATCH","Matchdag finns")))))</f>
        <v/>
      </c>
    </row>
    <row r="324" spans="1:18" ht="13">
      <c r="A324" s="1"/>
      <c r="B324" s="1"/>
      <c r="C324" s="1"/>
      <c r="D324" s="1"/>
      <c r="E324" s="1"/>
      <c r="F324" s="1"/>
      <c r="G324" s="1"/>
      <c r="H324" s="1"/>
      <c r="I324" s="1"/>
      <c r="J324" s="1"/>
      <c r="K324" s="34" t="str">
        <f>IF(MATCHER!A316="","",MATCHER!A316)</f>
        <v/>
      </c>
      <c r="L324" s="91" t="str">
        <f>IF(MATCHER!B316="","",MATCHER!B316)</f>
        <v/>
      </c>
      <c r="M324" s="92" t="str">
        <f>IF(MATCHER!C316="","",MATCHER!C316)</f>
        <v/>
      </c>
      <c r="N324" s="34" t="str">
        <f>IF(MATCHER!D316="","",MATCHER!D316)</f>
        <v/>
      </c>
      <c r="O324" s="34" t="str">
        <f>IF(MATCHER!E316="","",MATCHER!E316)</f>
        <v/>
      </c>
      <c r="P324" s="34" t="str">
        <f>IF(MATCHER!F316="","",MATCHER!F316)</f>
        <v/>
      </c>
      <c r="Q324" s="34" t="str">
        <f>IF(MATCHER!K316="","",MATCHER!K316)</f>
        <v/>
      </c>
      <c r="R324" s="34" t="str">
        <f>IF(K324="","",IF(Q324&lt;&gt;"Ja","Ej aktuell",IF(P324="SAKNAS","NY KLASS",IF(MATCHER!N316&lt;&gt;"Ja",MATCHER!N316,IF(COUNTIF($A$13:$A$220,K324)=0,"NY MATCH","Matchdag finns")))))</f>
        <v/>
      </c>
    </row>
    <row r="325" spans="1:18" ht="13">
      <c r="A325" s="1"/>
      <c r="B325" s="1"/>
      <c r="C325" s="1"/>
      <c r="D325" s="1"/>
      <c r="E325" s="1"/>
      <c r="F325" s="1"/>
      <c r="G325" s="1"/>
      <c r="H325" s="1"/>
      <c r="I325" s="1"/>
      <c r="J325" s="1"/>
      <c r="K325" s="34" t="str">
        <f>IF(MATCHER!A317="","",MATCHER!A317)</f>
        <v/>
      </c>
      <c r="L325" s="91" t="str">
        <f>IF(MATCHER!B317="","",MATCHER!B317)</f>
        <v/>
      </c>
      <c r="M325" s="92" t="str">
        <f>IF(MATCHER!C317="","",MATCHER!C317)</f>
        <v/>
      </c>
      <c r="N325" s="34" t="str">
        <f>IF(MATCHER!D317="","",MATCHER!D317)</f>
        <v/>
      </c>
      <c r="O325" s="34" t="str">
        <f>IF(MATCHER!E317="","",MATCHER!E317)</f>
        <v/>
      </c>
      <c r="P325" s="34" t="str">
        <f>IF(MATCHER!F317="","",MATCHER!F317)</f>
        <v/>
      </c>
      <c r="Q325" s="34" t="str">
        <f>IF(MATCHER!K317="","",MATCHER!K317)</f>
        <v/>
      </c>
      <c r="R325" s="34" t="str">
        <f>IF(K325="","",IF(Q325&lt;&gt;"Ja","Ej aktuell",IF(P325="SAKNAS","NY KLASS",IF(MATCHER!N317&lt;&gt;"Ja",MATCHER!N317,IF(COUNTIF($A$13:$A$220,K325)=0,"NY MATCH","Matchdag finns")))))</f>
        <v/>
      </c>
    </row>
    <row r="326" spans="1:18" ht="13">
      <c r="A326" s="1"/>
      <c r="B326" s="1"/>
      <c r="C326" s="1"/>
      <c r="D326" s="1"/>
      <c r="E326" s="1"/>
      <c r="F326" s="1"/>
      <c r="G326" s="1"/>
      <c r="H326" s="1"/>
      <c r="I326" s="1"/>
      <c r="J326" s="1"/>
      <c r="K326" s="34" t="str">
        <f>IF(MATCHER!A318="","",MATCHER!A318)</f>
        <v/>
      </c>
      <c r="L326" s="91" t="str">
        <f>IF(MATCHER!B318="","",MATCHER!B318)</f>
        <v/>
      </c>
      <c r="M326" s="92" t="str">
        <f>IF(MATCHER!C318="","",MATCHER!C318)</f>
        <v/>
      </c>
      <c r="N326" s="34" t="str">
        <f>IF(MATCHER!D318="","",MATCHER!D318)</f>
        <v/>
      </c>
      <c r="O326" s="34" t="str">
        <f>IF(MATCHER!E318="","",MATCHER!E318)</f>
        <v/>
      </c>
      <c r="P326" s="34" t="str">
        <f>IF(MATCHER!F318="","",MATCHER!F318)</f>
        <v/>
      </c>
      <c r="Q326" s="34" t="str">
        <f>IF(MATCHER!K318="","",MATCHER!K318)</f>
        <v/>
      </c>
      <c r="R326" s="34" t="str">
        <f>IF(K326="","",IF(Q326&lt;&gt;"Ja","Ej aktuell",IF(P326="SAKNAS","NY KLASS",IF(MATCHER!N318&lt;&gt;"Ja",MATCHER!N318,IF(COUNTIF($A$13:$A$220,K326)=0,"NY MATCH","Matchdag finns")))))</f>
        <v/>
      </c>
    </row>
    <row r="327" spans="1:18" ht="13">
      <c r="A327" s="1"/>
      <c r="B327" s="1"/>
      <c r="C327" s="1"/>
      <c r="D327" s="1"/>
      <c r="E327" s="1"/>
      <c r="F327" s="1"/>
      <c r="G327" s="1"/>
      <c r="H327" s="1"/>
      <c r="I327" s="1"/>
      <c r="J327" s="1"/>
      <c r="K327" s="34" t="str">
        <f>IF(MATCHER!A319="","",MATCHER!A319)</f>
        <v/>
      </c>
      <c r="L327" s="91" t="str">
        <f>IF(MATCHER!B319="","",MATCHER!B319)</f>
        <v/>
      </c>
      <c r="M327" s="92" t="str">
        <f>IF(MATCHER!C319="","",MATCHER!C319)</f>
        <v/>
      </c>
      <c r="N327" s="34" t="str">
        <f>IF(MATCHER!D319="","",MATCHER!D319)</f>
        <v/>
      </c>
      <c r="O327" s="34" t="str">
        <f>IF(MATCHER!E319="","",MATCHER!E319)</f>
        <v/>
      </c>
      <c r="P327" s="34" t="str">
        <f>IF(MATCHER!F319="","",MATCHER!F319)</f>
        <v/>
      </c>
      <c r="Q327" s="34" t="str">
        <f>IF(MATCHER!K319="","",MATCHER!K319)</f>
        <v/>
      </c>
      <c r="R327" s="34" t="str">
        <f>IF(K327="","",IF(Q327&lt;&gt;"Ja","Ej aktuell",IF(P327="SAKNAS","NY KLASS",IF(MATCHER!N319&lt;&gt;"Ja",MATCHER!N319,IF(COUNTIF($A$13:$A$220,K327)=0,"NY MATCH","Matchdag finns")))))</f>
        <v/>
      </c>
    </row>
    <row r="328" spans="1:18" ht="13">
      <c r="A328" s="1"/>
      <c r="B328" s="1"/>
      <c r="C328" s="1"/>
      <c r="D328" s="1"/>
      <c r="E328" s="1"/>
      <c r="F328" s="1"/>
      <c r="G328" s="1"/>
      <c r="H328" s="1"/>
      <c r="I328" s="1"/>
      <c r="J328" s="1"/>
      <c r="K328" s="34" t="str">
        <f>IF(MATCHER!A320="","",MATCHER!A320)</f>
        <v/>
      </c>
      <c r="L328" s="91" t="str">
        <f>IF(MATCHER!B320="","",MATCHER!B320)</f>
        <v/>
      </c>
      <c r="M328" s="92" t="str">
        <f>IF(MATCHER!C320="","",MATCHER!C320)</f>
        <v/>
      </c>
      <c r="N328" s="34" t="str">
        <f>IF(MATCHER!D320="","",MATCHER!D320)</f>
        <v/>
      </c>
      <c r="O328" s="34" t="str">
        <f>IF(MATCHER!E320="","",MATCHER!E320)</f>
        <v/>
      </c>
      <c r="P328" s="34" t="str">
        <f>IF(MATCHER!F320="","",MATCHER!F320)</f>
        <v/>
      </c>
      <c r="Q328" s="34" t="str">
        <f>IF(MATCHER!K320="","",MATCHER!K320)</f>
        <v/>
      </c>
      <c r="R328" s="34" t="str">
        <f>IF(K328="","",IF(Q328&lt;&gt;"Ja","Ej aktuell",IF(P328="SAKNAS","NY KLASS",IF(MATCHER!N320&lt;&gt;"Ja",MATCHER!N320,IF(COUNTIF($A$13:$A$220,K328)=0,"NY MATCH","Matchdag finns")))))</f>
        <v/>
      </c>
    </row>
    <row r="329" spans="1:18" ht="13">
      <c r="A329" s="1"/>
      <c r="B329" s="1"/>
      <c r="C329" s="1"/>
      <c r="D329" s="1"/>
      <c r="E329" s="1"/>
      <c r="F329" s="1"/>
      <c r="G329" s="1"/>
      <c r="H329" s="1"/>
      <c r="I329" s="1"/>
      <c r="J329" s="1"/>
      <c r="K329" s="34" t="str">
        <f>IF(MATCHER!A321="","",MATCHER!A321)</f>
        <v/>
      </c>
      <c r="L329" s="91" t="str">
        <f>IF(MATCHER!B321="","",MATCHER!B321)</f>
        <v/>
      </c>
      <c r="M329" s="92" t="str">
        <f>IF(MATCHER!C321="","",MATCHER!C321)</f>
        <v/>
      </c>
      <c r="N329" s="34" t="str">
        <f>IF(MATCHER!D321="","",MATCHER!D321)</f>
        <v/>
      </c>
      <c r="O329" s="34" t="str">
        <f>IF(MATCHER!E321="","",MATCHER!E321)</f>
        <v/>
      </c>
      <c r="P329" s="34" t="str">
        <f>IF(MATCHER!F321="","",MATCHER!F321)</f>
        <v/>
      </c>
      <c r="Q329" s="34" t="str">
        <f>IF(MATCHER!K321="","",MATCHER!K321)</f>
        <v/>
      </c>
      <c r="R329" s="34" t="str">
        <f>IF(K329="","",IF(Q329&lt;&gt;"Ja","Ej aktuell",IF(P329="SAKNAS","NY KLASS",IF(MATCHER!N321&lt;&gt;"Ja",MATCHER!N321,IF(COUNTIF($A$13:$A$220,K329)=0,"NY MATCH","Matchdag finns")))))</f>
        <v/>
      </c>
    </row>
    <row r="330" spans="1:18" ht="13">
      <c r="A330" s="1"/>
      <c r="B330" s="1"/>
      <c r="C330" s="1"/>
      <c r="D330" s="1"/>
      <c r="E330" s="1"/>
      <c r="F330" s="1"/>
      <c r="G330" s="1"/>
      <c r="H330" s="1"/>
      <c r="I330" s="1"/>
      <c r="J330" s="1"/>
      <c r="K330" s="34" t="str">
        <f>IF(MATCHER!A322="","",MATCHER!A322)</f>
        <v/>
      </c>
      <c r="L330" s="91" t="str">
        <f>IF(MATCHER!B322="","",MATCHER!B322)</f>
        <v/>
      </c>
      <c r="M330" s="92" t="str">
        <f>IF(MATCHER!C322="","",MATCHER!C322)</f>
        <v/>
      </c>
      <c r="N330" s="34" t="str">
        <f>IF(MATCHER!D322="","",MATCHER!D322)</f>
        <v/>
      </c>
      <c r="O330" s="34" t="str">
        <f>IF(MATCHER!E322="","",MATCHER!E322)</f>
        <v/>
      </c>
      <c r="P330" s="34" t="str">
        <f>IF(MATCHER!F322="","",MATCHER!F322)</f>
        <v/>
      </c>
      <c r="Q330" s="34" t="str">
        <f>IF(MATCHER!K322="","",MATCHER!K322)</f>
        <v/>
      </c>
      <c r="R330" s="34" t="str">
        <f>IF(K330="","",IF(Q330&lt;&gt;"Ja","Ej aktuell",IF(P330="SAKNAS","NY KLASS",IF(MATCHER!N322&lt;&gt;"Ja",MATCHER!N322,IF(COUNTIF($A$13:$A$220,K330)=0,"NY MATCH","Matchdag finns")))))</f>
        <v/>
      </c>
    </row>
    <row r="331" spans="1:18" ht="13">
      <c r="A331" s="1"/>
      <c r="B331" s="1"/>
      <c r="C331" s="1"/>
      <c r="D331" s="1"/>
      <c r="E331" s="1"/>
      <c r="F331" s="1"/>
      <c r="G331" s="1"/>
      <c r="H331" s="1"/>
      <c r="I331" s="1"/>
      <c r="J331" s="1"/>
      <c r="K331" s="34" t="str">
        <f>IF(MATCHER!A323="","",MATCHER!A323)</f>
        <v/>
      </c>
      <c r="L331" s="91" t="str">
        <f>IF(MATCHER!B323="","",MATCHER!B323)</f>
        <v/>
      </c>
      <c r="M331" s="92" t="str">
        <f>IF(MATCHER!C323="","",MATCHER!C323)</f>
        <v/>
      </c>
      <c r="N331" s="34" t="str">
        <f>IF(MATCHER!D323="","",MATCHER!D323)</f>
        <v/>
      </c>
      <c r="O331" s="34" t="str">
        <f>IF(MATCHER!E323="","",MATCHER!E323)</f>
        <v/>
      </c>
      <c r="P331" s="34" t="str">
        <f>IF(MATCHER!F323="","",MATCHER!F323)</f>
        <v/>
      </c>
      <c r="Q331" s="34" t="str">
        <f>IF(MATCHER!K323="","",MATCHER!K323)</f>
        <v/>
      </c>
      <c r="R331" s="34" t="str">
        <f>IF(K331="","",IF(Q331&lt;&gt;"Ja","Ej aktuell",IF(P331="SAKNAS","NY KLASS",IF(MATCHER!N323&lt;&gt;"Ja",MATCHER!N323,IF(COUNTIF($A$13:$A$220,K331)=0,"NY MATCH","Matchdag finns")))))</f>
        <v/>
      </c>
    </row>
    <row r="332" spans="1:18" ht="13">
      <c r="A332" s="1"/>
      <c r="B332" s="1"/>
      <c r="C332" s="1"/>
      <c r="D332" s="1"/>
      <c r="E332" s="1"/>
      <c r="F332" s="1"/>
      <c r="G332" s="1"/>
      <c r="H332" s="1"/>
      <c r="I332" s="1"/>
      <c r="J332" s="1"/>
      <c r="K332" s="34" t="str">
        <f>IF(MATCHER!A324="","",MATCHER!A324)</f>
        <v/>
      </c>
      <c r="L332" s="91" t="str">
        <f>IF(MATCHER!B324="","",MATCHER!B324)</f>
        <v/>
      </c>
      <c r="M332" s="92" t="str">
        <f>IF(MATCHER!C324="","",MATCHER!C324)</f>
        <v/>
      </c>
      <c r="N332" s="34" t="str">
        <f>IF(MATCHER!D324="","",MATCHER!D324)</f>
        <v/>
      </c>
      <c r="O332" s="34" t="str">
        <f>IF(MATCHER!E324="","",MATCHER!E324)</f>
        <v/>
      </c>
      <c r="P332" s="34" t="str">
        <f>IF(MATCHER!F324="","",MATCHER!F324)</f>
        <v/>
      </c>
      <c r="Q332" s="34" t="str">
        <f>IF(MATCHER!K324="","",MATCHER!K324)</f>
        <v/>
      </c>
      <c r="R332" s="34" t="str">
        <f>IF(K332="","",IF(Q332&lt;&gt;"Ja","Ej aktuell",IF(P332="SAKNAS","NY KLASS",IF(MATCHER!N324&lt;&gt;"Ja",MATCHER!N324,IF(COUNTIF($A$13:$A$220,K332)=0,"NY MATCH","Matchdag finns")))))</f>
        <v/>
      </c>
    </row>
    <row r="333" spans="1:18" ht="13">
      <c r="A333" s="1"/>
      <c r="B333" s="1"/>
      <c r="C333" s="1"/>
      <c r="D333" s="1"/>
      <c r="E333" s="1"/>
      <c r="F333" s="1"/>
      <c r="G333" s="1"/>
      <c r="H333" s="1"/>
      <c r="I333" s="1"/>
      <c r="J333" s="1"/>
      <c r="K333" s="34" t="str">
        <f>IF(MATCHER!A325="","",MATCHER!A325)</f>
        <v/>
      </c>
      <c r="L333" s="91" t="str">
        <f>IF(MATCHER!B325="","",MATCHER!B325)</f>
        <v/>
      </c>
      <c r="M333" s="92" t="str">
        <f>IF(MATCHER!C325="","",MATCHER!C325)</f>
        <v/>
      </c>
      <c r="N333" s="34" t="str">
        <f>IF(MATCHER!D325="","",MATCHER!D325)</f>
        <v/>
      </c>
      <c r="O333" s="34" t="str">
        <f>IF(MATCHER!E325="","",MATCHER!E325)</f>
        <v/>
      </c>
      <c r="P333" s="34" t="str">
        <f>IF(MATCHER!F325="","",MATCHER!F325)</f>
        <v/>
      </c>
      <c r="Q333" s="34" t="str">
        <f>IF(MATCHER!K325="","",MATCHER!K325)</f>
        <v/>
      </c>
      <c r="R333" s="34" t="str">
        <f>IF(K333="","",IF(Q333&lt;&gt;"Ja","Ej aktuell",IF(P333="SAKNAS","NY KLASS",IF(MATCHER!N325&lt;&gt;"Ja",MATCHER!N325,IF(COUNTIF($A$13:$A$220,K333)=0,"NY MATCH","Matchdag finns")))))</f>
        <v/>
      </c>
    </row>
    <row r="334" spans="1:18" ht="13">
      <c r="A334" s="1"/>
      <c r="B334" s="1"/>
      <c r="C334" s="1"/>
      <c r="D334" s="1"/>
      <c r="E334" s="1"/>
      <c r="F334" s="1"/>
      <c r="G334" s="1"/>
      <c r="H334" s="1"/>
      <c r="I334" s="1"/>
      <c r="J334" s="1"/>
      <c r="K334" s="34" t="str">
        <f>IF(MATCHER!A326="","",MATCHER!A326)</f>
        <v/>
      </c>
      <c r="L334" s="91" t="str">
        <f>IF(MATCHER!B326="","",MATCHER!B326)</f>
        <v/>
      </c>
      <c r="M334" s="92" t="str">
        <f>IF(MATCHER!C326="","",MATCHER!C326)</f>
        <v/>
      </c>
      <c r="N334" s="34" t="str">
        <f>IF(MATCHER!D326="","",MATCHER!D326)</f>
        <v/>
      </c>
      <c r="O334" s="34" t="str">
        <f>IF(MATCHER!E326="","",MATCHER!E326)</f>
        <v/>
      </c>
      <c r="P334" s="34" t="str">
        <f>IF(MATCHER!F326="","",MATCHER!F326)</f>
        <v/>
      </c>
      <c r="Q334" s="34" t="str">
        <f>IF(MATCHER!K326="","",MATCHER!K326)</f>
        <v/>
      </c>
      <c r="R334" s="34" t="str">
        <f>IF(K334="","",IF(Q334&lt;&gt;"Ja","Ej aktuell",IF(P334="SAKNAS","NY KLASS",IF(MATCHER!N326&lt;&gt;"Ja",MATCHER!N326,IF(COUNTIF($A$13:$A$220,K334)=0,"NY MATCH","Matchdag finns")))))</f>
        <v/>
      </c>
    </row>
    <row r="335" spans="1:18" ht="13">
      <c r="A335" s="1"/>
      <c r="B335" s="1"/>
      <c r="C335" s="1"/>
      <c r="D335" s="1"/>
      <c r="E335" s="1"/>
      <c r="F335" s="1"/>
      <c r="G335" s="1"/>
      <c r="H335" s="1"/>
      <c r="I335" s="1"/>
      <c r="J335" s="1"/>
      <c r="K335" s="34" t="str">
        <f>IF(MATCHER!A327="","",MATCHER!A327)</f>
        <v/>
      </c>
      <c r="L335" s="91" t="str">
        <f>IF(MATCHER!B327="","",MATCHER!B327)</f>
        <v/>
      </c>
      <c r="M335" s="92" t="str">
        <f>IF(MATCHER!C327="","",MATCHER!C327)</f>
        <v/>
      </c>
      <c r="N335" s="34" t="str">
        <f>IF(MATCHER!D327="","",MATCHER!D327)</f>
        <v/>
      </c>
      <c r="O335" s="34" t="str">
        <f>IF(MATCHER!E327="","",MATCHER!E327)</f>
        <v/>
      </c>
      <c r="P335" s="34" t="str">
        <f>IF(MATCHER!F327="","",MATCHER!F327)</f>
        <v/>
      </c>
      <c r="Q335" s="34" t="str">
        <f>IF(MATCHER!K327="","",MATCHER!K327)</f>
        <v/>
      </c>
      <c r="R335" s="34" t="str">
        <f>IF(K335="","",IF(Q335&lt;&gt;"Ja","Ej aktuell",IF(P335="SAKNAS","NY KLASS",IF(MATCHER!N327&lt;&gt;"Ja",MATCHER!N327,IF(COUNTIF($A$13:$A$220,K335)=0,"NY MATCH","Matchdag finns")))))</f>
        <v/>
      </c>
    </row>
    <row r="336" spans="1:18" ht="13">
      <c r="A336" s="1"/>
      <c r="B336" s="1"/>
      <c r="C336" s="1"/>
      <c r="D336" s="1"/>
      <c r="E336" s="1"/>
      <c r="F336" s="1"/>
      <c r="G336" s="1"/>
      <c r="H336" s="1"/>
      <c r="I336" s="1"/>
      <c r="J336" s="1"/>
      <c r="K336" s="34" t="str">
        <f>IF(MATCHER!A328="","",MATCHER!A328)</f>
        <v/>
      </c>
      <c r="L336" s="91" t="str">
        <f>IF(MATCHER!B328="","",MATCHER!B328)</f>
        <v/>
      </c>
      <c r="M336" s="92" t="str">
        <f>IF(MATCHER!C328="","",MATCHER!C328)</f>
        <v/>
      </c>
      <c r="N336" s="34" t="str">
        <f>IF(MATCHER!D328="","",MATCHER!D328)</f>
        <v/>
      </c>
      <c r="O336" s="34" t="str">
        <f>IF(MATCHER!E328="","",MATCHER!E328)</f>
        <v/>
      </c>
      <c r="P336" s="34" t="str">
        <f>IF(MATCHER!F328="","",MATCHER!F328)</f>
        <v/>
      </c>
      <c r="Q336" s="34" t="str">
        <f>IF(MATCHER!K328="","",MATCHER!K328)</f>
        <v/>
      </c>
      <c r="R336" s="34" t="str">
        <f>IF(K336="","",IF(Q336&lt;&gt;"Ja","Ej aktuell",IF(P336="SAKNAS","NY KLASS",IF(MATCHER!N328&lt;&gt;"Ja",MATCHER!N328,IF(COUNTIF($A$13:$A$220,K336)=0,"NY MATCH","Matchdag finns")))))</f>
        <v/>
      </c>
    </row>
    <row r="337" spans="1:18" ht="13">
      <c r="A337" s="1"/>
      <c r="B337" s="1"/>
      <c r="C337" s="1"/>
      <c r="D337" s="1"/>
      <c r="E337" s="1"/>
      <c r="F337" s="1"/>
      <c r="G337" s="1"/>
      <c r="H337" s="1"/>
      <c r="I337" s="1"/>
      <c r="J337" s="1"/>
      <c r="K337" s="34" t="str">
        <f>IF(MATCHER!A329="","",MATCHER!A329)</f>
        <v/>
      </c>
      <c r="L337" s="91" t="str">
        <f>IF(MATCHER!B329="","",MATCHER!B329)</f>
        <v/>
      </c>
      <c r="M337" s="92" t="str">
        <f>IF(MATCHER!C329="","",MATCHER!C329)</f>
        <v/>
      </c>
      <c r="N337" s="34" t="str">
        <f>IF(MATCHER!D329="","",MATCHER!D329)</f>
        <v/>
      </c>
      <c r="O337" s="34" t="str">
        <f>IF(MATCHER!E329="","",MATCHER!E329)</f>
        <v/>
      </c>
      <c r="P337" s="34" t="str">
        <f>IF(MATCHER!F329="","",MATCHER!F329)</f>
        <v/>
      </c>
      <c r="Q337" s="34" t="str">
        <f>IF(MATCHER!K329="","",MATCHER!K329)</f>
        <v/>
      </c>
      <c r="R337" s="34" t="str">
        <f>IF(K337="","",IF(Q337&lt;&gt;"Ja","Ej aktuell",IF(P337="SAKNAS","NY KLASS",IF(MATCHER!N329&lt;&gt;"Ja",MATCHER!N329,IF(COUNTIF($A$13:$A$220,K337)=0,"NY MATCH","Matchdag finns")))))</f>
        <v/>
      </c>
    </row>
    <row r="338" spans="1:18" ht="13">
      <c r="A338" s="1"/>
      <c r="B338" s="1"/>
      <c r="C338" s="1"/>
      <c r="D338" s="1"/>
      <c r="E338" s="1"/>
      <c r="F338" s="1"/>
      <c r="G338" s="1"/>
      <c r="H338" s="1"/>
      <c r="I338" s="1"/>
      <c r="J338" s="1"/>
      <c r="K338" s="34" t="str">
        <f>IF(MATCHER!A330="","",MATCHER!A330)</f>
        <v/>
      </c>
      <c r="L338" s="91" t="str">
        <f>IF(MATCHER!B330="","",MATCHER!B330)</f>
        <v/>
      </c>
      <c r="M338" s="92" t="str">
        <f>IF(MATCHER!C330="","",MATCHER!C330)</f>
        <v/>
      </c>
      <c r="N338" s="34" t="str">
        <f>IF(MATCHER!D330="","",MATCHER!D330)</f>
        <v/>
      </c>
      <c r="O338" s="34" t="str">
        <f>IF(MATCHER!E330="","",MATCHER!E330)</f>
        <v/>
      </c>
      <c r="P338" s="34" t="str">
        <f>IF(MATCHER!F330="","",MATCHER!F330)</f>
        <v/>
      </c>
      <c r="Q338" s="34" t="str">
        <f>IF(MATCHER!K330="","",MATCHER!K330)</f>
        <v/>
      </c>
      <c r="R338" s="34" t="str">
        <f>IF(K338="","",IF(Q338&lt;&gt;"Ja","Ej aktuell",IF(P338="SAKNAS","NY KLASS",IF(MATCHER!N330&lt;&gt;"Ja",MATCHER!N330,IF(COUNTIF($A$13:$A$220,K338)=0,"NY MATCH","Matchdag finns")))))</f>
        <v/>
      </c>
    </row>
    <row r="339" spans="1:18" ht="13">
      <c r="A339" s="1"/>
      <c r="B339" s="1"/>
      <c r="C339" s="1"/>
      <c r="D339" s="1"/>
      <c r="E339" s="1"/>
      <c r="F339" s="1"/>
      <c r="G339" s="1"/>
      <c r="H339" s="1"/>
      <c r="I339" s="1"/>
      <c r="J339" s="1"/>
      <c r="K339" s="34" t="str">
        <f>IF(MATCHER!A331="","",MATCHER!A331)</f>
        <v/>
      </c>
      <c r="L339" s="91" t="str">
        <f>IF(MATCHER!B331="","",MATCHER!B331)</f>
        <v/>
      </c>
      <c r="M339" s="92" t="str">
        <f>IF(MATCHER!C331="","",MATCHER!C331)</f>
        <v/>
      </c>
      <c r="N339" s="34" t="str">
        <f>IF(MATCHER!D331="","",MATCHER!D331)</f>
        <v/>
      </c>
      <c r="O339" s="34" t="str">
        <f>IF(MATCHER!E331="","",MATCHER!E331)</f>
        <v/>
      </c>
      <c r="P339" s="34" t="str">
        <f>IF(MATCHER!F331="","",MATCHER!F331)</f>
        <v/>
      </c>
      <c r="Q339" s="34" t="str">
        <f>IF(MATCHER!K331="","",MATCHER!K331)</f>
        <v/>
      </c>
      <c r="R339" s="34" t="str">
        <f>IF(K339="","",IF(Q339&lt;&gt;"Ja","Ej aktuell",IF(P339="SAKNAS","NY KLASS",IF(MATCHER!N331&lt;&gt;"Ja",MATCHER!N331,IF(COUNTIF($A$13:$A$220,K339)=0,"NY MATCH","Matchdag finns")))))</f>
        <v/>
      </c>
    </row>
    <row r="340" spans="1:18" ht="13">
      <c r="A340" s="1"/>
      <c r="B340" s="1"/>
      <c r="C340" s="1"/>
      <c r="D340" s="1"/>
      <c r="E340" s="1"/>
      <c r="F340" s="1"/>
      <c r="G340" s="1"/>
      <c r="H340" s="1"/>
      <c r="I340" s="1"/>
      <c r="J340" s="1"/>
      <c r="K340" s="34" t="str">
        <f>IF(MATCHER!A332="","",MATCHER!A332)</f>
        <v/>
      </c>
      <c r="L340" s="91" t="str">
        <f>IF(MATCHER!B332="","",MATCHER!B332)</f>
        <v/>
      </c>
      <c r="M340" s="92" t="str">
        <f>IF(MATCHER!C332="","",MATCHER!C332)</f>
        <v/>
      </c>
      <c r="N340" s="34" t="str">
        <f>IF(MATCHER!D332="","",MATCHER!D332)</f>
        <v/>
      </c>
      <c r="O340" s="34" t="str">
        <f>IF(MATCHER!E332="","",MATCHER!E332)</f>
        <v/>
      </c>
      <c r="P340" s="34" t="str">
        <f>IF(MATCHER!F332="","",MATCHER!F332)</f>
        <v/>
      </c>
      <c r="Q340" s="34" t="str">
        <f>IF(MATCHER!K332="","",MATCHER!K332)</f>
        <v/>
      </c>
      <c r="R340" s="34" t="str">
        <f>IF(K340="","",IF(Q340&lt;&gt;"Ja","Ej aktuell",IF(P340="SAKNAS","NY KLASS",IF(MATCHER!N332&lt;&gt;"Ja",MATCHER!N332,IF(COUNTIF($A$13:$A$220,K340)=0,"NY MATCH","Matchdag finns")))))</f>
        <v/>
      </c>
    </row>
    <row r="341" spans="1:18" ht="13">
      <c r="A341" s="1"/>
      <c r="B341" s="1"/>
      <c r="C341" s="1"/>
      <c r="D341" s="1"/>
      <c r="E341" s="1"/>
      <c r="F341" s="1"/>
      <c r="G341" s="1"/>
      <c r="H341" s="1"/>
      <c r="I341" s="1"/>
      <c r="J341" s="1"/>
      <c r="K341" s="34" t="str">
        <f>IF(MATCHER!A333="","",MATCHER!A333)</f>
        <v/>
      </c>
      <c r="L341" s="91" t="str">
        <f>IF(MATCHER!B333="","",MATCHER!B333)</f>
        <v/>
      </c>
      <c r="M341" s="92" t="str">
        <f>IF(MATCHER!C333="","",MATCHER!C333)</f>
        <v/>
      </c>
      <c r="N341" s="34" t="str">
        <f>IF(MATCHER!D333="","",MATCHER!D333)</f>
        <v/>
      </c>
      <c r="O341" s="34" t="str">
        <f>IF(MATCHER!E333="","",MATCHER!E333)</f>
        <v/>
      </c>
      <c r="P341" s="34" t="str">
        <f>IF(MATCHER!F333="","",MATCHER!F333)</f>
        <v/>
      </c>
      <c r="Q341" s="34" t="str">
        <f>IF(MATCHER!K333="","",MATCHER!K333)</f>
        <v/>
      </c>
      <c r="R341" s="34" t="str">
        <f>IF(K341="","",IF(Q341&lt;&gt;"Ja","Ej aktuell",IF(P341="SAKNAS","NY KLASS",IF(MATCHER!N333&lt;&gt;"Ja",MATCHER!N333,IF(COUNTIF($A$13:$A$220,K341)=0,"NY MATCH","Matchdag finns")))))</f>
        <v/>
      </c>
    </row>
    <row r="342" spans="1:18" ht="13">
      <c r="A342" s="1"/>
      <c r="B342" s="1"/>
      <c r="C342" s="1"/>
      <c r="D342" s="1"/>
      <c r="E342" s="1"/>
      <c r="F342" s="1"/>
      <c r="G342" s="1"/>
      <c r="H342" s="1"/>
      <c r="I342" s="1"/>
      <c r="J342" s="1"/>
      <c r="K342" s="34" t="str">
        <f>IF(MATCHER!A334="","",MATCHER!A334)</f>
        <v/>
      </c>
      <c r="L342" s="91" t="str">
        <f>IF(MATCHER!B334="","",MATCHER!B334)</f>
        <v/>
      </c>
      <c r="M342" s="92" t="str">
        <f>IF(MATCHER!C334="","",MATCHER!C334)</f>
        <v/>
      </c>
      <c r="N342" s="34" t="str">
        <f>IF(MATCHER!D334="","",MATCHER!D334)</f>
        <v/>
      </c>
      <c r="O342" s="34" t="str">
        <f>IF(MATCHER!E334="","",MATCHER!E334)</f>
        <v/>
      </c>
      <c r="P342" s="34" t="str">
        <f>IF(MATCHER!F334="","",MATCHER!F334)</f>
        <v/>
      </c>
      <c r="Q342" s="34" t="str">
        <f>IF(MATCHER!K334="","",MATCHER!K334)</f>
        <v/>
      </c>
      <c r="R342" s="34" t="str">
        <f>IF(K342="","",IF(Q342&lt;&gt;"Ja","Ej aktuell",IF(P342="SAKNAS","NY KLASS",IF(MATCHER!N334&lt;&gt;"Ja",MATCHER!N334,IF(COUNTIF($A$13:$A$220,K342)=0,"NY MATCH","Matchdag finns")))))</f>
        <v/>
      </c>
    </row>
    <row r="343" spans="1:18" ht="13">
      <c r="A343" s="1"/>
      <c r="B343" s="1"/>
      <c r="C343" s="1"/>
      <c r="D343" s="1"/>
      <c r="E343" s="1"/>
      <c r="F343" s="1"/>
      <c r="G343" s="1"/>
      <c r="H343" s="1"/>
      <c r="I343" s="1"/>
      <c r="J343" s="1"/>
      <c r="K343" s="34" t="str">
        <f>IF(MATCHER!A335="","",MATCHER!A335)</f>
        <v/>
      </c>
      <c r="L343" s="91" t="str">
        <f>IF(MATCHER!B335="","",MATCHER!B335)</f>
        <v/>
      </c>
      <c r="M343" s="92" t="str">
        <f>IF(MATCHER!C335="","",MATCHER!C335)</f>
        <v/>
      </c>
      <c r="N343" s="34" t="str">
        <f>IF(MATCHER!D335="","",MATCHER!D335)</f>
        <v/>
      </c>
      <c r="O343" s="34" t="str">
        <f>IF(MATCHER!E335="","",MATCHER!E335)</f>
        <v/>
      </c>
      <c r="P343" s="34" t="str">
        <f>IF(MATCHER!F335="","",MATCHER!F335)</f>
        <v/>
      </c>
      <c r="Q343" s="34" t="str">
        <f>IF(MATCHER!K335="","",MATCHER!K335)</f>
        <v/>
      </c>
      <c r="R343" s="34" t="str">
        <f>IF(K343="","",IF(Q343&lt;&gt;"Ja","Ej aktuell",IF(P343="SAKNAS","NY KLASS",IF(MATCHER!N335&lt;&gt;"Ja",MATCHER!N335,IF(COUNTIF($A$13:$A$220,K343)=0,"NY MATCH","Matchdag finns")))))</f>
        <v/>
      </c>
    </row>
    <row r="344" spans="1:18" ht="13">
      <c r="A344" s="1"/>
      <c r="B344" s="1"/>
      <c r="C344" s="1"/>
      <c r="D344" s="1"/>
      <c r="E344" s="1"/>
      <c r="F344" s="1"/>
      <c r="G344" s="1"/>
      <c r="H344" s="1"/>
      <c r="I344" s="1"/>
      <c r="J344" s="1"/>
      <c r="K344" s="34" t="str">
        <f>IF(MATCHER!A336="","",MATCHER!A336)</f>
        <v/>
      </c>
      <c r="L344" s="91" t="str">
        <f>IF(MATCHER!B336="","",MATCHER!B336)</f>
        <v/>
      </c>
      <c r="M344" s="92" t="str">
        <f>IF(MATCHER!C336="","",MATCHER!C336)</f>
        <v/>
      </c>
      <c r="N344" s="34" t="str">
        <f>IF(MATCHER!D336="","",MATCHER!D336)</f>
        <v/>
      </c>
      <c r="O344" s="34" t="str">
        <f>IF(MATCHER!E336="","",MATCHER!E336)</f>
        <v/>
      </c>
      <c r="P344" s="34" t="str">
        <f>IF(MATCHER!F336="","",MATCHER!F336)</f>
        <v/>
      </c>
      <c r="Q344" s="34" t="str">
        <f>IF(MATCHER!K336="","",MATCHER!K336)</f>
        <v/>
      </c>
      <c r="R344" s="34" t="str">
        <f>IF(K344="","",IF(Q344&lt;&gt;"Ja","Ej aktuell",IF(P344="SAKNAS","NY KLASS",IF(MATCHER!N336&lt;&gt;"Ja",MATCHER!N336,IF(COUNTIF($A$13:$A$220,K344)=0,"NY MATCH","Matchdag finns")))))</f>
        <v/>
      </c>
    </row>
    <row r="345" spans="1:18" ht="13">
      <c r="A345" s="1"/>
      <c r="B345" s="1"/>
      <c r="C345" s="1"/>
      <c r="D345" s="1"/>
      <c r="E345" s="1"/>
      <c r="F345" s="1"/>
      <c r="G345" s="1"/>
      <c r="H345" s="1"/>
      <c r="I345" s="1"/>
      <c r="J345" s="1"/>
      <c r="K345" s="34" t="str">
        <f>IF(MATCHER!A337="","",MATCHER!A337)</f>
        <v/>
      </c>
      <c r="L345" s="91" t="str">
        <f>IF(MATCHER!B337="","",MATCHER!B337)</f>
        <v/>
      </c>
      <c r="M345" s="92" t="str">
        <f>IF(MATCHER!C337="","",MATCHER!C337)</f>
        <v/>
      </c>
      <c r="N345" s="34" t="str">
        <f>IF(MATCHER!D337="","",MATCHER!D337)</f>
        <v/>
      </c>
      <c r="O345" s="34" t="str">
        <f>IF(MATCHER!E337="","",MATCHER!E337)</f>
        <v/>
      </c>
      <c r="P345" s="34" t="str">
        <f>IF(MATCHER!F337="","",MATCHER!F337)</f>
        <v/>
      </c>
      <c r="Q345" s="34" t="str">
        <f>IF(MATCHER!K337="","",MATCHER!K337)</f>
        <v/>
      </c>
      <c r="R345" s="34" t="str">
        <f>IF(K345="","",IF(Q345&lt;&gt;"Ja","Ej aktuell",IF(P345="SAKNAS","NY KLASS",IF(MATCHER!N337&lt;&gt;"Ja",MATCHER!N337,IF(COUNTIF($A$13:$A$220,K345)=0,"NY MATCH","Matchdag finns")))))</f>
        <v/>
      </c>
    </row>
    <row r="346" spans="1:18" ht="13">
      <c r="A346" s="1"/>
      <c r="B346" s="1"/>
      <c r="C346" s="1"/>
      <c r="D346" s="1"/>
      <c r="E346" s="1"/>
      <c r="F346" s="1"/>
      <c r="G346" s="1"/>
      <c r="H346" s="1"/>
      <c r="I346" s="1"/>
      <c r="J346" s="1"/>
      <c r="K346" s="34" t="str">
        <f>IF(MATCHER!A338="","",MATCHER!A338)</f>
        <v/>
      </c>
      <c r="L346" s="91" t="str">
        <f>IF(MATCHER!B338="","",MATCHER!B338)</f>
        <v/>
      </c>
      <c r="M346" s="92" t="str">
        <f>IF(MATCHER!C338="","",MATCHER!C338)</f>
        <v/>
      </c>
      <c r="N346" s="34" t="str">
        <f>IF(MATCHER!D338="","",MATCHER!D338)</f>
        <v/>
      </c>
      <c r="O346" s="34" t="str">
        <f>IF(MATCHER!E338="","",MATCHER!E338)</f>
        <v/>
      </c>
      <c r="P346" s="34" t="str">
        <f>IF(MATCHER!F338="","",MATCHER!F338)</f>
        <v/>
      </c>
      <c r="Q346" s="34" t="str">
        <f>IF(MATCHER!K338="","",MATCHER!K338)</f>
        <v/>
      </c>
      <c r="R346" s="34" t="str">
        <f>IF(K346="","",IF(Q346&lt;&gt;"Ja","Ej aktuell",IF(P346="SAKNAS","NY KLASS",IF(MATCHER!N338&lt;&gt;"Ja",MATCHER!N338,IF(COUNTIF($A$13:$A$220,K346)=0,"NY MATCH","Matchdag finns")))))</f>
        <v/>
      </c>
    </row>
    <row r="347" spans="1:18" ht="13">
      <c r="A347" s="1"/>
      <c r="B347" s="1"/>
      <c r="C347" s="1"/>
      <c r="D347" s="1"/>
      <c r="E347" s="1"/>
      <c r="F347" s="1"/>
      <c r="G347" s="1"/>
      <c r="H347" s="1"/>
      <c r="I347" s="1"/>
      <c r="J347" s="1"/>
      <c r="K347" s="34" t="str">
        <f>IF(MATCHER!A339="","",MATCHER!A339)</f>
        <v/>
      </c>
      <c r="L347" s="91" t="str">
        <f>IF(MATCHER!B339="","",MATCHER!B339)</f>
        <v/>
      </c>
      <c r="M347" s="92" t="str">
        <f>IF(MATCHER!C339="","",MATCHER!C339)</f>
        <v/>
      </c>
      <c r="N347" s="34" t="str">
        <f>IF(MATCHER!D339="","",MATCHER!D339)</f>
        <v/>
      </c>
      <c r="O347" s="34" t="str">
        <f>IF(MATCHER!E339="","",MATCHER!E339)</f>
        <v/>
      </c>
      <c r="P347" s="34" t="str">
        <f>IF(MATCHER!F339="","",MATCHER!F339)</f>
        <v/>
      </c>
      <c r="Q347" s="34" t="str">
        <f>IF(MATCHER!K339="","",MATCHER!K339)</f>
        <v/>
      </c>
      <c r="R347" s="34" t="str">
        <f>IF(K347="","",IF(Q347&lt;&gt;"Ja","Ej aktuell",IF(P347="SAKNAS","NY KLASS",IF(MATCHER!N339&lt;&gt;"Ja",MATCHER!N339,IF(COUNTIF($A$13:$A$220,K347)=0,"NY MATCH","Matchdag finns")))))</f>
        <v/>
      </c>
    </row>
    <row r="348" spans="1:18" ht="13">
      <c r="A348" s="1"/>
      <c r="B348" s="1"/>
      <c r="C348" s="1"/>
      <c r="D348" s="1"/>
      <c r="E348" s="1"/>
      <c r="F348" s="1"/>
      <c r="G348" s="1"/>
      <c r="H348" s="1"/>
      <c r="I348" s="1"/>
      <c r="J348" s="1"/>
      <c r="K348" s="34" t="str">
        <f>IF(MATCHER!A340="","",MATCHER!A340)</f>
        <v/>
      </c>
      <c r="L348" s="91" t="str">
        <f>IF(MATCHER!B340="","",MATCHER!B340)</f>
        <v/>
      </c>
      <c r="M348" s="92" t="str">
        <f>IF(MATCHER!C340="","",MATCHER!C340)</f>
        <v/>
      </c>
      <c r="N348" s="34" t="str">
        <f>IF(MATCHER!D340="","",MATCHER!D340)</f>
        <v/>
      </c>
      <c r="O348" s="34" t="str">
        <f>IF(MATCHER!E340="","",MATCHER!E340)</f>
        <v/>
      </c>
      <c r="P348" s="34" t="str">
        <f>IF(MATCHER!F340="","",MATCHER!F340)</f>
        <v/>
      </c>
      <c r="Q348" s="34" t="str">
        <f>IF(MATCHER!K340="","",MATCHER!K340)</f>
        <v/>
      </c>
      <c r="R348" s="34" t="str">
        <f>IF(K348="","",IF(Q348&lt;&gt;"Ja","Ej aktuell",IF(P348="SAKNAS","NY KLASS",IF(MATCHER!N340&lt;&gt;"Ja",MATCHER!N340,IF(COUNTIF($A$13:$A$220,K348)=0,"NY MATCH","Matchdag finns")))))</f>
        <v/>
      </c>
    </row>
    <row r="349" spans="1:18" ht="13">
      <c r="A349" s="1"/>
      <c r="B349" s="1"/>
      <c r="C349" s="1"/>
      <c r="D349" s="1"/>
      <c r="E349" s="1"/>
      <c r="F349" s="1"/>
      <c r="G349" s="1"/>
      <c r="H349" s="1"/>
      <c r="I349" s="1"/>
      <c r="J349" s="1"/>
      <c r="K349" s="34" t="str">
        <f>IF(MATCHER!A341="","",MATCHER!A341)</f>
        <v/>
      </c>
      <c r="L349" s="91" t="str">
        <f>IF(MATCHER!B341="","",MATCHER!B341)</f>
        <v/>
      </c>
      <c r="M349" s="92" t="str">
        <f>IF(MATCHER!C341="","",MATCHER!C341)</f>
        <v/>
      </c>
      <c r="N349" s="34" t="str">
        <f>IF(MATCHER!D341="","",MATCHER!D341)</f>
        <v/>
      </c>
      <c r="O349" s="34" t="str">
        <f>IF(MATCHER!E341="","",MATCHER!E341)</f>
        <v/>
      </c>
      <c r="P349" s="34" t="str">
        <f>IF(MATCHER!F341="","",MATCHER!F341)</f>
        <v/>
      </c>
      <c r="Q349" s="34" t="str">
        <f>IF(MATCHER!K341="","",MATCHER!K341)</f>
        <v/>
      </c>
      <c r="R349" s="34" t="str">
        <f>IF(K349="","",IF(Q349&lt;&gt;"Ja","Ej aktuell",IF(P349="SAKNAS","NY KLASS",IF(MATCHER!N341&lt;&gt;"Ja",MATCHER!N341,IF(COUNTIF($A$13:$A$220,K349)=0,"NY MATCH","Matchdag finns")))))</f>
        <v/>
      </c>
    </row>
    <row r="350" spans="1:18" ht="13">
      <c r="A350" s="1"/>
      <c r="B350" s="1"/>
      <c r="C350" s="1"/>
      <c r="D350" s="1"/>
      <c r="E350" s="1"/>
      <c r="F350" s="1"/>
      <c r="G350" s="1"/>
      <c r="H350" s="1"/>
      <c r="I350" s="1"/>
      <c r="J350" s="1"/>
      <c r="K350" s="34" t="str">
        <f>IF(MATCHER!A342="","",MATCHER!A342)</f>
        <v/>
      </c>
      <c r="L350" s="91" t="str">
        <f>IF(MATCHER!B342="","",MATCHER!B342)</f>
        <v/>
      </c>
      <c r="M350" s="92" t="str">
        <f>IF(MATCHER!C342="","",MATCHER!C342)</f>
        <v/>
      </c>
      <c r="N350" s="34" t="str">
        <f>IF(MATCHER!D342="","",MATCHER!D342)</f>
        <v/>
      </c>
      <c r="O350" s="34" t="str">
        <f>IF(MATCHER!E342="","",MATCHER!E342)</f>
        <v/>
      </c>
      <c r="P350" s="34" t="str">
        <f>IF(MATCHER!F342="","",MATCHER!F342)</f>
        <v/>
      </c>
      <c r="Q350" s="34" t="str">
        <f>IF(MATCHER!K342="","",MATCHER!K342)</f>
        <v/>
      </c>
      <c r="R350" s="34" t="str">
        <f>IF(K350="","",IF(Q350&lt;&gt;"Ja","Ej aktuell",IF(P350="SAKNAS","NY KLASS",IF(MATCHER!N342&lt;&gt;"Ja",MATCHER!N342,IF(COUNTIF($A$13:$A$220,K350)=0,"NY MATCH","Matchdag finns")))))</f>
        <v/>
      </c>
    </row>
    <row r="351" spans="1:18" ht="13">
      <c r="A351" s="1"/>
      <c r="B351" s="1"/>
      <c r="C351" s="1"/>
      <c r="D351" s="1"/>
      <c r="E351" s="1"/>
      <c r="F351" s="1"/>
      <c r="G351" s="1"/>
      <c r="H351" s="1"/>
      <c r="I351" s="1"/>
      <c r="J351" s="1"/>
      <c r="K351" s="34" t="str">
        <f>IF(MATCHER!A343="","",MATCHER!A343)</f>
        <v/>
      </c>
      <c r="L351" s="91" t="str">
        <f>IF(MATCHER!B343="","",MATCHER!B343)</f>
        <v/>
      </c>
      <c r="M351" s="92" t="str">
        <f>IF(MATCHER!C343="","",MATCHER!C343)</f>
        <v/>
      </c>
      <c r="N351" s="34" t="str">
        <f>IF(MATCHER!D343="","",MATCHER!D343)</f>
        <v/>
      </c>
      <c r="O351" s="34" t="str">
        <f>IF(MATCHER!E343="","",MATCHER!E343)</f>
        <v/>
      </c>
      <c r="P351" s="34" t="str">
        <f>IF(MATCHER!F343="","",MATCHER!F343)</f>
        <v/>
      </c>
      <c r="Q351" s="34" t="str">
        <f>IF(MATCHER!K343="","",MATCHER!K343)</f>
        <v/>
      </c>
      <c r="R351" s="34" t="str">
        <f>IF(K351="","",IF(Q351&lt;&gt;"Ja","Ej aktuell",IF(P351="SAKNAS","NY KLASS",IF(MATCHER!N343&lt;&gt;"Ja",MATCHER!N343,IF(COUNTIF($A$13:$A$220,K351)=0,"NY MATCH","Matchdag finns")))))</f>
        <v/>
      </c>
    </row>
    <row r="352" spans="1:18" ht="13">
      <c r="A352" s="1"/>
      <c r="B352" s="1"/>
      <c r="C352" s="1"/>
      <c r="D352" s="1"/>
      <c r="E352" s="1"/>
      <c r="F352" s="1"/>
      <c r="G352" s="1"/>
      <c r="H352" s="1"/>
      <c r="I352" s="1"/>
      <c r="J352" s="1"/>
      <c r="K352" s="34" t="str">
        <f>IF(MATCHER!A344="","",MATCHER!A344)</f>
        <v/>
      </c>
      <c r="L352" s="91" t="str">
        <f>IF(MATCHER!B344="","",MATCHER!B344)</f>
        <v/>
      </c>
      <c r="M352" s="92" t="str">
        <f>IF(MATCHER!C344="","",MATCHER!C344)</f>
        <v/>
      </c>
      <c r="N352" s="34" t="str">
        <f>IF(MATCHER!D344="","",MATCHER!D344)</f>
        <v/>
      </c>
      <c r="O352" s="34" t="str">
        <f>IF(MATCHER!E344="","",MATCHER!E344)</f>
        <v/>
      </c>
      <c r="P352" s="34" t="str">
        <f>IF(MATCHER!F344="","",MATCHER!F344)</f>
        <v/>
      </c>
      <c r="Q352" s="34" t="str">
        <f>IF(MATCHER!K344="","",MATCHER!K344)</f>
        <v/>
      </c>
      <c r="R352" s="34" t="str">
        <f>IF(K352="","",IF(Q352&lt;&gt;"Ja","Ej aktuell",IF(P352="SAKNAS","NY KLASS",IF(MATCHER!N344&lt;&gt;"Ja",MATCHER!N344,IF(COUNTIF($A$13:$A$220,K352)=0,"NY MATCH","Matchdag finns")))))</f>
        <v/>
      </c>
    </row>
    <row r="353" spans="1:18" ht="13">
      <c r="A353" s="1"/>
      <c r="B353" s="1"/>
      <c r="C353" s="1"/>
      <c r="D353" s="1"/>
      <c r="E353" s="1"/>
      <c r="F353" s="1"/>
      <c r="G353" s="1"/>
      <c r="H353" s="1"/>
      <c r="I353" s="1"/>
      <c r="J353" s="1"/>
      <c r="K353" s="34" t="str">
        <f>IF(MATCHER!A345="","",MATCHER!A345)</f>
        <v/>
      </c>
      <c r="L353" s="91" t="str">
        <f>IF(MATCHER!B345="","",MATCHER!B345)</f>
        <v/>
      </c>
      <c r="M353" s="92" t="str">
        <f>IF(MATCHER!C345="","",MATCHER!C345)</f>
        <v/>
      </c>
      <c r="N353" s="34" t="str">
        <f>IF(MATCHER!D345="","",MATCHER!D345)</f>
        <v/>
      </c>
      <c r="O353" s="34" t="str">
        <f>IF(MATCHER!E345="","",MATCHER!E345)</f>
        <v/>
      </c>
      <c r="P353" s="34" t="str">
        <f>IF(MATCHER!F345="","",MATCHER!F345)</f>
        <v/>
      </c>
      <c r="Q353" s="34" t="str">
        <f>IF(MATCHER!K345="","",MATCHER!K345)</f>
        <v/>
      </c>
      <c r="R353" s="34" t="str">
        <f>IF(K353="","",IF(Q353&lt;&gt;"Ja","Ej aktuell",IF(P353="SAKNAS","NY KLASS",IF(MATCHER!N345&lt;&gt;"Ja",MATCHER!N345,IF(COUNTIF($A$13:$A$220,K353)=0,"NY MATCH","Matchdag finns")))))</f>
        <v/>
      </c>
    </row>
    <row r="354" spans="1:18" ht="13">
      <c r="A354" s="1"/>
      <c r="B354" s="1"/>
      <c r="C354" s="1"/>
      <c r="D354" s="1"/>
      <c r="E354" s="1"/>
      <c r="F354" s="1"/>
      <c r="G354" s="1"/>
      <c r="H354" s="1"/>
      <c r="I354" s="1"/>
      <c r="J354" s="1"/>
      <c r="K354" s="34" t="str">
        <f>IF(MATCHER!A346="","",MATCHER!A346)</f>
        <v/>
      </c>
      <c r="L354" s="91" t="str">
        <f>IF(MATCHER!B346="","",MATCHER!B346)</f>
        <v/>
      </c>
      <c r="M354" s="92" t="str">
        <f>IF(MATCHER!C346="","",MATCHER!C346)</f>
        <v/>
      </c>
      <c r="N354" s="34" t="str">
        <f>IF(MATCHER!D346="","",MATCHER!D346)</f>
        <v/>
      </c>
      <c r="O354" s="34" t="str">
        <f>IF(MATCHER!E346="","",MATCHER!E346)</f>
        <v/>
      </c>
      <c r="P354" s="34" t="str">
        <f>IF(MATCHER!F346="","",MATCHER!F346)</f>
        <v/>
      </c>
      <c r="Q354" s="34" t="str">
        <f>IF(MATCHER!K346="","",MATCHER!K346)</f>
        <v/>
      </c>
      <c r="R354" s="34" t="str">
        <f>IF(K354="","",IF(Q354&lt;&gt;"Ja","Ej aktuell",IF(P354="SAKNAS","NY KLASS",IF(MATCHER!N346&lt;&gt;"Ja",MATCHER!N346,IF(COUNTIF($A$13:$A$220,K354)=0,"NY MATCH","Matchdag finns")))))</f>
        <v/>
      </c>
    </row>
    <row r="355" spans="1:18" ht="13">
      <c r="A355" s="1"/>
      <c r="B355" s="1"/>
      <c r="C355" s="1"/>
      <c r="D355" s="1"/>
      <c r="E355" s="1"/>
      <c r="F355" s="1"/>
      <c r="G355" s="1"/>
      <c r="H355" s="1"/>
      <c r="I355" s="1"/>
      <c r="J355" s="1"/>
      <c r="K355" s="34" t="str">
        <f>IF(MATCHER!A347="","",MATCHER!A347)</f>
        <v/>
      </c>
      <c r="L355" s="91" t="str">
        <f>IF(MATCHER!B347="","",MATCHER!B347)</f>
        <v/>
      </c>
      <c r="M355" s="92" t="str">
        <f>IF(MATCHER!C347="","",MATCHER!C347)</f>
        <v/>
      </c>
      <c r="N355" s="34" t="str">
        <f>IF(MATCHER!D347="","",MATCHER!D347)</f>
        <v/>
      </c>
      <c r="O355" s="34" t="str">
        <f>IF(MATCHER!E347="","",MATCHER!E347)</f>
        <v/>
      </c>
      <c r="P355" s="34" t="str">
        <f>IF(MATCHER!F347="","",MATCHER!F347)</f>
        <v/>
      </c>
      <c r="Q355" s="34" t="str">
        <f>IF(MATCHER!K347="","",MATCHER!K347)</f>
        <v/>
      </c>
      <c r="R355" s="34" t="str">
        <f>IF(K355="","",IF(Q355&lt;&gt;"Ja","Ej aktuell",IF(P355="SAKNAS","NY KLASS",IF(MATCHER!N347&lt;&gt;"Ja",MATCHER!N347,IF(COUNTIF($A$13:$A$220,K355)=0,"NY MATCH","Matchdag finns")))))</f>
        <v/>
      </c>
    </row>
    <row r="356" spans="1:18" ht="13">
      <c r="A356" s="1"/>
      <c r="B356" s="1"/>
      <c r="C356" s="1"/>
      <c r="D356" s="1"/>
      <c r="E356" s="1"/>
      <c r="F356" s="1"/>
      <c r="G356" s="1"/>
      <c r="H356" s="1"/>
      <c r="I356" s="1"/>
      <c r="J356" s="1"/>
      <c r="K356" s="34" t="str">
        <f>IF(MATCHER!A348="","",MATCHER!A348)</f>
        <v/>
      </c>
      <c r="L356" s="91" t="str">
        <f>IF(MATCHER!B348="","",MATCHER!B348)</f>
        <v/>
      </c>
      <c r="M356" s="92" t="str">
        <f>IF(MATCHER!C348="","",MATCHER!C348)</f>
        <v/>
      </c>
      <c r="N356" s="34" t="str">
        <f>IF(MATCHER!D348="","",MATCHER!D348)</f>
        <v/>
      </c>
      <c r="O356" s="34" t="str">
        <f>IF(MATCHER!E348="","",MATCHER!E348)</f>
        <v/>
      </c>
      <c r="P356" s="34" t="str">
        <f>IF(MATCHER!F348="","",MATCHER!F348)</f>
        <v/>
      </c>
      <c r="Q356" s="34" t="str">
        <f>IF(MATCHER!K348="","",MATCHER!K348)</f>
        <v/>
      </c>
      <c r="R356" s="34" t="str">
        <f>IF(K356="","",IF(Q356&lt;&gt;"Ja","Ej aktuell",IF(P356="SAKNAS","NY KLASS",IF(MATCHER!N348&lt;&gt;"Ja",MATCHER!N348,IF(COUNTIF($A$13:$A$220,K356)=0,"NY MATCH","Matchdag finns")))))</f>
        <v/>
      </c>
    </row>
    <row r="357" spans="1:18" ht="13">
      <c r="A357" s="1"/>
      <c r="B357" s="1"/>
      <c r="C357" s="1"/>
      <c r="D357" s="1"/>
      <c r="E357" s="1"/>
      <c r="F357" s="1"/>
      <c r="G357" s="1"/>
      <c r="H357" s="1"/>
      <c r="I357" s="1"/>
      <c r="J357" s="1"/>
      <c r="K357" s="34" t="str">
        <f>IF(MATCHER!A349="","",MATCHER!A349)</f>
        <v/>
      </c>
      <c r="L357" s="91" t="str">
        <f>IF(MATCHER!B349="","",MATCHER!B349)</f>
        <v/>
      </c>
      <c r="M357" s="92" t="str">
        <f>IF(MATCHER!C349="","",MATCHER!C349)</f>
        <v/>
      </c>
      <c r="N357" s="34" t="str">
        <f>IF(MATCHER!D349="","",MATCHER!D349)</f>
        <v/>
      </c>
      <c r="O357" s="34" t="str">
        <f>IF(MATCHER!E349="","",MATCHER!E349)</f>
        <v/>
      </c>
      <c r="P357" s="34" t="str">
        <f>IF(MATCHER!F349="","",MATCHER!F349)</f>
        <v/>
      </c>
      <c r="Q357" s="34" t="str">
        <f>IF(MATCHER!K349="","",MATCHER!K349)</f>
        <v/>
      </c>
      <c r="R357" s="34" t="str">
        <f>IF(K357="","",IF(Q357&lt;&gt;"Ja","Ej aktuell",IF(P357="SAKNAS","NY KLASS",IF(MATCHER!N349&lt;&gt;"Ja",MATCHER!N349,IF(COUNTIF($A$13:$A$220,K357)=0,"NY MATCH","Matchdag finns")))))</f>
        <v/>
      </c>
    </row>
    <row r="358" spans="1:18" ht="13">
      <c r="A358" s="1"/>
      <c r="B358" s="1"/>
      <c r="C358" s="1"/>
      <c r="D358" s="1"/>
      <c r="E358" s="1"/>
      <c r="F358" s="1"/>
      <c r="G358" s="1"/>
      <c r="H358" s="1"/>
      <c r="I358" s="1"/>
      <c r="J358" s="1"/>
      <c r="K358" s="34" t="str">
        <f>IF(MATCHER!A350="","",MATCHER!A350)</f>
        <v/>
      </c>
      <c r="L358" s="91" t="str">
        <f>IF(MATCHER!B350="","",MATCHER!B350)</f>
        <v/>
      </c>
      <c r="M358" s="92" t="str">
        <f>IF(MATCHER!C350="","",MATCHER!C350)</f>
        <v/>
      </c>
      <c r="N358" s="34" t="str">
        <f>IF(MATCHER!D350="","",MATCHER!D350)</f>
        <v/>
      </c>
      <c r="O358" s="34" t="str">
        <f>IF(MATCHER!E350="","",MATCHER!E350)</f>
        <v/>
      </c>
      <c r="P358" s="34" t="str">
        <f>IF(MATCHER!F350="","",MATCHER!F350)</f>
        <v/>
      </c>
      <c r="Q358" s="34" t="str">
        <f>IF(MATCHER!K350="","",MATCHER!K350)</f>
        <v/>
      </c>
      <c r="R358" s="34" t="str">
        <f>IF(K358="","",IF(Q358&lt;&gt;"Ja","Ej aktuell",IF(P358="SAKNAS","NY KLASS",IF(MATCHER!N350&lt;&gt;"Ja",MATCHER!N350,IF(COUNTIF($A$13:$A$220,K358)=0,"NY MATCH","Matchdag finns")))))</f>
        <v/>
      </c>
    </row>
    <row r="359" spans="1:18" ht="13">
      <c r="A359" s="1"/>
      <c r="B359" s="1"/>
      <c r="C359" s="1"/>
      <c r="D359" s="1"/>
      <c r="E359" s="1"/>
      <c r="F359" s="1"/>
      <c r="G359" s="1"/>
      <c r="H359" s="1"/>
      <c r="I359" s="1"/>
      <c r="J359" s="1"/>
      <c r="K359" s="34" t="str">
        <f>IF(MATCHER!A351="","",MATCHER!A351)</f>
        <v/>
      </c>
      <c r="L359" s="91" t="str">
        <f>IF(MATCHER!B351="","",MATCHER!B351)</f>
        <v/>
      </c>
      <c r="M359" s="92" t="str">
        <f>IF(MATCHER!C351="","",MATCHER!C351)</f>
        <v/>
      </c>
      <c r="N359" s="34" t="str">
        <f>IF(MATCHER!D351="","",MATCHER!D351)</f>
        <v/>
      </c>
      <c r="O359" s="34" t="str">
        <f>IF(MATCHER!E351="","",MATCHER!E351)</f>
        <v/>
      </c>
      <c r="P359" s="34" t="str">
        <f>IF(MATCHER!F351="","",MATCHER!F351)</f>
        <v/>
      </c>
      <c r="Q359" s="34" t="str">
        <f>IF(MATCHER!K351="","",MATCHER!K351)</f>
        <v/>
      </c>
      <c r="R359" s="34" t="str">
        <f>IF(K359="","",IF(Q359&lt;&gt;"Ja","Ej aktuell",IF(P359="SAKNAS","NY KLASS",IF(MATCHER!N351&lt;&gt;"Ja",MATCHER!N351,IF(COUNTIF($A$13:$A$220,K359)=0,"NY MATCH","Matchdag finns")))))</f>
        <v/>
      </c>
    </row>
    <row r="360" spans="1:18" ht="13">
      <c r="A360" s="1"/>
      <c r="B360" s="1"/>
      <c r="C360" s="1"/>
      <c r="D360" s="1"/>
      <c r="E360" s="1"/>
      <c r="F360" s="1"/>
      <c r="G360" s="1"/>
      <c r="H360" s="1"/>
      <c r="I360" s="1"/>
      <c r="J360" s="1"/>
      <c r="K360" s="34" t="str">
        <f>IF(MATCHER!A352="","",MATCHER!A352)</f>
        <v/>
      </c>
      <c r="L360" s="91" t="str">
        <f>IF(MATCHER!B352="","",MATCHER!B352)</f>
        <v/>
      </c>
      <c r="M360" s="92" t="str">
        <f>IF(MATCHER!C352="","",MATCHER!C352)</f>
        <v/>
      </c>
      <c r="N360" s="34" t="str">
        <f>IF(MATCHER!D352="","",MATCHER!D352)</f>
        <v/>
      </c>
      <c r="O360" s="34" t="str">
        <f>IF(MATCHER!E352="","",MATCHER!E352)</f>
        <v/>
      </c>
      <c r="P360" s="34" t="str">
        <f>IF(MATCHER!F352="","",MATCHER!F352)</f>
        <v/>
      </c>
      <c r="Q360" s="34" t="str">
        <f>IF(MATCHER!K352="","",MATCHER!K352)</f>
        <v/>
      </c>
      <c r="R360" s="34" t="str">
        <f>IF(K360="","",IF(Q360&lt;&gt;"Ja","Ej aktuell",IF(P360="SAKNAS","NY KLASS",IF(MATCHER!N352&lt;&gt;"Ja",MATCHER!N352,IF(COUNTIF($A$13:$A$220,K360)=0,"NY MATCH","Matchdag finns")))))</f>
        <v/>
      </c>
    </row>
    <row r="361" spans="1:18" ht="13">
      <c r="A361" s="1"/>
      <c r="B361" s="1"/>
      <c r="C361" s="1"/>
      <c r="D361" s="1"/>
      <c r="E361" s="1"/>
      <c r="F361" s="1"/>
      <c r="G361" s="1"/>
      <c r="H361" s="1"/>
      <c r="I361" s="1"/>
      <c r="J361" s="1"/>
      <c r="K361" s="34" t="str">
        <f>IF(MATCHER!A353="","",MATCHER!A353)</f>
        <v/>
      </c>
      <c r="L361" s="91" t="str">
        <f>IF(MATCHER!B353="","",MATCHER!B353)</f>
        <v/>
      </c>
      <c r="M361" s="92" t="str">
        <f>IF(MATCHER!C353="","",MATCHER!C353)</f>
        <v/>
      </c>
      <c r="N361" s="34" t="str">
        <f>IF(MATCHER!D353="","",MATCHER!D353)</f>
        <v/>
      </c>
      <c r="O361" s="34" t="str">
        <f>IF(MATCHER!E353="","",MATCHER!E353)</f>
        <v/>
      </c>
      <c r="P361" s="34" t="str">
        <f>IF(MATCHER!F353="","",MATCHER!F353)</f>
        <v/>
      </c>
      <c r="Q361" s="34" t="str">
        <f>IF(MATCHER!K353="","",MATCHER!K353)</f>
        <v/>
      </c>
      <c r="R361" s="34" t="str">
        <f>IF(K361="","",IF(Q361&lt;&gt;"Ja","Ej aktuell",IF(P361="SAKNAS","NY KLASS",IF(MATCHER!N353&lt;&gt;"Ja",MATCHER!N353,IF(COUNTIF($A$13:$A$220,K361)=0,"NY MATCH","Matchdag finns")))))</f>
        <v/>
      </c>
    </row>
    <row r="362" spans="1:18" ht="13">
      <c r="A362" s="1"/>
      <c r="B362" s="1"/>
      <c r="C362" s="1"/>
      <c r="D362" s="1"/>
      <c r="E362" s="1"/>
      <c r="F362" s="1"/>
      <c r="G362" s="1"/>
      <c r="H362" s="1"/>
      <c r="I362" s="1"/>
      <c r="J362" s="1"/>
      <c r="K362" s="34" t="str">
        <f>IF(MATCHER!A354="","",MATCHER!A354)</f>
        <v/>
      </c>
      <c r="L362" s="91" t="str">
        <f>IF(MATCHER!B354="","",MATCHER!B354)</f>
        <v/>
      </c>
      <c r="M362" s="92" t="str">
        <f>IF(MATCHER!C354="","",MATCHER!C354)</f>
        <v/>
      </c>
      <c r="N362" s="34" t="str">
        <f>IF(MATCHER!D354="","",MATCHER!D354)</f>
        <v/>
      </c>
      <c r="O362" s="34" t="str">
        <f>IF(MATCHER!E354="","",MATCHER!E354)</f>
        <v/>
      </c>
      <c r="P362" s="34" t="str">
        <f>IF(MATCHER!F354="","",MATCHER!F354)</f>
        <v/>
      </c>
      <c r="Q362" s="34" t="str">
        <f>IF(MATCHER!K354="","",MATCHER!K354)</f>
        <v/>
      </c>
      <c r="R362" s="34" t="str">
        <f>IF(K362="","",IF(Q362&lt;&gt;"Ja","Ej aktuell",IF(P362="SAKNAS","NY KLASS",IF(MATCHER!N354&lt;&gt;"Ja",MATCHER!N354,IF(COUNTIF($A$13:$A$220,K362)=0,"NY MATCH","Matchdag finns")))))</f>
        <v/>
      </c>
    </row>
    <row r="363" spans="1:18" ht="13">
      <c r="A363" s="1"/>
      <c r="B363" s="1"/>
      <c r="C363" s="1"/>
      <c r="D363" s="1"/>
      <c r="E363" s="1"/>
      <c r="F363" s="1"/>
      <c r="G363" s="1"/>
      <c r="H363" s="1"/>
      <c r="I363" s="1"/>
      <c r="J363" s="1"/>
      <c r="K363" s="34" t="str">
        <f>IF(MATCHER!A355="","",MATCHER!A355)</f>
        <v/>
      </c>
      <c r="L363" s="91" t="str">
        <f>IF(MATCHER!B355="","",MATCHER!B355)</f>
        <v/>
      </c>
      <c r="M363" s="92" t="str">
        <f>IF(MATCHER!C355="","",MATCHER!C355)</f>
        <v/>
      </c>
      <c r="N363" s="34" t="str">
        <f>IF(MATCHER!D355="","",MATCHER!D355)</f>
        <v/>
      </c>
      <c r="O363" s="34" t="str">
        <f>IF(MATCHER!E355="","",MATCHER!E355)</f>
        <v/>
      </c>
      <c r="P363" s="34" t="str">
        <f>IF(MATCHER!F355="","",MATCHER!F355)</f>
        <v/>
      </c>
      <c r="Q363" s="34" t="str">
        <f>IF(MATCHER!K355="","",MATCHER!K355)</f>
        <v/>
      </c>
      <c r="R363" s="34" t="str">
        <f>IF(K363="","",IF(Q363&lt;&gt;"Ja","Ej aktuell",IF(P363="SAKNAS","NY KLASS",IF(MATCHER!N355&lt;&gt;"Ja",MATCHER!N355,IF(COUNTIF($A$13:$A$220,K363)=0,"NY MATCH","Matchdag finns")))))</f>
        <v/>
      </c>
    </row>
    <row r="364" spans="1:18" ht="13">
      <c r="A364" s="1"/>
      <c r="B364" s="1"/>
      <c r="C364" s="1"/>
      <c r="D364" s="1"/>
      <c r="E364" s="1"/>
      <c r="F364" s="1"/>
      <c r="G364" s="1"/>
      <c r="H364" s="1"/>
      <c r="I364" s="1"/>
      <c r="J364" s="1"/>
      <c r="K364" s="34" t="str">
        <f>IF(MATCHER!A356="","",MATCHER!A356)</f>
        <v/>
      </c>
      <c r="L364" s="91" t="str">
        <f>IF(MATCHER!B356="","",MATCHER!B356)</f>
        <v/>
      </c>
      <c r="M364" s="92" t="str">
        <f>IF(MATCHER!C356="","",MATCHER!C356)</f>
        <v/>
      </c>
      <c r="N364" s="34" t="str">
        <f>IF(MATCHER!D356="","",MATCHER!D356)</f>
        <v/>
      </c>
      <c r="O364" s="34" t="str">
        <f>IF(MATCHER!E356="","",MATCHER!E356)</f>
        <v/>
      </c>
      <c r="P364" s="34" t="str">
        <f>IF(MATCHER!F356="","",MATCHER!F356)</f>
        <v/>
      </c>
      <c r="Q364" s="34" t="str">
        <f>IF(MATCHER!K356="","",MATCHER!K356)</f>
        <v/>
      </c>
      <c r="R364" s="34" t="str">
        <f>IF(K364="","",IF(Q364&lt;&gt;"Ja","Ej aktuell",IF(P364="SAKNAS","NY KLASS",IF(MATCHER!N356&lt;&gt;"Ja",MATCHER!N356,IF(COUNTIF($A$13:$A$220,K364)=0,"NY MATCH","Matchdag finns")))))</f>
        <v/>
      </c>
    </row>
    <row r="365" spans="1:18" ht="13">
      <c r="A365" s="1"/>
      <c r="B365" s="1"/>
      <c r="C365" s="1"/>
      <c r="D365" s="1"/>
      <c r="E365" s="1"/>
      <c r="F365" s="1"/>
      <c r="G365" s="1"/>
      <c r="H365" s="1"/>
      <c r="I365" s="1"/>
      <c r="J365" s="1"/>
      <c r="K365" s="34" t="str">
        <f>IF(MATCHER!A357="","",MATCHER!A357)</f>
        <v/>
      </c>
      <c r="L365" s="91" t="str">
        <f>IF(MATCHER!B357="","",MATCHER!B357)</f>
        <v/>
      </c>
      <c r="M365" s="92" t="str">
        <f>IF(MATCHER!C357="","",MATCHER!C357)</f>
        <v/>
      </c>
      <c r="N365" s="34" t="str">
        <f>IF(MATCHER!D357="","",MATCHER!D357)</f>
        <v/>
      </c>
      <c r="O365" s="34" t="str">
        <f>IF(MATCHER!E357="","",MATCHER!E357)</f>
        <v/>
      </c>
      <c r="P365" s="34" t="str">
        <f>IF(MATCHER!F357="","",MATCHER!F357)</f>
        <v/>
      </c>
      <c r="Q365" s="34" t="str">
        <f>IF(MATCHER!K357="","",MATCHER!K357)</f>
        <v/>
      </c>
      <c r="R365" s="34" t="str">
        <f>IF(K365="","",IF(Q365&lt;&gt;"Ja","Ej aktuell",IF(P365="SAKNAS","NY KLASS",IF(MATCHER!N357&lt;&gt;"Ja",MATCHER!N357,IF(COUNTIF($A$13:$A$220,K365)=0,"NY MATCH","Matchdag finns")))))</f>
        <v/>
      </c>
    </row>
    <row r="366" spans="1:18" ht="13">
      <c r="A366" s="1"/>
      <c r="B366" s="1"/>
      <c r="C366" s="1"/>
      <c r="D366" s="1"/>
      <c r="E366" s="1"/>
      <c r="F366" s="1"/>
      <c r="G366" s="1"/>
      <c r="H366" s="1"/>
      <c r="I366" s="1"/>
      <c r="J366" s="1"/>
      <c r="K366" s="34" t="str">
        <f>IF(MATCHER!A358="","",MATCHER!A358)</f>
        <v/>
      </c>
      <c r="L366" s="91" t="str">
        <f>IF(MATCHER!B358="","",MATCHER!B358)</f>
        <v/>
      </c>
      <c r="M366" s="92" t="str">
        <f>IF(MATCHER!C358="","",MATCHER!C358)</f>
        <v/>
      </c>
      <c r="N366" s="34" t="str">
        <f>IF(MATCHER!D358="","",MATCHER!D358)</f>
        <v/>
      </c>
      <c r="O366" s="34" t="str">
        <f>IF(MATCHER!E358="","",MATCHER!E358)</f>
        <v/>
      </c>
      <c r="P366" s="34" t="str">
        <f>IF(MATCHER!F358="","",MATCHER!F358)</f>
        <v/>
      </c>
      <c r="Q366" s="34" t="str">
        <f>IF(MATCHER!K358="","",MATCHER!K358)</f>
        <v/>
      </c>
      <c r="R366" s="34" t="str">
        <f>IF(K366="","",IF(Q366&lt;&gt;"Ja","Ej aktuell",IF(P366="SAKNAS","NY KLASS",IF(MATCHER!N358&lt;&gt;"Ja",MATCHER!N358,IF(COUNTIF($A$13:$A$220,K366)=0,"NY MATCH","Matchdag finns")))))</f>
        <v/>
      </c>
    </row>
    <row r="367" spans="1:18" ht="13">
      <c r="A367" s="1"/>
      <c r="B367" s="1"/>
      <c r="C367" s="1"/>
      <c r="D367" s="1"/>
      <c r="E367" s="1"/>
      <c r="F367" s="1"/>
      <c r="G367" s="1"/>
      <c r="H367" s="1"/>
      <c r="I367" s="1"/>
      <c r="J367" s="1"/>
      <c r="K367" s="34" t="str">
        <f>IF(MATCHER!A359="","",MATCHER!A359)</f>
        <v/>
      </c>
      <c r="L367" s="91" t="str">
        <f>IF(MATCHER!B359="","",MATCHER!B359)</f>
        <v/>
      </c>
      <c r="M367" s="92" t="str">
        <f>IF(MATCHER!C359="","",MATCHER!C359)</f>
        <v/>
      </c>
      <c r="N367" s="34" t="str">
        <f>IF(MATCHER!D359="","",MATCHER!D359)</f>
        <v/>
      </c>
      <c r="O367" s="34" t="str">
        <f>IF(MATCHER!E359="","",MATCHER!E359)</f>
        <v/>
      </c>
      <c r="P367" s="34" t="str">
        <f>IF(MATCHER!F359="","",MATCHER!F359)</f>
        <v/>
      </c>
      <c r="Q367" s="34" t="str">
        <f>IF(MATCHER!K359="","",MATCHER!K359)</f>
        <v/>
      </c>
      <c r="R367" s="34" t="str">
        <f>IF(K367="","",IF(Q367&lt;&gt;"Ja","Ej aktuell",IF(P367="SAKNAS","NY KLASS",IF(MATCHER!N359&lt;&gt;"Ja",MATCHER!N359,IF(COUNTIF($A$13:$A$220,K367)=0,"NY MATCH","Matchdag finns")))))</f>
        <v/>
      </c>
    </row>
    <row r="368" spans="1:18" ht="13">
      <c r="A368" s="1"/>
      <c r="B368" s="1"/>
      <c r="C368" s="1"/>
      <c r="D368" s="1"/>
      <c r="E368" s="1"/>
      <c r="F368" s="1"/>
      <c r="G368" s="1"/>
      <c r="H368" s="1"/>
      <c r="I368" s="1"/>
      <c r="J368" s="1"/>
      <c r="K368" s="34" t="str">
        <f>IF(MATCHER!A360="","",MATCHER!A360)</f>
        <v/>
      </c>
      <c r="L368" s="91" t="str">
        <f>IF(MATCHER!B360="","",MATCHER!B360)</f>
        <v/>
      </c>
      <c r="M368" s="92" t="str">
        <f>IF(MATCHER!C360="","",MATCHER!C360)</f>
        <v/>
      </c>
      <c r="N368" s="34" t="str">
        <f>IF(MATCHER!D360="","",MATCHER!D360)</f>
        <v/>
      </c>
      <c r="O368" s="34" t="str">
        <f>IF(MATCHER!E360="","",MATCHER!E360)</f>
        <v/>
      </c>
      <c r="P368" s="34" t="str">
        <f>IF(MATCHER!F360="","",MATCHER!F360)</f>
        <v/>
      </c>
      <c r="Q368" s="34" t="str">
        <f>IF(MATCHER!K360="","",MATCHER!K360)</f>
        <v/>
      </c>
      <c r="R368" s="34" t="str">
        <f>IF(K368="","",IF(Q368&lt;&gt;"Ja","Ej aktuell",IF(P368="SAKNAS","NY KLASS",IF(MATCHER!N360&lt;&gt;"Ja",MATCHER!N360,IF(COUNTIF($A$13:$A$220,K368)=0,"NY MATCH","Matchdag finns")))))</f>
        <v/>
      </c>
    </row>
    <row r="369" spans="1:18" ht="13">
      <c r="A369" s="1"/>
      <c r="B369" s="1"/>
      <c r="C369" s="1"/>
      <c r="D369" s="1"/>
      <c r="E369" s="1"/>
      <c r="F369" s="1"/>
      <c r="G369" s="1"/>
      <c r="H369" s="1"/>
      <c r="I369" s="1"/>
      <c r="J369" s="1"/>
      <c r="K369" s="34" t="str">
        <f>IF(MATCHER!A361="","",MATCHER!A361)</f>
        <v/>
      </c>
      <c r="L369" s="91" t="str">
        <f>IF(MATCHER!B361="","",MATCHER!B361)</f>
        <v/>
      </c>
      <c r="M369" s="92" t="str">
        <f>IF(MATCHER!C361="","",MATCHER!C361)</f>
        <v/>
      </c>
      <c r="N369" s="34" t="str">
        <f>IF(MATCHER!D361="","",MATCHER!D361)</f>
        <v/>
      </c>
      <c r="O369" s="34" t="str">
        <f>IF(MATCHER!E361="","",MATCHER!E361)</f>
        <v/>
      </c>
      <c r="P369" s="34" t="str">
        <f>IF(MATCHER!F361="","",MATCHER!F361)</f>
        <v/>
      </c>
      <c r="Q369" s="34" t="str">
        <f>IF(MATCHER!K361="","",MATCHER!K361)</f>
        <v/>
      </c>
      <c r="R369" s="34" t="str">
        <f>IF(K369="","",IF(Q369&lt;&gt;"Ja","Ej aktuell",IF(P369="SAKNAS","NY KLASS",IF(MATCHER!N361&lt;&gt;"Ja",MATCHER!N361,IF(COUNTIF($A$13:$A$220,K369)=0,"NY MATCH","Matchdag finns")))))</f>
        <v/>
      </c>
    </row>
    <row r="370" spans="1:18" ht="13">
      <c r="A370" s="1"/>
      <c r="B370" s="1"/>
      <c r="C370" s="1"/>
      <c r="D370" s="1"/>
      <c r="E370" s="1"/>
      <c r="F370" s="1"/>
      <c r="G370" s="1"/>
      <c r="H370" s="1"/>
      <c r="I370" s="1"/>
      <c r="J370" s="1"/>
      <c r="K370" s="34" t="str">
        <f>IF(MATCHER!A362="","",MATCHER!A362)</f>
        <v/>
      </c>
      <c r="L370" s="91" t="str">
        <f>IF(MATCHER!B362="","",MATCHER!B362)</f>
        <v/>
      </c>
      <c r="M370" s="92" t="str">
        <f>IF(MATCHER!C362="","",MATCHER!C362)</f>
        <v/>
      </c>
      <c r="N370" s="34" t="str">
        <f>IF(MATCHER!D362="","",MATCHER!D362)</f>
        <v/>
      </c>
      <c r="O370" s="34" t="str">
        <f>IF(MATCHER!E362="","",MATCHER!E362)</f>
        <v/>
      </c>
      <c r="P370" s="34" t="str">
        <f>IF(MATCHER!F362="","",MATCHER!F362)</f>
        <v/>
      </c>
      <c r="Q370" s="34" t="str">
        <f>IF(MATCHER!K362="","",MATCHER!K362)</f>
        <v/>
      </c>
      <c r="R370" s="34" t="str">
        <f>IF(K370="","",IF(Q370&lt;&gt;"Ja","Ej aktuell",IF(P370="SAKNAS","NY KLASS",IF(MATCHER!N362&lt;&gt;"Ja",MATCHER!N362,IF(COUNTIF($A$13:$A$220,K370)=0,"NY MATCH","Matchdag finns")))))</f>
        <v/>
      </c>
    </row>
    <row r="371" spans="1:18" ht="13">
      <c r="A371" s="1"/>
      <c r="B371" s="1"/>
      <c r="C371" s="1"/>
      <c r="D371" s="1"/>
      <c r="E371" s="1"/>
      <c r="F371" s="1"/>
      <c r="G371" s="1"/>
      <c r="H371" s="1"/>
      <c r="I371" s="1"/>
      <c r="J371" s="1"/>
      <c r="K371" s="34" t="str">
        <f>IF(MATCHER!A363="","",MATCHER!A363)</f>
        <v/>
      </c>
      <c r="L371" s="91" t="str">
        <f>IF(MATCHER!B363="","",MATCHER!B363)</f>
        <v/>
      </c>
      <c r="M371" s="92" t="str">
        <f>IF(MATCHER!C363="","",MATCHER!C363)</f>
        <v/>
      </c>
      <c r="N371" s="34" t="str">
        <f>IF(MATCHER!D363="","",MATCHER!D363)</f>
        <v/>
      </c>
      <c r="O371" s="34" t="str">
        <f>IF(MATCHER!E363="","",MATCHER!E363)</f>
        <v/>
      </c>
      <c r="P371" s="34" t="str">
        <f>IF(MATCHER!F363="","",MATCHER!F363)</f>
        <v/>
      </c>
      <c r="Q371" s="34" t="str">
        <f>IF(MATCHER!K363="","",MATCHER!K363)</f>
        <v/>
      </c>
      <c r="R371" s="34" t="str">
        <f>IF(K371="","",IF(Q371&lt;&gt;"Ja","Ej aktuell",IF(P371="SAKNAS","NY KLASS",IF(MATCHER!N363&lt;&gt;"Ja",MATCHER!N363,IF(COUNTIF($A$13:$A$220,K371)=0,"NY MATCH","Matchdag finns")))))</f>
        <v/>
      </c>
    </row>
    <row r="372" spans="1:18" ht="13">
      <c r="A372" s="1"/>
      <c r="B372" s="1"/>
      <c r="C372" s="1"/>
      <c r="D372" s="1"/>
      <c r="E372" s="1"/>
      <c r="F372" s="1"/>
      <c r="G372" s="1"/>
      <c r="H372" s="1"/>
      <c r="I372" s="1"/>
      <c r="J372" s="1"/>
      <c r="K372" s="34" t="str">
        <f>IF(MATCHER!A364="","",MATCHER!A364)</f>
        <v/>
      </c>
      <c r="L372" s="91" t="str">
        <f>IF(MATCHER!B364="","",MATCHER!B364)</f>
        <v/>
      </c>
      <c r="M372" s="92" t="str">
        <f>IF(MATCHER!C364="","",MATCHER!C364)</f>
        <v/>
      </c>
      <c r="N372" s="34" t="str">
        <f>IF(MATCHER!D364="","",MATCHER!D364)</f>
        <v/>
      </c>
      <c r="O372" s="34" t="str">
        <f>IF(MATCHER!E364="","",MATCHER!E364)</f>
        <v/>
      </c>
      <c r="P372" s="34" t="str">
        <f>IF(MATCHER!F364="","",MATCHER!F364)</f>
        <v/>
      </c>
      <c r="Q372" s="34" t="str">
        <f>IF(MATCHER!K364="","",MATCHER!K364)</f>
        <v/>
      </c>
      <c r="R372" s="34" t="str">
        <f>IF(K372="","",IF(Q372&lt;&gt;"Ja","Ej aktuell",IF(P372="SAKNAS","NY KLASS",IF(MATCHER!N364&lt;&gt;"Ja",MATCHER!N364,IF(COUNTIF($A$13:$A$220,K372)=0,"NY MATCH","Matchdag finns")))))</f>
        <v/>
      </c>
    </row>
    <row r="373" spans="1:18" ht="13">
      <c r="A373" s="1"/>
      <c r="B373" s="1"/>
      <c r="C373" s="1"/>
      <c r="D373" s="1"/>
      <c r="E373" s="1"/>
      <c r="F373" s="1"/>
      <c r="G373" s="1"/>
      <c r="H373" s="1"/>
      <c r="I373" s="1"/>
      <c r="J373" s="1"/>
      <c r="K373" s="34" t="str">
        <f>IF(MATCHER!A365="","",MATCHER!A365)</f>
        <v/>
      </c>
      <c r="L373" s="91" t="str">
        <f>IF(MATCHER!B365="","",MATCHER!B365)</f>
        <v/>
      </c>
      <c r="M373" s="92" t="str">
        <f>IF(MATCHER!C365="","",MATCHER!C365)</f>
        <v/>
      </c>
      <c r="N373" s="34" t="str">
        <f>IF(MATCHER!D365="","",MATCHER!D365)</f>
        <v/>
      </c>
      <c r="O373" s="34" t="str">
        <f>IF(MATCHER!E365="","",MATCHER!E365)</f>
        <v/>
      </c>
      <c r="P373" s="34" t="str">
        <f>IF(MATCHER!F365="","",MATCHER!F365)</f>
        <v/>
      </c>
      <c r="Q373" s="34" t="str">
        <f>IF(MATCHER!K365="","",MATCHER!K365)</f>
        <v/>
      </c>
      <c r="R373" s="34" t="str">
        <f>IF(K373="","",IF(Q373&lt;&gt;"Ja","Ej aktuell",IF(P373="SAKNAS","NY KLASS",IF(MATCHER!N365&lt;&gt;"Ja",MATCHER!N365,IF(COUNTIF($A$13:$A$220,K373)=0,"NY MATCH","Matchdag finns")))))</f>
        <v/>
      </c>
    </row>
    <row r="374" spans="1:18" ht="13">
      <c r="A374" s="1"/>
      <c r="B374" s="1"/>
      <c r="C374" s="1"/>
      <c r="D374" s="1"/>
      <c r="E374" s="1"/>
      <c r="F374" s="1"/>
      <c r="G374" s="1"/>
      <c r="H374" s="1"/>
      <c r="I374" s="1"/>
      <c r="J374" s="1"/>
      <c r="K374" s="34" t="str">
        <f>IF(MATCHER!A366="","",MATCHER!A366)</f>
        <v/>
      </c>
      <c r="L374" s="91" t="str">
        <f>IF(MATCHER!B366="","",MATCHER!B366)</f>
        <v/>
      </c>
      <c r="M374" s="92" t="str">
        <f>IF(MATCHER!C366="","",MATCHER!C366)</f>
        <v/>
      </c>
      <c r="N374" s="34" t="str">
        <f>IF(MATCHER!D366="","",MATCHER!D366)</f>
        <v/>
      </c>
      <c r="O374" s="34" t="str">
        <f>IF(MATCHER!E366="","",MATCHER!E366)</f>
        <v/>
      </c>
      <c r="P374" s="34" t="str">
        <f>IF(MATCHER!F366="","",MATCHER!F366)</f>
        <v/>
      </c>
      <c r="Q374" s="34" t="str">
        <f>IF(MATCHER!K366="","",MATCHER!K366)</f>
        <v/>
      </c>
      <c r="R374" s="34" t="str">
        <f>IF(K374="","",IF(Q374&lt;&gt;"Ja","Ej aktuell",IF(P374="SAKNAS","NY KLASS",IF(MATCHER!N366&lt;&gt;"Ja",MATCHER!N366,IF(COUNTIF($A$13:$A$220,K374)=0,"NY MATCH","Matchdag finns")))))</f>
        <v/>
      </c>
    </row>
    <row r="375" spans="1:18" ht="13">
      <c r="A375" s="1"/>
      <c r="B375" s="1"/>
      <c r="C375" s="1"/>
      <c r="D375" s="1"/>
      <c r="E375" s="1"/>
      <c r="F375" s="1"/>
      <c r="G375" s="1"/>
      <c r="H375" s="1"/>
      <c r="I375" s="1"/>
      <c r="J375" s="1"/>
      <c r="K375" s="34" t="str">
        <f>IF(MATCHER!A367="","",MATCHER!A367)</f>
        <v/>
      </c>
      <c r="L375" s="91" t="str">
        <f>IF(MATCHER!B367="","",MATCHER!B367)</f>
        <v/>
      </c>
      <c r="M375" s="92" t="str">
        <f>IF(MATCHER!C367="","",MATCHER!C367)</f>
        <v/>
      </c>
      <c r="N375" s="34" t="str">
        <f>IF(MATCHER!D367="","",MATCHER!D367)</f>
        <v/>
      </c>
      <c r="O375" s="34" t="str">
        <f>IF(MATCHER!E367="","",MATCHER!E367)</f>
        <v/>
      </c>
      <c r="P375" s="34" t="str">
        <f>IF(MATCHER!F367="","",MATCHER!F367)</f>
        <v/>
      </c>
      <c r="Q375" s="34" t="str">
        <f>IF(MATCHER!K367="","",MATCHER!K367)</f>
        <v/>
      </c>
      <c r="R375" s="34" t="str">
        <f>IF(K375="","",IF(Q375&lt;&gt;"Ja","Ej aktuell",IF(P375="SAKNAS","NY KLASS",IF(MATCHER!N367&lt;&gt;"Ja",MATCHER!N367,IF(COUNTIF($A$13:$A$220,K375)=0,"NY MATCH","Matchdag finns")))))</f>
        <v/>
      </c>
    </row>
    <row r="376" spans="1:18" ht="13">
      <c r="A376" s="1"/>
      <c r="B376" s="1"/>
      <c r="C376" s="1"/>
      <c r="D376" s="1"/>
      <c r="E376" s="1"/>
      <c r="F376" s="1"/>
      <c r="G376" s="1"/>
      <c r="H376" s="1"/>
      <c r="I376" s="1"/>
      <c r="J376" s="1"/>
      <c r="K376" s="34" t="str">
        <f>IF(MATCHER!A368="","",MATCHER!A368)</f>
        <v/>
      </c>
      <c r="L376" s="91" t="str">
        <f>IF(MATCHER!B368="","",MATCHER!B368)</f>
        <v/>
      </c>
      <c r="M376" s="92" t="str">
        <f>IF(MATCHER!C368="","",MATCHER!C368)</f>
        <v/>
      </c>
      <c r="N376" s="34" t="str">
        <f>IF(MATCHER!D368="","",MATCHER!D368)</f>
        <v/>
      </c>
      <c r="O376" s="34" t="str">
        <f>IF(MATCHER!E368="","",MATCHER!E368)</f>
        <v/>
      </c>
      <c r="P376" s="34" t="str">
        <f>IF(MATCHER!F368="","",MATCHER!F368)</f>
        <v/>
      </c>
      <c r="Q376" s="34" t="str">
        <f>IF(MATCHER!K368="","",MATCHER!K368)</f>
        <v/>
      </c>
      <c r="R376" s="34" t="str">
        <f>IF(K376="","",IF(Q376&lt;&gt;"Ja","Ej aktuell",IF(P376="SAKNAS","NY KLASS",IF(MATCHER!N368&lt;&gt;"Ja",MATCHER!N368,IF(COUNTIF($A$13:$A$220,K376)=0,"NY MATCH","Matchdag finns")))))</f>
        <v/>
      </c>
    </row>
    <row r="377" spans="1:18" ht="13">
      <c r="A377" s="1"/>
      <c r="B377" s="1"/>
      <c r="C377" s="1"/>
      <c r="D377" s="1"/>
      <c r="E377" s="1"/>
      <c r="F377" s="1"/>
      <c r="G377" s="1"/>
      <c r="H377" s="1"/>
      <c r="I377" s="1"/>
      <c r="J377" s="1"/>
      <c r="K377" s="34" t="str">
        <f>IF(MATCHER!A369="","",MATCHER!A369)</f>
        <v/>
      </c>
      <c r="L377" s="91" t="str">
        <f>IF(MATCHER!B369="","",MATCHER!B369)</f>
        <v/>
      </c>
      <c r="M377" s="92" t="str">
        <f>IF(MATCHER!C369="","",MATCHER!C369)</f>
        <v/>
      </c>
      <c r="N377" s="34" t="str">
        <f>IF(MATCHER!D369="","",MATCHER!D369)</f>
        <v/>
      </c>
      <c r="O377" s="34" t="str">
        <f>IF(MATCHER!E369="","",MATCHER!E369)</f>
        <v/>
      </c>
      <c r="P377" s="34" t="str">
        <f>IF(MATCHER!F369="","",MATCHER!F369)</f>
        <v/>
      </c>
      <c r="Q377" s="34" t="str">
        <f>IF(MATCHER!K369="","",MATCHER!K369)</f>
        <v/>
      </c>
      <c r="R377" s="34" t="str">
        <f>IF(K377="","",IF(Q377&lt;&gt;"Ja","Ej aktuell",IF(P377="SAKNAS","NY KLASS",IF(MATCHER!N369&lt;&gt;"Ja",MATCHER!N369,IF(COUNTIF($A$13:$A$220,K377)=0,"NY MATCH","Matchdag finns")))))</f>
        <v/>
      </c>
    </row>
    <row r="378" spans="1:18" ht="13">
      <c r="A378" s="1"/>
      <c r="B378" s="1"/>
      <c r="C378" s="1"/>
      <c r="D378" s="1"/>
      <c r="E378" s="1"/>
      <c r="F378" s="1"/>
      <c r="G378" s="1"/>
      <c r="H378" s="1"/>
      <c r="I378" s="1"/>
      <c r="J378" s="1"/>
      <c r="K378" s="34" t="str">
        <f>IF(MATCHER!A370="","",MATCHER!A370)</f>
        <v/>
      </c>
      <c r="L378" s="91" t="str">
        <f>IF(MATCHER!B370="","",MATCHER!B370)</f>
        <v/>
      </c>
      <c r="M378" s="92" t="str">
        <f>IF(MATCHER!C370="","",MATCHER!C370)</f>
        <v/>
      </c>
      <c r="N378" s="34" t="str">
        <f>IF(MATCHER!D370="","",MATCHER!D370)</f>
        <v/>
      </c>
      <c r="O378" s="34" t="str">
        <f>IF(MATCHER!E370="","",MATCHER!E370)</f>
        <v/>
      </c>
      <c r="P378" s="34" t="str">
        <f>IF(MATCHER!F370="","",MATCHER!F370)</f>
        <v/>
      </c>
      <c r="Q378" s="34" t="str">
        <f>IF(MATCHER!K370="","",MATCHER!K370)</f>
        <v/>
      </c>
      <c r="R378" s="34" t="str">
        <f>IF(K378="","",IF(Q378&lt;&gt;"Ja","Ej aktuell",IF(P378="SAKNAS","NY KLASS",IF(MATCHER!N370&lt;&gt;"Ja",MATCHER!N370,IF(COUNTIF($A$13:$A$220,K378)=0,"NY MATCH","Matchdag finns")))))</f>
        <v/>
      </c>
    </row>
    <row r="379" spans="1:18" ht="13">
      <c r="A379" s="1"/>
      <c r="B379" s="1"/>
      <c r="C379" s="1"/>
      <c r="D379" s="1"/>
      <c r="E379" s="1"/>
      <c r="F379" s="1"/>
      <c r="G379" s="1"/>
      <c r="H379" s="1"/>
      <c r="I379" s="1"/>
      <c r="J379" s="1"/>
      <c r="K379" s="34" t="str">
        <f>IF(MATCHER!A371="","",MATCHER!A371)</f>
        <v/>
      </c>
      <c r="L379" s="91" t="str">
        <f>IF(MATCHER!B371="","",MATCHER!B371)</f>
        <v/>
      </c>
      <c r="M379" s="92" t="str">
        <f>IF(MATCHER!C371="","",MATCHER!C371)</f>
        <v/>
      </c>
      <c r="N379" s="34" t="str">
        <f>IF(MATCHER!D371="","",MATCHER!D371)</f>
        <v/>
      </c>
      <c r="O379" s="34" t="str">
        <f>IF(MATCHER!E371="","",MATCHER!E371)</f>
        <v/>
      </c>
      <c r="P379" s="34" t="str">
        <f>IF(MATCHER!F371="","",MATCHER!F371)</f>
        <v/>
      </c>
      <c r="Q379" s="34" t="str">
        <f>IF(MATCHER!K371="","",MATCHER!K371)</f>
        <v/>
      </c>
      <c r="R379" s="34" t="str">
        <f>IF(K379="","",IF(Q379&lt;&gt;"Ja","Ej aktuell",IF(P379="SAKNAS","NY KLASS",IF(MATCHER!N371&lt;&gt;"Ja",MATCHER!N371,IF(COUNTIF($A$13:$A$220,K379)=0,"NY MATCH","Matchdag finns")))))</f>
        <v/>
      </c>
    </row>
    <row r="380" spans="1:18" ht="13">
      <c r="A380" s="1"/>
      <c r="B380" s="1"/>
      <c r="C380" s="1"/>
      <c r="D380" s="1"/>
      <c r="E380" s="1"/>
      <c r="F380" s="1"/>
      <c r="G380" s="1"/>
      <c r="H380" s="1"/>
      <c r="I380" s="1"/>
      <c r="J380" s="1"/>
      <c r="K380" s="34" t="str">
        <f>IF(MATCHER!A372="","",MATCHER!A372)</f>
        <v/>
      </c>
      <c r="L380" s="91" t="str">
        <f>IF(MATCHER!B372="","",MATCHER!B372)</f>
        <v/>
      </c>
      <c r="M380" s="92" t="str">
        <f>IF(MATCHER!C372="","",MATCHER!C372)</f>
        <v/>
      </c>
      <c r="N380" s="34" t="str">
        <f>IF(MATCHER!D372="","",MATCHER!D372)</f>
        <v/>
      </c>
      <c r="O380" s="34" t="str">
        <f>IF(MATCHER!E372="","",MATCHER!E372)</f>
        <v/>
      </c>
      <c r="P380" s="34" t="str">
        <f>IF(MATCHER!F372="","",MATCHER!F372)</f>
        <v/>
      </c>
      <c r="Q380" s="34" t="str">
        <f>IF(MATCHER!K372="","",MATCHER!K372)</f>
        <v/>
      </c>
      <c r="R380" s="34" t="str">
        <f>IF(K380="","",IF(Q380&lt;&gt;"Ja","Ej aktuell",IF(P380="SAKNAS","NY KLASS",IF(MATCHER!N372&lt;&gt;"Ja",MATCHER!N372,IF(COUNTIF($A$13:$A$220,K380)=0,"NY MATCH","Matchdag finns")))))</f>
        <v/>
      </c>
    </row>
    <row r="381" spans="1:18" ht="13">
      <c r="A381" s="1"/>
      <c r="B381" s="1"/>
      <c r="C381" s="1"/>
      <c r="D381" s="1"/>
      <c r="E381" s="1"/>
      <c r="F381" s="1"/>
      <c r="G381" s="1"/>
      <c r="H381" s="1"/>
      <c r="I381" s="1"/>
      <c r="J381" s="1"/>
      <c r="K381" s="34" t="str">
        <f>IF(MATCHER!A373="","",MATCHER!A373)</f>
        <v/>
      </c>
      <c r="L381" s="91" t="str">
        <f>IF(MATCHER!B373="","",MATCHER!B373)</f>
        <v/>
      </c>
      <c r="M381" s="92" t="str">
        <f>IF(MATCHER!C373="","",MATCHER!C373)</f>
        <v/>
      </c>
      <c r="N381" s="34" t="str">
        <f>IF(MATCHER!D373="","",MATCHER!D373)</f>
        <v/>
      </c>
      <c r="O381" s="34" t="str">
        <f>IF(MATCHER!E373="","",MATCHER!E373)</f>
        <v/>
      </c>
      <c r="P381" s="34" t="str">
        <f>IF(MATCHER!F373="","",MATCHER!F373)</f>
        <v/>
      </c>
      <c r="Q381" s="34" t="str">
        <f>IF(MATCHER!K373="","",MATCHER!K373)</f>
        <v/>
      </c>
      <c r="R381" s="34" t="str">
        <f>IF(K381="","",IF(Q381&lt;&gt;"Ja","Ej aktuell",IF(P381="SAKNAS","NY KLASS",IF(MATCHER!N373&lt;&gt;"Ja",MATCHER!N373,IF(COUNTIF($A$13:$A$220,K381)=0,"NY MATCH","Matchdag finns")))))</f>
        <v/>
      </c>
    </row>
    <row r="382" spans="1:18" ht="13">
      <c r="A382" s="1"/>
      <c r="B382" s="1"/>
      <c r="C382" s="1"/>
      <c r="D382" s="1"/>
      <c r="E382" s="1"/>
      <c r="F382" s="1"/>
      <c r="G382" s="1"/>
      <c r="H382" s="1"/>
      <c r="I382" s="1"/>
      <c r="J382" s="1"/>
      <c r="K382" s="34" t="str">
        <f>IF(MATCHER!A374="","",MATCHER!A374)</f>
        <v/>
      </c>
      <c r="L382" s="91" t="str">
        <f>IF(MATCHER!B374="","",MATCHER!B374)</f>
        <v/>
      </c>
      <c r="M382" s="92" t="str">
        <f>IF(MATCHER!C374="","",MATCHER!C374)</f>
        <v/>
      </c>
      <c r="N382" s="34" t="str">
        <f>IF(MATCHER!D374="","",MATCHER!D374)</f>
        <v/>
      </c>
      <c r="O382" s="34" t="str">
        <f>IF(MATCHER!E374="","",MATCHER!E374)</f>
        <v/>
      </c>
      <c r="P382" s="34" t="str">
        <f>IF(MATCHER!F374="","",MATCHER!F374)</f>
        <v/>
      </c>
      <c r="Q382" s="34" t="str">
        <f>IF(MATCHER!K374="","",MATCHER!K374)</f>
        <v/>
      </c>
      <c r="R382" s="34" t="str">
        <f>IF(K382="","",IF(Q382&lt;&gt;"Ja","Ej aktuell",IF(P382="SAKNAS","NY KLASS",IF(MATCHER!N374&lt;&gt;"Ja",MATCHER!N374,IF(COUNTIF($A$13:$A$220,K382)=0,"NY MATCH","Matchdag finns")))))</f>
        <v/>
      </c>
    </row>
    <row r="383" spans="1:18" ht="13">
      <c r="A383" s="1"/>
      <c r="B383" s="1"/>
      <c r="C383" s="1"/>
      <c r="D383" s="1"/>
      <c r="E383" s="1"/>
      <c r="F383" s="1"/>
      <c r="G383" s="1"/>
      <c r="H383" s="1"/>
      <c r="I383" s="1"/>
      <c r="J383" s="1"/>
      <c r="K383" s="34" t="str">
        <f>IF(MATCHER!A375="","",MATCHER!A375)</f>
        <v/>
      </c>
      <c r="L383" s="91" t="str">
        <f>IF(MATCHER!B375="","",MATCHER!B375)</f>
        <v/>
      </c>
      <c r="M383" s="92" t="str">
        <f>IF(MATCHER!C375="","",MATCHER!C375)</f>
        <v/>
      </c>
      <c r="N383" s="34" t="str">
        <f>IF(MATCHER!D375="","",MATCHER!D375)</f>
        <v/>
      </c>
      <c r="O383" s="34" t="str">
        <f>IF(MATCHER!E375="","",MATCHER!E375)</f>
        <v/>
      </c>
      <c r="P383" s="34" t="str">
        <f>IF(MATCHER!F375="","",MATCHER!F375)</f>
        <v/>
      </c>
      <c r="Q383" s="34" t="str">
        <f>IF(MATCHER!K375="","",MATCHER!K375)</f>
        <v/>
      </c>
      <c r="R383" s="34" t="str">
        <f>IF(K383="","",IF(Q383&lt;&gt;"Ja","Ej aktuell",IF(P383="SAKNAS","NY KLASS",IF(MATCHER!N375&lt;&gt;"Ja",MATCHER!N375,IF(COUNTIF($A$13:$A$220,K383)=0,"NY MATCH","Matchdag finns")))))</f>
        <v/>
      </c>
    </row>
    <row r="384" spans="1:18" ht="13">
      <c r="A384" s="1"/>
      <c r="B384" s="1"/>
      <c r="C384" s="1"/>
      <c r="D384" s="1"/>
      <c r="E384" s="1"/>
      <c r="F384" s="1"/>
      <c r="G384" s="1"/>
      <c r="H384" s="1"/>
      <c r="I384" s="1"/>
      <c r="J384" s="1"/>
      <c r="K384" s="34" t="str">
        <f>IF(MATCHER!A376="","",MATCHER!A376)</f>
        <v/>
      </c>
      <c r="L384" s="91" t="str">
        <f>IF(MATCHER!B376="","",MATCHER!B376)</f>
        <v/>
      </c>
      <c r="M384" s="92" t="str">
        <f>IF(MATCHER!C376="","",MATCHER!C376)</f>
        <v/>
      </c>
      <c r="N384" s="34" t="str">
        <f>IF(MATCHER!D376="","",MATCHER!D376)</f>
        <v/>
      </c>
      <c r="O384" s="34" t="str">
        <f>IF(MATCHER!E376="","",MATCHER!E376)</f>
        <v/>
      </c>
      <c r="P384" s="34" t="str">
        <f>IF(MATCHER!F376="","",MATCHER!F376)</f>
        <v/>
      </c>
      <c r="Q384" s="34" t="str">
        <f>IF(MATCHER!K376="","",MATCHER!K376)</f>
        <v/>
      </c>
      <c r="R384" s="34" t="str">
        <f>IF(K384="","",IF(Q384&lt;&gt;"Ja","Ej aktuell",IF(P384="SAKNAS","NY KLASS",IF(MATCHER!N376&lt;&gt;"Ja",MATCHER!N376,IF(COUNTIF($A$13:$A$220,K384)=0,"NY MATCH","Matchdag finns")))))</f>
        <v/>
      </c>
    </row>
    <row r="385" spans="1:18" ht="13">
      <c r="A385" s="1"/>
      <c r="B385" s="1"/>
      <c r="C385" s="1"/>
      <c r="D385" s="1"/>
      <c r="E385" s="1"/>
      <c r="F385" s="1"/>
      <c r="G385" s="1"/>
      <c r="H385" s="1"/>
      <c r="I385" s="1"/>
      <c r="J385" s="1"/>
      <c r="K385" s="34" t="str">
        <f>IF(MATCHER!A377="","",MATCHER!A377)</f>
        <v/>
      </c>
      <c r="L385" s="91" t="str">
        <f>IF(MATCHER!B377="","",MATCHER!B377)</f>
        <v/>
      </c>
      <c r="M385" s="92" t="str">
        <f>IF(MATCHER!C377="","",MATCHER!C377)</f>
        <v/>
      </c>
      <c r="N385" s="34" t="str">
        <f>IF(MATCHER!D377="","",MATCHER!D377)</f>
        <v/>
      </c>
      <c r="O385" s="34" t="str">
        <f>IF(MATCHER!E377="","",MATCHER!E377)</f>
        <v/>
      </c>
      <c r="P385" s="34" t="str">
        <f>IF(MATCHER!F377="","",MATCHER!F377)</f>
        <v/>
      </c>
      <c r="Q385" s="34" t="str">
        <f>IF(MATCHER!K377="","",MATCHER!K377)</f>
        <v/>
      </c>
      <c r="R385" s="34" t="str">
        <f>IF(K385="","",IF(Q385&lt;&gt;"Ja","Ej aktuell",IF(P385="SAKNAS","NY KLASS",IF(MATCHER!N377&lt;&gt;"Ja",MATCHER!N377,IF(COUNTIF($A$13:$A$220,K385)=0,"NY MATCH","Matchdag finns")))))</f>
        <v/>
      </c>
    </row>
    <row r="386" spans="1:18" ht="13">
      <c r="A386" s="1"/>
      <c r="B386" s="1"/>
      <c r="C386" s="1"/>
      <c r="D386" s="1"/>
      <c r="E386" s="1"/>
      <c r="F386" s="1"/>
      <c r="G386" s="1"/>
      <c r="H386" s="1"/>
      <c r="I386" s="1"/>
      <c r="J386" s="1"/>
      <c r="K386" s="34" t="str">
        <f>IF(MATCHER!A378="","",MATCHER!A378)</f>
        <v/>
      </c>
      <c r="L386" s="91" t="str">
        <f>IF(MATCHER!B378="","",MATCHER!B378)</f>
        <v/>
      </c>
      <c r="M386" s="92" t="str">
        <f>IF(MATCHER!C378="","",MATCHER!C378)</f>
        <v/>
      </c>
      <c r="N386" s="34" t="str">
        <f>IF(MATCHER!D378="","",MATCHER!D378)</f>
        <v/>
      </c>
      <c r="O386" s="34" t="str">
        <f>IF(MATCHER!E378="","",MATCHER!E378)</f>
        <v/>
      </c>
      <c r="P386" s="34" t="str">
        <f>IF(MATCHER!F378="","",MATCHER!F378)</f>
        <v/>
      </c>
      <c r="Q386" s="34" t="str">
        <f>IF(MATCHER!K378="","",MATCHER!K378)</f>
        <v/>
      </c>
      <c r="R386" s="34" t="str">
        <f>IF(K386="","",IF(Q386&lt;&gt;"Ja","Ej aktuell",IF(P386="SAKNAS","NY KLASS",IF(MATCHER!N378&lt;&gt;"Ja",MATCHER!N378,IF(COUNTIF($A$13:$A$220,K386)=0,"NY MATCH","Matchdag finns")))))</f>
        <v/>
      </c>
    </row>
    <row r="387" spans="1:18" ht="13">
      <c r="A387" s="1"/>
      <c r="B387" s="1"/>
      <c r="C387" s="1"/>
      <c r="D387" s="1"/>
      <c r="E387" s="1"/>
      <c r="F387" s="1"/>
      <c r="G387" s="1"/>
      <c r="H387" s="1"/>
      <c r="I387" s="1"/>
      <c r="J387" s="1"/>
      <c r="K387" s="34" t="str">
        <f>IF(MATCHER!A379="","",MATCHER!A379)</f>
        <v/>
      </c>
      <c r="L387" s="91" t="str">
        <f>IF(MATCHER!B379="","",MATCHER!B379)</f>
        <v/>
      </c>
      <c r="M387" s="92" t="str">
        <f>IF(MATCHER!C379="","",MATCHER!C379)</f>
        <v/>
      </c>
      <c r="N387" s="34" t="str">
        <f>IF(MATCHER!D379="","",MATCHER!D379)</f>
        <v/>
      </c>
      <c r="O387" s="34" t="str">
        <f>IF(MATCHER!E379="","",MATCHER!E379)</f>
        <v/>
      </c>
      <c r="P387" s="34" t="str">
        <f>IF(MATCHER!F379="","",MATCHER!F379)</f>
        <v/>
      </c>
      <c r="Q387" s="34" t="str">
        <f>IF(MATCHER!K379="","",MATCHER!K379)</f>
        <v/>
      </c>
      <c r="R387" s="34" t="str">
        <f>IF(K387="","",IF(Q387&lt;&gt;"Ja","Ej aktuell",IF(P387="SAKNAS","NY KLASS",IF(MATCHER!N379&lt;&gt;"Ja",MATCHER!N379,IF(COUNTIF($A$13:$A$220,K387)=0,"NY MATCH","Matchdag finns")))))</f>
        <v/>
      </c>
    </row>
    <row r="388" spans="1:18" ht="13">
      <c r="A388" s="1"/>
      <c r="B388" s="1"/>
      <c r="C388" s="1"/>
      <c r="D388" s="1"/>
      <c r="E388" s="1"/>
      <c r="F388" s="1"/>
      <c r="G388" s="1"/>
      <c r="H388" s="1"/>
      <c r="I388" s="1"/>
      <c r="J388" s="1"/>
      <c r="K388" s="34" t="str">
        <f>IF(MATCHER!A380="","",MATCHER!A380)</f>
        <v/>
      </c>
      <c r="L388" s="91" t="str">
        <f>IF(MATCHER!B380="","",MATCHER!B380)</f>
        <v/>
      </c>
      <c r="M388" s="92" t="str">
        <f>IF(MATCHER!C380="","",MATCHER!C380)</f>
        <v/>
      </c>
      <c r="N388" s="34" t="str">
        <f>IF(MATCHER!D380="","",MATCHER!D380)</f>
        <v/>
      </c>
      <c r="O388" s="34" t="str">
        <f>IF(MATCHER!E380="","",MATCHER!E380)</f>
        <v/>
      </c>
      <c r="P388" s="34" t="str">
        <f>IF(MATCHER!F380="","",MATCHER!F380)</f>
        <v/>
      </c>
      <c r="Q388" s="34" t="str">
        <f>IF(MATCHER!K380="","",MATCHER!K380)</f>
        <v/>
      </c>
      <c r="R388" s="34" t="str">
        <f>IF(K388="","",IF(Q388&lt;&gt;"Ja","Ej aktuell",IF(P388="SAKNAS","NY KLASS",IF(MATCHER!N380&lt;&gt;"Ja",MATCHER!N380,IF(COUNTIF($A$13:$A$220,K388)=0,"NY MATCH","Matchdag finns")))))</f>
        <v/>
      </c>
    </row>
    <row r="389" spans="1:18" ht="13">
      <c r="A389" s="1"/>
      <c r="B389" s="1"/>
      <c r="C389" s="1"/>
      <c r="D389" s="1"/>
      <c r="E389" s="1"/>
      <c r="F389" s="1"/>
      <c r="G389" s="1"/>
      <c r="H389" s="1"/>
      <c r="I389" s="1"/>
      <c r="J389" s="1"/>
      <c r="K389" s="34" t="str">
        <f>IF(MATCHER!A381="","",MATCHER!A381)</f>
        <v/>
      </c>
      <c r="L389" s="91" t="str">
        <f>IF(MATCHER!B381="","",MATCHER!B381)</f>
        <v/>
      </c>
      <c r="M389" s="92" t="str">
        <f>IF(MATCHER!C381="","",MATCHER!C381)</f>
        <v/>
      </c>
      <c r="N389" s="34" t="str">
        <f>IF(MATCHER!D381="","",MATCHER!D381)</f>
        <v/>
      </c>
      <c r="O389" s="34" t="str">
        <f>IF(MATCHER!E381="","",MATCHER!E381)</f>
        <v/>
      </c>
      <c r="P389" s="34" t="str">
        <f>IF(MATCHER!F381="","",MATCHER!F381)</f>
        <v/>
      </c>
      <c r="Q389" s="34" t="str">
        <f>IF(MATCHER!K381="","",MATCHER!K381)</f>
        <v/>
      </c>
      <c r="R389" s="34" t="str">
        <f>IF(K389="","",IF(Q389&lt;&gt;"Ja","Ej aktuell",IF(P389="SAKNAS","NY KLASS",IF(MATCHER!N381&lt;&gt;"Ja",MATCHER!N381,IF(COUNTIF($A$13:$A$220,K389)=0,"NY MATCH","Matchdag finns")))))</f>
        <v/>
      </c>
    </row>
    <row r="390" spans="1:18" ht="13">
      <c r="A390" s="1"/>
      <c r="B390" s="1"/>
      <c r="C390" s="1"/>
      <c r="D390" s="1"/>
      <c r="E390" s="1"/>
      <c r="F390" s="1"/>
      <c r="G390" s="1"/>
      <c r="H390" s="1"/>
      <c r="I390" s="1"/>
      <c r="J390" s="1"/>
      <c r="K390" s="34" t="str">
        <f>IF(MATCHER!A382="","",MATCHER!A382)</f>
        <v/>
      </c>
      <c r="L390" s="91" t="str">
        <f>IF(MATCHER!B382="","",MATCHER!B382)</f>
        <v/>
      </c>
      <c r="M390" s="92" t="str">
        <f>IF(MATCHER!C382="","",MATCHER!C382)</f>
        <v/>
      </c>
      <c r="N390" s="34" t="str">
        <f>IF(MATCHER!D382="","",MATCHER!D382)</f>
        <v/>
      </c>
      <c r="O390" s="34" t="str">
        <f>IF(MATCHER!E382="","",MATCHER!E382)</f>
        <v/>
      </c>
      <c r="P390" s="34" t="str">
        <f>IF(MATCHER!F382="","",MATCHER!F382)</f>
        <v/>
      </c>
      <c r="Q390" s="34" t="str">
        <f>IF(MATCHER!K382="","",MATCHER!K382)</f>
        <v/>
      </c>
      <c r="R390" s="34" t="str">
        <f>IF(K390="","",IF(Q390&lt;&gt;"Ja","Ej aktuell",IF(P390="SAKNAS","NY KLASS",IF(MATCHER!N382&lt;&gt;"Ja",MATCHER!N382,IF(COUNTIF($A$13:$A$220,K390)=0,"NY MATCH","Matchdag finns")))))</f>
        <v/>
      </c>
    </row>
    <row r="391" spans="1:18" ht="13">
      <c r="A391" s="1"/>
      <c r="B391" s="1"/>
      <c r="C391" s="1"/>
      <c r="D391" s="1"/>
      <c r="E391" s="1"/>
      <c r="F391" s="1"/>
      <c r="G391" s="1"/>
      <c r="H391" s="1"/>
      <c r="I391" s="1"/>
      <c r="J391" s="1"/>
      <c r="K391" s="34" t="str">
        <f>IF(MATCHER!A383="","",MATCHER!A383)</f>
        <v/>
      </c>
      <c r="L391" s="91" t="str">
        <f>IF(MATCHER!B383="","",MATCHER!B383)</f>
        <v/>
      </c>
      <c r="M391" s="92" t="str">
        <f>IF(MATCHER!C383="","",MATCHER!C383)</f>
        <v/>
      </c>
      <c r="N391" s="34" t="str">
        <f>IF(MATCHER!D383="","",MATCHER!D383)</f>
        <v/>
      </c>
      <c r="O391" s="34" t="str">
        <f>IF(MATCHER!E383="","",MATCHER!E383)</f>
        <v/>
      </c>
      <c r="P391" s="34" t="str">
        <f>IF(MATCHER!F383="","",MATCHER!F383)</f>
        <v/>
      </c>
      <c r="Q391" s="34" t="str">
        <f>IF(MATCHER!K383="","",MATCHER!K383)</f>
        <v/>
      </c>
      <c r="R391" s="34" t="str">
        <f>IF(K391="","",IF(Q391&lt;&gt;"Ja","Ej aktuell",IF(P391="SAKNAS","NY KLASS",IF(MATCHER!N383&lt;&gt;"Ja",MATCHER!N383,IF(COUNTIF($A$13:$A$220,K391)=0,"NY MATCH","Matchdag finns")))))</f>
        <v/>
      </c>
    </row>
    <row r="392" spans="1:18" ht="13">
      <c r="A392" s="1"/>
      <c r="B392" s="1"/>
      <c r="C392" s="1"/>
      <c r="D392" s="1"/>
      <c r="E392" s="1"/>
      <c r="F392" s="1"/>
      <c r="G392" s="1"/>
      <c r="H392" s="1"/>
      <c r="I392" s="1"/>
      <c r="J392" s="1"/>
      <c r="K392" s="34" t="str">
        <f>IF(MATCHER!A384="","",MATCHER!A384)</f>
        <v/>
      </c>
      <c r="L392" s="91" t="str">
        <f>IF(MATCHER!B384="","",MATCHER!B384)</f>
        <v/>
      </c>
      <c r="M392" s="92" t="str">
        <f>IF(MATCHER!C384="","",MATCHER!C384)</f>
        <v/>
      </c>
      <c r="N392" s="34" t="str">
        <f>IF(MATCHER!D384="","",MATCHER!D384)</f>
        <v/>
      </c>
      <c r="O392" s="34" t="str">
        <f>IF(MATCHER!E384="","",MATCHER!E384)</f>
        <v/>
      </c>
      <c r="P392" s="34" t="str">
        <f>IF(MATCHER!F384="","",MATCHER!F384)</f>
        <v/>
      </c>
      <c r="Q392" s="34" t="str">
        <f>IF(MATCHER!K384="","",MATCHER!K384)</f>
        <v/>
      </c>
      <c r="R392" s="34" t="str">
        <f>IF(K392="","",IF(Q392&lt;&gt;"Ja","Ej aktuell",IF(P392="SAKNAS","NY KLASS",IF(MATCHER!N384&lt;&gt;"Ja",MATCHER!N384,IF(COUNTIF($A$13:$A$220,K392)=0,"NY MATCH","Matchdag finns")))))</f>
        <v/>
      </c>
    </row>
    <row r="393" spans="1:18" ht="13">
      <c r="A393" s="1"/>
      <c r="B393" s="1"/>
      <c r="C393" s="1"/>
      <c r="D393" s="1"/>
      <c r="E393" s="1"/>
      <c r="F393" s="1"/>
      <c r="G393" s="1"/>
      <c r="H393" s="1"/>
      <c r="I393" s="1"/>
      <c r="J393" s="1"/>
      <c r="K393" s="34" t="str">
        <f>IF(MATCHER!A385="","",MATCHER!A385)</f>
        <v/>
      </c>
      <c r="L393" s="91" t="str">
        <f>IF(MATCHER!B385="","",MATCHER!B385)</f>
        <v/>
      </c>
      <c r="M393" s="92" t="str">
        <f>IF(MATCHER!C385="","",MATCHER!C385)</f>
        <v/>
      </c>
      <c r="N393" s="34" t="str">
        <f>IF(MATCHER!D385="","",MATCHER!D385)</f>
        <v/>
      </c>
      <c r="O393" s="34" t="str">
        <f>IF(MATCHER!E385="","",MATCHER!E385)</f>
        <v/>
      </c>
      <c r="P393" s="34" t="str">
        <f>IF(MATCHER!F385="","",MATCHER!F385)</f>
        <v/>
      </c>
      <c r="Q393" s="34" t="str">
        <f>IF(MATCHER!K385="","",MATCHER!K385)</f>
        <v/>
      </c>
      <c r="R393" s="34" t="str">
        <f>IF(K393="","",IF(Q393&lt;&gt;"Ja","Ej aktuell",IF(P393="SAKNAS","NY KLASS",IF(MATCHER!N385&lt;&gt;"Ja",MATCHER!N385,IF(COUNTIF($A$13:$A$220,K393)=0,"NY MATCH","Matchdag finns")))))</f>
        <v/>
      </c>
    </row>
    <row r="394" spans="1:18" ht="13">
      <c r="A394" s="1"/>
      <c r="B394" s="1"/>
      <c r="C394" s="1"/>
      <c r="D394" s="1"/>
      <c r="E394" s="1"/>
      <c r="F394" s="1"/>
      <c r="G394" s="1"/>
      <c r="H394" s="1"/>
      <c r="I394" s="1"/>
      <c r="J394" s="1"/>
      <c r="K394" s="34" t="str">
        <f>IF(MATCHER!A386="","",MATCHER!A386)</f>
        <v/>
      </c>
      <c r="L394" s="91" t="str">
        <f>IF(MATCHER!B386="","",MATCHER!B386)</f>
        <v/>
      </c>
      <c r="M394" s="92" t="str">
        <f>IF(MATCHER!C386="","",MATCHER!C386)</f>
        <v/>
      </c>
      <c r="N394" s="34" t="str">
        <f>IF(MATCHER!D386="","",MATCHER!D386)</f>
        <v/>
      </c>
      <c r="O394" s="34" t="str">
        <f>IF(MATCHER!E386="","",MATCHER!E386)</f>
        <v/>
      </c>
      <c r="P394" s="34" t="str">
        <f>IF(MATCHER!F386="","",MATCHER!F386)</f>
        <v/>
      </c>
      <c r="Q394" s="34" t="str">
        <f>IF(MATCHER!K386="","",MATCHER!K386)</f>
        <v/>
      </c>
      <c r="R394" s="34" t="str">
        <f>IF(K394="","",IF(Q394&lt;&gt;"Ja","Ej aktuell",IF(P394="SAKNAS","NY KLASS",IF(MATCHER!N386&lt;&gt;"Ja",MATCHER!N386,IF(COUNTIF($A$13:$A$220,K394)=0,"NY MATCH","Matchdag finns")))))</f>
        <v/>
      </c>
    </row>
    <row r="395" spans="1:18" ht="13">
      <c r="A395" s="1"/>
      <c r="B395" s="1"/>
      <c r="C395" s="1"/>
      <c r="D395" s="1"/>
      <c r="E395" s="1"/>
      <c r="F395" s="1"/>
      <c r="G395" s="1"/>
      <c r="H395" s="1"/>
      <c r="I395" s="1"/>
      <c r="J395" s="1"/>
      <c r="K395" s="34" t="str">
        <f>IF(MATCHER!A387="","",MATCHER!A387)</f>
        <v/>
      </c>
      <c r="L395" s="91" t="str">
        <f>IF(MATCHER!B387="","",MATCHER!B387)</f>
        <v/>
      </c>
      <c r="M395" s="92" t="str">
        <f>IF(MATCHER!C387="","",MATCHER!C387)</f>
        <v/>
      </c>
      <c r="N395" s="34" t="str">
        <f>IF(MATCHER!D387="","",MATCHER!D387)</f>
        <v/>
      </c>
      <c r="O395" s="34" t="str">
        <f>IF(MATCHER!E387="","",MATCHER!E387)</f>
        <v/>
      </c>
      <c r="P395" s="34" t="str">
        <f>IF(MATCHER!F387="","",MATCHER!F387)</f>
        <v/>
      </c>
      <c r="Q395" s="34" t="str">
        <f>IF(MATCHER!K387="","",MATCHER!K387)</f>
        <v/>
      </c>
      <c r="R395" s="34" t="str">
        <f>IF(K395="","",IF(Q395&lt;&gt;"Ja","Ej aktuell",IF(P395="SAKNAS","NY KLASS",IF(MATCHER!N387&lt;&gt;"Ja",MATCHER!N387,IF(COUNTIF($A$13:$A$220,K395)=0,"NY MATCH","Matchdag finns")))))</f>
        <v/>
      </c>
    </row>
    <row r="396" spans="1:18" ht="13">
      <c r="A396" s="1"/>
      <c r="B396" s="1"/>
      <c r="C396" s="1"/>
      <c r="D396" s="1"/>
      <c r="E396" s="1"/>
      <c r="F396" s="1"/>
      <c r="G396" s="1"/>
      <c r="H396" s="1"/>
      <c r="I396" s="1"/>
      <c r="J396" s="1"/>
      <c r="K396" s="34" t="str">
        <f>IF(MATCHER!A388="","",MATCHER!A388)</f>
        <v/>
      </c>
      <c r="L396" s="91" t="str">
        <f>IF(MATCHER!B388="","",MATCHER!B388)</f>
        <v/>
      </c>
      <c r="M396" s="92" t="str">
        <f>IF(MATCHER!C388="","",MATCHER!C388)</f>
        <v/>
      </c>
      <c r="N396" s="34" t="str">
        <f>IF(MATCHER!D388="","",MATCHER!D388)</f>
        <v/>
      </c>
      <c r="O396" s="34" t="str">
        <f>IF(MATCHER!E388="","",MATCHER!E388)</f>
        <v/>
      </c>
      <c r="P396" s="34" t="str">
        <f>IF(MATCHER!F388="","",MATCHER!F388)</f>
        <v/>
      </c>
      <c r="Q396" s="34" t="str">
        <f>IF(MATCHER!K388="","",MATCHER!K388)</f>
        <v/>
      </c>
      <c r="R396" s="34" t="str">
        <f>IF(K396="","",IF(Q396&lt;&gt;"Ja","Ej aktuell",IF(P396="SAKNAS","NY KLASS",IF(MATCHER!N388&lt;&gt;"Ja",MATCHER!N388,IF(COUNTIF($A$13:$A$220,K396)=0,"NY MATCH","Matchdag finns")))))</f>
        <v/>
      </c>
    </row>
    <row r="397" spans="1:18" ht="13">
      <c r="A397" s="1"/>
      <c r="B397" s="1"/>
      <c r="C397" s="1"/>
      <c r="D397" s="1"/>
      <c r="E397" s="1"/>
      <c r="F397" s="1"/>
      <c r="G397" s="1"/>
      <c r="H397" s="1"/>
      <c r="I397" s="1"/>
      <c r="J397" s="1"/>
      <c r="K397" s="34" t="str">
        <f>IF(MATCHER!A389="","",MATCHER!A389)</f>
        <v/>
      </c>
      <c r="L397" s="91" t="str">
        <f>IF(MATCHER!B389="","",MATCHER!B389)</f>
        <v/>
      </c>
      <c r="M397" s="92" t="str">
        <f>IF(MATCHER!C389="","",MATCHER!C389)</f>
        <v/>
      </c>
      <c r="N397" s="34" t="str">
        <f>IF(MATCHER!D389="","",MATCHER!D389)</f>
        <v/>
      </c>
      <c r="O397" s="34" t="str">
        <f>IF(MATCHER!E389="","",MATCHER!E389)</f>
        <v/>
      </c>
      <c r="P397" s="34" t="str">
        <f>IF(MATCHER!F389="","",MATCHER!F389)</f>
        <v/>
      </c>
      <c r="Q397" s="34" t="str">
        <f>IF(MATCHER!K389="","",MATCHER!K389)</f>
        <v/>
      </c>
      <c r="R397" s="34" t="str">
        <f>IF(K397="","",IF(Q397&lt;&gt;"Ja","Ej aktuell",IF(P397="SAKNAS","NY KLASS",IF(MATCHER!N389&lt;&gt;"Ja",MATCHER!N389,IF(COUNTIF($A$13:$A$220,K397)=0,"NY MATCH","Matchdag finns")))))</f>
        <v/>
      </c>
    </row>
    <row r="398" spans="1:18" ht="13">
      <c r="A398" s="1"/>
      <c r="B398" s="1"/>
      <c r="C398" s="1"/>
      <c r="D398" s="1"/>
      <c r="E398" s="1"/>
      <c r="F398" s="1"/>
      <c r="G398" s="1"/>
      <c r="H398" s="1"/>
      <c r="I398" s="1"/>
      <c r="J398" s="1"/>
      <c r="K398" s="34" t="str">
        <f>IF(MATCHER!A390="","",MATCHER!A390)</f>
        <v/>
      </c>
      <c r="L398" s="91" t="str">
        <f>IF(MATCHER!B390="","",MATCHER!B390)</f>
        <v/>
      </c>
      <c r="M398" s="92" t="str">
        <f>IF(MATCHER!C390="","",MATCHER!C390)</f>
        <v/>
      </c>
      <c r="N398" s="34" t="str">
        <f>IF(MATCHER!D390="","",MATCHER!D390)</f>
        <v/>
      </c>
      <c r="O398" s="34" t="str">
        <f>IF(MATCHER!E390="","",MATCHER!E390)</f>
        <v/>
      </c>
      <c r="P398" s="34" t="str">
        <f>IF(MATCHER!F390="","",MATCHER!F390)</f>
        <v/>
      </c>
      <c r="Q398" s="34" t="str">
        <f>IF(MATCHER!K390="","",MATCHER!K390)</f>
        <v/>
      </c>
      <c r="R398" s="34" t="str">
        <f>IF(K398="","",IF(Q398&lt;&gt;"Ja","Ej aktuell",IF(P398="SAKNAS","NY KLASS",IF(MATCHER!N390&lt;&gt;"Ja",MATCHER!N390,IF(COUNTIF($A$13:$A$220,K398)=0,"NY MATCH","Matchdag finns")))))</f>
        <v/>
      </c>
    </row>
    <row r="399" spans="1:18" ht="13">
      <c r="A399" s="1"/>
      <c r="B399" s="1"/>
      <c r="C399" s="1"/>
      <c r="D399" s="1"/>
      <c r="E399" s="1"/>
      <c r="F399" s="1"/>
      <c r="G399" s="1"/>
      <c r="H399" s="1"/>
      <c r="I399" s="1"/>
      <c r="J399" s="1"/>
      <c r="K399" s="34" t="str">
        <f>IF(MATCHER!A391="","",MATCHER!A391)</f>
        <v/>
      </c>
      <c r="L399" s="91" t="str">
        <f>IF(MATCHER!B391="","",MATCHER!B391)</f>
        <v/>
      </c>
      <c r="M399" s="92" t="str">
        <f>IF(MATCHER!C391="","",MATCHER!C391)</f>
        <v/>
      </c>
      <c r="N399" s="34" t="str">
        <f>IF(MATCHER!D391="","",MATCHER!D391)</f>
        <v/>
      </c>
      <c r="O399" s="34" t="str">
        <f>IF(MATCHER!E391="","",MATCHER!E391)</f>
        <v/>
      </c>
      <c r="P399" s="34" t="str">
        <f>IF(MATCHER!F391="","",MATCHER!F391)</f>
        <v/>
      </c>
      <c r="Q399" s="34" t="str">
        <f>IF(MATCHER!K391="","",MATCHER!K391)</f>
        <v/>
      </c>
      <c r="R399" s="34" t="str">
        <f>IF(K399="","",IF(Q399&lt;&gt;"Ja","Ej aktuell",IF(P399="SAKNAS","NY KLASS",IF(MATCHER!N391&lt;&gt;"Ja",MATCHER!N391,IF(COUNTIF($A$13:$A$220,K399)=0,"NY MATCH","Matchdag finns")))))</f>
        <v/>
      </c>
    </row>
    <row r="400" spans="1:18" ht="13">
      <c r="A400" s="1"/>
      <c r="B400" s="1"/>
      <c r="C400" s="1"/>
      <c r="D400" s="1"/>
      <c r="E400" s="1"/>
      <c r="F400" s="1"/>
      <c r="G400" s="1"/>
      <c r="H400" s="1"/>
      <c r="I400" s="1"/>
      <c r="J400" s="1"/>
      <c r="K400" s="34" t="str">
        <f>IF(MATCHER!A392="","",MATCHER!A392)</f>
        <v/>
      </c>
      <c r="L400" s="91" t="str">
        <f>IF(MATCHER!B392="","",MATCHER!B392)</f>
        <v/>
      </c>
      <c r="M400" s="92" t="str">
        <f>IF(MATCHER!C392="","",MATCHER!C392)</f>
        <v/>
      </c>
      <c r="N400" s="34" t="str">
        <f>IF(MATCHER!D392="","",MATCHER!D392)</f>
        <v/>
      </c>
      <c r="O400" s="34" t="str">
        <f>IF(MATCHER!E392="","",MATCHER!E392)</f>
        <v/>
      </c>
      <c r="P400" s="34" t="str">
        <f>IF(MATCHER!F392="","",MATCHER!F392)</f>
        <v/>
      </c>
      <c r="Q400" s="34" t="str">
        <f>IF(MATCHER!K392="","",MATCHER!K392)</f>
        <v/>
      </c>
      <c r="R400" s="34" t="str">
        <f>IF(K400="","",IF(Q400&lt;&gt;"Ja","Ej aktuell",IF(P400="SAKNAS","NY KLASS",IF(MATCHER!N392&lt;&gt;"Ja",MATCHER!N392,IF(COUNTIF($A$13:$A$220,K400)=0,"NY MATCH","Matchdag finns")))))</f>
        <v/>
      </c>
    </row>
    <row r="401" spans="1:18" ht="13">
      <c r="A401" s="1"/>
      <c r="B401" s="1"/>
      <c r="C401" s="1"/>
      <c r="D401" s="1"/>
      <c r="E401" s="1"/>
      <c r="F401" s="1"/>
      <c r="G401" s="1"/>
      <c r="H401" s="1"/>
      <c r="I401" s="1"/>
      <c r="J401" s="1"/>
      <c r="K401" s="34" t="str">
        <f>IF(MATCHER!A393="","",MATCHER!A393)</f>
        <v/>
      </c>
      <c r="L401" s="91" t="str">
        <f>IF(MATCHER!B393="","",MATCHER!B393)</f>
        <v/>
      </c>
      <c r="M401" s="92" t="str">
        <f>IF(MATCHER!C393="","",MATCHER!C393)</f>
        <v/>
      </c>
      <c r="N401" s="34" t="str">
        <f>IF(MATCHER!D393="","",MATCHER!D393)</f>
        <v/>
      </c>
      <c r="O401" s="34" t="str">
        <f>IF(MATCHER!E393="","",MATCHER!E393)</f>
        <v/>
      </c>
      <c r="P401" s="34" t="str">
        <f>IF(MATCHER!F393="","",MATCHER!F393)</f>
        <v/>
      </c>
      <c r="Q401" s="34" t="str">
        <f>IF(MATCHER!K393="","",MATCHER!K393)</f>
        <v/>
      </c>
      <c r="R401" s="34" t="str">
        <f>IF(K401="","",IF(Q401&lt;&gt;"Ja","Ej aktuell",IF(P401="SAKNAS","NY KLASS",IF(MATCHER!N393&lt;&gt;"Ja",MATCHER!N393,IF(COUNTIF($A$13:$A$220,K401)=0,"NY MATCH","Matchdag finns")))))</f>
        <v/>
      </c>
    </row>
    <row r="402" spans="1:18" ht="13">
      <c r="A402" s="1"/>
      <c r="B402" s="1"/>
      <c r="C402" s="1"/>
      <c r="D402" s="1"/>
      <c r="E402" s="1"/>
      <c r="F402" s="1"/>
      <c r="G402" s="1"/>
      <c r="H402" s="1"/>
      <c r="I402" s="1"/>
      <c r="J402" s="1"/>
      <c r="K402" s="34" t="str">
        <f>IF(MATCHER!A394="","",MATCHER!A394)</f>
        <v/>
      </c>
      <c r="L402" s="91" t="str">
        <f>IF(MATCHER!B394="","",MATCHER!B394)</f>
        <v/>
      </c>
      <c r="M402" s="92" t="str">
        <f>IF(MATCHER!C394="","",MATCHER!C394)</f>
        <v/>
      </c>
      <c r="N402" s="34" t="str">
        <f>IF(MATCHER!D394="","",MATCHER!D394)</f>
        <v/>
      </c>
      <c r="O402" s="34" t="str">
        <f>IF(MATCHER!E394="","",MATCHER!E394)</f>
        <v/>
      </c>
      <c r="P402" s="34" t="str">
        <f>IF(MATCHER!F394="","",MATCHER!F394)</f>
        <v/>
      </c>
      <c r="Q402" s="34" t="str">
        <f>IF(MATCHER!K394="","",MATCHER!K394)</f>
        <v/>
      </c>
      <c r="R402" s="34" t="str">
        <f>IF(K402="","",IF(Q402&lt;&gt;"Ja","Ej aktuell",IF(P402="SAKNAS","NY KLASS",IF(MATCHER!N394&lt;&gt;"Ja",MATCHER!N394,IF(COUNTIF($A$13:$A$220,K402)=0,"NY MATCH","Matchdag finns")))))</f>
        <v/>
      </c>
    </row>
    <row r="403" spans="1:18" ht="13">
      <c r="A403" s="1"/>
      <c r="B403" s="1"/>
      <c r="C403" s="1"/>
      <c r="D403" s="1"/>
      <c r="E403" s="1"/>
      <c r="F403" s="1"/>
      <c r="G403" s="1"/>
      <c r="H403" s="1"/>
      <c r="I403" s="1"/>
      <c r="J403" s="1"/>
      <c r="K403" s="34" t="str">
        <f>IF(MATCHER!A395="","",MATCHER!A395)</f>
        <v/>
      </c>
      <c r="L403" s="91" t="str">
        <f>IF(MATCHER!B395="","",MATCHER!B395)</f>
        <v/>
      </c>
      <c r="M403" s="92" t="str">
        <f>IF(MATCHER!C395="","",MATCHER!C395)</f>
        <v/>
      </c>
      <c r="N403" s="34" t="str">
        <f>IF(MATCHER!D395="","",MATCHER!D395)</f>
        <v/>
      </c>
      <c r="O403" s="34" t="str">
        <f>IF(MATCHER!E395="","",MATCHER!E395)</f>
        <v/>
      </c>
      <c r="P403" s="34" t="str">
        <f>IF(MATCHER!F395="","",MATCHER!F395)</f>
        <v/>
      </c>
      <c r="Q403" s="34" t="str">
        <f>IF(MATCHER!K395="","",MATCHER!K395)</f>
        <v/>
      </c>
      <c r="R403" s="34" t="str">
        <f>IF(K403="","",IF(Q403&lt;&gt;"Ja","Ej aktuell",IF(P403="SAKNAS","NY KLASS",IF(MATCHER!N395&lt;&gt;"Ja",MATCHER!N395,IF(COUNTIF($A$13:$A$220,K403)=0,"NY MATCH","Matchdag finns")))))</f>
        <v/>
      </c>
    </row>
    <row r="404" spans="1:18" ht="13">
      <c r="A404" s="1"/>
      <c r="B404" s="1"/>
      <c r="C404" s="1"/>
      <c r="D404" s="1"/>
      <c r="E404" s="1"/>
      <c r="F404" s="1"/>
      <c r="G404" s="1"/>
      <c r="H404" s="1"/>
      <c r="I404" s="1"/>
      <c r="J404" s="1"/>
      <c r="K404" s="34" t="str">
        <f>IF(MATCHER!A396="","",MATCHER!A396)</f>
        <v/>
      </c>
      <c r="L404" s="91" t="str">
        <f>IF(MATCHER!B396="","",MATCHER!B396)</f>
        <v/>
      </c>
      <c r="M404" s="92" t="str">
        <f>IF(MATCHER!C396="","",MATCHER!C396)</f>
        <v/>
      </c>
      <c r="N404" s="34" t="str">
        <f>IF(MATCHER!D396="","",MATCHER!D396)</f>
        <v/>
      </c>
      <c r="O404" s="34" t="str">
        <f>IF(MATCHER!E396="","",MATCHER!E396)</f>
        <v/>
      </c>
      <c r="P404" s="34" t="str">
        <f>IF(MATCHER!F396="","",MATCHER!F396)</f>
        <v/>
      </c>
      <c r="Q404" s="34" t="str">
        <f>IF(MATCHER!K396="","",MATCHER!K396)</f>
        <v/>
      </c>
      <c r="R404" s="34" t="str">
        <f>IF(K404="","",IF(Q404&lt;&gt;"Ja","Ej aktuell",IF(P404="SAKNAS","NY KLASS",IF(MATCHER!N396&lt;&gt;"Ja",MATCHER!N396,IF(COUNTIF($A$13:$A$220,K404)=0,"NY MATCH","Matchdag finns")))))</f>
        <v/>
      </c>
    </row>
    <row r="405" spans="1:18" ht="13">
      <c r="A405" s="1"/>
      <c r="B405" s="1"/>
      <c r="C405" s="1"/>
      <c r="D405" s="1"/>
      <c r="E405" s="1"/>
      <c r="F405" s="1"/>
      <c r="G405" s="1"/>
      <c r="H405" s="1"/>
      <c r="I405" s="1"/>
      <c r="J405" s="1"/>
      <c r="K405" s="34" t="str">
        <f>IF(MATCHER!A397="","",MATCHER!A397)</f>
        <v/>
      </c>
      <c r="L405" s="91" t="str">
        <f>IF(MATCHER!B397="","",MATCHER!B397)</f>
        <v/>
      </c>
      <c r="M405" s="92" t="str">
        <f>IF(MATCHER!C397="","",MATCHER!C397)</f>
        <v/>
      </c>
      <c r="N405" s="34" t="str">
        <f>IF(MATCHER!D397="","",MATCHER!D397)</f>
        <v/>
      </c>
      <c r="O405" s="34" t="str">
        <f>IF(MATCHER!E397="","",MATCHER!E397)</f>
        <v/>
      </c>
      <c r="P405" s="34" t="str">
        <f>IF(MATCHER!F397="","",MATCHER!F397)</f>
        <v/>
      </c>
      <c r="Q405" s="34" t="str">
        <f>IF(MATCHER!K397="","",MATCHER!K397)</f>
        <v/>
      </c>
      <c r="R405" s="34" t="str">
        <f>IF(K405="","",IF(Q405&lt;&gt;"Ja","Ej aktuell",IF(P405="SAKNAS","NY KLASS",IF(MATCHER!N397&lt;&gt;"Ja",MATCHER!N397,IF(COUNTIF($A$13:$A$220,K405)=0,"NY MATCH","Matchdag finns")))))</f>
        <v/>
      </c>
    </row>
    <row r="406" spans="1:18" ht="13">
      <c r="A406" s="1"/>
      <c r="B406" s="1"/>
      <c r="C406" s="1"/>
      <c r="D406" s="1"/>
      <c r="E406" s="1"/>
      <c r="F406" s="1"/>
      <c r="G406" s="1"/>
      <c r="H406" s="1"/>
      <c r="I406" s="1"/>
      <c r="J406" s="1"/>
      <c r="K406" s="34" t="str">
        <f>IF(MATCHER!A398="","",MATCHER!A398)</f>
        <v/>
      </c>
      <c r="L406" s="91" t="str">
        <f>IF(MATCHER!B398="","",MATCHER!B398)</f>
        <v/>
      </c>
      <c r="M406" s="92" t="str">
        <f>IF(MATCHER!C398="","",MATCHER!C398)</f>
        <v/>
      </c>
      <c r="N406" s="34" t="str">
        <f>IF(MATCHER!D398="","",MATCHER!D398)</f>
        <v/>
      </c>
      <c r="O406" s="34" t="str">
        <f>IF(MATCHER!E398="","",MATCHER!E398)</f>
        <v/>
      </c>
      <c r="P406" s="34" t="str">
        <f>IF(MATCHER!F398="","",MATCHER!F398)</f>
        <v/>
      </c>
      <c r="Q406" s="34" t="str">
        <f>IF(MATCHER!K398="","",MATCHER!K398)</f>
        <v/>
      </c>
      <c r="R406" s="34" t="str">
        <f>IF(K406="","",IF(Q406&lt;&gt;"Ja","Ej aktuell",IF(P406="SAKNAS","NY KLASS",IF(MATCHER!N398&lt;&gt;"Ja",MATCHER!N398,IF(COUNTIF($A$13:$A$220,K406)=0,"NY MATCH","Matchdag finns")))))</f>
        <v/>
      </c>
    </row>
    <row r="407" spans="1:18" ht="13">
      <c r="A407" s="1"/>
      <c r="B407" s="1"/>
      <c r="C407" s="1"/>
      <c r="D407" s="1"/>
      <c r="E407" s="1"/>
      <c r="F407" s="1"/>
      <c r="G407" s="1"/>
      <c r="H407" s="1"/>
      <c r="I407" s="1"/>
      <c r="J407" s="1"/>
      <c r="K407" s="34" t="str">
        <f>IF(MATCHER!A399="","",MATCHER!A399)</f>
        <v/>
      </c>
      <c r="L407" s="91" t="str">
        <f>IF(MATCHER!B399="","",MATCHER!B399)</f>
        <v/>
      </c>
      <c r="M407" s="92" t="str">
        <f>IF(MATCHER!C399="","",MATCHER!C399)</f>
        <v/>
      </c>
      <c r="N407" s="34" t="str">
        <f>IF(MATCHER!D399="","",MATCHER!D399)</f>
        <v/>
      </c>
      <c r="O407" s="34" t="str">
        <f>IF(MATCHER!E399="","",MATCHER!E399)</f>
        <v/>
      </c>
      <c r="P407" s="34" t="str">
        <f>IF(MATCHER!F399="","",MATCHER!F399)</f>
        <v/>
      </c>
      <c r="Q407" s="34" t="str">
        <f>IF(MATCHER!K399="","",MATCHER!K399)</f>
        <v/>
      </c>
      <c r="R407" s="34" t="str">
        <f>IF(K407="","",IF(Q407&lt;&gt;"Ja","Ej aktuell",IF(P407="SAKNAS","NY KLASS",IF(MATCHER!N399&lt;&gt;"Ja",MATCHER!N399,IF(COUNTIF($A$13:$A$220,K407)=0,"NY MATCH","Matchdag finns")))))</f>
        <v/>
      </c>
    </row>
    <row r="408" spans="1:18" ht="13">
      <c r="A408" s="1"/>
      <c r="B408" s="1"/>
      <c r="C408" s="1"/>
      <c r="D408" s="1"/>
      <c r="E408" s="1"/>
      <c r="F408" s="1"/>
      <c r="G408" s="1"/>
      <c r="H408" s="1"/>
      <c r="I408" s="1"/>
      <c r="J408" s="1"/>
      <c r="K408" s="34" t="str">
        <f>IF(MATCHER!A400="","",MATCHER!A400)</f>
        <v/>
      </c>
      <c r="L408" s="91" t="str">
        <f>IF(MATCHER!B400="","",MATCHER!B400)</f>
        <v/>
      </c>
      <c r="M408" s="92" t="str">
        <f>IF(MATCHER!C400="","",MATCHER!C400)</f>
        <v/>
      </c>
      <c r="N408" s="34" t="str">
        <f>IF(MATCHER!D400="","",MATCHER!D400)</f>
        <v/>
      </c>
      <c r="O408" s="34" t="str">
        <f>IF(MATCHER!E400="","",MATCHER!E400)</f>
        <v/>
      </c>
      <c r="P408" s="34" t="str">
        <f>IF(MATCHER!F400="","",MATCHER!F400)</f>
        <v/>
      </c>
      <c r="Q408" s="34" t="str">
        <f>IF(MATCHER!K400="","",MATCHER!K400)</f>
        <v/>
      </c>
      <c r="R408" s="34" t="str">
        <f>IF(K408="","",IF(Q408&lt;&gt;"Ja","Ej aktuell",IF(P408="SAKNAS","NY KLASS",IF(MATCHER!N400&lt;&gt;"Ja",MATCHER!N400,IF(COUNTIF($A$13:$A$220,K408)=0,"NY MATCH","Matchdag finns")))))</f>
        <v/>
      </c>
    </row>
    <row r="409" spans="1:18" ht="13">
      <c r="A409" s="1"/>
      <c r="B409" s="1"/>
      <c r="C409" s="1"/>
      <c r="D409" s="1"/>
      <c r="E409" s="1"/>
      <c r="F409" s="1"/>
      <c r="G409" s="1"/>
      <c r="H409" s="1"/>
      <c r="I409" s="1"/>
      <c r="J409" s="1"/>
      <c r="K409" s="34" t="str">
        <f>IF(MATCHER!A401="","",MATCHER!A401)</f>
        <v/>
      </c>
      <c r="L409" s="91" t="str">
        <f>IF(MATCHER!B401="","",MATCHER!B401)</f>
        <v/>
      </c>
      <c r="M409" s="92" t="str">
        <f>IF(MATCHER!C401="","",MATCHER!C401)</f>
        <v/>
      </c>
      <c r="N409" s="34" t="str">
        <f>IF(MATCHER!D401="","",MATCHER!D401)</f>
        <v/>
      </c>
      <c r="O409" s="34" t="str">
        <f>IF(MATCHER!E401="","",MATCHER!E401)</f>
        <v/>
      </c>
      <c r="P409" s="34" t="str">
        <f>IF(MATCHER!F401="","",MATCHER!F401)</f>
        <v/>
      </c>
      <c r="Q409" s="34" t="str">
        <f>IF(MATCHER!K401="","",MATCHER!K401)</f>
        <v/>
      </c>
      <c r="R409" s="34" t="str">
        <f>IF(K409="","",IF(Q409&lt;&gt;"Ja","Ej aktuell",IF(P409="SAKNAS","NY KLASS",IF(MATCHER!N401&lt;&gt;"Ja",MATCHER!N401,IF(COUNTIF($A$13:$A$220,K409)=0,"NY MATCH","Matchdag finns")))))</f>
        <v/>
      </c>
    </row>
    <row r="410" spans="1:18" ht="13">
      <c r="A410" s="1"/>
      <c r="B410" s="1"/>
      <c r="C410" s="1"/>
      <c r="D410" s="1"/>
      <c r="E410" s="1"/>
      <c r="F410" s="1"/>
      <c r="G410" s="1"/>
      <c r="H410" s="1"/>
      <c r="I410" s="1"/>
      <c r="J410" s="1"/>
      <c r="K410" s="34" t="str">
        <f>IF(MATCHER!A402="","",MATCHER!A402)</f>
        <v/>
      </c>
      <c r="L410" s="91" t="str">
        <f>IF(MATCHER!B402="","",MATCHER!B402)</f>
        <v/>
      </c>
      <c r="M410" s="92" t="str">
        <f>IF(MATCHER!C402="","",MATCHER!C402)</f>
        <v/>
      </c>
      <c r="N410" s="34" t="str">
        <f>IF(MATCHER!D402="","",MATCHER!D402)</f>
        <v/>
      </c>
      <c r="O410" s="34" t="str">
        <f>IF(MATCHER!E402="","",MATCHER!E402)</f>
        <v/>
      </c>
      <c r="P410" s="34" t="str">
        <f>IF(MATCHER!F402="","",MATCHER!F402)</f>
        <v/>
      </c>
      <c r="Q410" s="34" t="str">
        <f>IF(MATCHER!K402="","",MATCHER!K402)</f>
        <v/>
      </c>
      <c r="R410" s="34" t="str">
        <f>IF(K410="","",IF(Q410&lt;&gt;"Ja","Ej aktuell",IF(P410="SAKNAS","NY KLASS",IF(MATCHER!N402&lt;&gt;"Ja",MATCHER!N402,IF(COUNTIF($A$13:$A$220,K410)=0,"NY MATCH","Matchdag finns")))))</f>
        <v/>
      </c>
    </row>
    <row r="411" spans="1:18" ht="13">
      <c r="A411" s="1"/>
      <c r="B411" s="1"/>
      <c r="C411" s="1"/>
      <c r="D411" s="1"/>
      <c r="E411" s="1"/>
      <c r="F411" s="1"/>
      <c r="G411" s="1"/>
      <c r="H411" s="1"/>
      <c r="I411" s="1"/>
      <c r="J411" s="1"/>
      <c r="K411" s="34" t="str">
        <f>IF(MATCHER!A403="","",MATCHER!A403)</f>
        <v/>
      </c>
      <c r="L411" s="91" t="str">
        <f>IF(MATCHER!B403="","",MATCHER!B403)</f>
        <v/>
      </c>
      <c r="M411" s="92" t="str">
        <f>IF(MATCHER!C403="","",MATCHER!C403)</f>
        <v/>
      </c>
      <c r="N411" s="34" t="str">
        <f>IF(MATCHER!D403="","",MATCHER!D403)</f>
        <v/>
      </c>
      <c r="O411" s="34" t="str">
        <f>IF(MATCHER!E403="","",MATCHER!E403)</f>
        <v/>
      </c>
      <c r="P411" s="34" t="str">
        <f>IF(MATCHER!F403="","",MATCHER!F403)</f>
        <v/>
      </c>
      <c r="Q411" s="34" t="str">
        <f>IF(MATCHER!K403="","",MATCHER!K403)</f>
        <v/>
      </c>
      <c r="R411" s="34" t="str">
        <f>IF(K411="","",IF(Q411&lt;&gt;"Ja","Ej aktuell",IF(P411="SAKNAS","NY KLASS",IF(MATCHER!N403&lt;&gt;"Ja",MATCHER!N403,IF(COUNTIF($A$13:$A$220,K411)=0,"NY MATCH","Matchdag finns")))))</f>
        <v/>
      </c>
    </row>
    <row r="412" spans="1:18" ht="13">
      <c r="A412" s="1"/>
      <c r="B412" s="1"/>
      <c r="C412" s="1"/>
      <c r="D412" s="1"/>
      <c r="E412" s="1"/>
      <c r="F412" s="1"/>
      <c r="G412" s="1"/>
      <c r="H412" s="1"/>
      <c r="I412" s="1"/>
      <c r="J412" s="1"/>
      <c r="K412" s="34" t="str">
        <f>IF(MATCHER!A404="","",MATCHER!A404)</f>
        <v/>
      </c>
      <c r="L412" s="91" t="str">
        <f>IF(MATCHER!B404="","",MATCHER!B404)</f>
        <v/>
      </c>
      <c r="M412" s="92" t="str">
        <f>IF(MATCHER!C404="","",MATCHER!C404)</f>
        <v/>
      </c>
      <c r="N412" s="34" t="str">
        <f>IF(MATCHER!D404="","",MATCHER!D404)</f>
        <v/>
      </c>
      <c r="O412" s="34" t="str">
        <f>IF(MATCHER!E404="","",MATCHER!E404)</f>
        <v/>
      </c>
      <c r="P412" s="34" t="str">
        <f>IF(MATCHER!F404="","",MATCHER!F404)</f>
        <v/>
      </c>
      <c r="Q412" s="34" t="str">
        <f>IF(MATCHER!K404="","",MATCHER!K404)</f>
        <v/>
      </c>
      <c r="R412" s="34" t="str">
        <f>IF(K412="","",IF(Q412&lt;&gt;"Ja","Ej aktuell",IF(P412="SAKNAS","NY KLASS",IF(MATCHER!N404&lt;&gt;"Ja",MATCHER!N404,IF(COUNTIF($A$13:$A$220,K412)=0,"NY MATCH","Matchdag finns")))))</f>
        <v/>
      </c>
    </row>
    <row r="413" spans="1:18" ht="13">
      <c r="A413" s="1"/>
      <c r="B413" s="1"/>
      <c r="C413" s="1"/>
      <c r="D413" s="1"/>
      <c r="E413" s="1"/>
      <c r="F413" s="1"/>
      <c r="G413" s="1"/>
      <c r="H413" s="1"/>
      <c r="I413" s="1"/>
      <c r="J413" s="1"/>
      <c r="K413" s="34" t="str">
        <f>IF(MATCHER!A405="","",MATCHER!A405)</f>
        <v/>
      </c>
      <c r="L413" s="91" t="str">
        <f>IF(MATCHER!B405="","",MATCHER!B405)</f>
        <v/>
      </c>
      <c r="M413" s="92" t="str">
        <f>IF(MATCHER!C405="","",MATCHER!C405)</f>
        <v/>
      </c>
      <c r="N413" s="34" t="str">
        <f>IF(MATCHER!D405="","",MATCHER!D405)</f>
        <v/>
      </c>
      <c r="O413" s="34" t="str">
        <f>IF(MATCHER!E405="","",MATCHER!E405)</f>
        <v/>
      </c>
      <c r="P413" s="34" t="str">
        <f>IF(MATCHER!F405="","",MATCHER!F405)</f>
        <v/>
      </c>
      <c r="Q413" s="34" t="str">
        <f>IF(MATCHER!K405="","",MATCHER!K405)</f>
        <v/>
      </c>
      <c r="R413" s="34" t="str">
        <f>IF(K413="","",IF(Q413&lt;&gt;"Ja","Ej aktuell",IF(P413="SAKNAS","NY KLASS",IF(MATCHER!N405&lt;&gt;"Ja",MATCHER!N405,IF(COUNTIF($A$13:$A$220,K413)=0,"NY MATCH","Matchdag finns")))))</f>
        <v/>
      </c>
    </row>
    <row r="414" spans="1:18" ht="13">
      <c r="A414" s="1"/>
      <c r="B414" s="1"/>
      <c r="C414" s="1"/>
      <c r="D414" s="1"/>
      <c r="E414" s="1"/>
      <c r="F414" s="1"/>
      <c r="G414" s="1"/>
      <c r="H414" s="1"/>
      <c r="I414" s="1"/>
      <c r="J414" s="1"/>
      <c r="K414" s="34" t="str">
        <f>IF(MATCHER!A406="","",MATCHER!A406)</f>
        <v/>
      </c>
      <c r="L414" s="91" t="str">
        <f>IF(MATCHER!B406="","",MATCHER!B406)</f>
        <v/>
      </c>
      <c r="M414" s="92" t="str">
        <f>IF(MATCHER!C406="","",MATCHER!C406)</f>
        <v/>
      </c>
      <c r="N414" s="34" t="str">
        <f>IF(MATCHER!D406="","",MATCHER!D406)</f>
        <v/>
      </c>
      <c r="O414" s="34" t="str">
        <f>IF(MATCHER!E406="","",MATCHER!E406)</f>
        <v/>
      </c>
      <c r="P414" s="34" t="str">
        <f>IF(MATCHER!F406="","",MATCHER!F406)</f>
        <v/>
      </c>
      <c r="Q414" s="34" t="str">
        <f>IF(MATCHER!K406="","",MATCHER!K406)</f>
        <v/>
      </c>
      <c r="R414" s="34" t="str">
        <f>IF(K414="","",IF(Q414&lt;&gt;"Ja","Ej aktuell",IF(P414="SAKNAS","NY KLASS",IF(MATCHER!N406&lt;&gt;"Ja",MATCHER!N406,IF(COUNTIF($A$13:$A$220,K414)=0,"NY MATCH","Matchdag finns")))))</f>
        <v/>
      </c>
    </row>
    <row r="415" spans="1:18" ht="13">
      <c r="A415" s="1"/>
      <c r="B415" s="1"/>
      <c r="C415" s="1"/>
      <c r="D415" s="1"/>
      <c r="E415" s="1"/>
      <c r="F415" s="1"/>
      <c r="G415" s="1"/>
      <c r="H415" s="1"/>
      <c r="I415" s="1"/>
      <c r="J415" s="1"/>
      <c r="K415" s="34" t="str">
        <f>IF(MATCHER!A407="","",MATCHER!A407)</f>
        <v/>
      </c>
      <c r="L415" s="91" t="str">
        <f>IF(MATCHER!B407="","",MATCHER!B407)</f>
        <v/>
      </c>
      <c r="M415" s="92" t="str">
        <f>IF(MATCHER!C407="","",MATCHER!C407)</f>
        <v/>
      </c>
      <c r="N415" s="34" t="str">
        <f>IF(MATCHER!D407="","",MATCHER!D407)</f>
        <v/>
      </c>
      <c r="O415" s="34" t="str">
        <f>IF(MATCHER!E407="","",MATCHER!E407)</f>
        <v/>
      </c>
      <c r="P415" s="34" t="str">
        <f>IF(MATCHER!F407="","",MATCHER!F407)</f>
        <v/>
      </c>
      <c r="Q415" s="34" t="str">
        <f>IF(MATCHER!K407="","",MATCHER!K407)</f>
        <v/>
      </c>
      <c r="R415" s="34" t="str">
        <f>IF(K415="","",IF(Q415&lt;&gt;"Ja","Ej aktuell",IF(P415="SAKNAS","NY KLASS",IF(MATCHER!N407&lt;&gt;"Ja",MATCHER!N407,IF(COUNTIF($A$13:$A$220,K415)=0,"NY MATCH","Matchdag finns")))))</f>
        <v/>
      </c>
    </row>
    <row r="416" spans="1:18" ht="13">
      <c r="A416" s="1"/>
      <c r="B416" s="1"/>
      <c r="C416" s="1"/>
      <c r="D416" s="1"/>
      <c r="E416" s="1"/>
      <c r="F416" s="1"/>
      <c r="G416" s="1"/>
      <c r="H416" s="1"/>
      <c r="I416" s="1"/>
      <c r="J416" s="1"/>
      <c r="K416" s="34" t="str">
        <f>IF(MATCHER!A408="","",MATCHER!A408)</f>
        <v/>
      </c>
      <c r="L416" s="91" t="str">
        <f>IF(MATCHER!B408="","",MATCHER!B408)</f>
        <v/>
      </c>
      <c r="M416" s="92" t="str">
        <f>IF(MATCHER!C408="","",MATCHER!C408)</f>
        <v/>
      </c>
      <c r="N416" s="34" t="str">
        <f>IF(MATCHER!D408="","",MATCHER!D408)</f>
        <v/>
      </c>
      <c r="O416" s="34" t="str">
        <f>IF(MATCHER!E408="","",MATCHER!E408)</f>
        <v/>
      </c>
      <c r="P416" s="34" t="str">
        <f>IF(MATCHER!F408="","",MATCHER!F408)</f>
        <v/>
      </c>
      <c r="Q416" s="34" t="str">
        <f>IF(MATCHER!K408="","",MATCHER!K408)</f>
        <v/>
      </c>
      <c r="R416" s="34" t="str">
        <f>IF(K416="","",IF(Q416&lt;&gt;"Ja","Ej aktuell",IF(P416="SAKNAS","NY KLASS",IF(MATCHER!N408&lt;&gt;"Ja",MATCHER!N408,IF(COUNTIF($A$13:$A$220,K416)=0,"NY MATCH","Matchdag finns")))))</f>
        <v/>
      </c>
    </row>
    <row r="417" spans="1:18" ht="13">
      <c r="A417" s="1"/>
      <c r="B417" s="1"/>
      <c r="C417" s="1"/>
      <c r="D417" s="1"/>
      <c r="E417" s="1"/>
      <c r="F417" s="1"/>
      <c r="G417" s="1"/>
      <c r="H417" s="1"/>
      <c r="I417" s="1"/>
      <c r="J417" s="1"/>
      <c r="K417" s="34" t="str">
        <f>IF(MATCHER!A409="","",MATCHER!A409)</f>
        <v/>
      </c>
      <c r="L417" s="91" t="str">
        <f>IF(MATCHER!B409="","",MATCHER!B409)</f>
        <v/>
      </c>
      <c r="M417" s="92" t="str">
        <f>IF(MATCHER!C409="","",MATCHER!C409)</f>
        <v/>
      </c>
      <c r="N417" s="34" t="str">
        <f>IF(MATCHER!D409="","",MATCHER!D409)</f>
        <v/>
      </c>
      <c r="O417" s="34" t="str">
        <f>IF(MATCHER!E409="","",MATCHER!E409)</f>
        <v/>
      </c>
      <c r="P417" s="34" t="str">
        <f>IF(MATCHER!F409="","",MATCHER!F409)</f>
        <v/>
      </c>
      <c r="Q417" s="34" t="str">
        <f>IF(MATCHER!K409="","",MATCHER!K409)</f>
        <v/>
      </c>
      <c r="R417" s="34" t="str">
        <f>IF(K417="","",IF(Q417&lt;&gt;"Ja","Ej aktuell",IF(P417="SAKNAS","NY KLASS",IF(MATCHER!N409&lt;&gt;"Ja",MATCHER!N409,IF(COUNTIF($A$13:$A$220,K417)=0,"NY MATCH","Matchdag finns")))))</f>
        <v/>
      </c>
    </row>
    <row r="418" spans="1:18" ht="13">
      <c r="A418" s="1"/>
      <c r="B418" s="1"/>
      <c r="C418" s="1"/>
      <c r="D418" s="1"/>
      <c r="E418" s="1"/>
      <c r="F418" s="1"/>
      <c r="G418" s="1"/>
      <c r="H418" s="1"/>
      <c r="I418" s="1"/>
      <c r="J418" s="1"/>
      <c r="K418" s="34" t="str">
        <f>IF(MATCHER!A410="","",MATCHER!A410)</f>
        <v/>
      </c>
      <c r="L418" s="91" t="str">
        <f>IF(MATCHER!B410="","",MATCHER!B410)</f>
        <v/>
      </c>
      <c r="M418" s="92" t="str">
        <f>IF(MATCHER!C410="","",MATCHER!C410)</f>
        <v/>
      </c>
      <c r="N418" s="34" t="str">
        <f>IF(MATCHER!D410="","",MATCHER!D410)</f>
        <v/>
      </c>
      <c r="O418" s="34" t="str">
        <f>IF(MATCHER!E410="","",MATCHER!E410)</f>
        <v/>
      </c>
      <c r="P418" s="34" t="str">
        <f>IF(MATCHER!F410="","",MATCHER!F410)</f>
        <v/>
      </c>
      <c r="Q418" s="34" t="str">
        <f>IF(MATCHER!K410="","",MATCHER!K410)</f>
        <v/>
      </c>
      <c r="R418" s="34" t="str">
        <f>IF(K418="","",IF(Q418&lt;&gt;"Ja","Ej aktuell",IF(P418="SAKNAS","NY KLASS",IF(MATCHER!N410&lt;&gt;"Ja",MATCHER!N410,IF(COUNTIF($A$13:$A$220,K418)=0,"NY MATCH","Matchdag finns")))))</f>
        <v/>
      </c>
    </row>
    <row r="419" spans="1:18" ht="13">
      <c r="A419" s="1"/>
      <c r="B419" s="1"/>
      <c r="C419" s="1"/>
      <c r="D419" s="1"/>
      <c r="E419" s="1"/>
      <c r="F419" s="1"/>
      <c r="G419" s="1"/>
      <c r="H419" s="1"/>
      <c r="I419" s="1"/>
      <c r="J419" s="1"/>
      <c r="K419" s="34" t="str">
        <f>IF(MATCHER!A411="","",MATCHER!A411)</f>
        <v/>
      </c>
      <c r="L419" s="91" t="str">
        <f>IF(MATCHER!B411="","",MATCHER!B411)</f>
        <v/>
      </c>
      <c r="M419" s="92" t="str">
        <f>IF(MATCHER!C411="","",MATCHER!C411)</f>
        <v/>
      </c>
      <c r="N419" s="34" t="str">
        <f>IF(MATCHER!D411="","",MATCHER!D411)</f>
        <v/>
      </c>
      <c r="O419" s="34" t="str">
        <f>IF(MATCHER!E411="","",MATCHER!E411)</f>
        <v/>
      </c>
      <c r="P419" s="34" t="str">
        <f>IF(MATCHER!F411="","",MATCHER!F411)</f>
        <v/>
      </c>
      <c r="Q419" s="34" t="str">
        <f>IF(MATCHER!K411="","",MATCHER!K411)</f>
        <v/>
      </c>
      <c r="R419" s="34" t="str">
        <f>IF(K419="","",IF(Q419&lt;&gt;"Ja","Ej aktuell",IF(P419="SAKNAS","NY KLASS",IF(MATCHER!N411&lt;&gt;"Ja",MATCHER!N411,IF(COUNTIF($A$13:$A$220,K419)=0,"NY MATCH","Matchdag finns")))))</f>
        <v/>
      </c>
    </row>
    <row r="420" spans="1:18" ht="13">
      <c r="A420" s="1"/>
      <c r="B420" s="1"/>
      <c r="C420" s="1"/>
      <c r="D420" s="1"/>
      <c r="E420" s="1"/>
      <c r="F420" s="1"/>
      <c r="G420" s="1"/>
      <c r="H420" s="1"/>
      <c r="I420" s="1"/>
      <c r="J420" s="1"/>
      <c r="K420" s="34" t="str">
        <f>IF(MATCHER!A412="","",MATCHER!A412)</f>
        <v/>
      </c>
      <c r="L420" s="91" t="str">
        <f>IF(MATCHER!B412="","",MATCHER!B412)</f>
        <v/>
      </c>
      <c r="M420" s="92" t="str">
        <f>IF(MATCHER!C412="","",MATCHER!C412)</f>
        <v/>
      </c>
      <c r="N420" s="34" t="str">
        <f>IF(MATCHER!D412="","",MATCHER!D412)</f>
        <v/>
      </c>
      <c r="O420" s="34" t="str">
        <f>IF(MATCHER!E412="","",MATCHER!E412)</f>
        <v/>
      </c>
      <c r="P420" s="34" t="str">
        <f>IF(MATCHER!F412="","",MATCHER!F412)</f>
        <v/>
      </c>
      <c r="Q420" s="34" t="str">
        <f>IF(MATCHER!K412="","",MATCHER!K412)</f>
        <v/>
      </c>
      <c r="R420" s="34" t="str">
        <f>IF(K420="","",IF(Q420&lt;&gt;"Ja","Ej aktuell",IF(P420="SAKNAS","NY KLASS",IF(MATCHER!N412&lt;&gt;"Ja",MATCHER!N412,IF(COUNTIF($A$13:$A$220,K420)=0,"NY MATCH","Matchdag finns")))))</f>
        <v/>
      </c>
    </row>
    <row r="421" spans="1:18" ht="13">
      <c r="A421" s="1"/>
      <c r="B421" s="1"/>
      <c r="C421" s="1"/>
      <c r="D421" s="1"/>
      <c r="E421" s="1"/>
      <c r="F421" s="1"/>
      <c r="G421" s="1"/>
      <c r="H421" s="1"/>
      <c r="I421" s="1"/>
      <c r="J421" s="1"/>
      <c r="K421" s="34" t="str">
        <f>IF(MATCHER!A413="","",MATCHER!A413)</f>
        <v/>
      </c>
      <c r="L421" s="91" t="str">
        <f>IF(MATCHER!B413="","",MATCHER!B413)</f>
        <v/>
      </c>
      <c r="M421" s="92" t="str">
        <f>IF(MATCHER!C413="","",MATCHER!C413)</f>
        <v/>
      </c>
      <c r="N421" s="34" t="str">
        <f>IF(MATCHER!D413="","",MATCHER!D413)</f>
        <v/>
      </c>
      <c r="O421" s="34" t="str">
        <f>IF(MATCHER!E413="","",MATCHER!E413)</f>
        <v/>
      </c>
      <c r="P421" s="34" t="str">
        <f>IF(MATCHER!F413="","",MATCHER!F413)</f>
        <v/>
      </c>
      <c r="Q421" s="34" t="str">
        <f>IF(MATCHER!K413="","",MATCHER!K413)</f>
        <v/>
      </c>
      <c r="R421" s="34" t="str">
        <f>IF(K421="","",IF(Q421&lt;&gt;"Ja","Ej aktuell",IF(P421="SAKNAS","NY KLASS",IF(MATCHER!N413&lt;&gt;"Ja",MATCHER!N413,IF(COUNTIF($A$13:$A$220,K421)=0,"NY MATCH","Matchdag finns")))))</f>
        <v/>
      </c>
    </row>
    <row r="422" spans="1:18" ht="13">
      <c r="A422" s="1"/>
      <c r="B422" s="1"/>
      <c r="C422" s="1"/>
      <c r="D422" s="1"/>
      <c r="E422" s="1"/>
      <c r="F422" s="1"/>
      <c r="G422" s="1"/>
      <c r="H422" s="1"/>
      <c r="I422" s="1"/>
      <c r="J422" s="1"/>
      <c r="K422" s="34" t="str">
        <f>IF(MATCHER!A414="","",MATCHER!A414)</f>
        <v/>
      </c>
      <c r="L422" s="91" t="str">
        <f>IF(MATCHER!B414="","",MATCHER!B414)</f>
        <v/>
      </c>
      <c r="M422" s="92" t="str">
        <f>IF(MATCHER!C414="","",MATCHER!C414)</f>
        <v/>
      </c>
      <c r="N422" s="34" t="str">
        <f>IF(MATCHER!D414="","",MATCHER!D414)</f>
        <v/>
      </c>
      <c r="O422" s="34" t="str">
        <f>IF(MATCHER!E414="","",MATCHER!E414)</f>
        <v/>
      </c>
      <c r="P422" s="34" t="str">
        <f>IF(MATCHER!F414="","",MATCHER!F414)</f>
        <v/>
      </c>
      <c r="Q422" s="34" t="str">
        <f>IF(MATCHER!K414="","",MATCHER!K414)</f>
        <v/>
      </c>
      <c r="R422" s="34" t="str">
        <f>IF(K422="","",IF(Q422&lt;&gt;"Ja","Ej aktuell",IF(P422="SAKNAS","NY KLASS",IF(MATCHER!N414&lt;&gt;"Ja",MATCHER!N414,IF(COUNTIF($A$13:$A$220,K422)=0,"NY MATCH","Matchdag finns")))))</f>
        <v/>
      </c>
    </row>
    <row r="423" spans="1:18" ht="13">
      <c r="A423" s="1"/>
      <c r="B423" s="1"/>
      <c r="C423" s="1"/>
      <c r="D423" s="1"/>
      <c r="E423" s="1"/>
      <c r="F423" s="1"/>
      <c r="G423" s="1"/>
      <c r="H423" s="1"/>
      <c r="I423" s="1"/>
      <c r="J423" s="1"/>
      <c r="K423" s="34" t="str">
        <f>IF(MATCHER!A415="","",MATCHER!A415)</f>
        <v/>
      </c>
      <c r="L423" s="91" t="str">
        <f>IF(MATCHER!B415="","",MATCHER!B415)</f>
        <v/>
      </c>
      <c r="M423" s="92" t="str">
        <f>IF(MATCHER!C415="","",MATCHER!C415)</f>
        <v/>
      </c>
      <c r="N423" s="34" t="str">
        <f>IF(MATCHER!D415="","",MATCHER!D415)</f>
        <v/>
      </c>
      <c r="O423" s="34" t="str">
        <f>IF(MATCHER!E415="","",MATCHER!E415)</f>
        <v/>
      </c>
      <c r="P423" s="34" t="str">
        <f>IF(MATCHER!F415="","",MATCHER!F415)</f>
        <v/>
      </c>
      <c r="Q423" s="34" t="str">
        <f>IF(MATCHER!K415="","",MATCHER!K415)</f>
        <v/>
      </c>
      <c r="R423" s="34" t="str">
        <f>IF(K423="","",IF(Q423&lt;&gt;"Ja","Ej aktuell",IF(P423="SAKNAS","NY KLASS",IF(MATCHER!N415&lt;&gt;"Ja",MATCHER!N415,IF(COUNTIF($A$13:$A$220,K423)=0,"NY MATCH","Matchdag finns")))))</f>
        <v/>
      </c>
    </row>
    <row r="424" spans="1:18" ht="13">
      <c r="A424" s="1"/>
      <c r="B424" s="1"/>
      <c r="C424" s="1"/>
      <c r="D424" s="1"/>
      <c r="E424" s="1"/>
      <c r="F424" s="1"/>
      <c r="G424" s="1"/>
      <c r="H424" s="1"/>
      <c r="I424" s="1"/>
      <c r="J424" s="1"/>
      <c r="K424" s="34" t="str">
        <f>IF(MATCHER!A416="","",MATCHER!A416)</f>
        <v/>
      </c>
      <c r="L424" s="91" t="str">
        <f>IF(MATCHER!B416="","",MATCHER!B416)</f>
        <v/>
      </c>
      <c r="M424" s="92" t="str">
        <f>IF(MATCHER!C416="","",MATCHER!C416)</f>
        <v/>
      </c>
      <c r="N424" s="34" t="str">
        <f>IF(MATCHER!D416="","",MATCHER!D416)</f>
        <v/>
      </c>
      <c r="O424" s="34" t="str">
        <f>IF(MATCHER!E416="","",MATCHER!E416)</f>
        <v/>
      </c>
      <c r="P424" s="34" t="str">
        <f>IF(MATCHER!F416="","",MATCHER!F416)</f>
        <v/>
      </c>
      <c r="Q424" s="34" t="str">
        <f>IF(MATCHER!K416="","",MATCHER!K416)</f>
        <v/>
      </c>
      <c r="R424" s="34" t="str">
        <f>IF(K424="","",IF(Q424&lt;&gt;"Ja","Ej aktuell",IF(P424="SAKNAS","NY KLASS",IF(MATCHER!N416&lt;&gt;"Ja",MATCHER!N416,IF(COUNTIF($A$13:$A$220,K424)=0,"NY MATCH","Matchdag finns")))))</f>
        <v/>
      </c>
    </row>
    <row r="425" spans="1:18" ht="13">
      <c r="A425" s="1"/>
      <c r="B425" s="1"/>
      <c r="C425" s="1"/>
      <c r="D425" s="1"/>
      <c r="E425" s="1"/>
      <c r="F425" s="1"/>
      <c r="G425" s="1"/>
      <c r="H425" s="1"/>
      <c r="I425" s="1"/>
      <c r="J425" s="1"/>
      <c r="K425" s="34" t="str">
        <f>IF(MATCHER!A417="","",MATCHER!A417)</f>
        <v/>
      </c>
      <c r="L425" s="91" t="str">
        <f>IF(MATCHER!B417="","",MATCHER!B417)</f>
        <v/>
      </c>
      <c r="M425" s="92" t="str">
        <f>IF(MATCHER!C417="","",MATCHER!C417)</f>
        <v/>
      </c>
      <c r="N425" s="34" t="str">
        <f>IF(MATCHER!D417="","",MATCHER!D417)</f>
        <v/>
      </c>
      <c r="O425" s="34" t="str">
        <f>IF(MATCHER!E417="","",MATCHER!E417)</f>
        <v/>
      </c>
      <c r="P425" s="34" t="str">
        <f>IF(MATCHER!F417="","",MATCHER!F417)</f>
        <v/>
      </c>
      <c r="Q425" s="34" t="str">
        <f>IF(MATCHER!K417="","",MATCHER!K417)</f>
        <v/>
      </c>
      <c r="R425" s="34" t="str">
        <f>IF(K425="","",IF(Q425&lt;&gt;"Ja","Ej aktuell",IF(P425="SAKNAS","NY KLASS",IF(MATCHER!N417&lt;&gt;"Ja",MATCHER!N417,IF(COUNTIF($A$13:$A$220,K425)=0,"NY MATCH","Matchdag finns")))))</f>
        <v/>
      </c>
    </row>
    <row r="426" spans="1:18" ht="13">
      <c r="A426" s="1"/>
      <c r="B426" s="1"/>
      <c r="C426" s="1"/>
      <c r="D426" s="1"/>
      <c r="E426" s="1"/>
      <c r="F426" s="1"/>
      <c r="G426" s="1"/>
      <c r="H426" s="1"/>
      <c r="I426" s="1"/>
      <c r="J426" s="1"/>
      <c r="K426" s="34" t="str">
        <f>IF(MATCHER!A418="","",MATCHER!A418)</f>
        <v/>
      </c>
      <c r="L426" s="91" t="str">
        <f>IF(MATCHER!B418="","",MATCHER!B418)</f>
        <v/>
      </c>
      <c r="M426" s="92" t="str">
        <f>IF(MATCHER!C418="","",MATCHER!C418)</f>
        <v/>
      </c>
      <c r="N426" s="34" t="str">
        <f>IF(MATCHER!D418="","",MATCHER!D418)</f>
        <v/>
      </c>
      <c r="O426" s="34" t="str">
        <f>IF(MATCHER!E418="","",MATCHER!E418)</f>
        <v/>
      </c>
      <c r="P426" s="34" t="str">
        <f>IF(MATCHER!F418="","",MATCHER!F418)</f>
        <v/>
      </c>
      <c r="Q426" s="34" t="str">
        <f>IF(MATCHER!K418="","",MATCHER!K418)</f>
        <v/>
      </c>
      <c r="R426" s="34" t="str">
        <f>IF(K426="","",IF(Q426&lt;&gt;"Ja","Ej aktuell",IF(P426="SAKNAS","NY KLASS",IF(MATCHER!N418&lt;&gt;"Ja",MATCHER!N418,IF(COUNTIF($A$13:$A$220,K426)=0,"NY MATCH","Matchdag finns")))))</f>
        <v/>
      </c>
    </row>
    <row r="427" spans="1:18" ht="13">
      <c r="A427" s="1"/>
      <c r="B427" s="1"/>
      <c r="C427" s="1"/>
      <c r="D427" s="1"/>
      <c r="E427" s="1"/>
      <c r="F427" s="1"/>
      <c r="G427" s="1"/>
      <c r="H427" s="1"/>
      <c r="I427" s="1"/>
      <c r="J427" s="1"/>
      <c r="K427" s="34" t="str">
        <f>IF(MATCHER!A419="","",MATCHER!A419)</f>
        <v/>
      </c>
      <c r="L427" s="91" t="str">
        <f>IF(MATCHER!B419="","",MATCHER!B419)</f>
        <v/>
      </c>
      <c r="M427" s="92" t="str">
        <f>IF(MATCHER!C419="","",MATCHER!C419)</f>
        <v/>
      </c>
      <c r="N427" s="34" t="str">
        <f>IF(MATCHER!D419="","",MATCHER!D419)</f>
        <v/>
      </c>
      <c r="O427" s="34" t="str">
        <f>IF(MATCHER!E419="","",MATCHER!E419)</f>
        <v/>
      </c>
      <c r="P427" s="34" t="str">
        <f>IF(MATCHER!F419="","",MATCHER!F419)</f>
        <v/>
      </c>
      <c r="Q427" s="34" t="str">
        <f>IF(MATCHER!K419="","",MATCHER!K419)</f>
        <v/>
      </c>
      <c r="R427" s="34" t="str">
        <f>IF(K427="","",IF(Q427&lt;&gt;"Ja","Ej aktuell",IF(P427="SAKNAS","NY KLASS",IF(MATCHER!N419&lt;&gt;"Ja",MATCHER!N419,IF(COUNTIF($A$13:$A$220,K427)=0,"NY MATCH","Matchdag finns")))))</f>
        <v/>
      </c>
    </row>
    <row r="428" spans="1:18" ht="13">
      <c r="A428" s="1"/>
      <c r="B428" s="1"/>
      <c r="C428" s="1"/>
      <c r="D428" s="1"/>
      <c r="E428" s="1"/>
      <c r="F428" s="1"/>
      <c r="G428" s="1"/>
      <c r="H428" s="1"/>
      <c r="I428" s="1"/>
      <c r="J428" s="1"/>
      <c r="K428" s="34" t="str">
        <f>IF(MATCHER!A420="","",MATCHER!A420)</f>
        <v/>
      </c>
      <c r="L428" s="91" t="str">
        <f>IF(MATCHER!B420="","",MATCHER!B420)</f>
        <v/>
      </c>
      <c r="M428" s="92" t="str">
        <f>IF(MATCHER!C420="","",MATCHER!C420)</f>
        <v/>
      </c>
      <c r="N428" s="34" t="str">
        <f>IF(MATCHER!D420="","",MATCHER!D420)</f>
        <v/>
      </c>
      <c r="O428" s="34" t="str">
        <f>IF(MATCHER!E420="","",MATCHER!E420)</f>
        <v/>
      </c>
      <c r="P428" s="34" t="str">
        <f>IF(MATCHER!F420="","",MATCHER!F420)</f>
        <v/>
      </c>
      <c r="Q428" s="34" t="str">
        <f>IF(MATCHER!K420="","",MATCHER!K420)</f>
        <v/>
      </c>
      <c r="R428" s="34" t="str">
        <f>IF(K428="","",IF(Q428&lt;&gt;"Ja","Ej aktuell",IF(P428="SAKNAS","NY KLASS",IF(MATCHER!N420&lt;&gt;"Ja",MATCHER!N420,IF(COUNTIF($A$13:$A$220,K428)=0,"NY MATCH","Matchdag finns")))))</f>
        <v/>
      </c>
    </row>
    <row r="429" spans="1:18" ht="13">
      <c r="A429" s="1"/>
      <c r="B429" s="1"/>
      <c r="C429" s="1"/>
      <c r="D429" s="1"/>
      <c r="E429" s="1"/>
      <c r="F429" s="1"/>
      <c r="G429" s="1"/>
      <c r="H429" s="1"/>
      <c r="I429" s="1"/>
      <c r="J429" s="1"/>
      <c r="K429" s="34" t="str">
        <f>IF(MATCHER!A421="","",MATCHER!A421)</f>
        <v/>
      </c>
      <c r="L429" s="91" t="str">
        <f>IF(MATCHER!B421="","",MATCHER!B421)</f>
        <v/>
      </c>
      <c r="M429" s="92" t="str">
        <f>IF(MATCHER!C421="","",MATCHER!C421)</f>
        <v/>
      </c>
      <c r="N429" s="34" t="str">
        <f>IF(MATCHER!D421="","",MATCHER!D421)</f>
        <v/>
      </c>
      <c r="O429" s="34" t="str">
        <f>IF(MATCHER!E421="","",MATCHER!E421)</f>
        <v/>
      </c>
      <c r="P429" s="34" t="str">
        <f>IF(MATCHER!F421="","",MATCHER!F421)</f>
        <v/>
      </c>
      <c r="Q429" s="34" t="str">
        <f>IF(MATCHER!K421="","",MATCHER!K421)</f>
        <v/>
      </c>
      <c r="R429" s="34" t="str">
        <f>IF(K429="","",IF(Q429&lt;&gt;"Ja","Ej aktuell",IF(P429="SAKNAS","NY KLASS",IF(MATCHER!N421&lt;&gt;"Ja",MATCHER!N421,IF(COUNTIF($A$13:$A$220,K429)=0,"NY MATCH","Matchdag finns")))))</f>
        <v/>
      </c>
    </row>
    <row r="430" spans="1:18" ht="13">
      <c r="A430" s="1"/>
      <c r="B430" s="1"/>
      <c r="C430" s="1"/>
      <c r="D430" s="1"/>
      <c r="E430" s="1"/>
      <c r="F430" s="1"/>
      <c r="G430" s="1"/>
      <c r="H430" s="1"/>
      <c r="I430" s="1"/>
      <c r="J430" s="1"/>
      <c r="K430" s="34" t="str">
        <f>IF(MATCHER!A422="","",MATCHER!A422)</f>
        <v/>
      </c>
      <c r="L430" s="91" t="str">
        <f>IF(MATCHER!B422="","",MATCHER!B422)</f>
        <v/>
      </c>
      <c r="M430" s="92" t="str">
        <f>IF(MATCHER!C422="","",MATCHER!C422)</f>
        <v/>
      </c>
      <c r="N430" s="34" t="str">
        <f>IF(MATCHER!D422="","",MATCHER!D422)</f>
        <v/>
      </c>
      <c r="O430" s="34" t="str">
        <f>IF(MATCHER!E422="","",MATCHER!E422)</f>
        <v/>
      </c>
      <c r="P430" s="34" t="str">
        <f>IF(MATCHER!F422="","",MATCHER!F422)</f>
        <v/>
      </c>
      <c r="Q430" s="34" t="str">
        <f>IF(MATCHER!K422="","",MATCHER!K422)</f>
        <v/>
      </c>
      <c r="R430" s="34" t="str">
        <f>IF(K430="","",IF(Q430&lt;&gt;"Ja","Ej aktuell",IF(P430="SAKNAS","NY KLASS",IF(MATCHER!N422&lt;&gt;"Ja",MATCHER!N422,IF(COUNTIF($A$13:$A$220,K430)=0,"NY MATCH","Matchdag finns")))))</f>
        <v/>
      </c>
    </row>
    <row r="431" spans="1:18" ht="13">
      <c r="A431" s="1"/>
      <c r="B431" s="1"/>
      <c r="C431" s="1"/>
      <c r="D431" s="1"/>
      <c r="E431" s="1"/>
      <c r="F431" s="1"/>
      <c r="G431" s="1"/>
      <c r="H431" s="1"/>
      <c r="I431" s="1"/>
      <c r="J431" s="1"/>
      <c r="K431" s="34" t="str">
        <f>IF(MATCHER!A423="","",MATCHER!A423)</f>
        <v/>
      </c>
      <c r="L431" s="91" t="str">
        <f>IF(MATCHER!B423="","",MATCHER!B423)</f>
        <v/>
      </c>
      <c r="M431" s="92" t="str">
        <f>IF(MATCHER!C423="","",MATCHER!C423)</f>
        <v/>
      </c>
      <c r="N431" s="34" t="str">
        <f>IF(MATCHER!D423="","",MATCHER!D423)</f>
        <v/>
      </c>
      <c r="O431" s="34" t="str">
        <f>IF(MATCHER!E423="","",MATCHER!E423)</f>
        <v/>
      </c>
      <c r="P431" s="34" t="str">
        <f>IF(MATCHER!F423="","",MATCHER!F423)</f>
        <v/>
      </c>
      <c r="Q431" s="34" t="str">
        <f>IF(MATCHER!K423="","",MATCHER!K423)</f>
        <v/>
      </c>
      <c r="R431" s="34" t="str">
        <f>IF(K431="","",IF(Q431&lt;&gt;"Ja","Ej aktuell",IF(P431="SAKNAS","NY KLASS",IF(MATCHER!N423&lt;&gt;"Ja",MATCHER!N423,IF(COUNTIF($A$13:$A$220,K431)=0,"NY MATCH","Matchdag finns")))))</f>
        <v/>
      </c>
    </row>
    <row r="432" spans="1:18" ht="13">
      <c r="A432" s="1"/>
      <c r="B432" s="1"/>
      <c r="C432" s="1"/>
      <c r="D432" s="1"/>
      <c r="E432" s="1"/>
      <c r="F432" s="1"/>
      <c r="G432" s="1"/>
      <c r="H432" s="1"/>
      <c r="I432" s="1"/>
      <c r="J432" s="1"/>
      <c r="K432" s="34" t="str">
        <f>IF(MATCHER!A424="","",MATCHER!A424)</f>
        <v/>
      </c>
      <c r="L432" s="91" t="str">
        <f>IF(MATCHER!B424="","",MATCHER!B424)</f>
        <v/>
      </c>
      <c r="M432" s="92" t="str">
        <f>IF(MATCHER!C424="","",MATCHER!C424)</f>
        <v/>
      </c>
      <c r="N432" s="34" t="str">
        <f>IF(MATCHER!D424="","",MATCHER!D424)</f>
        <v/>
      </c>
      <c r="O432" s="34" t="str">
        <f>IF(MATCHER!E424="","",MATCHER!E424)</f>
        <v/>
      </c>
      <c r="P432" s="34" t="str">
        <f>IF(MATCHER!F424="","",MATCHER!F424)</f>
        <v/>
      </c>
      <c r="Q432" s="34" t="str">
        <f>IF(MATCHER!K424="","",MATCHER!K424)</f>
        <v/>
      </c>
      <c r="R432" s="34" t="str">
        <f>IF(K432="","",IF(Q432&lt;&gt;"Ja","Ej aktuell",IF(P432="SAKNAS","NY KLASS",IF(MATCHER!N424&lt;&gt;"Ja",MATCHER!N424,IF(COUNTIF($A$13:$A$220,K432)=0,"NY MATCH","Matchdag finns")))))</f>
        <v/>
      </c>
    </row>
    <row r="433" spans="1:18" ht="13">
      <c r="A433" s="1"/>
      <c r="B433" s="1"/>
      <c r="C433" s="1"/>
      <c r="D433" s="1"/>
      <c r="E433" s="1"/>
      <c r="F433" s="1"/>
      <c r="G433" s="1"/>
      <c r="H433" s="1"/>
      <c r="I433" s="1"/>
      <c r="J433" s="1"/>
      <c r="K433" s="34" t="str">
        <f>IF(MATCHER!A425="","",MATCHER!A425)</f>
        <v/>
      </c>
      <c r="L433" s="91" t="str">
        <f>IF(MATCHER!B425="","",MATCHER!B425)</f>
        <v/>
      </c>
      <c r="M433" s="92" t="str">
        <f>IF(MATCHER!C425="","",MATCHER!C425)</f>
        <v/>
      </c>
      <c r="N433" s="34" t="str">
        <f>IF(MATCHER!D425="","",MATCHER!D425)</f>
        <v/>
      </c>
      <c r="O433" s="34" t="str">
        <f>IF(MATCHER!E425="","",MATCHER!E425)</f>
        <v/>
      </c>
      <c r="P433" s="34" t="str">
        <f>IF(MATCHER!F425="","",MATCHER!F425)</f>
        <v/>
      </c>
      <c r="Q433" s="34" t="str">
        <f>IF(MATCHER!K425="","",MATCHER!K425)</f>
        <v/>
      </c>
      <c r="R433" s="34" t="str">
        <f>IF(K433="","",IF(Q433&lt;&gt;"Ja","Ej aktuell",IF(P433="SAKNAS","NY KLASS",IF(MATCHER!N425&lt;&gt;"Ja",MATCHER!N425,IF(COUNTIF($A$13:$A$220,K433)=0,"NY MATCH","Matchdag finns")))))</f>
        <v/>
      </c>
    </row>
    <row r="434" spans="1:18" ht="13">
      <c r="A434" s="1"/>
      <c r="B434" s="1"/>
      <c r="C434" s="1"/>
      <c r="D434" s="1"/>
      <c r="E434" s="1"/>
      <c r="F434" s="1"/>
      <c r="G434" s="1"/>
      <c r="H434" s="1"/>
      <c r="I434" s="1"/>
      <c r="J434" s="1"/>
      <c r="K434" s="34" t="str">
        <f>IF(MATCHER!A426="","",MATCHER!A426)</f>
        <v/>
      </c>
      <c r="L434" s="91" t="str">
        <f>IF(MATCHER!B426="","",MATCHER!B426)</f>
        <v/>
      </c>
      <c r="M434" s="92" t="str">
        <f>IF(MATCHER!C426="","",MATCHER!C426)</f>
        <v/>
      </c>
      <c r="N434" s="34" t="str">
        <f>IF(MATCHER!D426="","",MATCHER!D426)</f>
        <v/>
      </c>
      <c r="O434" s="34" t="str">
        <f>IF(MATCHER!E426="","",MATCHER!E426)</f>
        <v/>
      </c>
      <c r="P434" s="34" t="str">
        <f>IF(MATCHER!F426="","",MATCHER!F426)</f>
        <v/>
      </c>
      <c r="Q434" s="34" t="str">
        <f>IF(MATCHER!K426="","",MATCHER!K426)</f>
        <v/>
      </c>
      <c r="R434" s="34" t="str">
        <f>IF(K434="","",IF(Q434&lt;&gt;"Ja","Ej aktuell",IF(P434="SAKNAS","NY KLASS",IF(MATCHER!N426&lt;&gt;"Ja",MATCHER!N426,IF(COUNTIF($A$13:$A$220,K434)=0,"NY MATCH","Matchdag finns")))))</f>
        <v/>
      </c>
    </row>
    <row r="435" spans="1:18" ht="13">
      <c r="A435" s="1"/>
      <c r="B435" s="1"/>
      <c r="C435" s="1"/>
      <c r="D435" s="1"/>
      <c r="E435" s="1"/>
      <c r="F435" s="1"/>
      <c r="G435" s="1"/>
      <c r="H435" s="1"/>
      <c r="I435" s="1"/>
      <c r="J435" s="1"/>
      <c r="K435" s="34" t="str">
        <f>IF(MATCHER!A427="","",MATCHER!A427)</f>
        <v/>
      </c>
      <c r="L435" s="91" t="str">
        <f>IF(MATCHER!B427="","",MATCHER!B427)</f>
        <v/>
      </c>
      <c r="M435" s="92" t="str">
        <f>IF(MATCHER!C427="","",MATCHER!C427)</f>
        <v/>
      </c>
      <c r="N435" s="34" t="str">
        <f>IF(MATCHER!D427="","",MATCHER!D427)</f>
        <v/>
      </c>
      <c r="O435" s="34" t="str">
        <f>IF(MATCHER!E427="","",MATCHER!E427)</f>
        <v/>
      </c>
      <c r="P435" s="34" t="str">
        <f>IF(MATCHER!F427="","",MATCHER!F427)</f>
        <v/>
      </c>
      <c r="Q435" s="34" t="str">
        <f>IF(MATCHER!K427="","",MATCHER!K427)</f>
        <v/>
      </c>
      <c r="R435" s="34" t="str">
        <f>IF(K435="","",IF(Q435&lt;&gt;"Ja","Ej aktuell",IF(P435="SAKNAS","NY KLASS",IF(MATCHER!N427&lt;&gt;"Ja",MATCHER!N427,IF(COUNTIF($A$13:$A$220,K435)=0,"NY MATCH","Matchdag finns")))))</f>
        <v/>
      </c>
    </row>
    <row r="436" spans="1:18" ht="13">
      <c r="A436" s="1"/>
      <c r="B436" s="1"/>
      <c r="C436" s="1"/>
      <c r="D436" s="1"/>
      <c r="E436" s="1"/>
      <c r="F436" s="1"/>
      <c r="G436" s="1"/>
      <c r="H436" s="1"/>
      <c r="I436" s="1"/>
      <c r="J436" s="1"/>
      <c r="K436" s="34" t="str">
        <f>IF(MATCHER!A428="","",MATCHER!A428)</f>
        <v/>
      </c>
      <c r="L436" s="91" t="str">
        <f>IF(MATCHER!B428="","",MATCHER!B428)</f>
        <v/>
      </c>
      <c r="M436" s="92" t="str">
        <f>IF(MATCHER!C428="","",MATCHER!C428)</f>
        <v/>
      </c>
      <c r="N436" s="34" t="str">
        <f>IF(MATCHER!D428="","",MATCHER!D428)</f>
        <v/>
      </c>
      <c r="O436" s="34" t="str">
        <f>IF(MATCHER!E428="","",MATCHER!E428)</f>
        <v/>
      </c>
      <c r="P436" s="34" t="str">
        <f>IF(MATCHER!F428="","",MATCHER!F428)</f>
        <v/>
      </c>
      <c r="Q436" s="34" t="str">
        <f>IF(MATCHER!K428="","",MATCHER!K428)</f>
        <v/>
      </c>
      <c r="R436" s="34" t="str">
        <f>IF(K436="","",IF(Q436&lt;&gt;"Ja","Ej aktuell",IF(P436="SAKNAS","NY KLASS",IF(MATCHER!N428&lt;&gt;"Ja",MATCHER!N428,IF(COUNTIF($A$13:$A$220,K436)=0,"NY MATCH","Matchdag finns")))))</f>
        <v/>
      </c>
    </row>
    <row r="437" spans="1:18" ht="13">
      <c r="A437" s="1"/>
      <c r="B437" s="1"/>
      <c r="C437" s="1"/>
      <c r="D437" s="1"/>
      <c r="E437" s="1"/>
      <c r="F437" s="1"/>
      <c r="G437" s="1"/>
      <c r="H437" s="1"/>
      <c r="I437" s="1"/>
      <c r="J437" s="1"/>
      <c r="K437" s="34" t="str">
        <f>IF(MATCHER!A429="","",MATCHER!A429)</f>
        <v/>
      </c>
      <c r="L437" s="91" t="str">
        <f>IF(MATCHER!B429="","",MATCHER!B429)</f>
        <v/>
      </c>
      <c r="M437" s="92" t="str">
        <f>IF(MATCHER!C429="","",MATCHER!C429)</f>
        <v/>
      </c>
      <c r="N437" s="34" t="str">
        <f>IF(MATCHER!D429="","",MATCHER!D429)</f>
        <v/>
      </c>
      <c r="O437" s="34" t="str">
        <f>IF(MATCHER!E429="","",MATCHER!E429)</f>
        <v/>
      </c>
      <c r="P437" s="34" t="str">
        <f>IF(MATCHER!F429="","",MATCHER!F429)</f>
        <v/>
      </c>
      <c r="Q437" s="34" t="str">
        <f>IF(MATCHER!K429="","",MATCHER!K429)</f>
        <v/>
      </c>
      <c r="R437" s="34" t="str">
        <f>IF(K437="","",IF(Q437&lt;&gt;"Ja","Ej aktuell",IF(P437="SAKNAS","NY KLASS",IF(MATCHER!N429&lt;&gt;"Ja",MATCHER!N429,IF(COUNTIF($A$13:$A$220,K437)=0,"NY MATCH","Matchdag finns")))))</f>
        <v/>
      </c>
    </row>
    <row r="438" spans="1:18" ht="13">
      <c r="A438" s="1"/>
      <c r="B438" s="1"/>
      <c r="C438" s="1"/>
      <c r="D438" s="1"/>
      <c r="E438" s="1"/>
      <c r="F438" s="1"/>
      <c r="G438" s="1"/>
      <c r="H438" s="1"/>
      <c r="I438" s="1"/>
      <c r="J438" s="1"/>
      <c r="K438" s="34" t="str">
        <f>IF(MATCHER!A430="","",MATCHER!A430)</f>
        <v/>
      </c>
      <c r="L438" s="91" t="str">
        <f>IF(MATCHER!B430="","",MATCHER!B430)</f>
        <v/>
      </c>
      <c r="M438" s="92" t="str">
        <f>IF(MATCHER!C430="","",MATCHER!C430)</f>
        <v/>
      </c>
      <c r="N438" s="34" t="str">
        <f>IF(MATCHER!D430="","",MATCHER!D430)</f>
        <v/>
      </c>
      <c r="O438" s="34" t="str">
        <f>IF(MATCHER!E430="","",MATCHER!E430)</f>
        <v/>
      </c>
      <c r="P438" s="34" t="str">
        <f>IF(MATCHER!F430="","",MATCHER!F430)</f>
        <v/>
      </c>
      <c r="Q438" s="34" t="str">
        <f>IF(MATCHER!K430="","",MATCHER!K430)</f>
        <v/>
      </c>
      <c r="R438" s="34" t="str">
        <f>IF(K438="","",IF(Q438&lt;&gt;"Ja","Ej aktuell",IF(P438="SAKNAS","NY KLASS",IF(MATCHER!N430&lt;&gt;"Ja",MATCHER!N430,IF(COUNTIF($A$13:$A$220,K438)=0,"NY MATCH","Matchdag finns")))))</f>
        <v/>
      </c>
    </row>
    <row r="439" spans="1:18" ht="13">
      <c r="A439" s="1"/>
      <c r="B439" s="1"/>
      <c r="C439" s="1"/>
      <c r="D439" s="1"/>
      <c r="E439" s="1"/>
      <c r="F439" s="1"/>
      <c r="G439" s="1"/>
      <c r="H439" s="1"/>
      <c r="I439" s="1"/>
      <c r="J439" s="1"/>
      <c r="K439" s="34" t="str">
        <f>IF(MATCHER!A431="","",MATCHER!A431)</f>
        <v/>
      </c>
      <c r="L439" s="91" t="str">
        <f>IF(MATCHER!B431="","",MATCHER!B431)</f>
        <v/>
      </c>
      <c r="M439" s="92" t="str">
        <f>IF(MATCHER!C431="","",MATCHER!C431)</f>
        <v/>
      </c>
      <c r="N439" s="34" t="str">
        <f>IF(MATCHER!D431="","",MATCHER!D431)</f>
        <v/>
      </c>
      <c r="O439" s="34" t="str">
        <f>IF(MATCHER!E431="","",MATCHER!E431)</f>
        <v/>
      </c>
      <c r="P439" s="34" t="str">
        <f>IF(MATCHER!F431="","",MATCHER!F431)</f>
        <v/>
      </c>
      <c r="Q439" s="34" t="str">
        <f>IF(MATCHER!K431="","",MATCHER!K431)</f>
        <v/>
      </c>
      <c r="R439" s="34" t="str">
        <f>IF(K439="","",IF(Q439&lt;&gt;"Ja","Ej aktuell",IF(P439="SAKNAS","NY KLASS",IF(MATCHER!N431&lt;&gt;"Ja",MATCHER!N431,IF(COUNTIF($A$13:$A$220,K439)=0,"NY MATCH","Matchdag finns")))))</f>
        <v/>
      </c>
    </row>
    <row r="440" spans="1:18" ht="13">
      <c r="A440" s="1"/>
      <c r="B440" s="1"/>
      <c r="C440" s="1"/>
      <c r="D440" s="1"/>
      <c r="E440" s="1"/>
      <c r="F440" s="1"/>
      <c r="G440" s="1"/>
      <c r="H440" s="1"/>
      <c r="I440" s="1"/>
      <c r="J440" s="1"/>
      <c r="K440" s="34" t="str">
        <f>IF(MATCHER!A432="","",MATCHER!A432)</f>
        <v/>
      </c>
      <c r="L440" s="91" t="str">
        <f>IF(MATCHER!B432="","",MATCHER!B432)</f>
        <v/>
      </c>
      <c r="M440" s="92" t="str">
        <f>IF(MATCHER!C432="","",MATCHER!C432)</f>
        <v/>
      </c>
      <c r="N440" s="34" t="str">
        <f>IF(MATCHER!D432="","",MATCHER!D432)</f>
        <v/>
      </c>
      <c r="O440" s="34" t="str">
        <f>IF(MATCHER!E432="","",MATCHER!E432)</f>
        <v/>
      </c>
      <c r="P440" s="34" t="str">
        <f>IF(MATCHER!F432="","",MATCHER!F432)</f>
        <v/>
      </c>
      <c r="Q440" s="34" t="str">
        <f>IF(MATCHER!K432="","",MATCHER!K432)</f>
        <v/>
      </c>
      <c r="R440" s="34" t="str">
        <f>IF(K440="","",IF(Q440&lt;&gt;"Ja","Ej aktuell",IF(P440="SAKNAS","NY KLASS",IF(MATCHER!N432&lt;&gt;"Ja",MATCHER!N432,IF(COUNTIF($A$13:$A$220,K440)=0,"NY MATCH","Matchdag finns")))))</f>
        <v/>
      </c>
    </row>
    <row r="441" spans="1:18" ht="13">
      <c r="A441" s="1"/>
      <c r="B441" s="1"/>
      <c r="C441" s="1"/>
      <c r="D441" s="1"/>
      <c r="E441" s="1"/>
      <c r="F441" s="1"/>
      <c r="G441" s="1"/>
      <c r="H441" s="1"/>
      <c r="I441" s="1"/>
      <c r="J441" s="1"/>
      <c r="K441" s="34" t="str">
        <f>IF(MATCHER!A433="","",MATCHER!A433)</f>
        <v/>
      </c>
      <c r="L441" s="91" t="str">
        <f>IF(MATCHER!B433="","",MATCHER!B433)</f>
        <v/>
      </c>
      <c r="M441" s="92" t="str">
        <f>IF(MATCHER!C433="","",MATCHER!C433)</f>
        <v/>
      </c>
      <c r="N441" s="34" t="str">
        <f>IF(MATCHER!D433="","",MATCHER!D433)</f>
        <v/>
      </c>
      <c r="O441" s="34" t="str">
        <f>IF(MATCHER!E433="","",MATCHER!E433)</f>
        <v/>
      </c>
      <c r="P441" s="34" t="str">
        <f>IF(MATCHER!F433="","",MATCHER!F433)</f>
        <v/>
      </c>
      <c r="Q441" s="34" t="str">
        <f>IF(MATCHER!K433="","",MATCHER!K433)</f>
        <v/>
      </c>
      <c r="R441" s="34" t="str">
        <f>IF(K441="","",IF(Q441&lt;&gt;"Ja","Ej aktuell",IF(P441="SAKNAS","NY KLASS",IF(MATCHER!N433&lt;&gt;"Ja",MATCHER!N433,IF(COUNTIF($A$13:$A$220,K441)=0,"NY MATCH","Matchdag finns")))))</f>
        <v/>
      </c>
    </row>
    <row r="442" spans="1:18" ht="13">
      <c r="A442" s="1"/>
      <c r="B442" s="1"/>
      <c r="C442" s="1"/>
      <c r="D442" s="1"/>
      <c r="E442" s="1"/>
      <c r="F442" s="1"/>
      <c r="G442" s="1"/>
      <c r="H442" s="1"/>
      <c r="I442" s="1"/>
      <c r="J442" s="1"/>
      <c r="K442" s="34" t="str">
        <f>IF(MATCHER!A434="","",MATCHER!A434)</f>
        <v/>
      </c>
      <c r="L442" s="91" t="str">
        <f>IF(MATCHER!B434="","",MATCHER!B434)</f>
        <v/>
      </c>
      <c r="M442" s="92" t="str">
        <f>IF(MATCHER!C434="","",MATCHER!C434)</f>
        <v/>
      </c>
      <c r="N442" s="34" t="str">
        <f>IF(MATCHER!D434="","",MATCHER!D434)</f>
        <v/>
      </c>
      <c r="O442" s="34" t="str">
        <f>IF(MATCHER!E434="","",MATCHER!E434)</f>
        <v/>
      </c>
      <c r="P442" s="34" t="str">
        <f>IF(MATCHER!F434="","",MATCHER!F434)</f>
        <v/>
      </c>
      <c r="Q442" s="34" t="str">
        <f>IF(MATCHER!K434="","",MATCHER!K434)</f>
        <v/>
      </c>
      <c r="R442" s="34" t="str">
        <f>IF(K442="","",IF(Q442&lt;&gt;"Ja","Ej aktuell",IF(P442="SAKNAS","NY KLASS",IF(MATCHER!N434&lt;&gt;"Ja",MATCHER!N434,IF(COUNTIF($A$13:$A$220,K442)=0,"NY MATCH","Matchdag finns")))))</f>
        <v/>
      </c>
    </row>
    <row r="443" spans="1:18" ht="13">
      <c r="A443" s="1"/>
      <c r="B443" s="1"/>
      <c r="C443" s="1"/>
      <c r="D443" s="1"/>
      <c r="E443" s="1"/>
      <c r="F443" s="1"/>
      <c r="G443" s="1"/>
      <c r="H443" s="1"/>
      <c r="I443" s="1"/>
      <c r="J443" s="1"/>
      <c r="K443" s="34" t="str">
        <f>IF(MATCHER!A435="","",MATCHER!A435)</f>
        <v/>
      </c>
      <c r="L443" s="91" t="str">
        <f>IF(MATCHER!B435="","",MATCHER!B435)</f>
        <v/>
      </c>
      <c r="M443" s="92" t="str">
        <f>IF(MATCHER!C435="","",MATCHER!C435)</f>
        <v/>
      </c>
      <c r="N443" s="34" t="str">
        <f>IF(MATCHER!D435="","",MATCHER!D435)</f>
        <v/>
      </c>
      <c r="O443" s="34" t="str">
        <f>IF(MATCHER!E435="","",MATCHER!E435)</f>
        <v/>
      </c>
      <c r="P443" s="34" t="str">
        <f>IF(MATCHER!F435="","",MATCHER!F435)</f>
        <v/>
      </c>
      <c r="Q443" s="34" t="str">
        <f>IF(MATCHER!K435="","",MATCHER!K435)</f>
        <v/>
      </c>
      <c r="R443" s="34" t="str">
        <f>IF(K443="","",IF(Q443&lt;&gt;"Ja","Ej aktuell",IF(P443="SAKNAS","NY KLASS",IF(MATCHER!N435&lt;&gt;"Ja",MATCHER!N435,IF(COUNTIF($A$13:$A$220,K443)=0,"NY MATCH","Matchdag finns")))))</f>
        <v/>
      </c>
    </row>
    <row r="444" spans="1:18" ht="13">
      <c r="A444" s="1"/>
      <c r="B444" s="1"/>
      <c r="C444" s="1"/>
      <c r="D444" s="1"/>
      <c r="E444" s="1"/>
      <c r="F444" s="1"/>
      <c r="G444" s="1"/>
      <c r="H444" s="1"/>
      <c r="I444" s="1"/>
      <c r="J444" s="1"/>
      <c r="K444" s="34" t="str">
        <f>IF(MATCHER!A436="","",MATCHER!A436)</f>
        <v/>
      </c>
      <c r="L444" s="91" t="str">
        <f>IF(MATCHER!B436="","",MATCHER!B436)</f>
        <v/>
      </c>
      <c r="M444" s="92" t="str">
        <f>IF(MATCHER!C436="","",MATCHER!C436)</f>
        <v/>
      </c>
      <c r="N444" s="34" t="str">
        <f>IF(MATCHER!D436="","",MATCHER!D436)</f>
        <v/>
      </c>
      <c r="O444" s="34" t="str">
        <f>IF(MATCHER!E436="","",MATCHER!E436)</f>
        <v/>
      </c>
      <c r="P444" s="34" t="str">
        <f>IF(MATCHER!F436="","",MATCHER!F436)</f>
        <v/>
      </c>
      <c r="Q444" s="34" t="str">
        <f>IF(MATCHER!K436="","",MATCHER!K436)</f>
        <v/>
      </c>
      <c r="R444" s="34" t="str">
        <f>IF(K444="","",IF(Q444&lt;&gt;"Ja","Ej aktuell",IF(P444="SAKNAS","NY KLASS",IF(MATCHER!N436&lt;&gt;"Ja",MATCHER!N436,IF(COUNTIF($A$13:$A$220,K444)=0,"NY MATCH","Matchdag finns")))))</f>
        <v/>
      </c>
    </row>
    <row r="445" spans="1:18" ht="13">
      <c r="A445" s="1"/>
      <c r="B445" s="1"/>
      <c r="C445" s="1"/>
      <c r="D445" s="1"/>
      <c r="E445" s="1"/>
      <c r="F445" s="1"/>
      <c r="G445" s="1"/>
      <c r="H445" s="1"/>
      <c r="I445" s="1"/>
      <c r="J445" s="1"/>
      <c r="K445" s="34" t="str">
        <f>IF(MATCHER!A437="","",MATCHER!A437)</f>
        <v/>
      </c>
      <c r="L445" s="91" t="str">
        <f>IF(MATCHER!B437="","",MATCHER!B437)</f>
        <v/>
      </c>
      <c r="M445" s="92" t="str">
        <f>IF(MATCHER!C437="","",MATCHER!C437)</f>
        <v/>
      </c>
      <c r="N445" s="34" t="str">
        <f>IF(MATCHER!D437="","",MATCHER!D437)</f>
        <v/>
      </c>
      <c r="O445" s="34" t="str">
        <f>IF(MATCHER!E437="","",MATCHER!E437)</f>
        <v/>
      </c>
      <c r="P445" s="34" t="str">
        <f>IF(MATCHER!F437="","",MATCHER!F437)</f>
        <v/>
      </c>
      <c r="Q445" s="34" t="str">
        <f>IF(MATCHER!K437="","",MATCHER!K437)</f>
        <v/>
      </c>
      <c r="R445" s="34" t="str">
        <f>IF(K445="","",IF(Q445&lt;&gt;"Ja","Ej aktuell",IF(P445="SAKNAS","NY KLASS",IF(MATCHER!N437&lt;&gt;"Ja",MATCHER!N437,IF(COUNTIF($A$13:$A$220,K445)=0,"NY MATCH","Matchdag finns")))))</f>
        <v/>
      </c>
    </row>
    <row r="446" spans="1:18" ht="13">
      <c r="A446" s="1"/>
      <c r="B446" s="1"/>
      <c r="C446" s="1"/>
      <c r="D446" s="1"/>
      <c r="E446" s="1"/>
      <c r="F446" s="1"/>
      <c r="G446" s="1"/>
      <c r="H446" s="1"/>
      <c r="I446" s="1"/>
      <c r="J446" s="1"/>
      <c r="K446" s="34" t="str">
        <f>IF(MATCHER!A438="","",MATCHER!A438)</f>
        <v/>
      </c>
      <c r="L446" s="91" t="str">
        <f>IF(MATCHER!B438="","",MATCHER!B438)</f>
        <v/>
      </c>
      <c r="M446" s="92" t="str">
        <f>IF(MATCHER!C438="","",MATCHER!C438)</f>
        <v/>
      </c>
      <c r="N446" s="34" t="str">
        <f>IF(MATCHER!D438="","",MATCHER!D438)</f>
        <v/>
      </c>
      <c r="O446" s="34" t="str">
        <f>IF(MATCHER!E438="","",MATCHER!E438)</f>
        <v/>
      </c>
      <c r="P446" s="34" t="str">
        <f>IF(MATCHER!F438="","",MATCHER!F438)</f>
        <v/>
      </c>
      <c r="Q446" s="34" t="str">
        <f>IF(MATCHER!K438="","",MATCHER!K438)</f>
        <v/>
      </c>
      <c r="R446" s="34" t="str">
        <f>IF(K446="","",IF(Q446&lt;&gt;"Ja","Ej aktuell",IF(P446="SAKNAS","NY KLASS",IF(MATCHER!N438&lt;&gt;"Ja",MATCHER!N438,IF(COUNTIF($A$13:$A$220,K446)=0,"NY MATCH","Matchdag finns")))))</f>
        <v/>
      </c>
    </row>
    <row r="447" spans="1:18" ht="13">
      <c r="A447" s="1"/>
      <c r="B447" s="1"/>
      <c r="C447" s="1"/>
      <c r="D447" s="1"/>
      <c r="E447" s="1"/>
      <c r="F447" s="1"/>
      <c r="G447" s="1"/>
      <c r="H447" s="1"/>
      <c r="I447" s="1"/>
      <c r="J447" s="1"/>
      <c r="K447" s="34" t="str">
        <f>IF(MATCHER!A439="","",MATCHER!A439)</f>
        <v/>
      </c>
      <c r="L447" s="91" t="str">
        <f>IF(MATCHER!B439="","",MATCHER!B439)</f>
        <v/>
      </c>
      <c r="M447" s="92" t="str">
        <f>IF(MATCHER!C439="","",MATCHER!C439)</f>
        <v/>
      </c>
      <c r="N447" s="34" t="str">
        <f>IF(MATCHER!D439="","",MATCHER!D439)</f>
        <v/>
      </c>
      <c r="O447" s="34" t="str">
        <f>IF(MATCHER!E439="","",MATCHER!E439)</f>
        <v/>
      </c>
      <c r="P447" s="34" t="str">
        <f>IF(MATCHER!F439="","",MATCHER!F439)</f>
        <v/>
      </c>
      <c r="Q447" s="34" t="str">
        <f>IF(MATCHER!K439="","",MATCHER!K439)</f>
        <v/>
      </c>
      <c r="R447" s="34" t="str">
        <f>IF(K447="","",IF(Q447&lt;&gt;"Ja","Ej aktuell",IF(P447="SAKNAS","NY KLASS",IF(MATCHER!N439&lt;&gt;"Ja",MATCHER!N439,IF(COUNTIF($A$13:$A$220,K447)=0,"NY MATCH","Matchdag finns")))))</f>
        <v/>
      </c>
    </row>
    <row r="448" spans="1:18" ht="13">
      <c r="A448" s="1"/>
      <c r="B448" s="1"/>
      <c r="C448" s="1"/>
      <c r="D448" s="1"/>
      <c r="E448" s="1"/>
      <c r="F448" s="1"/>
      <c r="G448" s="1"/>
      <c r="H448" s="1"/>
      <c r="I448" s="1"/>
      <c r="J448" s="1"/>
      <c r="K448" s="34" t="str">
        <f>IF(MATCHER!A440="","",MATCHER!A440)</f>
        <v/>
      </c>
      <c r="L448" s="91" t="str">
        <f>IF(MATCHER!B440="","",MATCHER!B440)</f>
        <v/>
      </c>
      <c r="M448" s="92" t="str">
        <f>IF(MATCHER!C440="","",MATCHER!C440)</f>
        <v/>
      </c>
      <c r="N448" s="34" t="str">
        <f>IF(MATCHER!D440="","",MATCHER!D440)</f>
        <v/>
      </c>
      <c r="O448" s="34" t="str">
        <f>IF(MATCHER!E440="","",MATCHER!E440)</f>
        <v/>
      </c>
      <c r="P448" s="34" t="str">
        <f>IF(MATCHER!F440="","",MATCHER!F440)</f>
        <v/>
      </c>
      <c r="Q448" s="34" t="str">
        <f>IF(MATCHER!K440="","",MATCHER!K440)</f>
        <v/>
      </c>
      <c r="R448" s="34" t="str">
        <f>IF(K448="","",IF(Q448&lt;&gt;"Ja","Ej aktuell",IF(P448="SAKNAS","NY KLASS",IF(MATCHER!N440&lt;&gt;"Ja",MATCHER!N440,IF(COUNTIF($A$13:$A$220,K448)=0,"NY MATCH","Matchdag finns")))))</f>
        <v/>
      </c>
    </row>
    <row r="449" spans="1:18" ht="13">
      <c r="A449" s="1"/>
      <c r="B449" s="1"/>
      <c r="C449" s="1"/>
      <c r="D449" s="1"/>
      <c r="E449" s="1"/>
      <c r="F449" s="1"/>
      <c r="G449" s="1"/>
      <c r="H449" s="1"/>
      <c r="I449" s="1"/>
      <c r="J449" s="1"/>
      <c r="K449" s="34" t="str">
        <f>IF(MATCHER!A441="","",MATCHER!A441)</f>
        <v/>
      </c>
      <c r="L449" s="91" t="str">
        <f>IF(MATCHER!B441="","",MATCHER!B441)</f>
        <v/>
      </c>
      <c r="M449" s="92" t="str">
        <f>IF(MATCHER!C441="","",MATCHER!C441)</f>
        <v/>
      </c>
      <c r="N449" s="34" t="str">
        <f>IF(MATCHER!D441="","",MATCHER!D441)</f>
        <v/>
      </c>
      <c r="O449" s="34" t="str">
        <f>IF(MATCHER!E441="","",MATCHER!E441)</f>
        <v/>
      </c>
      <c r="P449" s="34" t="str">
        <f>IF(MATCHER!F441="","",MATCHER!F441)</f>
        <v/>
      </c>
      <c r="Q449" s="34" t="str">
        <f>IF(MATCHER!K441="","",MATCHER!K441)</f>
        <v/>
      </c>
      <c r="R449" s="34" t="str">
        <f>IF(K449="","",IF(Q449&lt;&gt;"Ja","Ej aktuell",IF(P449="SAKNAS","NY KLASS",IF(MATCHER!N441&lt;&gt;"Ja",MATCHER!N441,IF(COUNTIF($A$13:$A$220,K449)=0,"NY MATCH","Matchdag finns")))))</f>
        <v/>
      </c>
    </row>
    <row r="450" spans="1:18" ht="13">
      <c r="A450" s="1"/>
      <c r="B450" s="1"/>
      <c r="C450" s="1"/>
      <c r="D450" s="1"/>
      <c r="E450" s="1"/>
      <c r="F450" s="1"/>
      <c r="G450" s="1"/>
      <c r="H450" s="1"/>
      <c r="I450" s="1"/>
      <c r="J450" s="1"/>
      <c r="K450" s="34" t="str">
        <f>IF(MATCHER!A442="","",MATCHER!A442)</f>
        <v/>
      </c>
      <c r="L450" s="91" t="str">
        <f>IF(MATCHER!B442="","",MATCHER!B442)</f>
        <v/>
      </c>
      <c r="M450" s="92" t="str">
        <f>IF(MATCHER!C442="","",MATCHER!C442)</f>
        <v/>
      </c>
      <c r="N450" s="34" t="str">
        <f>IF(MATCHER!D442="","",MATCHER!D442)</f>
        <v/>
      </c>
      <c r="O450" s="34" t="str">
        <f>IF(MATCHER!E442="","",MATCHER!E442)</f>
        <v/>
      </c>
      <c r="P450" s="34" t="str">
        <f>IF(MATCHER!F442="","",MATCHER!F442)</f>
        <v/>
      </c>
      <c r="Q450" s="34" t="str">
        <f>IF(MATCHER!K442="","",MATCHER!K442)</f>
        <v/>
      </c>
      <c r="R450" s="34" t="str">
        <f>IF(K450="","",IF(Q450&lt;&gt;"Ja","Ej aktuell",IF(P450="SAKNAS","NY KLASS",IF(MATCHER!N442&lt;&gt;"Ja",MATCHER!N442,IF(COUNTIF($A$13:$A$220,K450)=0,"NY MATCH","Matchdag finns")))))</f>
        <v/>
      </c>
    </row>
    <row r="451" spans="1:18" ht="13">
      <c r="A451" s="1"/>
      <c r="B451" s="1"/>
      <c r="C451" s="1"/>
      <c r="D451" s="1"/>
      <c r="E451" s="1"/>
      <c r="F451" s="1"/>
      <c r="G451" s="1"/>
      <c r="H451" s="1"/>
      <c r="I451" s="1"/>
      <c r="J451" s="1"/>
      <c r="K451" s="34" t="str">
        <f>IF(MATCHER!A443="","",MATCHER!A443)</f>
        <v/>
      </c>
      <c r="L451" s="91" t="str">
        <f>IF(MATCHER!B443="","",MATCHER!B443)</f>
        <v/>
      </c>
      <c r="M451" s="92" t="str">
        <f>IF(MATCHER!C443="","",MATCHER!C443)</f>
        <v/>
      </c>
      <c r="N451" s="34" t="str">
        <f>IF(MATCHER!D443="","",MATCHER!D443)</f>
        <v/>
      </c>
      <c r="O451" s="34" t="str">
        <f>IF(MATCHER!E443="","",MATCHER!E443)</f>
        <v/>
      </c>
      <c r="P451" s="34" t="str">
        <f>IF(MATCHER!F443="","",MATCHER!F443)</f>
        <v/>
      </c>
      <c r="Q451" s="34" t="str">
        <f>IF(MATCHER!K443="","",MATCHER!K443)</f>
        <v/>
      </c>
      <c r="R451" s="34" t="str">
        <f>IF(K451="","",IF(Q451&lt;&gt;"Ja","Ej aktuell",IF(P451="SAKNAS","NY KLASS",IF(MATCHER!N443&lt;&gt;"Ja",MATCHER!N443,IF(COUNTIF($A$13:$A$220,K451)=0,"NY MATCH","Matchdag finns")))))</f>
        <v/>
      </c>
    </row>
    <row r="452" spans="1:18" ht="13">
      <c r="A452" s="1"/>
      <c r="B452" s="1"/>
      <c r="C452" s="1"/>
      <c r="D452" s="1"/>
      <c r="E452" s="1"/>
      <c r="F452" s="1"/>
      <c r="G452" s="1"/>
      <c r="H452" s="1"/>
      <c r="I452" s="1"/>
      <c r="J452" s="1"/>
      <c r="K452" s="34" t="str">
        <f>IF(MATCHER!A444="","",MATCHER!A444)</f>
        <v/>
      </c>
      <c r="L452" s="91" t="str">
        <f>IF(MATCHER!B444="","",MATCHER!B444)</f>
        <v/>
      </c>
      <c r="M452" s="92" t="str">
        <f>IF(MATCHER!C444="","",MATCHER!C444)</f>
        <v/>
      </c>
      <c r="N452" s="34" t="str">
        <f>IF(MATCHER!D444="","",MATCHER!D444)</f>
        <v/>
      </c>
      <c r="O452" s="34" t="str">
        <f>IF(MATCHER!E444="","",MATCHER!E444)</f>
        <v/>
      </c>
      <c r="P452" s="34" t="str">
        <f>IF(MATCHER!F444="","",MATCHER!F444)</f>
        <v/>
      </c>
      <c r="Q452" s="34" t="str">
        <f>IF(MATCHER!K444="","",MATCHER!K444)</f>
        <v/>
      </c>
      <c r="R452" s="34" t="str">
        <f>IF(K452="","",IF(Q452&lt;&gt;"Ja","Ej aktuell",IF(P452="SAKNAS","NY KLASS",IF(MATCHER!N444&lt;&gt;"Ja",MATCHER!N444,IF(COUNTIF($A$13:$A$220,K452)=0,"NY MATCH","Matchdag finns")))))</f>
        <v/>
      </c>
    </row>
    <row r="453" spans="1:18" ht="13">
      <c r="A453" s="1"/>
      <c r="B453" s="1"/>
      <c r="C453" s="1"/>
      <c r="D453" s="1"/>
      <c r="E453" s="1"/>
      <c r="F453" s="1"/>
      <c r="G453" s="1"/>
      <c r="H453" s="1"/>
      <c r="I453" s="1"/>
      <c r="J453" s="1"/>
      <c r="K453" s="34" t="str">
        <f>IF(MATCHER!A445="","",MATCHER!A445)</f>
        <v/>
      </c>
      <c r="L453" s="91" t="str">
        <f>IF(MATCHER!B445="","",MATCHER!B445)</f>
        <v/>
      </c>
      <c r="M453" s="92" t="str">
        <f>IF(MATCHER!C445="","",MATCHER!C445)</f>
        <v/>
      </c>
      <c r="N453" s="34" t="str">
        <f>IF(MATCHER!D445="","",MATCHER!D445)</f>
        <v/>
      </c>
      <c r="O453" s="34" t="str">
        <f>IF(MATCHER!E445="","",MATCHER!E445)</f>
        <v/>
      </c>
      <c r="P453" s="34" t="str">
        <f>IF(MATCHER!F445="","",MATCHER!F445)</f>
        <v/>
      </c>
      <c r="Q453" s="34" t="str">
        <f>IF(MATCHER!K445="","",MATCHER!K445)</f>
        <v/>
      </c>
      <c r="R453" s="34" t="str">
        <f>IF(K453="","",IF(Q453&lt;&gt;"Ja","Ej aktuell",IF(P453="SAKNAS","NY KLASS",IF(MATCHER!N445&lt;&gt;"Ja",MATCHER!N445,IF(COUNTIF($A$13:$A$220,K453)=0,"NY MATCH","Matchdag finns")))))</f>
        <v/>
      </c>
    </row>
    <row r="454" spans="1:18" ht="13">
      <c r="A454" s="1"/>
      <c r="B454" s="1"/>
      <c r="C454" s="1"/>
      <c r="D454" s="1"/>
      <c r="E454" s="1"/>
      <c r="F454" s="1"/>
      <c r="G454" s="1"/>
      <c r="H454" s="1"/>
      <c r="I454" s="1"/>
      <c r="J454" s="1"/>
      <c r="K454" s="34" t="str">
        <f>IF(MATCHER!A446="","",MATCHER!A446)</f>
        <v/>
      </c>
      <c r="L454" s="91" t="str">
        <f>IF(MATCHER!B446="","",MATCHER!B446)</f>
        <v/>
      </c>
      <c r="M454" s="92" t="str">
        <f>IF(MATCHER!C446="","",MATCHER!C446)</f>
        <v/>
      </c>
      <c r="N454" s="34" t="str">
        <f>IF(MATCHER!D446="","",MATCHER!D446)</f>
        <v/>
      </c>
      <c r="O454" s="34" t="str">
        <f>IF(MATCHER!E446="","",MATCHER!E446)</f>
        <v/>
      </c>
      <c r="P454" s="34" t="str">
        <f>IF(MATCHER!F446="","",MATCHER!F446)</f>
        <v/>
      </c>
      <c r="Q454" s="34" t="str">
        <f>IF(MATCHER!K446="","",MATCHER!K446)</f>
        <v/>
      </c>
      <c r="R454" s="34" t="str">
        <f>IF(K454="","",IF(Q454&lt;&gt;"Ja","Ej aktuell",IF(P454="SAKNAS","NY KLASS",IF(MATCHER!N446&lt;&gt;"Ja",MATCHER!N446,IF(COUNTIF($A$13:$A$220,K454)=0,"NY MATCH","Matchdag finns")))))</f>
        <v/>
      </c>
    </row>
    <row r="455" spans="1:18" ht="13">
      <c r="A455" s="1"/>
      <c r="B455" s="1"/>
      <c r="C455" s="1"/>
      <c r="D455" s="1"/>
      <c r="E455" s="1"/>
      <c r="F455" s="1"/>
      <c r="G455" s="1"/>
      <c r="H455" s="1"/>
      <c r="I455" s="1"/>
      <c r="J455" s="1"/>
      <c r="K455" s="34" t="str">
        <f>IF(MATCHER!A447="","",MATCHER!A447)</f>
        <v/>
      </c>
      <c r="L455" s="91" t="str">
        <f>IF(MATCHER!B447="","",MATCHER!B447)</f>
        <v/>
      </c>
      <c r="M455" s="92" t="str">
        <f>IF(MATCHER!C447="","",MATCHER!C447)</f>
        <v/>
      </c>
      <c r="N455" s="34" t="str">
        <f>IF(MATCHER!D447="","",MATCHER!D447)</f>
        <v/>
      </c>
      <c r="O455" s="34" t="str">
        <f>IF(MATCHER!E447="","",MATCHER!E447)</f>
        <v/>
      </c>
      <c r="P455" s="34" t="str">
        <f>IF(MATCHER!F447="","",MATCHER!F447)</f>
        <v/>
      </c>
      <c r="Q455" s="34" t="str">
        <f>IF(MATCHER!K447="","",MATCHER!K447)</f>
        <v/>
      </c>
      <c r="R455" s="34" t="str">
        <f>IF(K455="","",IF(Q455&lt;&gt;"Ja","Ej aktuell",IF(P455="SAKNAS","NY KLASS",IF(MATCHER!N447&lt;&gt;"Ja",MATCHER!N447,IF(COUNTIF($A$13:$A$220,K455)=0,"NY MATCH","Matchdag finns")))))</f>
        <v/>
      </c>
    </row>
    <row r="456" spans="1:18" ht="13">
      <c r="A456" s="1"/>
      <c r="B456" s="1"/>
      <c r="C456" s="1"/>
      <c r="D456" s="1"/>
      <c r="E456" s="1"/>
      <c r="F456" s="1"/>
      <c r="G456" s="1"/>
      <c r="H456" s="1"/>
      <c r="I456" s="1"/>
      <c r="J456" s="1"/>
      <c r="K456" s="34" t="str">
        <f>IF(MATCHER!A448="","",MATCHER!A448)</f>
        <v/>
      </c>
      <c r="L456" s="91" t="str">
        <f>IF(MATCHER!B448="","",MATCHER!B448)</f>
        <v/>
      </c>
      <c r="M456" s="92" t="str">
        <f>IF(MATCHER!C448="","",MATCHER!C448)</f>
        <v/>
      </c>
      <c r="N456" s="34" t="str">
        <f>IF(MATCHER!D448="","",MATCHER!D448)</f>
        <v/>
      </c>
      <c r="O456" s="34" t="str">
        <f>IF(MATCHER!E448="","",MATCHER!E448)</f>
        <v/>
      </c>
      <c r="P456" s="34" t="str">
        <f>IF(MATCHER!F448="","",MATCHER!F448)</f>
        <v/>
      </c>
      <c r="Q456" s="34" t="str">
        <f>IF(MATCHER!K448="","",MATCHER!K448)</f>
        <v/>
      </c>
      <c r="R456" s="34" t="str">
        <f>IF(K456="","",IF(Q456&lt;&gt;"Ja","Ej aktuell",IF(P456="SAKNAS","NY KLASS",IF(MATCHER!N448&lt;&gt;"Ja",MATCHER!N448,IF(COUNTIF($A$13:$A$220,K456)=0,"NY MATCH","Matchdag finns")))))</f>
        <v/>
      </c>
    </row>
    <row r="457" spans="1:18" ht="13">
      <c r="A457" s="1"/>
      <c r="B457" s="1"/>
      <c r="C457" s="1"/>
      <c r="D457" s="1"/>
      <c r="E457" s="1"/>
      <c r="F457" s="1"/>
      <c r="G457" s="1"/>
      <c r="H457" s="1"/>
      <c r="I457" s="1"/>
      <c r="J457" s="1"/>
      <c r="K457" s="34" t="str">
        <f>IF(MATCHER!A449="","",MATCHER!A449)</f>
        <v/>
      </c>
      <c r="L457" s="91" t="str">
        <f>IF(MATCHER!B449="","",MATCHER!B449)</f>
        <v/>
      </c>
      <c r="M457" s="92" t="str">
        <f>IF(MATCHER!C449="","",MATCHER!C449)</f>
        <v/>
      </c>
      <c r="N457" s="34" t="str">
        <f>IF(MATCHER!D449="","",MATCHER!D449)</f>
        <v/>
      </c>
      <c r="O457" s="34" t="str">
        <f>IF(MATCHER!E449="","",MATCHER!E449)</f>
        <v/>
      </c>
      <c r="P457" s="34" t="str">
        <f>IF(MATCHER!F449="","",MATCHER!F449)</f>
        <v/>
      </c>
      <c r="Q457" s="34" t="str">
        <f>IF(MATCHER!K449="","",MATCHER!K449)</f>
        <v/>
      </c>
      <c r="R457" s="34" t="str">
        <f>IF(K457="","",IF(Q457&lt;&gt;"Ja","Ej aktuell",IF(P457="SAKNAS","NY KLASS",IF(MATCHER!N449&lt;&gt;"Ja",MATCHER!N449,IF(COUNTIF($A$13:$A$220,K457)=0,"NY MATCH","Matchdag finns")))))</f>
        <v/>
      </c>
    </row>
    <row r="458" spans="1:18" ht="13">
      <c r="A458" s="1"/>
      <c r="B458" s="1"/>
      <c r="C458" s="1"/>
      <c r="D458" s="1"/>
      <c r="E458" s="1"/>
      <c r="F458" s="1"/>
      <c r="G458" s="1"/>
      <c r="H458" s="1"/>
      <c r="I458" s="1"/>
      <c r="J458" s="1"/>
      <c r="K458" s="34" t="str">
        <f>IF(MATCHER!A450="","",MATCHER!A450)</f>
        <v/>
      </c>
      <c r="L458" s="91" t="str">
        <f>IF(MATCHER!B450="","",MATCHER!B450)</f>
        <v/>
      </c>
      <c r="M458" s="92" t="str">
        <f>IF(MATCHER!C450="","",MATCHER!C450)</f>
        <v/>
      </c>
      <c r="N458" s="34" t="str">
        <f>IF(MATCHER!D450="","",MATCHER!D450)</f>
        <v/>
      </c>
      <c r="O458" s="34" t="str">
        <f>IF(MATCHER!E450="","",MATCHER!E450)</f>
        <v/>
      </c>
      <c r="P458" s="34" t="str">
        <f>IF(MATCHER!F450="","",MATCHER!F450)</f>
        <v/>
      </c>
      <c r="Q458" s="34" t="str">
        <f>IF(MATCHER!K450="","",MATCHER!K450)</f>
        <v/>
      </c>
      <c r="R458" s="34" t="str">
        <f>IF(K458="","",IF(Q458&lt;&gt;"Ja","Ej aktuell",IF(P458="SAKNAS","NY KLASS",IF(MATCHER!N450&lt;&gt;"Ja",MATCHER!N450,IF(COUNTIF($A$13:$A$220,K458)=0,"NY MATCH","Matchdag finns")))))</f>
        <v/>
      </c>
    </row>
    <row r="459" spans="1:18" ht="13">
      <c r="A459" s="1"/>
      <c r="B459" s="1"/>
      <c r="C459" s="1"/>
      <c r="D459" s="1"/>
      <c r="E459" s="1"/>
      <c r="F459" s="1"/>
      <c r="G459" s="1"/>
      <c r="H459" s="1"/>
      <c r="I459" s="1"/>
      <c r="J459" s="1"/>
      <c r="K459" s="34" t="str">
        <f>IF(MATCHER!A451="","",MATCHER!A451)</f>
        <v/>
      </c>
      <c r="L459" s="91" t="str">
        <f>IF(MATCHER!B451="","",MATCHER!B451)</f>
        <v/>
      </c>
      <c r="M459" s="92" t="str">
        <f>IF(MATCHER!C451="","",MATCHER!C451)</f>
        <v/>
      </c>
      <c r="N459" s="34" t="str">
        <f>IF(MATCHER!D451="","",MATCHER!D451)</f>
        <v/>
      </c>
      <c r="O459" s="34" t="str">
        <f>IF(MATCHER!E451="","",MATCHER!E451)</f>
        <v/>
      </c>
      <c r="P459" s="34" t="str">
        <f>IF(MATCHER!F451="","",MATCHER!F451)</f>
        <v/>
      </c>
      <c r="Q459" s="34" t="str">
        <f>IF(MATCHER!K451="","",MATCHER!K451)</f>
        <v/>
      </c>
      <c r="R459" s="34" t="str">
        <f>IF(K459="","",IF(Q459&lt;&gt;"Ja","Ej aktuell",IF(P459="SAKNAS","NY KLASS",IF(MATCHER!N451&lt;&gt;"Ja",MATCHER!N451,IF(COUNTIF($A$13:$A$220,K459)=0,"NY MATCH","Matchdag finns")))))</f>
        <v/>
      </c>
    </row>
    <row r="460" spans="1:18" ht="13">
      <c r="A460" s="1"/>
      <c r="B460" s="1"/>
      <c r="C460" s="1"/>
      <c r="D460" s="1"/>
      <c r="E460" s="1"/>
      <c r="F460" s="1"/>
      <c r="G460" s="1"/>
      <c r="H460" s="1"/>
      <c r="I460" s="1"/>
      <c r="J460" s="1"/>
      <c r="K460" s="34" t="str">
        <f>IF(MATCHER!A452="","",MATCHER!A452)</f>
        <v/>
      </c>
      <c r="L460" s="91" t="str">
        <f>IF(MATCHER!B452="","",MATCHER!B452)</f>
        <v/>
      </c>
      <c r="M460" s="92" t="str">
        <f>IF(MATCHER!C452="","",MATCHER!C452)</f>
        <v/>
      </c>
      <c r="N460" s="34" t="str">
        <f>IF(MATCHER!D452="","",MATCHER!D452)</f>
        <v/>
      </c>
      <c r="O460" s="34" t="str">
        <f>IF(MATCHER!E452="","",MATCHER!E452)</f>
        <v/>
      </c>
      <c r="P460" s="34" t="str">
        <f>IF(MATCHER!F452="","",MATCHER!F452)</f>
        <v/>
      </c>
      <c r="Q460" s="34" t="str">
        <f>IF(MATCHER!K452="","",MATCHER!K452)</f>
        <v/>
      </c>
      <c r="R460" s="34" t="str">
        <f>IF(K460="","",IF(Q460&lt;&gt;"Ja","Ej aktuell",IF(P460="SAKNAS","NY KLASS",IF(MATCHER!N452&lt;&gt;"Ja",MATCHER!N452,IF(COUNTIF($A$13:$A$220,K460)=0,"NY MATCH","Matchdag finns")))))</f>
        <v/>
      </c>
    </row>
    <row r="461" spans="1:18" ht="13">
      <c r="A461" s="1"/>
      <c r="B461" s="1"/>
      <c r="C461" s="1"/>
      <c r="D461" s="1"/>
      <c r="E461" s="1"/>
      <c r="F461" s="1"/>
      <c r="G461" s="1"/>
      <c r="H461" s="1"/>
      <c r="I461" s="1"/>
      <c r="J461" s="1"/>
      <c r="K461" s="34" t="str">
        <f>IF(MATCHER!A453="","",MATCHER!A453)</f>
        <v/>
      </c>
      <c r="L461" s="91" t="str">
        <f>IF(MATCHER!B453="","",MATCHER!B453)</f>
        <v/>
      </c>
      <c r="M461" s="92" t="str">
        <f>IF(MATCHER!C453="","",MATCHER!C453)</f>
        <v/>
      </c>
      <c r="N461" s="34" t="str">
        <f>IF(MATCHER!D453="","",MATCHER!D453)</f>
        <v/>
      </c>
      <c r="O461" s="34" t="str">
        <f>IF(MATCHER!E453="","",MATCHER!E453)</f>
        <v/>
      </c>
      <c r="P461" s="34" t="str">
        <f>IF(MATCHER!F453="","",MATCHER!F453)</f>
        <v/>
      </c>
      <c r="Q461" s="34" t="str">
        <f>IF(MATCHER!K453="","",MATCHER!K453)</f>
        <v/>
      </c>
      <c r="R461" s="34" t="str">
        <f>IF(K461="","",IF(Q461&lt;&gt;"Ja","Ej aktuell",IF(P461="SAKNAS","NY KLASS",IF(MATCHER!N453&lt;&gt;"Ja",MATCHER!N453,IF(COUNTIF($A$13:$A$220,K461)=0,"NY MATCH","Matchdag finns")))))</f>
        <v/>
      </c>
    </row>
    <row r="462" spans="1:18" ht="13">
      <c r="A462" s="1"/>
      <c r="B462" s="1"/>
      <c r="C462" s="1"/>
      <c r="D462" s="1"/>
      <c r="E462" s="1"/>
      <c r="F462" s="1"/>
      <c r="G462" s="1"/>
      <c r="H462" s="1"/>
      <c r="I462" s="1"/>
      <c r="J462" s="1"/>
      <c r="K462" s="34" t="str">
        <f>IF(MATCHER!A454="","",MATCHER!A454)</f>
        <v/>
      </c>
      <c r="L462" s="91" t="str">
        <f>IF(MATCHER!B454="","",MATCHER!B454)</f>
        <v/>
      </c>
      <c r="M462" s="92" t="str">
        <f>IF(MATCHER!C454="","",MATCHER!C454)</f>
        <v/>
      </c>
      <c r="N462" s="34" t="str">
        <f>IF(MATCHER!D454="","",MATCHER!D454)</f>
        <v/>
      </c>
      <c r="O462" s="34" t="str">
        <f>IF(MATCHER!E454="","",MATCHER!E454)</f>
        <v/>
      </c>
      <c r="P462" s="34" t="str">
        <f>IF(MATCHER!F454="","",MATCHER!F454)</f>
        <v/>
      </c>
      <c r="Q462" s="34" t="str">
        <f>IF(MATCHER!K454="","",MATCHER!K454)</f>
        <v/>
      </c>
      <c r="R462" s="34" t="str">
        <f>IF(K462="","",IF(Q462&lt;&gt;"Ja","Ej aktuell",IF(P462="SAKNAS","NY KLASS",IF(MATCHER!N454&lt;&gt;"Ja",MATCHER!N454,IF(COUNTIF($A$13:$A$220,K462)=0,"NY MATCH","Matchdag finns")))))</f>
        <v/>
      </c>
    </row>
    <row r="463" spans="1:18" ht="13">
      <c r="A463" s="1"/>
      <c r="B463" s="1"/>
      <c r="C463" s="1"/>
      <c r="D463" s="1"/>
      <c r="E463" s="1"/>
      <c r="F463" s="1"/>
      <c r="G463" s="1"/>
      <c r="H463" s="1"/>
      <c r="I463" s="1"/>
      <c r="J463" s="1"/>
      <c r="K463" s="34" t="str">
        <f>IF(MATCHER!A455="","",MATCHER!A455)</f>
        <v/>
      </c>
      <c r="L463" s="91" t="str">
        <f>IF(MATCHER!B455="","",MATCHER!B455)</f>
        <v/>
      </c>
      <c r="M463" s="92" t="str">
        <f>IF(MATCHER!C455="","",MATCHER!C455)</f>
        <v/>
      </c>
      <c r="N463" s="34" t="str">
        <f>IF(MATCHER!D455="","",MATCHER!D455)</f>
        <v/>
      </c>
      <c r="O463" s="34" t="str">
        <f>IF(MATCHER!E455="","",MATCHER!E455)</f>
        <v/>
      </c>
      <c r="P463" s="34" t="str">
        <f>IF(MATCHER!F455="","",MATCHER!F455)</f>
        <v/>
      </c>
      <c r="Q463" s="34" t="str">
        <f>IF(MATCHER!K455="","",MATCHER!K455)</f>
        <v/>
      </c>
      <c r="R463" s="34" t="str">
        <f>IF(K463="","",IF(Q463&lt;&gt;"Ja","Ej aktuell",IF(P463="SAKNAS","NY KLASS",IF(MATCHER!N455&lt;&gt;"Ja",MATCHER!N455,IF(COUNTIF($A$13:$A$220,K463)=0,"NY MATCH","Matchdag finns")))))</f>
        <v/>
      </c>
    </row>
    <row r="464" spans="1:18" ht="13">
      <c r="A464" s="1"/>
      <c r="B464" s="1"/>
      <c r="C464" s="1"/>
      <c r="D464" s="1"/>
      <c r="E464" s="1"/>
      <c r="F464" s="1"/>
      <c r="G464" s="1"/>
      <c r="H464" s="1"/>
      <c r="I464" s="1"/>
      <c r="J464" s="1"/>
      <c r="K464" s="34" t="str">
        <f>IF(MATCHER!A456="","",MATCHER!A456)</f>
        <v/>
      </c>
      <c r="L464" s="91" t="str">
        <f>IF(MATCHER!B456="","",MATCHER!B456)</f>
        <v/>
      </c>
      <c r="M464" s="92" t="str">
        <f>IF(MATCHER!C456="","",MATCHER!C456)</f>
        <v/>
      </c>
      <c r="N464" s="34" t="str">
        <f>IF(MATCHER!D456="","",MATCHER!D456)</f>
        <v/>
      </c>
      <c r="O464" s="34" t="str">
        <f>IF(MATCHER!E456="","",MATCHER!E456)</f>
        <v/>
      </c>
      <c r="P464" s="34" t="str">
        <f>IF(MATCHER!F456="","",MATCHER!F456)</f>
        <v/>
      </c>
      <c r="Q464" s="34" t="str">
        <f>IF(MATCHER!K456="","",MATCHER!K456)</f>
        <v/>
      </c>
      <c r="R464" s="34" t="str">
        <f>IF(K464="","",IF(Q464&lt;&gt;"Ja","Ej aktuell",IF(P464="SAKNAS","NY KLASS",IF(MATCHER!N456&lt;&gt;"Ja",MATCHER!N456,IF(COUNTIF($A$13:$A$220,K464)=0,"NY MATCH","Matchdag finns")))))</f>
        <v/>
      </c>
    </row>
    <row r="465" spans="1:18" ht="13">
      <c r="A465" s="1"/>
      <c r="B465" s="1"/>
      <c r="C465" s="1"/>
      <c r="D465" s="1"/>
      <c r="E465" s="1"/>
      <c r="F465" s="1"/>
      <c r="G465" s="1"/>
      <c r="H465" s="1"/>
      <c r="I465" s="1"/>
      <c r="J465" s="1"/>
      <c r="K465" s="34" t="str">
        <f>IF(MATCHER!A457="","",MATCHER!A457)</f>
        <v/>
      </c>
      <c r="L465" s="91" t="str">
        <f>IF(MATCHER!B457="","",MATCHER!B457)</f>
        <v/>
      </c>
      <c r="M465" s="92" t="str">
        <f>IF(MATCHER!C457="","",MATCHER!C457)</f>
        <v/>
      </c>
      <c r="N465" s="34" t="str">
        <f>IF(MATCHER!D457="","",MATCHER!D457)</f>
        <v/>
      </c>
      <c r="O465" s="34" t="str">
        <f>IF(MATCHER!E457="","",MATCHER!E457)</f>
        <v/>
      </c>
      <c r="P465" s="34" t="str">
        <f>IF(MATCHER!F457="","",MATCHER!F457)</f>
        <v/>
      </c>
      <c r="Q465" s="34" t="str">
        <f>IF(MATCHER!K457="","",MATCHER!K457)</f>
        <v/>
      </c>
      <c r="R465" s="34" t="str">
        <f>IF(K465="","",IF(Q465&lt;&gt;"Ja","Ej aktuell",IF(P465="SAKNAS","NY KLASS",IF(MATCHER!N457&lt;&gt;"Ja",MATCHER!N457,IF(COUNTIF($A$13:$A$220,K465)=0,"NY MATCH","Matchdag finns")))))</f>
        <v/>
      </c>
    </row>
    <row r="466" spans="1:18" ht="13">
      <c r="A466" s="1"/>
      <c r="B466" s="1"/>
      <c r="C466" s="1"/>
      <c r="D466" s="1"/>
      <c r="E466" s="1"/>
      <c r="F466" s="1"/>
      <c r="G466" s="1"/>
      <c r="H466" s="1"/>
      <c r="I466" s="1"/>
      <c r="J466" s="1"/>
      <c r="K466" s="34" t="str">
        <f>IF(MATCHER!A458="","",MATCHER!A458)</f>
        <v/>
      </c>
      <c r="L466" s="91" t="str">
        <f>IF(MATCHER!B458="","",MATCHER!B458)</f>
        <v/>
      </c>
      <c r="M466" s="92" t="str">
        <f>IF(MATCHER!C458="","",MATCHER!C458)</f>
        <v/>
      </c>
      <c r="N466" s="34" t="str">
        <f>IF(MATCHER!D458="","",MATCHER!D458)</f>
        <v/>
      </c>
      <c r="O466" s="34" t="str">
        <f>IF(MATCHER!E458="","",MATCHER!E458)</f>
        <v/>
      </c>
      <c r="P466" s="34" t="str">
        <f>IF(MATCHER!F458="","",MATCHER!F458)</f>
        <v/>
      </c>
      <c r="Q466" s="34" t="str">
        <f>IF(MATCHER!K458="","",MATCHER!K458)</f>
        <v/>
      </c>
      <c r="R466" s="34" t="str">
        <f>IF(K466="","",IF(Q466&lt;&gt;"Ja","Ej aktuell",IF(P466="SAKNAS","NY KLASS",IF(MATCHER!N458&lt;&gt;"Ja",MATCHER!N458,IF(COUNTIF($A$13:$A$220,K466)=0,"NY MATCH","Matchdag finns")))))</f>
        <v/>
      </c>
    </row>
    <row r="467" spans="1:18" ht="13">
      <c r="A467" s="1"/>
      <c r="B467" s="1"/>
      <c r="C467" s="1"/>
      <c r="D467" s="1"/>
      <c r="E467" s="1"/>
      <c r="F467" s="1"/>
      <c r="G467" s="1"/>
      <c r="H467" s="1"/>
      <c r="I467" s="1"/>
      <c r="J467" s="1"/>
      <c r="K467" s="34" t="str">
        <f>IF(MATCHER!A459="","",MATCHER!A459)</f>
        <v/>
      </c>
      <c r="L467" s="91" t="str">
        <f>IF(MATCHER!B459="","",MATCHER!B459)</f>
        <v/>
      </c>
      <c r="M467" s="92" t="str">
        <f>IF(MATCHER!C459="","",MATCHER!C459)</f>
        <v/>
      </c>
      <c r="N467" s="34" t="str">
        <f>IF(MATCHER!D459="","",MATCHER!D459)</f>
        <v/>
      </c>
      <c r="O467" s="34" t="str">
        <f>IF(MATCHER!E459="","",MATCHER!E459)</f>
        <v/>
      </c>
      <c r="P467" s="34" t="str">
        <f>IF(MATCHER!F459="","",MATCHER!F459)</f>
        <v/>
      </c>
      <c r="Q467" s="34" t="str">
        <f>IF(MATCHER!K459="","",MATCHER!K459)</f>
        <v/>
      </c>
      <c r="R467" s="34" t="str">
        <f>IF(K467="","",IF(Q467&lt;&gt;"Ja","Ej aktuell",IF(P467="SAKNAS","NY KLASS",IF(MATCHER!N459&lt;&gt;"Ja",MATCHER!N459,IF(COUNTIF($A$13:$A$220,K467)=0,"NY MATCH","Matchdag finns")))))</f>
        <v/>
      </c>
    </row>
    <row r="468" spans="1:18" ht="13">
      <c r="A468" s="1"/>
      <c r="B468" s="1"/>
      <c r="C468" s="1"/>
      <c r="D468" s="1"/>
      <c r="E468" s="1"/>
      <c r="F468" s="1"/>
      <c r="G468" s="1"/>
      <c r="H468" s="1"/>
      <c r="I468" s="1"/>
      <c r="J468" s="1"/>
      <c r="K468" s="34" t="str">
        <f>IF(MATCHER!A460="","",MATCHER!A460)</f>
        <v/>
      </c>
      <c r="L468" s="91" t="str">
        <f>IF(MATCHER!B460="","",MATCHER!B460)</f>
        <v/>
      </c>
      <c r="M468" s="92" t="str">
        <f>IF(MATCHER!C460="","",MATCHER!C460)</f>
        <v/>
      </c>
      <c r="N468" s="34" t="str">
        <f>IF(MATCHER!D460="","",MATCHER!D460)</f>
        <v/>
      </c>
      <c r="O468" s="34" t="str">
        <f>IF(MATCHER!E460="","",MATCHER!E460)</f>
        <v/>
      </c>
      <c r="P468" s="34" t="str">
        <f>IF(MATCHER!F460="","",MATCHER!F460)</f>
        <v/>
      </c>
      <c r="Q468" s="34" t="str">
        <f>IF(MATCHER!K460="","",MATCHER!K460)</f>
        <v/>
      </c>
      <c r="R468" s="34" t="str">
        <f>IF(K468="","",IF(Q468&lt;&gt;"Ja","Ej aktuell",IF(P468="SAKNAS","NY KLASS",IF(MATCHER!N460&lt;&gt;"Ja",MATCHER!N460,IF(COUNTIF($A$13:$A$220,K468)=0,"NY MATCH","Matchdag finns")))))</f>
        <v/>
      </c>
    </row>
    <row r="469" spans="1:18" ht="13">
      <c r="A469" s="1"/>
      <c r="B469" s="1"/>
      <c r="C469" s="1"/>
      <c r="D469" s="1"/>
      <c r="E469" s="1"/>
      <c r="F469" s="1"/>
      <c r="G469" s="1"/>
      <c r="H469" s="1"/>
      <c r="I469" s="1"/>
      <c r="J469" s="1"/>
      <c r="K469" s="34" t="str">
        <f>IF(MATCHER!A461="","",MATCHER!A461)</f>
        <v/>
      </c>
      <c r="L469" s="91" t="str">
        <f>IF(MATCHER!B461="","",MATCHER!B461)</f>
        <v/>
      </c>
      <c r="M469" s="92" t="str">
        <f>IF(MATCHER!C461="","",MATCHER!C461)</f>
        <v/>
      </c>
      <c r="N469" s="34" t="str">
        <f>IF(MATCHER!D461="","",MATCHER!D461)</f>
        <v/>
      </c>
      <c r="O469" s="34" t="str">
        <f>IF(MATCHER!E461="","",MATCHER!E461)</f>
        <v/>
      </c>
      <c r="P469" s="34" t="str">
        <f>IF(MATCHER!F461="","",MATCHER!F461)</f>
        <v/>
      </c>
      <c r="Q469" s="34" t="str">
        <f>IF(MATCHER!K461="","",MATCHER!K461)</f>
        <v/>
      </c>
      <c r="R469" s="34" t="str">
        <f>IF(K469="","",IF(Q469&lt;&gt;"Ja","Ej aktuell",IF(P469="SAKNAS","NY KLASS",IF(MATCHER!N461&lt;&gt;"Ja",MATCHER!N461,IF(COUNTIF($A$13:$A$220,K469)=0,"NY MATCH","Matchdag finns")))))</f>
        <v/>
      </c>
    </row>
    <row r="470" spans="1:18" ht="13">
      <c r="A470" s="1"/>
      <c r="B470" s="1"/>
      <c r="C470" s="1"/>
      <c r="D470" s="1"/>
      <c r="E470" s="1"/>
      <c r="F470" s="1"/>
      <c r="G470" s="1"/>
      <c r="H470" s="1"/>
      <c r="I470" s="1"/>
      <c r="J470" s="1"/>
      <c r="K470" s="34" t="str">
        <f>IF(MATCHER!A462="","",MATCHER!A462)</f>
        <v/>
      </c>
      <c r="L470" s="91" t="str">
        <f>IF(MATCHER!B462="","",MATCHER!B462)</f>
        <v/>
      </c>
      <c r="M470" s="92" t="str">
        <f>IF(MATCHER!C462="","",MATCHER!C462)</f>
        <v/>
      </c>
      <c r="N470" s="34" t="str">
        <f>IF(MATCHER!D462="","",MATCHER!D462)</f>
        <v/>
      </c>
      <c r="O470" s="34" t="str">
        <f>IF(MATCHER!E462="","",MATCHER!E462)</f>
        <v/>
      </c>
      <c r="P470" s="34" t="str">
        <f>IF(MATCHER!F462="","",MATCHER!F462)</f>
        <v/>
      </c>
      <c r="Q470" s="34" t="str">
        <f>IF(MATCHER!K462="","",MATCHER!K462)</f>
        <v/>
      </c>
      <c r="R470" s="34" t="str">
        <f>IF(K470="","",IF(Q470&lt;&gt;"Ja","Ej aktuell",IF(P470="SAKNAS","NY KLASS",IF(MATCHER!N462&lt;&gt;"Ja",MATCHER!N462,IF(COUNTIF($A$13:$A$220,K470)=0,"NY MATCH","Matchdag finns")))))</f>
        <v/>
      </c>
    </row>
    <row r="471" spans="1:18" ht="13">
      <c r="A471" s="1"/>
      <c r="B471" s="1"/>
      <c r="C471" s="1"/>
      <c r="D471" s="1"/>
      <c r="E471" s="1"/>
      <c r="F471" s="1"/>
      <c r="G471" s="1"/>
      <c r="H471" s="1"/>
      <c r="I471" s="1"/>
      <c r="J471" s="1"/>
      <c r="K471" s="34" t="str">
        <f>IF(MATCHER!A463="","",MATCHER!A463)</f>
        <v/>
      </c>
      <c r="L471" s="91" t="str">
        <f>IF(MATCHER!B463="","",MATCHER!B463)</f>
        <v/>
      </c>
      <c r="M471" s="92" t="str">
        <f>IF(MATCHER!C463="","",MATCHER!C463)</f>
        <v/>
      </c>
      <c r="N471" s="34" t="str">
        <f>IF(MATCHER!D463="","",MATCHER!D463)</f>
        <v/>
      </c>
      <c r="O471" s="34" t="str">
        <f>IF(MATCHER!E463="","",MATCHER!E463)</f>
        <v/>
      </c>
      <c r="P471" s="34" t="str">
        <f>IF(MATCHER!F463="","",MATCHER!F463)</f>
        <v/>
      </c>
      <c r="Q471" s="34" t="str">
        <f>IF(MATCHER!K463="","",MATCHER!K463)</f>
        <v/>
      </c>
      <c r="R471" s="34" t="str">
        <f>IF(K471="","",IF(Q471&lt;&gt;"Ja","Ej aktuell",IF(P471="SAKNAS","NY KLASS",IF(MATCHER!N463&lt;&gt;"Ja",MATCHER!N463,IF(COUNTIF($A$13:$A$220,K471)=0,"NY MATCH","Matchdag finns")))))</f>
        <v/>
      </c>
    </row>
    <row r="472" spans="1:18" ht="13">
      <c r="A472" s="1"/>
      <c r="B472" s="1"/>
      <c r="C472" s="1"/>
      <c r="D472" s="1"/>
      <c r="E472" s="1"/>
      <c r="F472" s="1"/>
      <c r="G472" s="1"/>
      <c r="H472" s="1"/>
      <c r="I472" s="1"/>
      <c r="J472" s="1"/>
      <c r="K472" s="34" t="str">
        <f>IF(MATCHER!A464="","",MATCHER!A464)</f>
        <v/>
      </c>
      <c r="L472" s="91" t="str">
        <f>IF(MATCHER!B464="","",MATCHER!B464)</f>
        <v/>
      </c>
      <c r="M472" s="92" t="str">
        <f>IF(MATCHER!C464="","",MATCHER!C464)</f>
        <v/>
      </c>
      <c r="N472" s="34" t="str">
        <f>IF(MATCHER!D464="","",MATCHER!D464)</f>
        <v/>
      </c>
      <c r="O472" s="34" t="str">
        <f>IF(MATCHER!E464="","",MATCHER!E464)</f>
        <v/>
      </c>
      <c r="P472" s="34" t="str">
        <f>IF(MATCHER!F464="","",MATCHER!F464)</f>
        <v/>
      </c>
      <c r="Q472" s="34" t="str">
        <f>IF(MATCHER!K464="","",MATCHER!K464)</f>
        <v/>
      </c>
      <c r="R472" s="34" t="str">
        <f>IF(K472="","",IF(Q472&lt;&gt;"Ja","Ej aktuell",IF(P472="SAKNAS","NY KLASS",IF(MATCHER!N464&lt;&gt;"Ja",MATCHER!N464,IF(COUNTIF($A$13:$A$220,K472)=0,"NY MATCH","Matchdag finns")))))</f>
        <v/>
      </c>
    </row>
    <row r="473" spans="1:18" ht="13">
      <c r="A473" s="1"/>
      <c r="B473" s="1"/>
      <c r="C473" s="1"/>
      <c r="D473" s="1"/>
      <c r="E473" s="1"/>
      <c r="F473" s="1"/>
      <c r="G473" s="1"/>
      <c r="H473" s="1"/>
      <c r="I473" s="1"/>
      <c r="J473" s="1"/>
      <c r="K473" s="34" t="str">
        <f>IF(MATCHER!A465="","",MATCHER!A465)</f>
        <v/>
      </c>
      <c r="L473" s="91" t="str">
        <f>IF(MATCHER!B465="","",MATCHER!B465)</f>
        <v/>
      </c>
      <c r="M473" s="92" t="str">
        <f>IF(MATCHER!C465="","",MATCHER!C465)</f>
        <v/>
      </c>
      <c r="N473" s="34" t="str">
        <f>IF(MATCHER!D465="","",MATCHER!D465)</f>
        <v/>
      </c>
      <c r="O473" s="34" t="str">
        <f>IF(MATCHER!E465="","",MATCHER!E465)</f>
        <v/>
      </c>
      <c r="P473" s="34" t="str">
        <f>IF(MATCHER!F465="","",MATCHER!F465)</f>
        <v/>
      </c>
      <c r="Q473" s="34" t="str">
        <f>IF(MATCHER!K465="","",MATCHER!K465)</f>
        <v/>
      </c>
      <c r="R473" s="34" t="str">
        <f>IF(K473="","",IF(Q473&lt;&gt;"Ja","Ej aktuell",IF(P473="SAKNAS","NY KLASS",IF(MATCHER!N465&lt;&gt;"Ja",MATCHER!N465,IF(COUNTIF($A$13:$A$220,K473)=0,"NY MATCH","Matchdag finns")))))</f>
        <v/>
      </c>
    </row>
    <row r="474" spans="1:18" ht="13">
      <c r="A474" s="1"/>
      <c r="B474" s="1"/>
      <c r="C474" s="1"/>
      <c r="D474" s="1"/>
      <c r="E474" s="1"/>
      <c r="F474" s="1"/>
      <c r="G474" s="1"/>
      <c r="H474" s="1"/>
      <c r="I474" s="1"/>
      <c r="J474" s="1"/>
      <c r="K474" s="34" t="str">
        <f>IF(MATCHER!A466="","",MATCHER!A466)</f>
        <v/>
      </c>
      <c r="L474" s="91" t="str">
        <f>IF(MATCHER!B466="","",MATCHER!B466)</f>
        <v/>
      </c>
      <c r="M474" s="92" t="str">
        <f>IF(MATCHER!C466="","",MATCHER!C466)</f>
        <v/>
      </c>
      <c r="N474" s="34" t="str">
        <f>IF(MATCHER!D466="","",MATCHER!D466)</f>
        <v/>
      </c>
      <c r="O474" s="34" t="str">
        <f>IF(MATCHER!E466="","",MATCHER!E466)</f>
        <v/>
      </c>
      <c r="P474" s="34" t="str">
        <f>IF(MATCHER!F466="","",MATCHER!F466)</f>
        <v/>
      </c>
      <c r="Q474" s="34" t="str">
        <f>IF(MATCHER!K466="","",MATCHER!K466)</f>
        <v/>
      </c>
      <c r="R474" s="34" t="str">
        <f>IF(K474="","",IF(Q474&lt;&gt;"Ja","Ej aktuell",IF(P474="SAKNAS","NY KLASS",IF(MATCHER!N466&lt;&gt;"Ja",MATCHER!N466,IF(COUNTIF($A$13:$A$220,K474)=0,"NY MATCH","Matchdag finns")))))</f>
        <v/>
      </c>
    </row>
    <row r="475" spans="1:18" ht="13">
      <c r="A475" s="1"/>
      <c r="B475" s="1"/>
      <c r="C475" s="1"/>
      <c r="D475" s="1"/>
      <c r="E475" s="1"/>
      <c r="F475" s="1"/>
      <c r="G475" s="1"/>
      <c r="H475" s="1"/>
      <c r="I475" s="1"/>
      <c r="J475" s="1"/>
      <c r="K475" s="34" t="str">
        <f>IF(MATCHER!A467="","",MATCHER!A467)</f>
        <v/>
      </c>
      <c r="L475" s="91" t="str">
        <f>IF(MATCHER!B467="","",MATCHER!B467)</f>
        <v/>
      </c>
      <c r="M475" s="92" t="str">
        <f>IF(MATCHER!C467="","",MATCHER!C467)</f>
        <v/>
      </c>
      <c r="N475" s="34" t="str">
        <f>IF(MATCHER!D467="","",MATCHER!D467)</f>
        <v/>
      </c>
      <c r="O475" s="34" t="str">
        <f>IF(MATCHER!E467="","",MATCHER!E467)</f>
        <v/>
      </c>
      <c r="P475" s="34" t="str">
        <f>IF(MATCHER!F467="","",MATCHER!F467)</f>
        <v/>
      </c>
      <c r="Q475" s="34" t="str">
        <f>IF(MATCHER!K467="","",MATCHER!K467)</f>
        <v/>
      </c>
      <c r="R475" s="34" t="str">
        <f>IF(K475="","",IF(Q475&lt;&gt;"Ja","Ej aktuell",IF(P475="SAKNAS","NY KLASS",IF(MATCHER!N467&lt;&gt;"Ja",MATCHER!N467,IF(COUNTIF($A$13:$A$220,K475)=0,"NY MATCH","Matchdag finns")))))</f>
        <v/>
      </c>
    </row>
    <row r="476" spans="1:18" ht="13">
      <c r="A476" s="1"/>
      <c r="B476" s="1"/>
      <c r="C476" s="1"/>
      <c r="D476" s="1"/>
      <c r="E476" s="1"/>
      <c r="F476" s="1"/>
      <c r="G476" s="1"/>
      <c r="H476" s="1"/>
      <c r="I476" s="1"/>
      <c r="J476" s="1"/>
      <c r="K476" s="34" t="str">
        <f>IF(MATCHER!A468="","",MATCHER!A468)</f>
        <v/>
      </c>
      <c r="L476" s="91" t="str">
        <f>IF(MATCHER!B468="","",MATCHER!B468)</f>
        <v/>
      </c>
      <c r="M476" s="92" t="str">
        <f>IF(MATCHER!C468="","",MATCHER!C468)</f>
        <v/>
      </c>
      <c r="N476" s="34" t="str">
        <f>IF(MATCHER!D468="","",MATCHER!D468)</f>
        <v/>
      </c>
      <c r="O476" s="34" t="str">
        <f>IF(MATCHER!E468="","",MATCHER!E468)</f>
        <v/>
      </c>
      <c r="P476" s="34" t="str">
        <f>IF(MATCHER!F468="","",MATCHER!F468)</f>
        <v/>
      </c>
      <c r="Q476" s="34" t="str">
        <f>IF(MATCHER!K468="","",MATCHER!K468)</f>
        <v/>
      </c>
      <c r="R476" s="34" t="str">
        <f>IF(K476="","",IF(Q476&lt;&gt;"Ja","Ej aktuell",IF(P476="SAKNAS","NY KLASS",IF(MATCHER!N468&lt;&gt;"Ja",MATCHER!N468,IF(COUNTIF($A$13:$A$220,K476)=0,"NY MATCH","Matchdag finns")))))</f>
        <v/>
      </c>
    </row>
    <row r="477" spans="1:18" ht="13">
      <c r="A477" s="1"/>
      <c r="B477" s="1"/>
      <c r="C477" s="1"/>
      <c r="D477" s="1"/>
      <c r="E477" s="1"/>
      <c r="F477" s="1"/>
      <c r="G477" s="1"/>
      <c r="H477" s="1"/>
      <c r="I477" s="1"/>
      <c r="J477" s="1"/>
      <c r="K477" s="34" t="str">
        <f>IF(MATCHER!A469="","",MATCHER!A469)</f>
        <v/>
      </c>
      <c r="L477" s="91" t="str">
        <f>IF(MATCHER!B469="","",MATCHER!B469)</f>
        <v/>
      </c>
      <c r="M477" s="92" t="str">
        <f>IF(MATCHER!C469="","",MATCHER!C469)</f>
        <v/>
      </c>
      <c r="N477" s="34" t="str">
        <f>IF(MATCHER!D469="","",MATCHER!D469)</f>
        <v/>
      </c>
      <c r="O477" s="34" t="str">
        <f>IF(MATCHER!E469="","",MATCHER!E469)</f>
        <v/>
      </c>
      <c r="P477" s="34" t="str">
        <f>IF(MATCHER!F469="","",MATCHER!F469)</f>
        <v/>
      </c>
      <c r="Q477" s="34" t="str">
        <f>IF(MATCHER!K469="","",MATCHER!K469)</f>
        <v/>
      </c>
      <c r="R477" s="34" t="str">
        <f>IF(K477="","",IF(Q477&lt;&gt;"Ja","Ej aktuell",IF(P477="SAKNAS","NY KLASS",IF(MATCHER!N469&lt;&gt;"Ja",MATCHER!N469,IF(COUNTIF($A$13:$A$220,K477)=0,"NY MATCH","Matchdag finns")))))</f>
        <v/>
      </c>
    </row>
    <row r="478" spans="1:18" ht="13">
      <c r="A478" s="1"/>
      <c r="B478" s="1"/>
      <c r="C478" s="1"/>
      <c r="D478" s="1"/>
      <c r="E478" s="1"/>
      <c r="F478" s="1"/>
      <c r="G478" s="1"/>
      <c r="H478" s="1"/>
      <c r="I478" s="1"/>
      <c r="J478" s="1"/>
      <c r="K478" s="34" t="str">
        <f>IF(MATCHER!A470="","",MATCHER!A470)</f>
        <v/>
      </c>
      <c r="L478" s="91" t="str">
        <f>IF(MATCHER!B470="","",MATCHER!B470)</f>
        <v/>
      </c>
      <c r="M478" s="92" t="str">
        <f>IF(MATCHER!C470="","",MATCHER!C470)</f>
        <v/>
      </c>
      <c r="N478" s="34" t="str">
        <f>IF(MATCHER!D470="","",MATCHER!D470)</f>
        <v/>
      </c>
      <c r="O478" s="34" t="str">
        <f>IF(MATCHER!E470="","",MATCHER!E470)</f>
        <v/>
      </c>
      <c r="P478" s="34" t="str">
        <f>IF(MATCHER!F470="","",MATCHER!F470)</f>
        <v/>
      </c>
      <c r="Q478" s="34" t="str">
        <f>IF(MATCHER!K470="","",MATCHER!K470)</f>
        <v/>
      </c>
      <c r="R478" s="34" t="str">
        <f>IF(K478="","",IF(Q478&lt;&gt;"Ja","Ej aktuell",IF(P478="SAKNAS","NY KLASS",IF(MATCHER!N470&lt;&gt;"Ja",MATCHER!N470,IF(COUNTIF($A$13:$A$220,K478)=0,"NY MATCH","Matchdag finns")))))</f>
        <v/>
      </c>
    </row>
    <row r="479" spans="1:18" ht="13">
      <c r="A479" s="1"/>
      <c r="B479" s="1"/>
      <c r="C479" s="1"/>
      <c r="D479" s="1"/>
      <c r="E479" s="1"/>
      <c r="F479" s="1"/>
      <c r="G479" s="1"/>
      <c r="H479" s="1"/>
      <c r="I479" s="1"/>
      <c r="J479" s="1"/>
      <c r="K479" s="34" t="str">
        <f>IF(MATCHER!A471="","",MATCHER!A471)</f>
        <v/>
      </c>
      <c r="L479" s="91" t="str">
        <f>IF(MATCHER!B471="","",MATCHER!B471)</f>
        <v/>
      </c>
      <c r="M479" s="92" t="str">
        <f>IF(MATCHER!C471="","",MATCHER!C471)</f>
        <v/>
      </c>
      <c r="N479" s="34" t="str">
        <f>IF(MATCHER!D471="","",MATCHER!D471)</f>
        <v/>
      </c>
      <c r="O479" s="34" t="str">
        <f>IF(MATCHER!E471="","",MATCHER!E471)</f>
        <v/>
      </c>
      <c r="P479" s="34" t="str">
        <f>IF(MATCHER!F471="","",MATCHER!F471)</f>
        <v/>
      </c>
      <c r="Q479" s="34" t="str">
        <f>IF(MATCHER!K471="","",MATCHER!K471)</f>
        <v/>
      </c>
      <c r="R479" s="34" t="str">
        <f>IF(K479="","",IF(Q479&lt;&gt;"Ja","Ej aktuell",IF(P479="SAKNAS","NY KLASS",IF(MATCHER!N471&lt;&gt;"Ja",MATCHER!N471,IF(COUNTIF($A$13:$A$220,K479)=0,"NY MATCH","Matchdag finns")))))</f>
        <v/>
      </c>
    </row>
    <row r="480" spans="1:18" ht="13">
      <c r="A480" s="1"/>
      <c r="B480" s="1"/>
      <c r="C480" s="1"/>
      <c r="D480" s="1"/>
      <c r="E480" s="1"/>
      <c r="F480" s="1"/>
      <c r="G480" s="1"/>
      <c r="H480" s="1"/>
      <c r="I480" s="1"/>
      <c r="J480" s="1"/>
      <c r="K480" s="34" t="str">
        <f>IF(MATCHER!A472="","",MATCHER!A472)</f>
        <v/>
      </c>
      <c r="L480" s="91" t="str">
        <f>IF(MATCHER!B472="","",MATCHER!B472)</f>
        <v/>
      </c>
      <c r="M480" s="92" t="str">
        <f>IF(MATCHER!C472="","",MATCHER!C472)</f>
        <v/>
      </c>
      <c r="N480" s="34" t="str">
        <f>IF(MATCHER!D472="","",MATCHER!D472)</f>
        <v/>
      </c>
      <c r="O480" s="34" t="str">
        <f>IF(MATCHER!E472="","",MATCHER!E472)</f>
        <v/>
      </c>
      <c r="P480" s="34" t="str">
        <f>IF(MATCHER!F472="","",MATCHER!F472)</f>
        <v/>
      </c>
      <c r="Q480" s="34" t="str">
        <f>IF(MATCHER!K472="","",MATCHER!K472)</f>
        <v/>
      </c>
      <c r="R480" s="34" t="str">
        <f>IF(K480="","",IF(Q480&lt;&gt;"Ja","Ej aktuell",IF(P480="SAKNAS","NY KLASS",IF(MATCHER!N472&lt;&gt;"Ja",MATCHER!N472,IF(COUNTIF($A$13:$A$220,K480)=0,"NY MATCH","Matchdag finns")))))</f>
        <v/>
      </c>
    </row>
    <row r="481" spans="1:18" ht="13">
      <c r="A481" s="1"/>
      <c r="B481" s="1"/>
      <c r="C481" s="1"/>
      <c r="D481" s="1"/>
      <c r="E481" s="1"/>
      <c r="F481" s="1"/>
      <c r="G481" s="1"/>
      <c r="H481" s="1"/>
      <c r="I481" s="1"/>
      <c r="J481" s="1"/>
      <c r="K481" s="34" t="str">
        <f>IF(MATCHER!A473="","",MATCHER!A473)</f>
        <v/>
      </c>
      <c r="L481" s="91" t="str">
        <f>IF(MATCHER!B473="","",MATCHER!B473)</f>
        <v/>
      </c>
      <c r="M481" s="92" t="str">
        <f>IF(MATCHER!C473="","",MATCHER!C473)</f>
        <v/>
      </c>
      <c r="N481" s="34" t="str">
        <f>IF(MATCHER!D473="","",MATCHER!D473)</f>
        <v/>
      </c>
      <c r="O481" s="34" t="str">
        <f>IF(MATCHER!E473="","",MATCHER!E473)</f>
        <v/>
      </c>
      <c r="P481" s="34" t="str">
        <f>IF(MATCHER!F473="","",MATCHER!F473)</f>
        <v/>
      </c>
      <c r="Q481" s="34" t="str">
        <f>IF(MATCHER!K473="","",MATCHER!K473)</f>
        <v/>
      </c>
      <c r="R481" s="34" t="str">
        <f>IF(K481="","",IF(Q481&lt;&gt;"Ja","Ej aktuell",IF(P481="SAKNAS","NY KLASS",IF(MATCHER!N473&lt;&gt;"Ja",MATCHER!N473,IF(COUNTIF($A$13:$A$220,K481)=0,"NY MATCH","Matchdag finns")))))</f>
        <v/>
      </c>
    </row>
    <row r="482" spans="1:18" ht="13">
      <c r="A482" s="1"/>
      <c r="B482" s="1"/>
      <c r="C482" s="1"/>
      <c r="D482" s="1"/>
      <c r="E482" s="1"/>
      <c r="F482" s="1"/>
      <c r="G482" s="1"/>
      <c r="H482" s="1"/>
      <c r="I482" s="1"/>
      <c r="J482" s="1"/>
      <c r="K482" s="34" t="str">
        <f>IF(MATCHER!A474="","",MATCHER!A474)</f>
        <v/>
      </c>
      <c r="L482" s="91" t="str">
        <f>IF(MATCHER!B474="","",MATCHER!B474)</f>
        <v/>
      </c>
      <c r="M482" s="92" t="str">
        <f>IF(MATCHER!C474="","",MATCHER!C474)</f>
        <v/>
      </c>
      <c r="N482" s="34" t="str">
        <f>IF(MATCHER!D474="","",MATCHER!D474)</f>
        <v/>
      </c>
      <c r="O482" s="34" t="str">
        <f>IF(MATCHER!E474="","",MATCHER!E474)</f>
        <v/>
      </c>
      <c r="P482" s="34" t="str">
        <f>IF(MATCHER!F474="","",MATCHER!F474)</f>
        <v/>
      </c>
      <c r="Q482" s="34" t="str">
        <f>IF(MATCHER!K474="","",MATCHER!K474)</f>
        <v/>
      </c>
      <c r="R482" s="34" t="str">
        <f>IF(K482="","",IF(Q482&lt;&gt;"Ja","Ej aktuell",IF(P482="SAKNAS","NY KLASS",IF(MATCHER!N474&lt;&gt;"Ja",MATCHER!N474,IF(COUNTIF($A$13:$A$220,K482)=0,"NY MATCH","Matchdag finns")))))</f>
        <v/>
      </c>
    </row>
    <row r="483" spans="1:18" ht="13">
      <c r="A483" s="1"/>
      <c r="B483" s="1"/>
      <c r="C483" s="1"/>
      <c r="D483" s="1"/>
      <c r="E483" s="1"/>
      <c r="F483" s="1"/>
      <c r="G483" s="1"/>
      <c r="H483" s="1"/>
      <c r="I483" s="1"/>
      <c r="J483" s="1"/>
      <c r="K483" s="34" t="str">
        <f>IF(MATCHER!A475="","",MATCHER!A475)</f>
        <v/>
      </c>
      <c r="L483" s="91" t="str">
        <f>IF(MATCHER!B475="","",MATCHER!B475)</f>
        <v/>
      </c>
      <c r="M483" s="92" t="str">
        <f>IF(MATCHER!C475="","",MATCHER!C475)</f>
        <v/>
      </c>
      <c r="N483" s="34" t="str">
        <f>IF(MATCHER!D475="","",MATCHER!D475)</f>
        <v/>
      </c>
      <c r="O483" s="34" t="str">
        <f>IF(MATCHER!E475="","",MATCHER!E475)</f>
        <v/>
      </c>
      <c r="P483" s="34" t="str">
        <f>IF(MATCHER!F475="","",MATCHER!F475)</f>
        <v/>
      </c>
      <c r="Q483" s="34" t="str">
        <f>IF(MATCHER!K475="","",MATCHER!K475)</f>
        <v/>
      </c>
      <c r="R483" s="34" t="str">
        <f>IF(K483="","",IF(Q483&lt;&gt;"Ja","Ej aktuell",IF(P483="SAKNAS","NY KLASS",IF(MATCHER!N475&lt;&gt;"Ja",MATCHER!N475,IF(COUNTIF($A$13:$A$220,K483)=0,"NY MATCH","Matchdag finns")))))</f>
        <v/>
      </c>
    </row>
    <row r="484" spans="1:18" ht="13">
      <c r="A484" s="1"/>
      <c r="B484" s="1"/>
      <c r="C484" s="1"/>
      <c r="D484" s="1"/>
      <c r="E484" s="1"/>
      <c r="F484" s="1"/>
      <c r="G484" s="1"/>
      <c r="H484" s="1"/>
      <c r="I484" s="1"/>
      <c r="J484" s="1"/>
      <c r="K484" s="34" t="str">
        <f>IF(MATCHER!A476="","",MATCHER!A476)</f>
        <v/>
      </c>
      <c r="L484" s="91" t="str">
        <f>IF(MATCHER!B476="","",MATCHER!B476)</f>
        <v/>
      </c>
      <c r="M484" s="92" t="str">
        <f>IF(MATCHER!C476="","",MATCHER!C476)</f>
        <v/>
      </c>
      <c r="N484" s="34" t="str">
        <f>IF(MATCHER!D476="","",MATCHER!D476)</f>
        <v/>
      </c>
      <c r="O484" s="34" t="str">
        <f>IF(MATCHER!E476="","",MATCHER!E476)</f>
        <v/>
      </c>
      <c r="P484" s="34" t="str">
        <f>IF(MATCHER!F476="","",MATCHER!F476)</f>
        <v/>
      </c>
      <c r="Q484" s="34" t="str">
        <f>IF(MATCHER!K476="","",MATCHER!K476)</f>
        <v/>
      </c>
      <c r="R484" s="34" t="str">
        <f>IF(K484="","",IF(Q484&lt;&gt;"Ja","Ej aktuell",IF(P484="SAKNAS","NY KLASS",IF(MATCHER!N476&lt;&gt;"Ja",MATCHER!N476,IF(COUNTIF($A$13:$A$220,K484)=0,"NY MATCH","Matchdag finns")))))</f>
        <v/>
      </c>
    </row>
    <row r="485" spans="1:18" ht="13">
      <c r="A485" s="1"/>
      <c r="B485" s="1"/>
      <c r="C485" s="1"/>
      <c r="D485" s="1"/>
      <c r="E485" s="1"/>
      <c r="F485" s="1"/>
      <c r="G485" s="1"/>
      <c r="H485" s="1"/>
      <c r="I485" s="1"/>
      <c r="J485" s="1"/>
      <c r="K485" s="34" t="str">
        <f>IF(MATCHER!A477="","",MATCHER!A477)</f>
        <v/>
      </c>
      <c r="L485" s="91" t="str">
        <f>IF(MATCHER!B477="","",MATCHER!B477)</f>
        <v/>
      </c>
      <c r="M485" s="92" t="str">
        <f>IF(MATCHER!C477="","",MATCHER!C477)</f>
        <v/>
      </c>
      <c r="N485" s="34" t="str">
        <f>IF(MATCHER!D477="","",MATCHER!D477)</f>
        <v/>
      </c>
      <c r="O485" s="34" t="str">
        <f>IF(MATCHER!E477="","",MATCHER!E477)</f>
        <v/>
      </c>
      <c r="P485" s="34" t="str">
        <f>IF(MATCHER!F477="","",MATCHER!F477)</f>
        <v/>
      </c>
      <c r="Q485" s="34" t="str">
        <f>IF(MATCHER!K477="","",MATCHER!K477)</f>
        <v/>
      </c>
      <c r="R485" s="34" t="str">
        <f>IF(K485="","",IF(Q485&lt;&gt;"Ja","Ej aktuell",IF(P485="SAKNAS","NY KLASS",IF(MATCHER!N477&lt;&gt;"Ja",MATCHER!N477,IF(COUNTIF($A$13:$A$220,K485)=0,"NY MATCH","Matchdag finns")))))</f>
        <v/>
      </c>
    </row>
    <row r="486" spans="1:18" ht="13">
      <c r="A486" s="1"/>
      <c r="B486" s="1"/>
      <c r="C486" s="1"/>
      <c r="D486" s="1"/>
      <c r="E486" s="1"/>
      <c r="F486" s="1"/>
      <c r="G486" s="1"/>
      <c r="H486" s="1"/>
      <c r="I486" s="1"/>
      <c r="J486" s="1"/>
      <c r="K486" s="34" t="str">
        <f>IF(MATCHER!A478="","",MATCHER!A478)</f>
        <v/>
      </c>
      <c r="L486" s="91" t="str">
        <f>IF(MATCHER!B478="","",MATCHER!B478)</f>
        <v/>
      </c>
      <c r="M486" s="92" t="str">
        <f>IF(MATCHER!C478="","",MATCHER!C478)</f>
        <v/>
      </c>
      <c r="N486" s="34" t="str">
        <f>IF(MATCHER!D478="","",MATCHER!D478)</f>
        <v/>
      </c>
      <c r="O486" s="34" t="str">
        <f>IF(MATCHER!E478="","",MATCHER!E478)</f>
        <v/>
      </c>
      <c r="P486" s="34" t="str">
        <f>IF(MATCHER!F478="","",MATCHER!F478)</f>
        <v/>
      </c>
      <c r="Q486" s="34" t="str">
        <f>IF(MATCHER!K478="","",MATCHER!K478)</f>
        <v/>
      </c>
      <c r="R486" s="34" t="str">
        <f>IF(K486="","",IF(Q486&lt;&gt;"Ja","Ej aktuell",IF(P486="SAKNAS","NY KLASS",IF(MATCHER!N478&lt;&gt;"Ja",MATCHER!N478,IF(COUNTIF($A$13:$A$220,K486)=0,"NY MATCH","Matchdag finns")))))</f>
        <v/>
      </c>
    </row>
    <row r="487" spans="1:18" ht="13">
      <c r="A487" s="1"/>
      <c r="B487" s="1"/>
      <c r="C487" s="1"/>
      <c r="D487" s="1"/>
      <c r="E487" s="1"/>
      <c r="F487" s="1"/>
      <c r="G487" s="1"/>
      <c r="H487" s="1"/>
      <c r="I487" s="1"/>
      <c r="J487" s="1"/>
      <c r="K487" s="34" t="str">
        <f>IF(MATCHER!A479="","",MATCHER!A479)</f>
        <v/>
      </c>
      <c r="L487" s="91" t="str">
        <f>IF(MATCHER!B479="","",MATCHER!B479)</f>
        <v/>
      </c>
      <c r="M487" s="92" t="str">
        <f>IF(MATCHER!C479="","",MATCHER!C479)</f>
        <v/>
      </c>
      <c r="N487" s="34" t="str">
        <f>IF(MATCHER!D479="","",MATCHER!D479)</f>
        <v/>
      </c>
      <c r="O487" s="34" t="str">
        <f>IF(MATCHER!E479="","",MATCHER!E479)</f>
        <v/>
      </c>
      <c r="P487" s="34" t="str">
        <f>IF(MATCHER!F479="","",MATCHER!F479)</f>
        <v/>
      </c>
      <c r="Q487" s="34" t="str">
        <f>IF(MATCHER!K479="","",MATCHER!K479)</f>
        <v/>
      </c>
      <c r="R487" s="34" t="str">
        <f>IF(K487="","",IF(Q487&lt;&gt;"Ja","Ej aktuell",IF(P487="SAKNAS","NY KLASS",IF(MATCHER!N479&lt;&gt;"Ja",MATCHER!N479,IF(COUNTIF($A$13:$A$220,K487)=0,"NY MATCH","Matchdag finns")))))</f>
        <v/>
      </c>
    </row>
    <row r="488" spans="1:18" ht="13">
      <c r="A488" s="1"/>
      <c r="B488" s="1"/>
      <c r="C488" s="1"/>
      <c r="D488" s="1"/>
      <c r="E488" s="1"/>
      <c r="F488" s="1"/>
      <c r="G488" s="1"/>
      <c r="H488" s="1"/>
      <c r="I488" s="1"/>
      <c r="J488" s="1"/>
      <c r="K488" s="34" t="str">
        <f>IF(MATCHER!A480="","",MATCHER!A480)</f>
        <v/>
      </c>
      <c r="L488" s="91" t="str">
        <f>IF(MATCHER!B480="","",MATCHER!B480)</f>
        <v/>
      </c>
      <c r="M488" s="92" t="str">
        <f>IF(MATCHER!C480="","",MATCHER!C480)</f>
        <v/>
      </c>
      <c r="N488" s="34" t="str">
        <f>IF(MATCHER!D480="","",MATCHER!D480)</f>
        <v/>
      </c>
      <c r="O488" s="34" t="str">
        <f>IF(MATCHER!E480="","",MATCHER!E480)</f>
        <v/>
      </c>
      <c r="P488" s="34" t="str">
        <f>IF(MATCHER!F480="","",MATCHER!F480)</f>
        <v/>
      </c>
      <c r="Q488" s="34" t="str">
        <f>IF(MATCHER!K480="","",MATCHER!K480)</f>
        <v/>
      </c>
      <c r="R488" s="34" t="str">
        <f>IF(K488="","",IF(Q488&lt;&gt;"Ja","Ej aktuell",IF(P488="SAKNAS","NY KLASS",IF(MATCHER!N480&lt;&gt;"Ja",MATCHER!N480,IF(COUNTIF($A$13:$A$220,K488)=0,"NY MATCH","Matchdag finns")))))</f>
        <v/>
      </c>
    </row>
    <row r="489" spans="1:18" ht="13">
      <c r="A489" s="1"/>
      <c r="B489" s="1"/>
      <c r="C489" s="1"/>
      <c r="D489" s="1"/>
      <c r="E489" s="1"/>
      <c r="F489" s="1"/>
      <c r="G489" s="1"/>
      <c r="H489" s="1"/>
      <c r="I489" s="1"/>
      <c r="J489" s="1"/>
      <c r="K489" s="34" t="str">
        <f>IF(MATCHER!A481="","",MATCHER!A481)</f>
        <v/>
      </c>
      <c r="L489" s="91" t="str">
        <f>IF(MATCHER!B481="","",MATCHER!B481)</f>
        <v/>
      </c>
      <c r="M489" s="92" t="str">
        <f>IF(MATCHER!C481="","",MATCHER!C481)</f>
        <v/>
      </c>
      <c r="N489" s="34" t="str">
        <f>IF(MATCHER!D481="","",MATCHER!D481)</f>
        <v/>
      </c>
      <c r="O489" s="34" t="str">
        <f>IF(MATCHER!E481="","",MATCHER!E481)</f>
        <v/>
      </c>
      <c r="P489" s="34" t="str">
        <f>IF(MATCHER!F481="","",MATCHER!F481)</f>
        <v/>
      </c>
      <c r="Q489" s="34" t="str">
        <f>IF(MATCHER!K481="","",MATCHER!K481)</f>
        <v/>
      </c>
      <c r="R489" s="34" t="str">
        <f>IF(K489="","",IF(Q489&lt;&gt;"Ja","Ej aktuell",IF(P489="SAKNAS","NY KLASS",IF(MATCHER!N481&lt;&gt;"Ja",MATCHER!N481,IF(COUNTIF($A$13:$A$220,K489)=0,"NY MATCH","Matchdag finns")))))</f>
        <v/>
      </c>
    </row>
    <row r="490" spans="1:18" ht="13">
      <c r="A490" s="1"/>
      <c r="B490" s="1"/>
      <c r="C490" s="1"/>
      <c r="D490" s="1"/>
      <c r="E490" s="1"/>
      <c r="F490" s="1"/>
      <c r="G490" s="1"/>
      <c r="H490" s="1"/>
      <c r="I490" s="1"/>
      <c r="J490" s="1"/>
      <c r="K490" s="34" t="str">
        <f>IF(MATCHER!A482="","",MATCHER!A482)</f>
        <v/>
      </c>
      <c r="L490" s="91" t="str">
        <f>IF(MATCHER!B482="","",MATCHER!B482)</f>
        <v/>
      </c>
      <c r="M490" s="92" t="str">
        <f>IF(MATCHER!C482="","",MATCHER!C482)</f>
        <v/>
      </c>
      <c r="N490" s="34" t="str">
        <f>IF(MATCHER!D482="","",MATCHER!D482)</f>
        <v/>
      </c>
      <c r="O490" s="34" t="str">
        <f>IF(MATCHER!E482="","",MATCHER!E482)</f>
        <v/>
      </c>
      <c r="P490" s="34" t="str">
        <f>IF(MATCHER!F482="","",MATCHER!F482)</f>
        <v/>
      </c>
      <c r="Q490" s="34" t="str">
        <f>IF(MATCHER!K482="","",MATCHER!K482)</f>
        <v/>
      </c>
      <c r="R490" s="34" t="str">
        <f>IF(K490="","",IF(Q490&lt;&gt;"Ja","Ej aktuell",IF(P490="SAKNAS","NY KLASS",IF(MATCHER!N482&lt;&gt;"Ja",MATCHER!N482,IF(COUNTIF($A$13:$A$220,K490)=0,"NY MATCH","Matchdag finns")))))</f>
        <v/>
      </c>
    </row>
    <row r="491" spans="1:18" ht="13">
      <c r="A491" s="1"/>
      <c r="B491" s="1"/>
      <c r="C491" s="1"/>
      <c r="D491" s="1"/>
      <c r="E491" s="1"/>
      <c r="F491" s="1"/>
      <c r="G491" s="1"/>
      <c r="H491" s="1"/>
      <c r="I491" s="1"/>
      <c r="J491" s="1"/>
      <c r="K491" s="34" t="str">
        <f>IF(MATCHER!A483="","",MATCHER!A483)</f>
        <v/>
      </c>
      <c r="L491" s="91" t="str">
        <f>IF(MATCHER!B483="","",MATCHER!B483)</f>
        <v/>
      </c>
      <c r="M491" s="92" t="str">
        <f>IF(MATCHER!C483="","",MATCHER!C483)</f>
        <v/>
      </c>
      <c r="N491" s="34" t="str">
        <f>IF(MATCHER!D483="","",MATCHER!D483)</f>
        <v/>
      </c>
      <c r="O491" s="34" t="str">
        <f>IF(MATCHER!E483="","",MATCHER!E483)</f>
        <v/>
      </c>
      <c r="P491" s="34" t="str">
        <f>IF(MATCHER!F483="","",MATCHER!F483)</f>
        <v/>
      </c>
      <c r="Q491" s="34" t="str">
        <f>IF(MATCHER!K483="","",MATCHER!K483)</f>
        <v/>
      </c>
      <c r="R491" s="34" t="str">
        <f>IF(K491="","",IF(Q491&lt;&gt;"Ja","Ej aktuell",IF(P491="SAKNAS","NY KLASS",IF(MATCHER!N483&lt;&gt;"Ja",MATCHER!N483,IF(COUNTIF($A$13:$A$220,K491)=0,"NY MATCH","Matchdag finns")))))</f>
        <v/>
      </c>
    </row>
    <row r="492" spans="1:18" ht="13">
      <c r="A492" s="1"/>
      <c r="B492" s="1"/>
      <c r="C492" s="1"/>
      <c r="D492" s="1"/>
      <c r="E492" s="1"/>
      <c r="F492" s="1"/>
      <c r="G492" s="1"/>
      <c r="H492" s="1"/>
      <c r="I492" s="1"/>
      <c r="J492" s="1"/>
      <c r="K492" s="34" t="str">
        <f>IF(MATCHER!A484="","",MATCHER!A484)</f>
        <v/>
      </c>
      <c r="L492" s="91" t="str">
        <f>IF(MATCHER!B484="","",MATCHER!B484)</f>
        <v/>
      </c>
      <c r="M492" s="92" t="str">
        <f>IF(MATCHER!C484="","",MATCHER!C484)</f>
        <v/>
      </c>
      <c r="N492" s="34" t="str">
        <f>IF(MATCHER!D484="","",MATCHER!D484)</f>
        <v/>
      </c>
      <c r="O492" s="34" t="str">
        <f>IF(MATCHER!E484="","",MATCHER!E484)</f>
        <v/>
      </c>
      <c r="P492" s="34" t="str">
        <f>IF(MATCHER!F484="","",MATCHER!F484)</f>
        <v/>
      </c>
      <c r="Q492" s="34" t="str">
        <f>IF(MATCHER!K484="","",MATCHER!K484)</f>
        <v/>
      </c>
      <c r="R492" s="34" t="str">
        <f>IF(K492="","",IF(Q492&lt;&gt;"Ja","Ej aktuell",IF(P492="SAKNAS","NY KLASS",IF(MATCHER!N484&lt;&gt;"Ja",MATCHER!N484,IF(COUNTIF($A$13:$A$220,K492)=0,"NY MATCH","Matchdag finns")))))</f>
        <v/>
      </c>
    </row>
    <row r="493" spans="1:18" ht="13">
      <c r="A493" s="1"/>
      <c r="B493" s="1"/>
      <c r="C493" s="1"/>
      <c r="D493" s="1"/>
      <c r="E493" s="1"/>
      <c r="F493" s="1"/>
      <c r="G493" s="1"/>
      <c r="H493" s="1"/>
      <c r="I493" s="1"/>
      <c r="J493" s="1"/>
      <c r="K493" s="34" t="str">
        <f>IF(MATCHER!A485="","",MATCHER!A485)</f>
        <v/>
      </c>
      <c r="L493" s="91" t="str">
        <f>IF(MATCHER!B485="","",MATCHER!B485)</f>
        <v/>
      </c>
      <c r="M493" s="92" t="str">
        <f>IF(MATCHER!C485="","",MATCHER!C485)</f>
        <v/>
      </c>
      <c r="N493" s="34" t="str">
        <f>IF(MATCHER!D485="","",MATCHER!D485)</f>
        <v/>
      </c>
      <c r="O493" s="34" t="str">
        <f>IF(MATCHER!E485="","",MATCHER!E485)</f>
        <v/>
      </c>
      <c r="P493" s="34" t="str">
        <f>IF(MATCHER!F485="","",MATCHER!F485)</f>
        <v/>
      </c>
      <c r="Q493" s="34" t="str">
        <f>IF(MATCHER!K485="","",MATCHER!K485)</f>
        <v/>
      </c>
      <c r="R493" s="34" t="str">
        <f>IF(K493="","",IF(Q493&lt;&gt;"Ja","Ej aktuell",IF(P493="SAKNAS","NY KLASS",IF(MATCHER!N485&lt;&gt;"Ja",MATCHER!N485,IF(COUNTIF($A$13:$A$220,K493)=0,"NY MATCH","Matchdag finns")))))</f>
        <v/>
      </c>
    </row>
    <row r="494" spans="1:18" ht="13">
      <c r="A494" s="1"/>
      <c r="B494" s="1"/>
      <c r="C494" s="1"/>
      <c r="D494" s="1"/>
      <c r="E494" s="1"/>
      <c r="F494" s="1"/>
      <c r="G494" s="1"/>
      <c r="H494" s="1"/>
      <c r="I494" s="1"/>
      <c r="J494" s="1"/>
      <c r="K494" s="34" t="str">
        <f>IF(MATCHER!A486="","",MATCHER!A486)</f>
        <v/>
      </c>
      <c r="L494" s="91" t="str">
        <f>IF(MATCHER!B486="","",MATCHER!B486)</f>
        <v/>
      </c>
      <c r="M494" s="92" t="str">
        <f>IF(MATCHER!C486="","",MATCHER!C486)</f>
        <v/>
      </c>
      <c r="N494" s="34" t="str">
        <f>IF(MATCHER!D486="","",MATCHER!D486)</f>
        <v/>
      </c>
      <c r="O494" s="34" t="str">
        <f>IF(MATCHER!E486="","",MATCHER!E486)</f>
        <v/>
      </c>
      <c r="P494" s="34" t="str">
        <f>IF(MATCHER!F486="","",MATCHER!F486)</f>
        <v/>
      </c>
      <c r="Q494" s="34" t="str">
        <f>IF(MATCHER!K486="","",MATCHER!K486)</f>
        <v/>
      </c>
      <c r="R494" s="34" t="str">
        <f>IF(K494="","",IF(Q494&lt;&gt;"Ja","Ej aktuell",IF(P494="SAKNAS","NY KLASS",IF(MATCHER!N486&lt;&gt;"Ja",MATCHER!N486,IF(COUNTIF($A$13:$A$220,K494)=0,"NY MATCH","Matchdag finns")))))</f>
        <v/>
      </c>
    </row>
    <row r="495" spans="1:18" ht="13">
      <c r="A495" s="1"/>
      <c r="B495" s="1"/>
      <c r="C495" s="1"/>
      <c r="D495" s="1"/>
      <c r="E495" s="1"/>
      <c r="F495" s="1"/>
      <c r="G495" s="1"/>
      <c r="H495" s="1"/>
      <c r="I495" s="1"/>
      <c r="J495" s="1"/>
      <c r="K495" s="34" t="str">
        <f>IF(MATCHER!A487="","",MATCHER!A487)</f>
        <v/>
      </c>
      <c r="L495" s="91" t="str">
        <f>IF(MATCHER!B487="","",MATCHER!B487)</f>
        <v/>
      </c>
      <c r="M495" s="92" t="str">
        <f>IF(MATCHER!C487="","",MATCHER!C487)</f>
        <v/>
      </c>
      <c r="N495" s="34" t="str">
        <f>IF(MATCHER!D487="","",MATCHER!D487)</f>
        <v/>
      </c>
      <c r="O495" s="34" t="str">
        <f>IF(MATCHER!E487="","",MATCHER!E487)</f>
        <v/>
      </c>
      <c r="P495" s="34" t="str">
        <f>IF(MATCHER!F487="","",MATCHER!F487)</f>
        <v/>
      </c>
      <c r="Q495" s="34" t="str">
        <f>IF(MATCHER!K487="","",MATCHER!K487)</f>
        <v/>
      </c>
      <c r="R495" s="34" t="str">
        <f>IF(K495="","",IF(Q495&lt;&gt;"Ja","Ej aktuell",IF(P495="SAKNAS","NY KLASS",IF(MATCHER!N487&lt;&gt;"Ja",MATCHER!N487,IF(COUNTIF($A$13:$A$220,K495)=0,"NY MATCH","Matchdag finns")))))</f>
        <v/>
      </c>
    </row>
    <row r="496" spans="1:18" ht="13">
      <c r="A496" s="1"/>
      <c r="B496" s="1"/>
      <c r="C496" s="1"/>
      <c r="D496" s="1"/>
      <c r="E496" s="1"/>
      <c r="F496" s="1"/>
      <c r="G496" s="1"/>
      <c r="H496" s="1"/>
      <c r="I496" s="1"/>
      <c r="J496" s="1"/>
      <c r="K496" s="34" t="str">
        <f>IF(MATCHER!A488="","",MATCHER!A488)</f>
        <v/>
      </c>
      <c r="L496" s="91" t="str">
        <f>IF(MATCHER!B488="","",MATCHER!B488)</f>
        <v/>
      </c>
      <c r="M496" s="92" t="str">
        <f>IF(MATCHER!C488="","",MATCHER!C488)</f>
        <v/>
      </c>
      <c r="N496" s="34" t="str">
        <f>IF(MATCHER!D488="","",MATCHER!D488)</f>
        <v/>
      </c>
      <c r="O496" s="34" t="str">
        <f>IF(MATCHER!E488="","",MATCHER!E488)</f>
        <v/>
      </c>
      <c r="P496" s="34" t="str">
        <f>IF(MATCHER!F488="","",MATCHER!F488)</f>
        <v/>
      </c>
      <c r="Q496" s="34" t="str">
        <f>IF(MATCHER!K488="","",MATCHER!K488)</f>
        <v/>
      </c>
      <c r="R496" s="34" t="str">
        <f>IF(K496="","",IF(Q496&lt;&gt;"Ja","Ej aktuell",IF(P496="SAKNAS","NY KLASS",IF(MATCHER!N488&lt;&gt;"Ja",MATCHER!N488,IF(COUNTIF($A$13:$A$220,K496)=0,"NY MATCH","Matchdag finns")))))</f>
        <v/>
      </c>
    </row>
    <row r="497" spans="1:18" ht="13">
      <c r="A497" s="1"/>
      <c r="B497" s="1"/>
      <c r="C497" s="1"/>
      <c r="D497" s="1"/>
      <c r="E497" s="1"/>
      <c r="F497" s="1"/>
      <c r="G497" s="1"/>
      <c r="H497" s="1"/>
      <c r="I497" s="1"/>
      <c r="J497" s="1"/>
      <c r="K497" s="34" t="str">
        <f>IF(MATCHER!A489="","",MATCHER!A489)</f>
        <v/>
      </c>
      <c r="L497" s="91" t="str">
        <f>IF(MATCHER!B489="","",MATCHER!B489)</f>
        <v/>
      </c>
      <c r="M497" s="92" t="str">
        <f>IF(MATCHER!C489="","",MATCHER!C489)</f>
        <v/>
      </c>
      <c r="N497" s="34" t="str">
        <f>IF(MATCHER!D489="","",MATCHER!D489)</f>
        <v/>
      </c>
      <c r="O497" s="34" t="str">
        <f>IF(MATCHER!E489="","",MATCHER!E489)</f>
        <v/>
      </c>
      <c r="P497" s="34" t="str">
        <f>IF(MATCHER!F489="","",MATCHER!F489)</f>
        <v/>
      </c>
      <c r="Q497" s="34" t="str">
        <f>IF(MATCHER!K489="","",MATCHER!K489)</f>
        <v/>
      </c>
      <c r="R497" s="34" t="str">
        <f>IF(K497="","",IF(Q497&lt;&gt;"Ja","Ej aktuell",IF(P497="SAKNAS","NY KLASS",IF(MATCHER!N489&lt;&gt;"Ja",MATCHER!N489,IF(COUNTIF($A$13:$A$220,K497)=0,"NY MATCH","Matchdag finns")))))</f>
        <v/>
      </c>
    </row>
    <row r="498" spans="1:18" ht="13">
      <c r="A498" s="1"/>
      <c r="B498" s="1"/>
      <c r="C498" s="1"/>
      <c r="D498" s="1"/>
      <c r="E498" s="1"/>
      <c r="F498" s="1"/>
      <c r="G498" s="1"/>
      <c r="H498" s="1"/>
      <c r="I498" s="1"/>
      <c r="J498" s="1"/>
      <c r="K498" s="34" t="str">
        <f>IF(MATCHER!A490="","",MATCHER!A490)</f>
        <v/>
      </c>
      <c r="L498" s="91" t="str">
        <f>IF(MATCHER!B490="","",MATCHER!B490)</f>
        <v/>
      </c>
      <c r="M498" s="92" t="str">
        <f>IF(MATCHER!C490="","",MATCHER!C490)</f>
        <v/>
      </c>
      <c r="N498" s="34" t="str">
        <f>IF(MATCHER!D490="","",MATCHER!D490)</f>
        <v/>
      </c>
      <c r="O498" s="34" t="str">
        <f>IF(MATCHER!E490="","",MATCHER!E490)</f>
        <v/>
      </c>
      <c r="P498" s="34" t="str">
        <f>IF(MATCHER!F490="","",MATCHER!F490)</f>
        <v/>
      </c>
      <c r="Q498" s="34" t="str">
        <f>IF(MATCHER!K490="","",MATCHER!K490)</f>
        <v/>
      </c>
      <c r="R498" s="34" t="str">
        <f>IF(K498="","",IF(Q498&lt;&gt;"Ja","Ej aktuell",IF(P498="SAKNAS","NY KLASS",IF(MATCHER!N490&lt;&gt;"Ja",MATCHER!N490,IF(COUNTIF($A$13:$A$220,K498)=0,"NY MATCH","Matchdag finns")))))</f>
        <v/>
      </c>
    </row>
    <row r="499" spans="1:18" ht="13">
      <c r="A499" s="1"/>
      <c r="B499" s="1"/>
      <c r="C499" s="1"/>
      <c r="D499" s="1"/>
      <c r="E499" s="1"/>
      <c r="F499" s="1"/>
      <c r="G499" s="1"/>
      <c r="H499" s="1"/>
      <c r="I499" s="1"/>
      <c r="J499" s="1"/>
      <c r="K499" s="34" t="str">
        <f>IF(MATCHER!A491="","",MATCHER!A491)</f>
        <v/>
      </c>
      <c r="L499" s="91" t="str">
        <f>IF(MATCHER!B491="","",MATCHER!B491)</f>
        <v/>
      </c>
      <c r="M499" s="92" t="str">
        <f>IF(MATCHER!C491="","",MATCHER!C491)</f>
        <v/>
      </c>
      <c r="N499" s="34" t="str">
        <f>IF(MATCHER!D491="","",MATCHER!D491)</f>
        <v/>
      </c>
      <c r="O499" s="34" t="str">
        <f>IF(MATCHER!E491="","",MATCHER!E491)</f>
        <v/>
      </c>
      <c r="P499" s="34" t="str">
        <f>IF(MATCHER!F491="","",MATCHER!F491)</f>
        <v/>
      </c>
      <c r="Q499" s="34" t="str">
        <f>IF(MATCHER!K491="","",MATCHER!K491)</f>
        <v/>
      </c>
      <c r="R499" s="34" t="str">
        <f>IF(K499="","",IF(Q499&lt;&gt;"Ja","Ej aktuell",IF(P499="SAKNAS","NY KLASS",IF(MATCHER!N491&lt;&gt;"Ja",MATCHER!N491,IF(COUNTIF($A$13:$A$220,K499)=0,"NY MATCH","Matchdag finns")))))</f>
        <v/>
      </c>
    </row>
    <row r="500" spans="1:18" ht="13">
      <c r="A500" s="1"/>
      <c r="B500" s="1"/>
      <c r="C500" s="1"/>
      <c r="D500" s="1"/>
      <c r="E500" s="1"/>
      <c r="F500" s="1"/>
      <c r="G500" s="1"/>
      <c r="H500" s="1"/>
      <c r="I500" s="1"/>
      <c r="J500" s="1"/>
      <c r="K500" s="34" t="str">
        <f>IF(MATCHER!A492="","",MATCHER!A492)</f>
        <v/>
      </c>
      <c r="L500" s="91" t="str">
        <f>IF(MATCHER!B492="","",MATCHER!B492)</f>
        <v/>
      </c>
      <c r="M500" s="92" t="str">
        <f>IF(MATCHER!C492="","",MATCHER!C492)</f>
        <v/>
      </c>
      <c r="N500" s="34" t="str">
        <f>IF(MATCHER!D492="","",MATCHER!D492)</f>
        <v/>
      </c>
      <c r="O500" s="34" t="str">
        <f>IF(MATCHER!E492="","",MATCHER!E492)</f>
        <v/>
      </c>
      <c r="P500" s="34" t="str">
        <f>IF(MATCHER!F492="","",MATCHER!F492)</f>
        <v/>
      </c>
      <c r="Q500" s="34" t="str">
        <f>IF(MATCHER!K492="","",MATCHER!K492)</f>
        <v/>
      </c>
      <c r="R500" s="34" t="str">
        <f>IF(K500="","",IF(Q500&lt;&gt;"Ja","Ej aktuell",IF(P500="SAKNAS","NY KLASS",IF(MATCHER!N492&lt;&gt;"Ja",MATCHER!N492,IF(COUNTIF($A$13:$A$220,K500)=0,"NY MATCH","Matchdag finns")))))</f>
        <v/>
      </c>
    </row>
    <row r="501" spans="1:18" ht="13">
      <c r="A501" s="1"/>
      <c r="B501" s="1"/>
      <c r="C501" s="1"/>
      <c r="D501" s="1"/>
      <c r="E501" s="1"/>
      <c r="F501" s="1"/>
      <c r="G501" s="1"/>
      <c r="H501" s="1"/>
      <c r="I501" s="1"/>
      <c r="J501" s="1"/>
      <c r="K501" s="34" t="str">
        <f>IF(MATCHER!A493="","",MATCHER!A493)</f>
        <v/>
      </c>
      <c r="L501" s="91" t="str">
        <f>IF(MATCHER!B493="","",MATCHER!B493)</f>
        <v/>
      </c>
      <c r="M501" s="92" t="str">
        <f>IF(MATCHER!C493="","",MATCHER!C493)</f>
        <v/>
      </c>
      <c r="N501" s="34" t="str">
        <f>IF(MATCHER!D493="","",MATCHER!D493)</f>
        <v/>
      </c>
      <c r="O501" s="34" t="str">
        <f>IF(MATCHER!E493="","",MATCHER!E493)</f>
        <v/>
      </c>
      <c r="P501" s="34" t="str">
        <f>IF(MATCHER!F493="","",MATCHER!F493)</f>
        <v/>
      </c>
      <c r="Q501" s="34" t="str">
        <f>IF(MATCHER!K493="","",MATCHER!K493)</f>
        <v/>
      </c>
      <c r="R501" s="34" t="str">
        <f>IF(K501="","",IF(Q501&lt;&gt;"Ja","Ej aktuell",IF(P501="SAKNAS","NY KLASS",IF(MATCHER!N493&lt;&gt;"Ja",MATCHER!N493,IF(COUNTIF($A$13:$A$220,K501)=0,"NY MATCH","Matchdag finns")))))</f>
        <v/>
      </c>
    </row>
    <row r="502" spans="1:18" ht="13">
      <c r="A502" s="1"/>
      <c r="B502" s="1"/>
      <c r="C502" s="1"/>
      <c r="D502" s="1"/>
      <c r="E502" s="1"/>
      <c r="F502" s="1"/>
      <c r="G502" s="1"/>
      <c r="H502" s="1"/>
      <c r="I502" s="1"/>
      <c r="J502" s="1"/>
      <c r="K502" s="34" t="str">
        <f>IF(MATCHER!A494="","",MATCHER!A494)</f>
        <v/>
      </c>
      <c r="L502" s="91" t="str">
        <f>IF(MATCHER!B494="","",MATCHER!B494)</f>
        <v/>
      </c>
      <c r="M502" s="92" t="str">
        <f>IF(MATCHER!C494="","",MATCHER!C494)</f>
        <v/>
      </c>
      <c r="N502" s="34" t="str">
        <f>IF(MATCHER!D494="","",MATCHER!D494)</f>
        <v/>
      </c>
      <c r="O502" s="34" t="str">
        <f>IF(MATCHER!E494="","",MATCHER!E494)</f>
        <v/>
      </c>
      <c r="P502" s="34" t="str">
        <f>IF(MATCHER!F494="","",MATCHER!F494)</f>
        <v/>
      </c>
      <c r="Q502" s="34" t="str">
        <f>IF(MATCHER!K494="","",MATCHER!K494)</f>
        <v/>
      </c>
      <c r="R502" s="34" t="str">
        <f>IF(K502="","",IF(Q502&lt;&gt;"Ja","Ej aktuell",IF(P502="SAKNAS","NY KLASS",IF(MATCHER!N494&lt;&gt;"Ja",MATCHER!N494,IF(COUNTIF($A$13:$A$220,K502)=0,"NY MATCH","Matchdag finns")))))</f>
        <v/>
      </c>
    </row>
    <row r="503" spans="1:18" ht="13">
      <c r="A503" s="1"/>
      <c r="B503" s="1"/>
      <c r="C503" s="1"/>
      <c r="D503" s="1"/>
      <c r="E503" s="1"/>
      <c r="F503" s="1"/>
      <c r="G503" s="1"/>
      <c r="H503" s="1"/>
      <c r="I503" s="1"/>
      <c r="J503" s="1"/>
      <c r="K503" s="34" t="str">
        <f>IF(MATCHER!A495="","",MATCHER!A495)</f>
        <v/>
      </c>
      <c r="L503" s="91" t="str">
        <f>IF(MATCHER!B495="","",MATCHER!B495)</f>
        <v/>
      </c>
      <c r="M503" s="92" t="str">
        <f>IF(MATCHER!C495="","",MATCHER!C495)</f>
        <v/>
      </c>
      <c r="N503" s="34" t="str">
        <f>IF(MATCHER!D495="","",MATCHER!D495)</f>
        <v/>
      </c>
      <c r="O503" s="34" t="str">
        <f>IF(MATCHER!E495="","",MATCHER!E495)</f>
        <v/>
      </c>
      <c r="P503" s="34" t="str">
        <f>IF(MATCHER!F495="","",MATCHER!F495)</f>
        <v/>
      </c>
      <c r="Q503" s="34" t="str">
        <f>IF(MATCHER!K495="","",MATCHER!K495)</f>
        <v/>
      </c>
      <c r="R503" s="34" t="str">
        <f>IF(K503="","",IF(Q503&lt;&gt;"Ja","Ej aktuell",IF(P503="SAKNAS","NY KLASS",IF(MATCHER!N495&lt;&gt;"Ja",MATCHER!N495,IF(COUNTIF($A$13:$A$220,K503)=0,"NY MATCH","Matchdag finns")))))</f>
        <v/>
      </c>
    </row>
    <row r="504" spans="1:18" ht="13">
      <c r="A504" s="1"/>
      <c r="B504" s="1"/>
      <c r="C504" s="1"/>
      <c r="D504" s="1"/>
      <c r="E504" s="1"/>
      <c r="F504" s="1"/>
      <c r="G504" s="1"/>
      <c r="H504" s="1"/>
      <c r="I504" s="1"/>
      <c r="J504" s="1"/>
      <c r="K504" s="34" t="str">
        <f>IF(MATCHER!A496="","",MATCHER!A496)</f>
        <v/>
      </c>
      <c r="L504" s="91" t="str">
        <f>IF(MATCHER!B496="","",MATCHER!B496)</f>
        <v/>
      </c>
      <c r="M504" s="92" t="str">
        <f>IF(MATCHER!C496="","",MATCHER!C496)</f>
        <v/>
      </c>
      <c r="N504" s="34" t="str">
        <f>IF(MATCHER!D496="","",MATCHER!D496)</f>
        <v/>
      </c>
      <c r="O504" s="34" t="str">
        <f>IF(MATCHER!E496="","",MATCHER!E496)</f>
        <v/>
      </c>
      <c r="P504" s="34" t="str">
        <f>IF(MATCHER!F496="","",MATCHER!F496)</f>
        <v/>
      </c>
      <c r="Q504" s="34" t="str">
        <f>IF(MATCHER!K496="","",MATCHER!K496)</f>
        <v/>
      </c>
      <c r="R504" s="34" t="str">
        <f>IF(K504="","",IF(Q504&lt;&gt;"Ja","Ej aktuell",IF(P504="SAKNAS","NY KLASS",IF(MATCHER!N496&lt;&gt;"Ja",MATCHER!N496,IF(COUNTIF($A$13:$A$220,K504)=0,"NY MATCH","Matchdag finns")))))</f>
        <v/>
      </c>
    </row>
    <row r="505" spans="1:18" ht="13">
      <c r="A505" s="1"/>
      <c r="B505" s="1"/>
      <c r="C505" s="1"/>
      <c r="D505" s="1"/>
      <c r="E505" s="1"/>
      <c r="F505" s="1"/>
      <c r="G505" s="1"/>
      <c r="H505" s="1"/>
      <c r="I505" s="1"/>
      <c r="J505" s="1"/>
      <c r="K505" s="34" t="str">
        <f>IF(MATCHER!A497="","",MATCHER!A497)</f>
        <v/>
      </c>
      <c r="L505" s="91" t="str">
        <f>IF(MATCHER!B497="","",MATCHER!B497)</f>
        <v/>
      </c>
      <c r="M505" s="92" t="str">
        <f>IF(MATCHER!C497="","",MATCHER!C497)</f>
        <v/>
      </c>
      <c r="N505" s="34" t="str">
        <f>IF(MATCHER!D497="","",MATCHER!D497)</f>
        <v/>
      </c>
      <c r="O505" s="34" t="str">
        <f>IF(MATCHER!E497="","",MATCHER!E497)</f>
        <v/>
      </c>
      <c r="P505" s="34" t="str">
        <f>IF(MATCHER!F497="","",MATCHER!F497)</f>
        <v/>
      </c>
      <c r="Q505" s="34" t="str">
        <f>IF(MATCHER!K497="","",MATCHER!K497)</f>
        <v/>
      </c>
      <c r="R505" s="34" t="str">
        <f>IF(K505="","",IF(Q505&lt;&gt;"Ja","Ej aktuell",IF(P505="SAKNAS","NY KLASS",IF(MATCHER!N497&lt;&gt;"Ja",MATCHER!N497,IF(COUNTIF($A$13:$A$220,K505)=0,"NY MATCH","Matchdag finns")))))</f>
        <v/>
      </c>
    </row>
    <row r="506" spans="1:18" ht="13">
      <c r="A506" s="1"/>
      <c r="B506" s="1"/>
      <c r="C506" s="1"/>
      <c r="D506" s="1"/>
      <c r="E506" s="1"/>
      <c r="F506" s="1"/>
      <c r="G506" s="1"/>
      <c r="H506" s="1"/>
      <c r="I506" s="1"/>
      <c r="J506" s="1"/>
      <c r="K506" s="34" t="str">
        <f>IF(MATCHER!A498="","",MATCHER!A498)</f>
        <v/>
      </c>
      <c r="L506" s="91" t="str">
        <f>IF(MATCHER!B498="","",MATCHER!B498)</f>
        <v/>
      </c>
      <c r="M506" s="92" t="str">
        <f>IF(MATCHER!C498="","",MATCHER!C498)</f>
        <v/>
      </c>
      <c r="N506" s="34" t="str">
        <f>IF(MATCHER!D498="","",MATCHER!D498)</f>
        <v/>
      </c>
      <c r="O506" s="34" t="str">
        <f>IF(MATCHER!E498="","",MATCHER!E498)</f>
        <v/>
      </c>
      <c r="P506" s="34" t="str">
        <f>IF(MATCHER!F498="","",MATCHER!F498)</f>
        <v/>
      </c>
      <c r="Q506" s="34" t="str">
        <f>IF(MATCHER!K498="","",MATCHER!K498)</f>
        <v/>
      </c>
      <c r="R506" s="34" t="str">
        <f>IF(K506="","",IF(Q506&lt;&gt;"Ja","Ej aktuell",IF(P506="SAKNAS","NY KLASS",IF(MATCHER!N498&lt;&gt;"Ja",MATCHER!N498,IF(COUNTIF($A$13:$A$220,K506)=0,"NY MATCH","Matchdag finns")))))</f>
        <v/>
      </c>
    </row>
    <row r="507" spans="1:18" ht="13">
      <c r="A507" s="1"/>
      <c r="B507" s="1"/>
      <c r="C507" s="1"/>
      <c r="D507" s="1"/>
      <c r="E507" s="1"/>
      <c r="F507" s="1"/>
      <c r="G507" s="1"/>
      <c r="H507" s="1"/>
      <c r="I507" s="1"/>
      <c r="J507" s="1"/>
      <c r="K507" s="34" t="str">
        <f>IF(MATCHER!A499="","",MATCHER!A499)</f>
        <v/>
      </c>
      <c r="L507" s="91" t="str">
        <f>IF(MATCHER!B499="","",MATCHER!B499)</f>
        <v/>
      </c>
      <c r="M507" s="92" t="str">
        <f>IF(MATCHER!C499="","",MATCHER!C499)</f>
        <v/>
      </c>
      <c r="N507" s="34" t="str">
        <f>IF(MATCHER!D499="","",MATCHER!D499)</f>
        <v/>
      </c>
      <c r="O507" s="34" t="str">
        <f>IF(MATCHER!E499="","",MATCHER!E499)</f>
        <v/>
      </c>
      <c r="P507" s="34" t="str">
        <f>IF(MATCHER!F499="","",MATCHER!F499)</f>
        <v/>
      </c>
      <c r="Q507" s="34" t="str">
        <f>IF(MATCHER!K499="","",MATCHER!K499)</f>
        <v/>
      </c>
      <c r="R507" s="34" t="str">
        <f>IF(K507="","",IF(Q507&lt;&gt;"Ja","Ej aktuell",IF(P507="SAKNAS","NY KLASS",IF(MATCHER!N499&lt;&gt;"Ja",MATCHER!N499,IF(COUNTIF($A$13:$A$220,K507)=0,"NY MATCH","Matchdag finns")))))</f>
        <v/>
      </c>
    </row>
    <row r="508" spans="1:18" ht="13">
      <c r="A508" s="1"/>
      <c r="B508" s="1"/>
      <c r="C508" s="1"/>
      <c r="D508" s="1"/>
      <c r="E508" s="1"/>
      <c r="F508" s="1"/>
      <c r="G508" s="1"/>
      <c r="H508" s="1"/>
      <c r="I508" s="1"/>
      <c r="J508" s="1"/>
      <c r="K508" s="34" t="str">
        <f>IF(MATCHER!A500="","",MATCHER!A500)</f>
        <v/>
      </c>
      <c r="L508" s="91" t="str">
        <f>IF(MATCHER!B500="","",MATCHER!B500)</f>
        <v/>
      </c>
      <c r="M508" s="92" t="str">
        <f>IF(MATCHER!C500="","",MATCHER!C500)</f>
        <v/>
      </c>
      <c r="N508" s="34" t="str">
        <f>IF(MATCHER!D500="","",MATCHER!D500)</f>
        <v/>
      </c>
      <c r="O508" s="34" t="str">
        <f>IF(MATCHER!E500="","",MATCHER!E500)</f>
        <v/>
      </c>
      <c r="P508" s="34" t="str">
        <f>IF(MATCHER!F500="","",MATCHER!F500)</f>
        <v/>
      </c>
      <c r="Q508" s="34" t="str">
        <f>IF(MATCHER!K500="","",MATCHER!K500)</f>
        <v/>
      </c>
      <c r="R508" s="34" t="str">
        <f>IF(K508="","",IF(Q508&lt;&gt;"Ja","Ej aktuell",IF(P508="SAKNAS","NY KLASS",IF(MATCHER!N500&lt;&gt;"Ja",MATCHER!N500,IF(COUNTIF($A$13:$A$220,K508)=0,"NY MATCH","Matchdag finns")))))</f>
        <v/>
      </c>
    </row>
    <row r="509" spans="1:18" ht="13">
      <c r="A509" s="1"/>
      <c r="B509" s="1"/>
      <c r="C509" s="1"/>
      <c r="D509" s="1"/>
      <c r="E509" s="1"/>
      <c r="F509" s="1"/>
      <c r="G509" s="1"/>
      <c r="H509" s="1"/>
      <c r="I509" s="1"/>
      <c r="J509" s="1"/>
      <c r="K509" s="34" t="str">
        <f>IF(MATCHER!A501="","",MATCHER!A501)</f>
        <v/>
      </c>
      <c r="L509" s="91" t="str">
        <f>IF(MATCHER!B501="","",MATCHER!B501)</f>
        <v/>
      </c>
      <c r="M509" s="92" t="str">
        <f>IF(MATCHER!C501="","",MATCHER!C501)</f>
        <v/>
      </c>
      <c r="N509" s="34" t="str">
        <f>IF(MATCHER!D501="","",MATCHER!D501)</f>
        <v/>
      </c>
      <c r="O509" s="34" t="str">
        <f>IF(MATCHER!E501="","",MATCHER!E501)</f>
        <v/>
      </c>
      <c r="P509" s="34" t="str">
        <f>IF(MATCHER!F501="","",MATCHER!F501)</f>
        <v/>
      </c>
      <c r="Q509" s="34" t="str">
        <f>IF(MATCHER!K501="","",MATCHER!K501)</f>
        <v/>
      </c>
      <c r="R509" s="34" t="str">
        <f>IF(K509="","",IF(Q509&lt;&gt;"Ja","Ej aktuell",IF(P509="SAKNAS","NY KLASS",IF(MATCHER!N501&lt;&gt;"Ja",MATCHER!N501,IF(COUNTIF($A$13:$A$220,K509)=0,"NY MATCH","Matchdag finns")))))</f>
        <v/>
      </c>
    </row>
    <row r="510" spans="1:18" ht="13">
      <c r="A510" s="1"/>
      <c r="B510" s="1"/>
      <c r="C510" s="1"/>
      <c r="D510" s="1"/>
      <c r="E510" s="1"/>
      <c r="F510" s="1"/>
      <c r="G510" s="1"/>
      <c r="H510" s="1"/>
      <c r="I510" s="1"/>
      <c r="J510" s="1"/>
      <c r="K510" s="34" t="str">
        <f>IF(MATCHER!A502="","",MATCHER!A502)</f>
        <v/>
      </c>
      <c r="L510" s="91" t="str">
        <f>IF(MATCHER!B502="","",MATCHER!B502)</f>
        <v/>
      </c>
      <c r="M510" s="92" t="str">
        <f>IF(MATCHER!C502="","",MATCHER!C502)</f>
        <v/>
      </c>
      <c r="N510" s="34" t="str">
        <f>IF(MATCHER!D502="","",MATCHER!D502)</f>
        <v/>
      </c>
      <c r="O510" s="34" t="str">
        <f>IF(MATCHER!E502="","",MATCHER!E502)</f>
        <v/>
      </c>
      <c r="P510" s="34" t="str">
        <f>IF(MATCHER!F502="","",MATCHER!F502)</f>
        <v/>
      </c>
      <c r="Q510" s="34" t="str">
        <f>IF(MATCHER!K502="","",MATCHER!K502)</f>
        <v/>
      </c>
      <c r="R510" s="34" t="str">
        <f>IF(K510="","",IF(Q510&lt;&gt;"Ja","Ej aktuell",IF(P510="SAKNAS","NY KLASS",IF(MATCHER!N502&lt;&gt;"Ja",MATCHER!N502,IF(COUNTIF($A$13:$A$220,K510)=0,"NY MATCH","Matchdag finns")))))</f>
        <v/>
      </c>
    </row>
    <row r="511" spans="1:18" ht="13">
      <c r="A511" s="1"/>
      <c r="B511" s="1"/>
      <c r="C511" s="1"/>
      <c r="D511" s="1"/>
      <c r="E511" s="1"/>
      <c r="F511" s="1"/>
      <c r="G511" s="1"/>
      <c r="H511" s="1"/>
      <c r="I511" s="1"/>
      <c r="J511" s="1"/>
      <c r="K511" s="34" t="str">
        <f>IF(MATCHER!A503="","",MATCHER!A503)</f>
        <v/>
      </c>
      <c r="L511" s="91" t="str">
        <f>IF(MATCHER!B503="","",MATCHER!B503)</f>
        <v/>
      </c>
      <c r="M511" s="92" t="str">
        <f>IF(MATCHER!C503="","",MATCHER!C503)</f>
        <v/>
      </c>
      <c r="N511" s="34" t="str">
        <f>IF(MATCHER!D503="","",MATCHER!D503)</f>
        <v/>
      </c>
      <c r="O511" s="34" t="str">
        <f>IF(MATCHER!E503="","",MATCHER!E503)</f>
        <v/>
      </c>
      <c r="P511" s="34" t="str">
        <f>IF(MATCHER!F503="","",MATCHER!F503)</f>
        <v/>
      </c>
      <c r="Q511" s="34" t="str">
        <f>IF(MATCHER!K503="","",MATCHER!K503)</f>
        <v/>
      </c>
      <c r="R511" s="34" t="str">
        <f>IF(K511="","",IF(Q511&lt;&gt;"Ja","Ej aktuell",IF(P511="SAKNAS","NY KLASS",IF(MATCHER!N503&lt;&gt;"Ja",MATCHER!N503,IF(COUNTIF($A$13:$A$220,K511)=0,"NY MATCH","Matchdag finns")))))</f>
        <v/>
      </c>
    </row>
    <row r="512" spans="1:18" ht="13">
      <c r="A512" s="1"/>
      <c r="B512" s="1"/>
      <c r="C512" s="1"/>
      <c r="D512" s="1"/>
      <c r="E512" s="1"/>
      <c r="F512" s="1"/>
      <c r="G512" s="1"/>
      <c r="H512" s="1"/>
      <c r="I512" s="1"/>
      <c r="J512" s="1"/>
      <c r="K512" s="34" t="str">
        <f>IF(MATCHER!A504="","",MATCHER!A504)</f>
        <v/>
      </c>
      <c r="L512" s="91" t="str">
        <f>IF(MATCHER!B504="","",MATCHER!B504)</f>
        <v/>
      </c>
      <c r="M512" s="92" t="str">
        <f>IF(MATCHER!C504="","",MATCHER!C504)</f>
        <v/>
      </c>
      <c r="N512" s="34" t="str">
        <f>IF(MATCHER!D504="","",MATCHER!D504)</f>
        <v/>
      </c>
      <c r="O512" s="34" t="str">
        <f>IF(MATCHER!E504="","",MATCHER!E504)</f>
        <v/>
      </c>
      <c r="P512" s="34" t="str">
        <f>IF(MATCHER!F504="","",MATCHER!F504)</f>
        <v/>
      </c>
      <c r="Q512" s="34" t="str">
        <f>IF(MATCHER!K504="","",MATCHER!K504)</f>
        <v/>
      </c>
      <c r="R512" s="34" t="str">
        <f>IF(K512="","",IF(Q512&lt;&gt;"Ja","Ej aktuell",IF(P512="SAKNAS","NY KLASS",IF(MATCHER!N504&lt;&gt;"Ja",MATCHER!N504,IF(COUNTIF($A$13:$A$220,K512)=0,"NY MATCH","Matchdag finns")))))</f>
        <v/>
      </c>
    </row>
  </sheetData>
  <mergeCells count="6">
    <mergeCell ref="D8:H8"/>
    <mergeCell ref="A1:R1"/>
    <mergeCell ref="A2:R2"/>
    <mergeCell ref="D5:H5"/>
    <mergeCell ref="D6:H6"/>
    <mergeCell ref="D7:H7"/>
  </mergeCells>
  <conditionalFormatting sqref="J13:J220">
    <cfRule type="expression" dxfId="5" priority="2">
      <formula>OR($J13="Klar",$J13="Oförändrad",$J13="Matchdag finns")</formula>
    </cfRule>
    <cfRule type="expression" dxfId="4" priority="3">
      <formula>OR(ISNUMBER(SEARCH("Kontrollera",$J13)),ISNUMBER(SEARCH("ÄNDRAD",$J13)),ISNUMBER(SEARCH("Ej tilldelad",$J13)))</formula>
    </cfRule>
    <cfRule type="expression" dxfId="3" priority="4">
      <formula>OR(ISNUMBER(SEARCH("NY ",$J13)),ISNUMBER(SEARCH("FLYTTAD",$J13)),ISNUMBER(SEARCH("BORTTAGEN",$J13)),ISNUMBER(SEARCH("Ta bort lag",$J13)))</formula>
    </cfRule>
  </conditionalFormatting>
  <conditionalFormatting sqref="R13:R512">
    <cfRule type="expression" dxfId="2" priority="5">
      <formula>OR($R13="Klar",$R13="Oförändrad",$R13="Matchdag finns")</formula>
    </cfRule>
    <cfRule type="expression" dxfId="1" priority="6">
      <formula>OR(ISNUMBER(SEARCH("Kontrollera",$R13)),ISNUMBER(SEARCH("ÄNDRAD",$R13)),ISNUMBER(SEARCH("Ej tilldelad",$R13)))</formula>
    </cfRule>
    <cfRule type="expression" dxfId="0" priority="7">
      <formula>OR(ISNUMBER(SEARCH("NY ",$R13)),ISNUMBER(SEARCH("FLYTTAD",$R13)),ISNUMBER(SEARCH("BORTTAGEN",$R13)),ISNUMBER(SEARCH("Ta bort lag",$R13)))</formula>
    </cfRule>
  </conditionalFormatting>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1D1D1"/>
  </sheetPr>
  <dimension ref="A1:F74"/>
  <sheetViews>
    <sheetView showGridLines="0" topLeftCell="A4" zoomScaleNormal="100" workbookViewId="0">
      <selection sqref="A1:N1"/>
    </sheetView>
  </sheetViews>
  <sheetFormatPr defaultColWidth="8.54296875" defaultRowHeight="12.5"/>
  <cols>
    <col min="1" max="1" width="55" customWidth="1"/>
    <col min="2" max="2" width="14" customWidth="1"/>
    <col min="3" max="3" width="22" customWidth="1"/>
    <col min="4" max="4" width="12" style="36" customWidth="1"/>
    <col min="5" max="5" width="16" style="36" customWidth="1"/>
    <col min="6" max="6" width="46" customWidth="1"/>
  </cols>
  <sheetData>
    <row r="1" spans="1:6" ht="22">
      <c r="A1" s="187" t="s">
        <v>423</v>
      </c>
      <c r="B1" s="187" t="s">
        <v>423</v>
      </c>
      <c r="C1" s="187" t="s">
        <v>423</v>
      </c>
      <c r="D1" s="187" t="s">
        <v>423</v>
      </c>
      <c r="E1" s="187" t="s">
        <v>423</v>
      </c>
      <c r="F1" s="187" t="s">
        <v>423</v>
      </c>
    </row>
    <row r="2" spans="1:6" ht="14.9" customHeight="1">
      <c r="A2" s="189" t="s">
        <v>424</v>
      </c>
      <c r="B2" s="189" t="s">
        <v>424</v>
      </c>
      <c r="C2" s="189" t="s">
        <v>424</v>
      </c>
      <c r="D2" s="189" t="s">
        <v>424</v>
      </c>
      <c r="E2" s="189" t="s">
        <v>424</v>
      </c>
      <c r="F2" s="189" t="s">
        <v>424</v>
      </c>
    </row>
    <row r="3" spans="1:6" ht="13">
      <c r="A3" s="1"/>
      <c r="B3" s="1"/>
      <c r="C3" s="1"/>
      <c r="D3" s="38"/>
      <c r="E3" s="38"/>
      <c r="F3" s="1"/>
    </row>
    <row r="4" spans="1:6" ht="26">
      <c r="A4" s="29" t="s">
        <v>47</v>
      </c>
      <c r="B4" s="29" t="s">
        <v>48</v>
      </c>
      <c r="C4" s="29" t="s">
        <v>425</v>
      </c>
      <c r="D4" s="93" t="s">
        <v>426</v>
      </c>
      <c r="E4" s="93" t="s">
        <v>54</v>
      </c>
      <c r="F4" s="29" t="s">
        <v>42</v>
      </c>
    </row>
    <row r="5" spans="1:6" ht="13">
      <c r="A5" s="94" t="s">
        <v>370</v>
      </c>
      <c r="B5" s="95" t="s">
        <v>148</v>
      </c>
      <c r="C5" s="95" t="s">
        <v>427</v>
      </c>
      <c r="D5" s="96" t="str">
        <f t="shared" ref="D5:D36" si="0">IF(A5="","","Ja")</f>
        <v>Ja</v>
      </c>
      <c r="E5" s="97">
        <v>180</v>
      </c>
      <c r="F5" s="98" t="s">
        <v>428</v>
      </c>
    </row>
    <row r="6" spans="1:6" ht="13">
      <c r="A6" s="99" t="s">
        <v>379</v>
      </c>
      <c r="B6" s="100" t="s">
        <v>148</v>
      </c>
      <c r="C6" s="100" t="s">
        <v>427</v>
      </c>
      <c r="D6" s="101" t="str">
        <f t="shared" si="0"/>
        <v>Ja</v>
      </c>
      <c r="E6" s="102">
        <v>180</v>
      </c>
      <c r="F6" s="103" t="s">
        <v>428</v>
      </c>
    </row>
    <row r="7" spans="1:6" ht="13">
      <c r="A7" s="99" t="s">
        <v>406</v>
      </c>
      <c r="B7" s="100" t="s">
        <v>148</v>
      </c>
      <c r="C7" s="100" t="s">
        <v>427</v>
      </c>
      <c r="D7" s="101" t="str">
        <f t="shared" si="0"/>
        <v>Ja</v>
      </c>
      <c r="E7" s="102">
        <v>180</v>
      </c>
      <c r="F7" s="103" t="s">
        <v>428</v>
      </c>
    </row>
    <row r="8" spans="1:6" ht="13">
      <c r="A8" s="99" t="s">
        <v>361</v>
      </c>
      <c r="B8" s="100" t="s">
        <v>429</v>
      </c>
      <c r="C8" s="100" t="s">
        <v>430</v>
      </c>
      <c r="D8" s="101" t="str">
        <f t="shared" si="0"/>
        <v>Ja</v>
      </c>
      <c r="E8" s="102">
        <v>180</v>
      </c>
      <c r="F8" s="103" t="s">
        <v>428</v>
      </c>
    </row>
    <row r="9" spans="1:6" ht="13">
      <c r="A9" s="99" t="s">
        <v>371</v>
      </c>
      <c r="B9" s="100" t="s">
        <v>429</v>
      </c>
      <c r="C9" s="100" t="s">
        <v>430</v>
      </c>
      <c r="D9" s="101" t="str">
        <f t="shared" si="0"/>
        <v>Ja</v>
      </c>
      <c r="E9" s="102">
        <v>180</v>
      </c>
      <c r="F9" s="103" t="s">
        <v>428</v>
      </c>
    </row>
    <row r="10" spans="1:6" ht="13">
      <c r="A10" s="99" t="s">
        <v>393</v>
      </c>
      <c r="B10" s="100" t="s">
        <v>429</v>
      </c>
      <c r="C10" s="100" t="s">
        <v>430</v>
      </c>
      <c r="D10" s="101" t="str">
        <f t="shared" si="0"/>
        <v>Ja</v>
      </c>
      <c r="E10" s="102">
        <v>180</v>
      </c>
      <c r="F10" s="103" t="s">
        <v>428</v>
      </c>
    </row>
    <row r="11" spans="1:6" ht="13">
      <c r="A11" s="99" t="s">
        <v>407</v>
      </c>
      <c r="B11" s="100" t="s">
        <v>429</v>
      </c>
      <c r="C11" s="100" t="s">
        <v>430</v>
      </c>
      <c r="D11" s="101" t="str">
        <f t="shared" si="0"/>
        <v>Ja</v>
      </c>
      <c r="E11" s="102">
        <v>180</v>
      </c>
      <c r="F11" s="103" t="s">
        <v>428</v>
      </c>
    </row>
    <row r="12" spans="1:6" ht="13">
      <c r="A12" s="99" t="s">
        <v>414</v>
      </c>
      <c r="B12" s="100" t="s">
        <v>429</v>
      </c>
      <c r="C12" s="100" t="s">
        <v>430</v>
      </c>
      <c r="D12" s="101" t="str">
        <f t="shared" si="0"/>
        <v>Ja</v>
      </c>
      <c r="E12" s="102">
        <v>180</v>
      </c>
      <c r="F12" s="103" t="s">
        <v>428</v>
      </c>
    </row>
    <row r="13" spans="1:6" ht="13">
      <c r="A13" s="99" t="s">
        <v>246</v>
      </c>
      <c r="B13" s="100" t="s">
        <v>431</v>
      </c>
      <c r="C13" s="100" t="s">
        <v>432</v>
      </c>
      <c r="D13" s="101" t="str">
        <f t="shared" si="0"/>
        <v>Ja</v>
      </c>
      <c r="E13" s="102">
        <v>70</v>
      </c>
      <c r="F13" s="103"/>
    </row>
    <row r="14" spans="1:6" ht="13">
      <c r="A14" s="99" t="s">
        <v>263</v>
      </c>
      <c r="B14" s="100" t="s">
        <v>431</v>
      </c>
      <c r="C14" s="100" t="s">
        <v>432</v>
      </c>
      <c r="D14" s="101" t="str">
        <f t="shared" si="0"/>
        <v>Ja</v>
      </c>
      <c r="E14" s="102">
        <v>70</v>
      </c>
      <c r="F14" s="103"/>
    </row>
    <row r="15" spans="1:6" ht="13">
      <c r="A15" s="99" t="s">
        <v>231</v>
      </c>
      <c r="B15" s="100" t="s">
        <v>431</v>
      </c>
      <c r="C15" s="100" t="s">
        <v>432</v>
      </c>
      <c r="D15" s="101" t="str">
        <f t="shared" si="0"/>
        <v>Ja</v>
      </c>
      <c r="E15" s="102">
        <v>70</v>
      </c>
      <c r="F15" s="103"/>
    </row>
    <row r="16" spans="1:6" ht="13">
      <c r="A16" s="99" t="s">
        <v>215</v>
      </c>
      <c r="B16" s="100" t="s">
        <v>95</v>
      </c>
      <c r="C16" s="100" t="s">
        <v>432</v>
      </c>
      <c r="D16" s="101" t="str">
        <f t="shared" si="0"/>
        <v>Ja</v>
      </c>
      <c r="E16" s="102">
        <v>35</v>
      </c>
      <c r="F16" s="103"/>
    </row>
    <row r="17" spans="1:6" ht="13">
      <c r="A17" s="99" t="s">
        <v>225</v>
      </c>
      <c r="B17" s="100" t="s">
        <v>101</v>
      </c>
      <c r="C17" s="100" t="s">
        <v>432</v>
      </c>
      <c r="D17" s="101" t="str">
        <f t="shared" si="0"/>
        <v>Ja</v>
      </c>
      <c r="E17" s="102">
        <v>35</v>
      </c>
      <c r="F17" s="103"/>
    </row>
    <row r="18" spans="1:6" ht="13">
      <c r="A18" s="99" t="s">
        <v>219</v>
      </c>
      <c r="B18" s="100" t="s">
        <v>97</v>
      </c>
      <c r="C18" s="100" t="s">
        <v>432</v>
      </c>
      <c r="D18" s="101" t="str">
        <f t="shared" si="0"/>
        <v>Ja</v>
      </c>
      <c r="E18" s="102">
        <v>45</v>
      </c>
      <c r="F18" s="103"/>
    </row>
    <row r="19" spans="1:6" ht="13">
      <c r="A19" s="99" t="s">
        <v>221</v>
      </c>
      <c r="B19" s="100" t="s">
        <v>97</v>
      </c>
      <c r="C19" s="100" t="s">
        <v>432</v>
      </c>
      <c r="D19" s="101" t="str">
        <f t="shared" si="0"/>
        <v>Ja</v>
      </c>
      <c r="E19" s="102">
        <v>45</v>
      </c>
      <c r="F19" s="103"/>
    </row>
    <row r="20" spans="1:6" ht="13">
      <c r="A20" s="99" t="s">
        <v>229</v>
      </c>
      <c r="B20" s="100" t="s">
        <v>103</v>
      </c>
      <c r="C20" s="100" t="s">
        <v>432</v>
      </c>
      <c r="D20" s="101" t="str">
        <f t="shared" si="0"/>
        <v>Ja</v>
      </c>
      <c r="E20" s="102">
        <v>45</v>
      </c>
      <c r="F20" s="103"/>
    </row>
    <row r="21" spans="1:6" ht="13">
      <c r="A21" s="99" t="s">
        <v>280</v>
      </c>
      <c r="B21" s="100" t="s">
        <v>128</v>
      </c>
      <c r="C21" s="100" t="s">
        <v>432</v>
      </c>
      <c r="D21" s="101" t="str">
        <f t="shared" si="0"/>
        <v>Ja</v>
      </c>
      <c r="E21" s="102">
        <v>55</v>
      </c>
      <c r="F21" s="103"/>
    </row>
    <row r="22" spans="1:6" ht="13">
      <c r="A22" s="99" t="s">
        <v>213</v>
      </c>
      <c r="B22" s="100" t="s">
        <v>105</v>
      </c>
      <c r="C22" s="100" t="s">
        <v>432</v>
      </c>
      <c r="D22" s="101" t="str">
        <f t="shared" si="0"/>
        <v>Ja</v>
      </c>
      <c r="E22" s="102">
        <v>55</v>
      </c>
      <c r="F22" s="103"/>
    </row>
    <row r="23" spans="1:6" ht="13">
      <c r="A23" s="99" t="s">
        <v>273</v>
      </c>
      <c r="B23" s="100" t="s">
        <v>148</v>
      </c>
      <c r="C23" s="100" t="s">
        <v>427</v>
      </c>
      <c r="D23" s="101" t="str">
        <f t="shared" si="0"/>
        <v>Ja</v>
      </c>
      <c r="E23" s="102">
        <v>10</v>
      </c>
      <c r="F23" s="103"/>
    </row>
    <row r="24" spans="1:6" ht="13">
      <c r="A24" s="99" t="s">
        <v>234</v>
      </c>
      <c r="B24" s="100" t="s">
        <v>433</v>
      </c>
      <c r="C24" s="100" t="s">
        <v>432</v>
      </c>
      <c r="D24" s="101" t="str">
        <f t="shared" si="0"/>
        <v>Ja</v>
      </c>
      <c r="E24" s="102">
        <v>70</v>
      </c>
      <c r="F24" s="103"/>
    </row>
    <row r="25" spans="1:6" ht="13">
      <c r="A25" s="99" t="s">
        <v>236</v>
      </c>
      <c r="B25" s="100" t="s">
        <v>434</v>
      </c>
      <c r="C25" s="100" t="s">
        <v>430</v>
      </c>
      <c r="D25" s="101" t="str">
        <f t="shared" si="0"/>
        <v>Ja</v>
      </c>
      <c r="E25" s="102">
        <v>20</v>
      </c>
      <c r="F25" s="103"/>
    </row>
    <row r="26" spans="1:6" ht="13">
      <c r="A26" s="99" t="s">
        <v>330</v>
      </c>
      <c r="B26" s="100" t="s">
        <v>434</v>
      </c>
      <c r="C26" s="100" t="s">
        <v>430</v>
      </c>
      <c r="D26" s="101" t="str">
        <f t="shared" si="0"/>
        <v>Ja</v>
      </c>
      <c r="E26" s="102">
        <v>20</v>
      </c>
      <c r="F26" s="103"/>
    </row>
    <row r="27" spans="1:6" ht="13">
      <c r="A27" s="99" t="s">
        <v>339</v>
      </c>
      <c r="B27" s="100" t="s">
        <v>135</v>
      </c>
      <c r="C27" s="100" t="s">
        <v>430</v>
      </c>
      <c r="D27" s="101" t="str">
        <f t="shared" si="0"/>
        <v>Ja</v>
      </c>
      <c r="E27" s="102">
        <v>20</v>
      </c>
      <c r="F27" s="103"/>
    </row>
    <row r="28" spans="1:6" ht="13">
      <c r="A28" s="99" t="s">
        <v>248</v>
      </c>
      <c r="B28" s="100" t="s">
        <v>111</v>
      </c>
      <c r="C28" s="100" t="s">
        <v>430</v>
      </c>
      <c r="D28" s="101" t="str">
        <f t="shared" si="0"/>
        <v>Ja</v>
      </c>
      <c r="E28" s="102">
        <v>20</v>
      </c>
      <c r="F28" s="103"/>
    </row>
    <row r="29" spans="1:6" ht="13">
      <c r="A29" s="99" t="s">
        <v>242</v>
      </c>
      <c r="B29" s="100" t="s">
        <v>435</v>
      </c>
      <c r="C29" s="100" t="s">
        <v>432</v>
      </c>
      <c r="D29" s="101" t="str">
        <f t="shared" si="0"/>
        <v>Ja</v>
      </c>
      <c r="E29" s="102">
        <v>35</v>
      </c>
      <c r="F29" s="103"/>
    </row>
    <row r="30" spans="1:6" ht="13">
      <c r="A30" s="99" t="s">
        <v>268</v>
      </c>
      <c r="B30" s="100" t="s">
        <v>117</v>
      </c>
      <c r="C30" s="100" t="s">
        <v>432</v>
      </c>
      <c r="D30" s="101" t="str">
        <f t="shared" si="0"/>
        <v>Ja</v>
      </c>
      <c r="E30" s="102">
        <v>35</v>
      </c>
      <c r="F30" s="103"/>
    </row>
    <row r="31" spans="1:6" ht="13">
      <c r="A31" s="99" t="s">
        <v>283</v>
      </c>
      <c r="B31" s="100" t="s">
        <v>117</v>
      </c>
      <c r="C31" s="100" t="s">
        <v>432</v>
      </c>
      <c r="D31" s="101" t="str">
        <f t="shared" si="0"/>
        <v>Ja</v>
      </c>
      <c r="E31" s="102">
        <v>35</v>
      </c>
      <c r="F31" s="103"/>
    </row>
    <row r="32" spans="1:6" ht="13">
      <c r="A32" s="99" t="s">
        <v>223</v>
      </c>
      <c r="B32" s="100" t="s">
        <v>100</v>
      </c>
      <c r="C32" s="100" t="s">
        <v>432</v>
      </c>
      <c r="D32" s="101" t="str">
        <f t="shared" si="0"/>
        <v>Ja</v>
      </c>
      <c r="E32" s="102">
        <v>55</v>
      </c>
      <c r="F32" s="103"/>
    </row>
    <row r="33" spans="1:6" ht="13">
      <c r="A33" s="99" t="s">
        <v>205</v>
      </c>
      <c r="B33" s="100" t="s">
        <v>105</v>
      </c>
      <c r="C33" s="100" t="s">
        <v>436</v>
      </c>
      <c r="D33" s="101" t="str">
        <f t="shared" si="0"/>
        <v>Ja</v>
      </c>
      <c r="E33" s="102">
        <v>55</v>
      </c>
      <c r="F33" s="103"/>
    </row>
    <row r="34" spans="1:6" ht="13">
      <c r="A34" s="99" t="s">
        <v>254</v>
      </c>
      <c r="B34" s="100" t="s">
        <v>101</v>
      </c>
      <c r="C34" s="100" t="s">
        <v>437</v>
      </c>
      <c r="D34" s="101" t="str">
        <f t="shared" si="0"/>
        <v>Ja</v>
      </c>
      <c r="E34" s="102">
        <v>35</v>
      </c>
      <c r="F34" s="103"/>
    </row>
    <row r="35" spans="1:6" ht="13">
      <c r="A35" s="99" t="s">
        <v>381</v>
      </c>
      <c r="B35" s="100" t="s">
        <v>101</v>
      </c>
      <c r="C35" s="100" t="s">
        <v>437</v>
      </c>
      <c r="D35" s="101" t="str">
        <f t="shared" si="0"/>
        <v>Ja</v>
      </c>
      <c r="E35" s="102">
        <v>35</v>
      </c>
      <c r="F35" s="103"/>
    </row>
    <row r="36" spans="1:6" ht="13">
      <c r="A36" s="99" t="s">
        <v>288</v>
      </c>
      <c r="B36" s="100" t="s">
        <v>97</v>
      </c>
      <c r="C36" s="100" t="s">
        <v>437</v>
      </c>
      <c r="D36" s="101" t="str">
        <f t="shared" si="0"/>
        <v>Ja</v>
      </c>
      <c r="E36" s="102">
        <v>35</v>
      </c>
      <c r="F36" s="103"/>
    </row>
    <row r="37" spans="1:6" ht="13">
      <c r="A37" s="99" t="s">
        <v>301</v>
      </c>
      <c r="B37" s="100" t="s">
        <v>117</v>
      </c>
      <c r="C37" s="100" t="s">
        <v>437</v>
      </c>
      <c r="D37" s="101" t="str">
        <f t="shared" ref="D37:D68" si="1">IF(A37="","","Ja")</f>
        <v>Ja</v>
      </c>
      <c r="E37" s="102">
        <v>35</v>
      </c>
      <c r="F37" s="103"/>
    </row>
    <row r="38" spans="1:6" ht="13">
      <c r="A38" s="99"/>
      <c r="B38" s="100"/>
      <c r="C38" s="100"/>
      <c r="D38" s="101" t="str">
        <f t="shared" si="1"/>
        <v/>
      </c>
      <c r="E38" s="102"/>
      <c r="F38" s="103"/>
    </row>
    <row r="39" spans="1:6" ht="13">
      <c r="A39" s="99"/>
      <c r="B39" s="100"/>
      <c r="C39" s="100"/>
      <c r="D39" s="101" t="str">
        <f t="shared" si="1"/>
        <v/>
      </c>
      <c r="E39" s="102"/>
      <c r="F39" s="103"/>
    </row>
    <row r="40" spans="1:6" ht="13">
      <c r="A40" s="99"/>
      <c r="B40" s="100"/>
      <c r="C40" s="100"/>
      <c r="D40" s="101" t="str">
        <f t="shared" si="1"/>
        <v/>
      </c>
      <c r="E40" s="102"/>
      <c r="F40" s="103"/>
    </row>
    <row r="41" spans="1:6" ht="13">
      <c r="A41" s="99"/>
      <c r="B41" s="100"/>
      <c r="C41" s="100"/>
      <c r="D41" s="101" t="str">
        <f t="shared" si="1"/>
        <v/>
      </c>
      <c r="E41" s="102"/>
      <c r="F41" s="103"/>
    </row>
    <row r="42" spans="1:6" ht="13">
      <c r="A42" s="99"/>
      <c r="B42" s="100"/>
      <c r="C42" s="100"/>
      <c r="D42" s="101" t="str">
        <f t="shared" si="1"/>
        <v/>
      </c>
      <c r="E42" s="102"/>
      <c r="F42" s="103"/>
    </row>
    <row r="43" spans="1:6" ht="13">
      <c r="A43" s="99"/>
      <c r="B43" s="100"/>
      <c r="C43" s="100"/>
      <c r="D43" s="101" t="str">
        <f t="shared" si="1"/>
        <v/>
      </c>
      <c r="E43" s="102"/>
      <c r="F43" s="103"/>
    </row>
    <row r="44" spans="1:6" ht="13">
      <c r="A44" s="99"/>
      <c r="B44" s="100"/>
      <c r="C44" s="100"/>
      <c r="D44" s="101" t="str">
        <f t="shared" si="1"/>
        <v/>
      </c>
      <c r="E44" s="102"/>
      <c r="F44" s="103"/>
    </row>
    <row r="45" spans="1:6" ht="13">
      <c r="A45" s="99"/>
      <c r="B45" s="100"/>
      <c r="C45" s="100"/>
      <c r="D45" s="101" t="str">
        <f t="shared" si="1"/>
        <v/>
      </c>
      <c r="E45" s="102"/>
      <c r="F45" s="103"/>
    </row>
    <row r="46" spans="1:6" ht="13">
      <c r="A46" s="99"/>
      <c r="B46" s="100"/>
      <c r="C46" s="100"/>
      <c r="D46" s="101" t="str">
        <f t="shared" si="1"/>
        <v/>
      </c>
      <c r="E46" s="102"/>
      <c r="F46" s="103"/>
    </row>
    <row r="47" spans="1:6" ht="13">
      <c r="A47" s="99"/>
      <c r="B47" s="100"/>
      <c r="C47" s="100"/>
      <c r="D47" s="101" t="str">
        <f t="shared" si="1"/>
        <v/>
      </c>
      <c r="E47" s="102"/>
      <c r="F47" s="103"/>
    </row>
    <row r="48" spans="1:6" ht="13">
      <c r="A48" s="99"/>
      <c r="B48" s="100"/>
      <c r="C48" s="100"/>
      <c r="D48" s="101" t="str">
        <f t="shared" si="1"/>
        <v/>
      </c>
      <c r="E48" s="102"/>
      <c r="F48" s="103"/>
    </row>
    <row r="49" spans="1:6" ht="13">
      <c r="A49" s="99"/>
      <c r="B49" s="100"/>
      <c r="C49" s="100"/>
      <c r="D49" s="101" t="str">
        <f t="shared" si="1"/>
        <v/>
      </c>
      <c r="E49" s="102"/>
      <c r="F49" s="103"/>
    </row>
    <row r="50" spans="1:6" ht="13">
      <c r="A50" s="99"/>
      <c r="B50" s="100"/>
      <c r="C50" s="100"/>
      <c r="D50" s="101" t="str">
        <f t="shared" si="1"/>
        <v/>
      </c>
      <c r="E50" s="102"/>
      <c r="F50" s="103"/>
    </row>
    <row r="51" spans="1:6" ht="13">
      <c r="A51" s="99"/>
      <c r="B51" s="100"/>
      <c r="C51" s="100"/>
      <c r="D51" s="101" t="str">
        <f t="shared" si="1"/>
        <v/>
      </c>
      <c r="E51" s="102"/>
      <c r="F51" s="103"/>
    </row>
    <row r="52" spans="1:6" ht="13">
      <c r="A52" s="99"/>
      <c r="B52" s="100"/>
      <c r="C52" s="100"/>
      <c r="D52" s="101" t="str">
        <f t="shared" si="1"/>
        <v/>
      </c>
      <c r="E52" s="102"/>
      <c r="F52" s="103"/>
    </row>
    <row r="53" spans="1:6" ht="13">
      <c r="A53" s="99"/>
      <c r="B53" s="100"/>
      <c r="C53" s="100"/>
      <c r="D53" s="101" t="str">
        <f t="shared" si="1"/>
        <v/>
      </c>
      <c r="E53" s="102"/>
      <c r="F53" s="103"/>
    </row>
    <row r="54" spans="1:6" ht="13">
      <c r="A54" s="99"/>
      <c r="B54" s="100"/>
      <c r="C54" s="100"/>
      <c r="D54" s="101" t="str">
        <f t="shared" si="1"/>
        <v/>
      </c>
      <c r="E54" s="102"/>
      <c r="F54" s="103"/>
    </row>
    <row r="55" spans="1:6" ht="13">
      <c r="A55" s="99"/>
      <c r="B55" s="100"/>
      <c r="C55" s="100"/>
      <c r="D55" s="101" t="str">
        <f t="shared" si="1"/>
        <v/>
      </c>
      <c r="E55" s="102"/>
      <c r="F55" s="103"/>
    </row>
    <row r="56" spans="1:6" ht="13">
      <c r="A56" s="99"/>
      <c r="B56" s="100"/>
      <c r="C56" s="100"/>
      <c r="D56" s="101" t="str">
        <f t="shared" si="1"/>
        <v/>
      </c>
      <c r="E56" s="102"/>
      <c r="F56" s="103"/>
    </row>
    <row r="57" spans="1:6" ht="13">
      <c r="A57" s="99"/>
      <c r="B57" s="100"/>
      <c r="C57" s="100"/>
      <c r="D57" s="101" t="str">
        <f t="shared" si="1"/>
        <v/>
      </c>
      <c r="E57" s="102"/>
      <c r="F57" s="103"/>
    </row>
    <row r="58" spans="1:6" ht="13">
      <c r="A58" s="99"/>
      <c r="B58" s="100"/>
      <c r="C58" s="100"/>
      <c r="D58" s="101" t="str">
        <f t="shared" si="1"/>
        <v/>
      </c>
      <c r="E58" s="102"/>
      <c r="F58" s="103"/>
    </row>
    <row r="59" spans="1:6" ht="13">
      <c r="A59" s="99"/>
      <c r="B59" s="100"/>
      <c r="C59" s="100"/>
      <c r="D59" s="101" t="str">
        <f t="shared" si="1"/>
        <v/>
      </c>
      <c r="E59" s="102"/>
      <c r="F59" s="103"/>
    </row>
    <row r="60" spans="1:6" ht="13">
      <c r="A60" s="99"/>
      <c r="B60" s="100"/>
      <c r="C60" s="100"/>
      <c r="D60" s="101" t="str">
        <f t="shared" si="1"/>
        <v/>
      </c>
      <c r="E60" s="102"/>
      <c r="F60" s="103"/>
    </row>
    <row r="61" spans="1:6" ht="13">
      <c r="A61" s="99"/>
      <c r="B61" s="100"/>
      <c r="C61" s="100"/>
      <c r="D61" s="101" t="str">
        <f t="shared" si="1"/>
        <v/>
      </c>
      <c r="E61" s="102"/>
      <c r="F61" s="103"/>
    </row>
    <row r="62" spans="1:6" ht="13">
      <c r="A62" s="99"/>
      <c r="B62" s="100"/>
      <c r="C62" s="100"/>
      <c r="D62" s="101" t="str">
        <f t="shared" si="1"/>
        <v/>
      </c>
      <c r="E62" s="102"/>
      <c r="F62" s="103"/>
    </row>
    <row r="63" spans="1:6" ht="13">
      <c r="A63" s="99"/>
      <c r="B63" s="100"/>
      <c r="C63" s="100"/>
      <c r="D63" s="101" t="str">
        <f t="shared" si="1"/>
        <v/>
      </c>
      <c r="E63" s="102"/>
      <c r="F63" s="103"/>
    </row>
    <row r="64" spans="1:6" ht="13">
      <c r="A64" s="99"/>
      <c r="B64" s="100"/>
      <c r="C64" s="100"/>
      <c r="D64" s="101" t="str">
        <f t="shared" si="1"/>
        <v/>
      </c>
      <c r="E64" s="102"/>
      <c r="F64" s="103"/>
    </row>
    <row r="65" spans="1:6" ht="13">
      <c r="A65" s="99"/>
      <c r="B65" s="100"/>
      <c r="C65" s="100"/>
      <c r="D65" s="101" t="str">
        <f t="shared" si="1"/>
        <v/>
      </c>
      <c r="E65" s="102"/>
      <c r="F65" s="103"/>
    </row>
    <row r="66" spans="1:6" ht="13">
      <c r="A66" s="99"/>
      <c r="B66" s="100"/>
      <c r="C66" s="100"/>
      <c r="D66" s="101" t="str">
        <f t="shared" si="1"/>
        <v/>
      </c>
      <c r="E66" s="102"/>
      <c r="F66" s="103"/>
    </row>
    <row r="67" spans="1:6" ht="13">
      <c r="A67" s="99"/>
      <c r="B67" s="100"/>
      <c r="C67" s="100"/>
      <c r="D67" s="101" t="str">
        <f t="shared" si="1"/>
        <v/>
      </c>
      <c r="E67" s="102"/>
      <c r="F67" s="103"/>
    </row>
    <row r="68" spans="1:6" ht="13">
      <c r="A68" s="99"/>
      <c r="B68" s="100"/>
      <c r="C68" s="100"/>
      <c r="D68" s="101" t="str">
        <f t="shared" si="1"/>
        <v/>
      </c>
      <c r="E68" s="102"/>
      <c r="F68" s="103"/>
    </row>
    <row r="69" spans="1:6" ht="13">
      <c r="A69" s="99"/>
      <c r="B69" s="100"/>
      <c r="C69" s="100"/>
      <c r="D69" s="101" t="str">
        <f t="shared" ref="D69:D74" si="2">IF(A69="","","Ja")</f>
        <v/>
      </c>
      <c r="E69" s="102"/>
      <c r="F69" s="103"/>
    </row>
    <row r="70" spans="1:6" ht="13">
      <c r="A70" s="99"/>
      <c r="B70" s="100"/>
      <c r="C70" s="100"/>
      <c r="D70" s="101" t="str">
        <f t="shared" si="2"/>
        <v/>
      </c>
      <c r="E70" s="102"/>
      <c r="F70" s="103"/>
    </row>
    <row r="71" spans="1:6" ht="13">
      <c r="A71" s="99"/>
      <c r="B71" s="100"/>
      <c r="C71" s="100"/>
      <c r="D71" s="101" t="str">
        <f t="shared" si="2"/>
        <v/>
      </c>
      <c r="E71" s="102"/>
      <c r="F71" s="103"/>
    </row>
    <row r="72" spans="1:6" ht="13">
      <c r="A72" s="99"/>
      <c r="B72" s="100"/>
      <c r="C72" s="100"/>
      <c r="D72" s="101" t="str">
        <f t="shared" si="2"/>
        <v/>
      </c>
      <c r="E72" s="102"/>
      <c r="F72" s="103"/>
    </row>
    <row r="73" spans="1:6" ht="13">
      <c r="A73" s="99"/>
      <c r="B73" s="100"/>
      <c r="C73" s="100"/>
      <c r="D73" s="101" t="str">
        <f t="shared" si="2"/>
        <v/>
      </c>
      <c r="E73" s="102"/>
      <c r="F73" s="103"/>
    </row>
    <row r="74" spans="1:6" ht="13">
      <c r="A74" s="104"/>
      <c r="B74" s="105"/>
      <c r="C74" s="105"/>
      <c r="D74" s="106" t="str">
        <f t="shared" si="2"/>
        <v/>
      </c>
      <c r="E74" s="107"/>
      <c r="F74" s="108"/>
    </row>
  </sheetData>
  <mergeCells count="2">
    <mergeCell ref="A1:F1"/>
    <mergeCell ref="A2:F2"/>
  </mergeCells>
  <dataValidations count="2">
    <dataValidation type="list" sqref="C5:C74" xr:uid="{00000000-0002-0000-0600-000000000000}">
      <formula1>"Seriespel,USM,Östbollen,Handbollfestival,Kortplan/miniplan,Annat"</formula1>
      <formula2>0</formula2>
    </dataValidation>
    <dataValidation type="whole" sqref="E5:E74" xr:uid="{00000000-0002-0000-0600-000001000000}">
      <formula1>0</formula1>
      <formula2>300</formula2>
    </dataValidation>
  </dataValidation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600-000002000000}">
          <x14:formula1>
            <xm:f>REGLER!$I$6:$I$26</xm:f>
          </x14:formula1>
          <x14:formula2>
            <xm:f>0</xm:f>
          </x14:formula2>
          <xm:sqref>B5:B74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1D1D1"/>
  </sheetPr>
  <dimension ref="A1:M41"/>
  <sheetViews>
    <sheetView showGridLines="0" zoomScaleNormal="100" workbookViewId="0">
      <selection sqref="A1:N1"/>
    </sheetView>
  </sheetViews>
  <sheetFormatPr defaultColWidth="8.54296875" defaultRowHeight="12.5"/>
  <cols>
    <col min="1" max="1" width="42" customWidth="1"/>
    <col min="2" max="2" width="13" customWidth="1"/>
    <col min="3" max="3" width="14" customWidth="1"/>
    <col min="4" max="4" width="11" customWidth="1"/>
    <col min="5" max="5" width="13" customWidth="1"/>
    <col min="6" max="6" width="47" customWidth="1"/>
    <col min="7" max="8" width="3" customWidth="1"/>
    <col min="9" max="9" width="31" customWidth="1"/>
    <col min="10" max="10" width="3" customWidth="1"/>
    <col min="11" max="11" width="31" customWidth="1"/>
    <col min="13" max="13" width="22" customWidth="1"/>
  </cols>
  <sheetData>
    <row r="1" spans="1:13" ht="22">
      <c r="A1" s="187" t="s">
        <v>438</v>
      </c>
      <c r="B1" s="187" t="s">
        <v>438</v>
      </c>
      <c r="C1" s="187" t="s">
        <v>438</v>
      </c>
      <c r="D1" s="187" t="s">
        <v>438</v>
      </c>
      <c r="E1" s="187" t="s">
        <v>438</v>
      </c>
      <c r="F1" s="187" t="s">
        <v>438</v>
      </c>
      <c r="G1" s="187" t="s">
        <v>438</v>
      </c>
      <c r="H1" s="1"/>
      <c r="I1" s="1"/>
      <c r="J1" s="1"/>
      <c r="K1" s="1"/>
    </row>
    <row r="2" spans="1:13" ht="14.9" customHeight="1">
      <c r="A2" s="189" t="s">
        <v>439</v>
      </c>
      <c r="B2" s="189" t="s">
        <v>439</v>
      </c>
      <c r="C2" s="189" t="s">
        <v>439</v>
      </c>
      <c r="D2" s="189" t="s">
        <v>439</v>
      </c>
      <c r="E2" s="189" t="s">
        <v>439</v>
      </c>
      <c r="F2" s="189" t="s">
        <v>439</v>
      </c>
      <c r="G2" s="189" t="s">
        <v>439</v>
      </c>
      <c r="H2" s="1"/>
      <c r="I2" s="1"/>
      <c r="J2" s="1"/>
      <c r="K2" s="1"/>
    </row>
    <row r="3" spans="1:13" ht="13">
      <c r="A3" s="1"/>
      <c r="B3" s="1"/>
      <c r="C3" s="1"/>
      <c r="D3" s="1"/>
      <c r="E3" s="1"/>
      <c r="F3" s="1"/>
      <c r="G3" s="1"/>
      <c r="H3" s="1"/>
      <c r="I3" s="2" t="s">
        <v>440</v>
      </c>
      <c r="J3" s="1"/>
      <c r="K3" s="2" t="s">
        <v>441</v>
      </c>
    </row>
    <row r="4" spans="1:13" ht="14">
      <c r="A4" s="29" t="s">
        <v>442</v>
      </c>
      <c r="B4" s="29" t="s">
        <v>443</v>
      </c>
      <c r="C4" s="1"/>
      <c r="D4" s="1"/>
      <c r="E4" s="1"/>
      <c r="F4" s="1"/>
      <c r="G4" s="1"/>
      <c r="H4" s="1"/>
      <c r="I4" s="29" t="s">
        <v>48</v>
      </c>
      <c r="J4" s="1"/>
      <c r="K4" s="29" t="s">
        <v>32</v>
      </c>
      <c r="M4" s="109" t="s">
        <v>444</v>
      </c>
    </row>
    <row r="5" spans="1:13" ht="14">
      <c r="A5" s="1" t="s">
        <v>445</v>
      </c>
      <c r="B5" s="110">
        <v>50</v>
      </c>
      <c r="C5" s="1"/>
      <c r="D5" s="1"/>
      <c r="E5" s="1"/>
      <c r="F5" s="1"/>
      <c r="G5" s="1"/>
      <c r="H5" s="1"/>
      <c r="I5" s="110" t="s">
        <v>446</v>
      </c>
      <c r="J5" s="1"/>
      <c r="K5" s="110" t="s">
        <v>29</v>
      </c>
      <c r="M5" s="109" t="s">
        <v>27</v>
      </c>
    </row>
    <row r="6" spans="1:13" ht="14">
      <c r="A6" s="1" t="s">
        <v>447</v>
      </c>
      <c r="B6" s="88">
        <v>45</v>
      </c>
      <c r="C6" s="1"/>
      <c r="D6" s="1"/>
      <c r="E6" s="1"/>
      <c r="F6" s="1"/>
      <c r="G6" s="1"/>
      <c r="H6" s="1"/>
      <c r="I6" s="111" t="s">
        <v>148</v>
      </c>
      <c r="J6" s="1"/>
      <c r="K6" s="112">
        <v>46284</v>
      </c>
      <c r="M6" s="109" t="str">
        <f t="shared" ref="M6:M30" si="0">I6</f>
        <v>U8</v>
      </c>
    </row>
    <row r="7" spans="1:13" ht="14">
      <c r="A7" s="1" t="s">
        <v>448</v>
      </c>
      <c r="B7" s="88" t="s">
        <v>449</v>
      </c>
      <c r="C7" s="1"/>
      <c r="D7" s="1"/>
      <c r="E7" s="1"/>
      <c r="F7" s="1"/>
      <c r="G7" s="1"/>
      <c r="H7" s="1"/>
      <c r="I7" s="111" t="s">
        <v>135</v>
      </c>
      <c r="J7" s="1"/>
      <c r="K7" s="112">
        <v>46285</v>
      </c>
      <c r="M7" s="109" t="str">
        <f t="shared" si="0"/>
        <v>F9</v>
      </c>
    </row>
    <row r="8" spans="1:13" ht="14">
      <c r="A8" s="1" t="s">
        <v>450</v>
      </c>
      <c r="B8" s="113">
        <v>2</v>
      </c>
      <c r="C8" s="1"/>
      <c r="D8" s="1"/>
      <c r="E8" s="1"/>
      <c r="F8" s="1"/>
      <c r="G8" s="1"/>
      <c r="H8" s="1"/>
      <c r="I8" s="111" t="s">
        <v>434</v>
      </c>
      <c r="J8" s="1"/>
      <c r="K8" s="112">
        <v>46291</v>
      </c>
      <c r="M8" s="109" t="str">
        <f t="shared" si="0"/>
        <v>F10</v>
      </c>
    </row>
    <row r="9" spans="1:13" ht="14.9" customHeight="1">
      <c r="A9" s="189" t="s">
        <v>451</v>
      </c>
      <c r="B9" s="189" t="s">
        <v>451</v>
      </c>
      <c r="C9" s="189" t="s">
        <v>451</v>
      </c>
      <c r="D9" s="189" t="s">
        <v>451</v>
      </c>
      <c r="E9" s="189" t="s">
        <v>451</v>
      </c>
      <c r="F9" s="189" t="s">
        <v>451</v>
      </c>
      <c r="G9" s="189" t="s">
        <v>451</v>
      </c>
      <c r="H9" s="1"/>
      <c r="I9" s="111" t="s">
        <v>95</v>
      </c>
      <c r="J9" s="1"/>
      <c r="K9" s="112">
        <v>46298</v>
      </c>
      <c r="M9" s="109" t="str">
        <f t="shared" si="0"/>
        <v>F11</v>
      </c>
    </row>
    <row r="10" spans="1:13" ht="14">
      <c r="A10" s="1"/>
      <c r="B10" s="1"/>
      <c r="C10" s="1"/>
      <c r="D10" s="1"/>
      <c r="E10" s="1"/>
      <c r="F10" s="1"/>
      <c r="G10" s="1"/>
      <c r="H10" s="1"/>
      <c r="I10" s="111" t="s">
        <v>101</v>
      </c>
      <c r="J10" s="1"/>
      <c r="K10" s="112">
        <v>46301</v>
      </c>
      <c r="M10" s="109" t="str">
        <f t="shared" si="0"/>
        <v>F12</v>
      </c>
    </row>
    <row r="11" spans="1:13" ht="14">
      <c r="A11" s="29" t="s">
        <v>452</v>
      </c>
      <c r="B11" s="29" t="s">
        <v>453</v>
      </c>
      <c r="C11" s="29" t="s">
        <v>454</v>
      </c>
      <c r="D11" s="29" t="s">
        <v>455</v>
      </c>
      <c r="E11" s="29" t="s">
        <v>456</v>
      </c>
      <c r="F11" s="29" t="s">
        <v>42</v>
      </c>
      <c r="G11" s="1"/>
      <c r="H11" s="1"/>
      <c r="I11" s="111" t="s">
        <v>97</v>
      </c>
      <c r="J11" s="1"/>
      <c r="K11" s="112">
        <v>46305</v>
      </c>
      <c r="M11" s="109" t="str">
        <f t="shared" si="0"/>
        <v>F13</v>
      </c>
    </row>
    <row r="12" spans="1:13" ht="14">
      <c r="A12" s="31" t="s">
        <v>457</v>
      </c>
      <c r="B12" s="31">
        <v>1</v>
      </c>
      <c r="C12" s="31">
        <v>10</v>
      </c>
      <c r="D12" s="31">
        <v>0</v>
      </c>
      <c r="E12" s="31">
        <v>10</v>
      </c>
      <c r="F12" s="31" t="s">
        <v>458</v>
      </c>
      <c r="G12" s="1"/>
      <c r="H12" s="1"/>
      <c r="I12" s="111" t="s">
        <v>103</v>
      </c>
      <c r="J12" s="1"/>
      <c r="K12" s="112">
        <v>46312</v>
      </c>
      <c r="M12" s="109" t="str">
        <f t="shared" si="0"/>
        <v>F14</v>
      </c>
    </row>
    <row r="13" spans="1:13" ht="14">
      <c r="A13" s="31" t="s">
        <v>459</v>
      </c>
      <c r="B13" s="31">
        <v>1</v>
      </c>
      <c r="C13" s="31">
        <v>20</v>
      </c>
      <c r="D13" s="31">
        <v>0</v>
      </c>
      <c r="E13" s="31">
        <v>20</v>
      </c>
      <c r="F13" s="31" t="s">
        <v>460</v>
      </c>
      <c r="G13" s="1"/>
      <c r="H13" s="1"/>
      <c r="I13" s="111" t="s">
        <v>128</v>
      </c>
      <c r="J13" s="1"/>
      <c r="K13" s="112">
        <v>46315</v>
      </c>
      <c r="M13" s="109" t="str">
        <f t="shared" si="0"/>
        <v>F16</v>
      </c>
    </row>
    <row r="14" spans="1:13" ht="14">
      <c r="A14" s="31" t="s">
        <v>461</v>
      </c>
      <c r="B14" s="31">
        <v>2</v>
      </c>
      <c r="C14" s="31">
        <v>15</v>
      </c>
      <c r="D14" s="31">
        <v>5</v>
      </c>
      <c r="E14" s="31">
        <v>35</v>
      </c>
      <c r="F14" s="31" t="s">
        <v>460</v>
      </c>
      <c r="G14" s="1"/>
      <c r="H14" s="1"/>
      <c r="I14" s="111" t="s">
        <v>91</v>
      </c>
      <c r="J14" s="1"/>
      <c r="K14" s="112">
        <v>46319</v>
      </c>
      <c r="M14" s="109" t="str">
        <f t="shared" si="0"/>
        <v>F18</v>
      </c>
    </row>
    <row r="15" spans="1:13" ht="14">
      <c r="A15" s="31" t="s">
        <v>462</v>
      </c>
      <c r="B15" s="31">
        <v>2</v>
      </c>
      <c r="C15" s="31">
        <v>20</v>
      </c>
      <c r="D15" s="31">
        <v>5</v>
      </c>
      <c r="E15" s="31">
        <v>45</v>
      </c>
      <c r="F15" s="31" t="s">
        <v>460</v>
      </c>
      <c r="G15" s="1"/>
      <c r="H15" s="1"/>
      <c r="I15" s="111" t="s">
        <v>105</v>
      </c>
      <c r="J15" s="1"/>
      <c r="K15" s="112">
        <v>46329</v>
      </c>
      <c r="M15" s="109" t="str">
        <f t="shared" si="0"/>
        <v>F19</v>
      </c>
    </row>
    <row r="16" spans="1:13" ht="14">
      <c r="A16" s="31" t="s">
        <v>463</v>
      </c>
      <c r="B16" s="31">
        <v>2</v>
      </c>
      <c r="C16" s="31">
        <v>25</v>
      </c>
      <c r="D16" s="31">
        <v>5</v>
      </c>
      <c r="E16" s="31">
        <v>55</v>
      </c>
      <c r="F16" s="31" t="s">
        <v>460</v>
      </c>
      <c r="G16" s="1"/>
      <c r="H16" s="1"/>
      <c r="I16" s="111" t="s">
        <v>150</v>
      </c>
      <c r="J16" s="1"/>
      <c r="K16" s="112">
        <v>46333</v>
      </c>
      <c r="M16" s="109" t="str">
        <f t="shared" si="0"/>
        <v>P9</v>
      </c>
    </row>
    <row r="17" spans="1:13" ht="14">
      <c r="A17" s="31" t="s">
        <v>464</v>
      </c>
      <c r="B17" s="31">
        <v>2</v>
      </c>
      <c r="C17" s="31">
        <v>15</v>
      </c>
      <c r="D17" s="31">
        <v>5</v>
      </c>
      <c r="E17" s="31">
        <v>35</v>
      </c>
      <c r="F17" s="31" t="s">
        <v>465</v>
      </c>
      <c r="G17" s="1"/>
      <c r="H17" s="1"/>
      <c r="I17" s="114" t="s">
        <v>111</v>
      </c>
      <c r="J17" s="1"/>
      <c r="K17" s="112">
        <v>46336</v>
      </c>
      <c r="M17" s="109" t="str">
        <f t="shared" si="0"/>
        <v>P10</v>
      </c>
    </row>
    <row r="18" spans="1:13" ht="14">
      <c r="A18" s="31" t="s">
        <v>466</v>
      </c>
      <c r="B18" s="31">
        <v>2</v>
      </c>
      <c r="C18" s="31">
        <v>25</v>
      </c>
      <c r="D18" s="31">
        <v>5</v>
      </c>
      <c r="E18" s="31">
        <v>55</v>
      </c>
      <c r="F18" s="31" t="s">
        <v>467</v>
      </c>
      <c r="G18" s="1"/>
      <c r="H18" s="1"/>
      <c r="I18" s="115" t="s">
        <v>435</v>
      </c>
      <c r="J18" s="1"/>
      <c r="K18" s="112">
        <v>46340</v>
      </c>
      <c r="M18" s="109" t="str">
        <f t="shared" si="0"/>
        <v>P11</v>
      </c>
    </row>
    <row r="19" spans="1:13" ht="14">
      <c r="A19" s="31" t="s">
        <v>468</v>
      </c>
      <c r="B19" s="31">
        <v>1</v>
      </c>
      <c r="C19" s="31">
        <v>180</v>
      </c>
      <c r="D19" s="31">
        <v>0</v>
      </c>
      <c r="E19" s="31">
        <v>180</v>
      </c>
      <c r="F19" s="31" t="s">
        <v>469</v>
      </c>
      <c r="G19" s="1"/>
      <c r="H19" s="1"/>
      <c r="I19" s="115" t="s">
        <v>117</v>
      </c>
      <c r="J19" s="1"/>
      <c r="K19" s="112">
        <v>46343</v>
      </c>
      <c r="M19" s="109" t="str">
        <f t="shared" si="0"/>
        <v>P12</v>
      </c>
    </row>
    <row r="20" spans="1:13" ht="14">
      <c r="A20" s="1"/>
      <c r="B20" s="1"/>
      <c r="C20" s="1"/>
      <c r="D20" s="1"/>
      <c r="E20" s="1"/>
      <c r="F20" s="1"/>
      <c r="G20" s="1"/>
      <c r="H20" s="1"/>
      <c r="I20" s="115" t="s">
        <v>470</v>
      </c>
      <c r="J20" s="1"/>
      <c r="K20" s="112">
        <v>46347</v>
      </c>
      <c r="M20" s="109" t="str">
        <f t="shared" si="0"/>
        <v>P13</v>
      </c>
    </row>
    <row r="21" spans="1:13" ht="14">
      <c r="A21" s="1"/>
      <c r="B21" s="1"/>
      <c r="C21" s="1"/>
      <c r="D21" s="1"/>
      <c r="E21" s="1"/>
      <c r="F21" s="1"/>
      <c r="G21" s="1"/>
      <c r="H21" s="1"/>
      <c r="I21" s="115" t="s">
        <v>471</v>
      </c>
      <c r="J21" s="1"/>
      <c r="K21" s="112">
        <v>46354</v>
      </c>
      <c r="M21" s="109" t="str">
        <f t="shared" si="0"/>
        <v>P14</v>
      </c>
    </row>
    <row r="22" spans="1:13" ht="14">
      <c r="A22" s="1"/>
      <c r="B22" s="1"/>
      <c r="C22" s="1"/>
      <c r="D22" s="1"/>
      <c r="E22" s="1"/>
      <c r="F22" s="1"/>
      <c r="G22" s="1"/>
      <c r="H22" s="1"/>
      <c r="I22" s="115" t="s">
        <v>100</v>
      </c>
      <c r="J22" s="1"/>
      <c r="K22" s="112">
        <v>46357</v>
      </c>
      <c r="M22" s="109" t="str">
        <f t="shared" si="0"/>
        <v>P16</v>
      </c>
    </row>
    <row r="23" spans="1:13" ht="14">
      <c r="A23" s="1"/>
      <c r="B23" s="1"/>
      <c r="C23" s="1"/>
      <c r="D23" s="1"/>
      <c r="E23" s="1"/>
      <c r="F23" s="1"/>
      <c r="G23" s="1"/>
      <c r="H23" s="1"/>
      <c r="I23" s="115" t="s">
        <v>472</v>
      </c>
      <c r="J23" s="1"/>
      <c r="K23" s="112">
        <v>46361</v>
      </c>
      <c r="M23" s="109" t="str">
        <f t="shared" si="0"/>
        <v>P18</v>
      </c>
    </row>
    <row r="24" spans="1:13" ht="13">
      <c r="A24" s="1"/>
      <c r="B24" s="1"/>
      <c r="C24" s="1"/>
      <c r="D24" s="1"/>
      <c r="E24" s="1"/>
      <c r="F24" s="1"/>
      <c r="G24" s="1"/>
      <c r="H24" s="1"/>
      <c r="I24" s="115" t="s">
        <v>431</v>
      </c>
      <c r="J24" s="1"/>
      <c r="K24" s="112">
        <v>46368</v>
      </c>
      <c r="M24" t="str">
        <f t="shared" si="0"/>
        <v>Dam</v>
      </c>
    </row>
    <row r="25" spans="1:13" ht="13">
      <c r="A25" s="1"/>
      <c r="B25" s="1"/>
      <c r="C25" s="1"/>
      <c r="D25" s="1"/>
      <c r="E25" s="1"/>
      <c r="F25" s="1"/>
      <c r="G25" s="1"/>
      <c r="H25" s="1"/>
      <c r="I25" s="116" t="s">
        <v>433</v>
      </c>
      <c r="J25" s="1"/>
      <c r="K25" s="112">
        <v>46396</v>
      </c>
      <c r="M25" t="str">
        <f t="shared" si="0"/>
        <v>Herr</v>
      </c>
    </row>
    <row r="26" spans="1:13" ht="13">
      <c r="A26" s="1"/>
      <c r="B26" s="1"/>
      <c r="C26" s="1"/>
      <c r="D26" s="1"/>
      <c r="E26" s="1"/>
      <c r="F26" s="1"/>
      <c r="G26" s="1"/>
      <c r="H26" s="1"/>
      <c r="I26" s="116" t="s">
        <v>429</v>
      </c>
      <c r="J26" s="1"/>
      <c r="K26" s="112">
        <v>46399</v>
      </c>
      <c r="M26" t="str">
        <f t="shared" si="0"/>
        <v>Kontrollera</v>
      </c>
    </row>
    <row r="27" spans="1:13" ht="13">
      <c r="A27" s="1"/>
      <c r="B27" s="1"/>
      <c r="C27" s="1"/>
      <c r="D27" s="1"/>
      <c r="E27" s="1"/>
      <c r="F27" s="1"/>
      <c r="G27" s="1"/>
      <c r="H27" s="1"/>
      <c r="I27" s="117"/>
      <c r="J27" s="1"/>
      <c r="K27" s="112">
        <v>46403</v>
      </c>
      <c r="M27">
        <f t="shared" si="0"/>
        <v>0</v>
      </c>
    </row>
    <row r="28" spans="1:13" ht="13">
      <c r="A28" s="1"/>
      <c r="B28" s="1"/>
      <c r="C28" s="1"/>
      <c r="D28" s="1"/>
      <c r="E28" s="1"/>
      <c r="F28" s="1"/>
      <c r="G28" s="1"/>
      <c r="H28" s="1"/>
      <c r="I28" s="117"/>
      <c r="J28" s="1"/>
      <c r="K28" s="118">
        <v>46407</v>
      </c>
      <c r="M28">
        <f t="shared" si="0"/>
        <v>0</v>
      </c>
    </row>
    <row r="29" spans="1:13">
      <c r="I29" s="117"/>
      <c r="K29" s="119">
        <v>46410</v>
      </c>
      <c r="M29">
        <f t="shared" si="0"/>
        <v>0</v>
      </c>
    </row>
    <row r="30" spans="1:13">
      <c r="I30" s="117"/>
      <c r="K30" s="119">
        <v>46413</v>
      </c>
      <c r="M30">
        <f t="shared" si="0"/>
        <v>0</v>
      </c>
    </row>
    <row r="31" spans="1:13">
      <c r="K31" s="119">
        <v>46417</v>
      </c>
    </row>
    <row r="32" spans="1:13">
      <c r="K32" s="119">
        <v>46424</v>
      </c>
    </row>
    <row r="33" spans="11:11">
      <c r="K33" s="119">
        <v>46431</v>
      </c>
    </row>
    <row r="34" spans="11:11">
      <c r="K34" s="119">
        <v>46434</v>
      </c>
    </row>
    <row r="35" spans="11:11">
      <c r="K35" s="119">
        <v>46438</v>
      </c>
    </row>
    <row r="36" spans="11:11">
      <c r="K36" s="119">
        <v>46445</v>
      </c>
    </row>
    <row r="37" spans="11:11">
      <c r="K37" s="119">
        <v>46455</v>
      </c>
    </row>
    <row r="38" spans="11:11">
      <c r="K38" s="119">
        <v>46459</v>
      </c>
    </row>
    <row r="39" spans="11:11">
      <c r="K39" s="119">
        <v>46466</v>
      </c>
    </row>
    <row r="40" spans="11:11">
      <c r="K40" s="119">
        <v>46490</v>
      </c>
    </row>
    <row r="41" spans="11:11">
      <c r="K41" s="119">
        <v>46494</v>
      </c>
    </row>
  </sheetData>
  <mergeCells count="3">
    <mergeCell ref="A1:G1"/>
    <mergeCell ref="A2:G2"/>
    <mergeCell ref="A9:G9"/>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1D1D1"/>
  </sheetPr>
  <dimension ref="A1:O504"/>
  <sheetViews>
    <sheetView showGridLines="0" zoomScaleNormal="100" workbookViewId="0">
      <selection sqref="A1:N1"/>
    </sheetView>
  </sheetViews>
  <sheetFormatPr defaultColWidth="8.54296875" defaultRowHeight="12.5"/>
  <cols>
    <col min="1" max="1" width="18" customWidth="1"/>
    <col min="2" max="4" width="13" customWidth="1"/>
    <col min="5" max="5" width="10" customWidth="1"/>
    <col min="6" max="6" width="23" customWidth="1"/>
    <col min="7" max="7" width="12" customWidth="1"/>
    <col min="8" max="9" width="22" customWidth="1"/>
    <col min="10" max="10" width="12" customWidth="1"/>
    <col min="11" max="11" width="52" customWidth="1"/>
    <col min="12" max="12" width="24" customWidth="1"/>
    <col min="13" max="13" width="16" customWidth="1"/>
    <col min="14" max="14" width="18" customWidth="1"/>
    <col min="15" max="15" width="34" customWidth="1"/>
  </cols>
  <sheetData>
    <row r="1" spans="1:15" ht="34" customHeight="1">
      <c r="A1" s="187" t="s">
        <v>473</v>
      </c>
      <c r="B1" s="187" t="s">
        <v>473</v>
      </c>
      <c r="C1" s="187" t="s">
        <v>473</v>
      </c>
      <c r="D1" s="187" t="s">
        <v>473</v>
      </c>
      <c r="E1" s="187" t="s">
        <v>473</v>
      </c>
      <c r="F1" s="187" t="s">
        <v>473</v>
      </c>
      <c r="G1" s="187" t="s">
        <v>473</v>
      </c>
      <c r="H1" s="187" t="s">
        <v>473</v>
      </c>
      <c r="I1" s="187" t="s">
        <v>473</v>
      </c>
      <c r="J1" s="187" t="s">
        <v>473</v>
      </c>
      <c r="K1" s="187" t="s">
        <v>473</v>
      </c>
      <c r="L1" s="187" t="s">
        <v>473</v>
      </c>
      <c r="M1" s="187" t="s">
        <v>473</v>
      </c>
      <c r="N1" s="187" t="s">
        <v>473</v>
      </c>
      <c r="O1" s="187" t="s">
        <v>473</v>
      </c>
    </row>
    <row r="2" spans="1:15" ht="31" customHeight="1">
      <c r="A2" s="188" t="s">
        <v>474</v>
      </c>
      <c r="B2" s="188" t="s">
        <v>474</v>
      </c>
      <c r="C2" s="188" t="s">
        <v>474</v>
      </c>
      <c r="D2" s="188" t="s">
        <v>474</v>
      </c>
      <c r="E2" s="188" t="s">
        <v>474</v>
      </c>
      <c r="F2" s="188" t="s">
        <v>474</v>
      </c>
      <c r="G2" s="188" t="s">
        <v>474</v>
      </c>
      <c r="H2" s="188" t="s">
        <v>474</v>
      </c>
      <c r="I2" s="188" t="s">
        <v>474</v>
      </c>
      <c r="J2" s="188" t="s">
        <v>474</v>
      </c>
      <c r="K2" s="188" t="s">
        <v>474</v>
      </c>
      <c r="L2" s="188" t="s">
        <v>474</v>
      </c>
      <c r="M2" s="188" t="s">
        <v>474</v>
      </c>
      <c r="N2" s="188" t="s">
        <v>474</v>
      </c>
      <c r="O2" s="188" t="s">
        <v>474</v>
      </c>
    </row>
    <row r="3" spans="1:15" ht="13">
      <c r="A3" s="1" t="s">
        <v>475</v>
      </c>
      <c r="B3" s="1"/>
      <c r="C3" s="1"/>
      <c r="D3" s="1"/>
      <c r="E3" s="1"/>
      <c r="F3" s="1"/>
      <c r="G3" s="1"/>
      <c r="H3" s="1"/>
      <c r="I3" s="1"/>
      <c r="J3" s="1"/>
      <c r="K3" s="1"/>
      <c r="L3" s="1"/>
      <c r="M3" s="1"/>
      <c r="N3" s="1"/>
      <c r="O3" s="1"/>
    </row>
    <row r="4" spans="1:15" ht="30" customHeight="1">
      <c r="A4" s="29" t="s">
        <v>45</v>
      </c>
      <c r="B4" s="29" t="s">
        <v>476</v>
      </c>
      <c r="C4" s="29" t="s">
        <v>36</v>
      </c>
      <c r="D4" s="29" t="s">
        <v>477</v>
      </c>
      <c r="E4" s="29" t="s">
        <v>478</v>
      </c>
      <c r="F4" s="29" t="s">
        <v>479</v>
      </c>
      <c r="G4" s="29" t="s">
        <v>480</v>
      </c>
      <c r="H4" s="29" t="s">
        <v>50</v>
      </c>
      <c r="I4" s="29" t="s">
        <v>51</v>
      </c>
      <c r="J4" s="29" t="s">
        <v>481</v>
      </c>
      <c r="K4" s="29" t="s">
        <v>197</v>
      </c>
      <c r="L4" s="29" t="s">
        <v>482</v>
      </c>
      <c r="M4" s="29" t="s">
        <v>483</v>
      </c>
      <c r="N4" s="29" t="s">
        <v>484</v>
      </c>
      <c r="O4" s="29" t="s">
        <v>42</v>
      </c>
    </row>
    <row r="5" spans="1:15" ht="13">
      <c r="A5" s="94" t="s">
        <v>204</v>
      </c>
      <c r="B5" s="95"/>
      <c r="C5" s="95"/>
      <c r="D5" s="95" t="s">
        <v>485</v>
      </c>
      <c r="E5" s="95" t="s">
        <v>486</v>
      </c>
      <c r="F5" s="95" t="s">
        <v>86</v>
      </c>
      <c r="G5" s="95">
        <v>0</v>
      </c>
      <c r="H5" s="95" t="s">
        <v>487</v>
      </c>
      <c r="I5" s="95" t="s">
        <v>488</v>
      </c>
      <c r="J5" s="95"/>
      <c r="K5" s="95" t="s">
        <v>205</v>
      </c>
      <c r="L5" s="95" t="s">
        <v>487</v>
      </c>
      <c r="M5" s="95"/>
      <c r="N5" s="95"/>
      <c r="O5" s="98"/>
    </row>
    <row r="6" spans="1:15" ht="13">
      <c r="A6" s="99" t="s">
        <v>206</v>
      </c>
      <c r="B6" s="100"/>
      <c r="C6" s="100"/>
      <c r="D6" s="100" t="s">
        <v>485</v>
      </c>
      <c r="E6" s="100" t="s">
        <v>489</v>
      </c>
      <c r="F6" s="100" t="s">
        <v>86</v>
      </c>
      <c r="G6" s="100">
        <v>0</v>
      </c>
      <c r="H6" s="100" t="s">
        <v>490</v>
      </c>
      <c r="I6" s="100" t="s">
        <v>491</v>
      </c>
      <c r="J6" s="100"/>
      <c r="K6" s="100" t="s">
        <v>205</v>
      </c>
      <c r="L6" s="100" t="s">
        <v>487</v>
      </c>
      <c r="M6" s="100"/>
      <c r="N6" s="100"/>
      <c r="O6" s="103"/>
    </row>
    <row r="7" spans="1:15" ht="13">
      <c r="A7" s="99" t="s">
        <v>207</v>
      </c>
      <c r="B7" s="100"/>
      <c r="C7" s="100"/>
      <c r="D7" s="100" t="s">
        <v>492</v>
      </c>
      <c r="E7" s="100" t="s">
        <v>493</v>
      </c>
      <c r="F7" s="100" t="s">
        <v>86</v>
      </c>
      <c r="G7" s="100">
        <v>0</v>
      </c>
      <c r="H7" s="100" t="s">
        <v>487</v>
      </c>
      <c r="I7" s="100" t="s">
        <v>490</v>
      </c>
      <c r="J7" s="100"/>
      <c r="K7" s="100" t="s">
        <v>205</v>
      </c>
      <c r="L7" s="100" t="s">
        <v>487</v>
      </c>
      <c r="M7" s="100"/>
      <c r="N7" s="100"/>
      <c r="O7" s="103"/>
    </row>
    <row r="8" spans="1:15" ht="13">
      <c r="A8" s="99" t="s">
        <v>208</v>
      </c>
      <c r="B8" s="100"/>
      <c r="C8" s="100"/>
      <c r="D8" s="100" t="s">
        <v>492</v>
      </c>
      <c r="E8" s="100" t="s">
        <v>494</v>
      </c>
      <c r="F8" s="100" t="s">
        <v>86</v>
      </c>
      <c r="G8" s="100">
        <v>0</v>
      </c>
      <c r="H8" s="100" t="s">
        <v>491</v>
      </c>
      <c r="I8" s="100" t="s">
        <v>488</v>
      </c>
      <c r="J8" s="100"/>
      <c r="K8" s="100" t="s">
        <v>205</v>
      </c>
      <c r="L8" s="100" t="s">
        <v>487</v>
      </c>
      <c r="M8" s="100"/>
      <c r="N8" s="100"/>
      <c r="O8" s="103"/>
    </row>
    <row r="9" spans="1:15" ht="13">
      <c r="A9" s="99" t="s">
        <v>209</v>
      </c>
      <c r="B9" s="100"/>
      <c r="C9" s="100"/>
      <c r="D9" s="100" t="s">
        <v>492</v>
      </c>
      <c r="E9" s="100" t="s">
        <v>495</v>
      </c>
      <c r="F9" s="100" t="s">
        <v>86</v>
      </c>
      <c r="G9" s="100">
        <v>0</v>
      </c>
      <c r="H9" s="100" t="s">
        <v>488</v>
      </c>
      <c r="I9" s="100" t="s">
        <v>490</v>
      </c>
      <c r="J9" s="100"/>
      <c r="K9" s="100" t="s">
        <v>205</v>
      </c>
      <c r="L9" s="100" t="s">
        <v>487</v>
      </c>
      <c r="M9" s="100"/>
      <c r="N9" s="100"/>
      <c r="O9" s="103"/>
    </row>
    <row r="10" spans="1:15" ht="13">
      <c r="A10" s="99" t="s">
        <v>210</v>
      </c>
      <c r="B10" s="100"/>
      <c r="C10" s="100"/>
      <c r="D10" s="100" t="s">
        <v>492</v>
      </c>
      <c r="E10" s="100" t="s">
        <v>486</v>
      </c>
      <c r="F10" s="100" t="s">
        <v>86</v>
      </c>
      <c r="G10" s="100">
        <v>0</v>
      </c>
      <c r="H10" s="100" t="s">
        <v>487</v>
      </c>
      <c r="I10" s="100" t="s">
        <v>491</v>
      </c>
      <c r="J10" s="100"/>
      <c r="K10" s="100" t="s">
        <v>205</v>
      </c>
      <c r="L10" s="100" t="s">
        <v>487</v>
      </c>
      <c r="M10" s="100"/>
      <c r="N10" s="100"/>
      <c r="O10" s="103"/>
    </row>
    <row r="11" spans="1:15" ht="13">
      <c r="A11" s="99" t="s">
        <v>211</v>
      </c>
      <c r="B11" s="100" t="s">
        <v>496</v>
      </c>
      <c r="C11" s="100" t="s">
        <v>497</v>
      </c>
      <c r="D11" s="100" t="s">
        <v>498</v>
      </c>
      <c r="E11" s="100" t="s">
        <v>499</v>
      </c>
      <c r="F11" s="100" t="s">
        <v>212</v>
      </c>
      <c r="G11" s="100">
        <v>0</v>
      </c>
      <c r="H11" s="100" t="s">
        <v>487</v>
      </c>
      <c r="I11" s="100" t="s">
        <v>500</v>
      </c>
      <c r="J11" s="100"/>
      <c r="K11" s="100" t="s">
        <v>213</v>
      </c>
      <c r="L11" s="100" t="s">
        <v>487</v>
      </c>
      <c r="M11" s="100" t="s">
        <v>501</v>
      </c>
      <c r="N11" s="100"/>
      <c r="O11" s="103"/>
    </row>
    <row r="12" spans="1:15" ht="13">
      <c r="A12" s="99" t="s">
        <v>214</v>
      </c>
      <c r="B12" s="100" t="s">
        <v>502</v>
      </c>
      <c r="C12" s="100" t="s">
        <v>497</v>
      </c>
      <c r="D12" s="100" t="s">
        <v>502</v>
      </c>
      <c r="E12" s="100" t="s">
        <v>503</v>
      </c>
      <c r="F12" s="100" t="s">
        <v>94</v>
      </c>
      <c r="G12" s="100">
        <v>0</v>
      </c>
      <c r="H12" s="100" t="s">
        <v>487</v>
      </c>
      <c r="I12" s="100" t="s">
        <v>504</v>
      </c>
      <c r="J12" s="100"/>
      <c r="K12" s="100" t="s">
        <v>215</v>
      </c>
      <c r="L12" s="100" t="s">
        <v>487</v>
      </c>
      <c r="M12" s="100" t="s">
        <v>501</v>
      </c>
      <c r="N12" s="100"/>
      <c r="O12" s="103"/>
    </row>
    <row r="13" spans="1:15" ht="13">
      <c r="A13" s="99" t="s">
        <v>216</v>
      </c>
      <c r="B13" s="100" t="s">
        <v>502</v>
      </c>
      <c r="C13" s="100" t="s">
        <v>497</v>
      </c>
      <c r="D13" s="100" t="s">
        <v>502</v>
      </c>
      <c r="E13" s="100" t="s">
        <v>505</v>
      </c>
      <c r="F13" s="100" t="s">
        <v>94</v>
      </c>
      <c r="G13" s="100">
        <v>0</v>
      </c>
      <c r="H13" s="100" t="s">
        <v>504</v>
      </c>
      <c r="I13" s="100" t="s">
        <v>506</v>
      </c>
      <c r="J13" s="100"/>
      <c r="K13" s="100" t="s">
        <v>215</v>
      </c>
      <c r="L13" s="100" t="s">
        <v>487</v>
      </c>
      <c r="M13" s="100" t="s">
        <v>501</v>
      </c>
      <c r="N13" s="100"/>
      <c r="O13" s="103"/>
    </row>
    <row r="14" spans="1:15" ht="13">
      <c r="A14" s="99" t="s">
        <v>217</v>
      </c>
      <c r="B14" s="100" t="s">
        <v>502</v>
      </c>
      <c r="C14" s="100" t="s">
        <v>497</v>
      </c>
      <c r="D14" s="100" t="s">
        <v>502</v>
      </c>
      <c r="E14" s="100" t="s">
        <v>507</v>
      </c>
      <c r="F14" s="100" t="s">
        <v>94</v>
      </c>
      <c r="G14" s="100">
        <v>0</v>
      </c>
      <c r="H14" s="100" t="s">
        <v>487</v>
      </c>
      <c r="I14" s="100" t="s">
        <v>506</v>
      </c>
      <c r="J14" s="100"/>
      <c r="K14" s="100" t="s">
        <v>215</v>
      </c>
      <c r="L14" s="100" t="s">
        <v>487</v>
      </c>
      <c r="M14" s="100" t="s">
        <v>501</v>
      </c>
      <c r="N14" s="100"/>
      <c r="O14" s="103"/>
    </row>
    <row r="15" spans="1:15" ht="13">
      <c r="A15" s="99" t="s">
        <v>218</v>
      </c>
      <c r="B15" s="100" t="s">
        <v>502</v>
      </c>
      <c r="C15" s="100" t="s">
        <v>497</v>
      </c>
      <c r="D15" s="100" t="s">
        <v>502</v>
      </c>
      <c r="E15" s="100" t="s">
        <v>508</v>
      </c>
      <c r="F15" s="100" t="s">
        <v>94</v>
      </c>
      <c r="G15" s="100">
        <v>0</v>
      </c>
      <c r="H15" s="100" t="s">
        <v>487</v>
      </c>
      <c r="I15" s="100" t="s">
        <v>500</v>
      </c>
      <c r="J15" s="100"/>
      <c r="K15" s="100" t="s">
        <v>219</v>
      </c>
      <c r="L15" s="100" t="s">
        <v>487</v>
      </c>
      <c r="M15" s="100" t="s">
        <v>501</v>
      </c>
      <c r="N15" s="100"/>
      <c r="O15" s="103"/>
    </row>
    <row r="16" spans="1:15" ht="13">
      <c r="A16" s="99" t="s">
        <v>220</v>
      </c>
      <c r="B16" s="100" t="s">
        <v>502</v>
      </c>
      <c r="C16" s="100" t="s">
        <v>497</v>
      </c>
      <c r="D16" s="100" t="s">
        <v>502</v>
      </c>
      <c r="E16" s="100" t="s">
        <v>495</v>
      </c>
      <c r="F16" s="100" t="s">
        <v>94</v>
      </c>
      <c r="G16" s="100">
        <v>0</v>
      </c>
      <c r="H16" s="100" t="s">
        <v>509</v>
      </c>
      <c r="I16" s="100" t="s">
        <v>510</v>
      </c>
      <c r="J16" s="100"/>
      <c r="K16" s="100" t="s">
        <v>221</v>
      </c>
      <c r="L16" s="100" t="s">
        <v>487</v>
      </c>
      <c r="M16" s="100" t="s">
        <v>501</v>
      </c>
      <c r="N16" s="100"/>
      <c r="O16" s="103"/>
    </row>
    <row r="17" spans="1:15" ht="13">
      <c r="A17" s="99" t="s">
        <v>222</v>
      </c>
      <c r="B17" s="100" t="s">
        <v>511</v>
      </c>
      <c r="C17" s="100" t="s">
        <v>512</v>
      </c>
      <c r="D17" s="100" t="s">
        <v>511</v>
      </c>
      <c r="E17" s="100" t="s">
        <v>513</v>
      </c>
      <c r="F17" s="100" t="s">
        <v>94</v>
      </c>
      <c r="G17" s="100">
        <v>0</v>
      </c>
      <c r="H17" s="100" t="s">
        <v>509</v>
      </c>
      <c r="I17" s="100" t="s">
        <v>514</v>
      </c>
      <c r="J17" s="100"/>
      <c r="K17" s="100" t="s">
        <v>223</v>
      </c>
      <c r="L17" s="100" t="s">
        <v>487</v>
      </c>
      <c r="M17" s="100" t="s">
        <v>501</v>
      </c>
      <c r="N17" s="100"/>
      <c r="O17" s="103"/>
    </row>
    <row r="18" spans="1:15" ht="13">
      <c r="A18" s="99" t="s">
        <v>224</v>
      </c>
      <c r="B18" s="100" t="s">
        <v>502</v>
      </c>
      <c r="C18" s="100" t="s">
        <v>497</v>
      </c>
      <c r="D18" s="100" t="s">
        <v>511</v>
      </c>
      <c r="E18" s="100" t="s">
        <v>503</v>
      </c>
      <c r="F18" s="100" t="s">
        <v>86</v>
      </c>
      <c r="G18" s="100">
        <v>0</v>
      </c>
      <c r="H18" s="100" t="s">
        <v>487</v>
      </c>
      <c r="I18" s="100" t="s">
        <v>515</v>
      </c>
      <c r="J18" s="100"/>
      <c r="K18" s="100" t="s">
        <v>225</v>
      </c>
      <c r="L18" s="100" t="s">
        <v>487</v>
      </c>
      <c r="M18" s="100" t="s">
        <v>501</v>
      </c>
      <c r="N18" s="100"/>
      <c r="O18" s="103"/>
    </row>
    <row r="19" spans="1:15" ht="13">
      <c r="A19" s="99" t="s">
        <v>226</v>
      </c>
      <c r="B19" s="100" t="s">
        <v>502</v>
      </c>
      <c r="C19" s="100" t="s">
        <v>497</v>
      </c>
      <c r="D19" s="100" t="s">
        <v>511</v>
      </c>
      <c r="E19" s="100" t="s">
        <v>505</v>
      </c>
      <c r="F19" s="100" t="s">
        <v>86</v>
      </c>
      <c r="G19" s="100">
        <v>0</v>
      </c>
      <c r="H19" s="100" t="s">
        <v>516</v>
      </c>
      <c r="I19" s="100" t="s">
        <v>515</v>
      </c>
      <c r="J19" s="100"/>
      <c r="K19" s="100" t="s">
        <v>225</v>
      </c>
      <c r="L19" s="100" t="s">
        <v>487</v>
      </c>
      <c r="M19" s="100" t="s">
        <v>501</v>
      </c>
      <c r="N19" s="100"/>
      <c r="O19" s="103"/>
    </row>
    <row r="20" spans="1:15" ht="13">
      <c r="A20" s="99" t="s">
        <v>227</v>
      </c>
      <c r="B20" s="100" t="s">
        <v>502</v>
      </c>
      <c r="C20" s="100" t="s">
        <v>497</v>
      </c>
      <c r="D20" s="100" t="s">
        <v>511</v>
      </c>
      <c r="E20" s="100" t="s">
        <v>507</v>
      </c>
      <c r="F20" s="100" t="s">
        <v>86</v>
      </c>
      <c r="G20" s="100">
        <v>0</v>
      </c>
      <c r="H20" s="100" t="s">
        <v>487</v>
      </c>
      <c r="I20" s="100" t="s">
        <v>516</v>
      </c>
      <c r="J20" s="100"/>
      <c r="K20" s="100" t="s">
        <v>225</v>
      </c>
      <c r="L20" s="100" t="s">
        <v>487</v>
      </c>
      <c r="M20" s="100" t="s">
        <v>501</v>
      </c>
      <c r="N20" s="100"/>
      <c r="O20" s="103"/>
    </row>
    <row r="21" spans="1:15" ht="13">
      <c r="A21" s="99" t="s">
        <v>228</v>
      </c>
      <c r="B21" s="100" t="s">
        <v>511</v>
      </c>
      <c r="C21" s="100" t="s">
        <v>512</v>
      </c>
      <c r="D21" s="100" t="s">
        <v>511</v>
      </c>
      <c r="E21" s="100" t="s">
        <v>508</v>
      </c>
      <c r="F21" s="100" t="s">
        <v>86</v>
      </c>
      <c r="G21" s="100">
        <v>0</v>
      </c>
      <c r="H21" s="100" t="s">
        <v>487</v>
      </c>
      <c r="I21" s="100" t="s">
        <v>517</v>
      </c>
      <c r="J21" s="100"/>
      <c r="K21" s="100" t="s">
        <v>229</v>
      </c>
      <c r="L21" s="100" t="s">
        <v>487</v>
      </c>
      <c r="M21" s="100" t="s">
        <v>501</v>
      </c>
      <c r="N21" s="100"/>
      <c r="O21" s="103"/>
    </row>
    <row r="22" spans="1:15" ht="13">
      <c r="A22" s="99" t="s">
        <v>230</v>
      </c>
      <c r="B22" s="100" t="s">
        <v>511</v>
      </c>
      <c r="C22" s="100" t="s">
        <v>512</v>
      </c>
      <c r="D22" s="100" t="s">
        <v>512</v>
      </c>
      <c r="E22" s="100" t="s">
        <v>518</v>
      </c>
      <c r="F22" s="100" t="s">
        <v>212</v>
      </c>
      <c r="G22" s="100">
        <v>0</v>
      </c>
      <c r="H22" s="100" t="s">
        <v>487</v>
      </c>
      <c r="I22" s="100" t="s">
        <v>490</v>
      </c>
      <c r="J22" s="100"/>
      <c r="K22" s="100" t="s">
        <v>231</v>
      </c>
      <c r="L22" s="100" t="s">
        <v>487</v>
      </c>
      <c r="M22" s="100"/>
      <c r="N22" s="100"/>
      <c r="O22" s="103" t="s">
        <v>519</v>
      </c>
    </row>
    <row r="23" spans="1:15" ht="13">
      <c r="A23" s="99" t="s">
        <v>232</v>
      </c>
      <c r="B23" s="100" t="s">
        <v>520</v>
      </c>
      <c r="C23" s="100" t="s">
        <v>521</v>
      </c>
      <c r="D23" s="100" t="s">
        <v>522</v>
      </c>
      <c r="E23" s="100" t="s">
        <v>499</v>
      </c>
      <c r="F23" s="100" t="s">
        <v>94</v>
      </c>
      <c r="G23" s="100">
        <v>0</v>
      </c>
      <c r="H23" s="100" t="s">
        <v>487</v>
      </c>
      <c r="I23" s="100" t="s">
        <v>523</v>
      </c>
      <c r="J23" s="100"/>
      <c r="K23" s="100" t="s">
        <v>213</v>
      </c>
      <c r="L23" s="100" t="s">
        <v>487</v>
      </c>
      <c r="M23" s="100" t="s">
        <v>501</v>
      </c>
      <c r="N23" s="100"/>
      <c r="O23" s="103"/>
    </row>
    <row r="24" spans="1:15" ht="13">
      <c r="A24" s="99" t="s">
        <v>233</v>
      </c>
      <c r="B24" s="100" t="s">
        <v>524</v>
      </c>
      <c r="C24" s="100" t="s">
        <v>521</v>
      </c>
      <c r="D24" s="100" t="s">
        <v>524</v>
      </c>
      <c r="E24" s="100" t="s">
        <v>495</v>
      </c>
      <c r="F24" s="100" t="s">
        <v>94</v>
      </c>
      <c r="G24" s="100">
        <v>0</v>
      </c>
      <c r="H24" s="100" t="s">
        <v>487</v>
      </c>
      <c r="I24" s="100" t="s">
        <v>525</v>
      </c>
      <c r="J24" s="100"/>
      <c r="K24" s="100" t="s">
        <v>234</v>
      </c>
      <c r="L24" s="100" t="s">
        <v>487</v>
      </c>
      <c r="M24" s="100" t="s">
        <v>501</v>
      </c>
      <c r="N24" s="100"/>
      <c r="O24" s="103"/>
    </row>
    <row r="25" spans="1:15" ht="13">
      <c r="A25" s="99" t="s">
        <v>235</v>
      </c>
      <c r="B25" s="100" t="s">
        <v>524</v>
      </c>
      <c r="C25" s="100" t="s">
        <v>521</v>
      </c>
      <c r="D25" s="100" t="s">
        <v>524</v>
      </c>
      <c r="E25" s="100" t="s">
        <v>526</v>
      </c>
      <c r="F25" s="100" t="s">
        <v>86</v>
      </c>
      <c r="G25" s="100">
        <v>0</v>
      </c>
      <c r="H25" s="100" t="s">
        <v>527</v>
      </c>
      <c r="I25" s="100" t="s">
        <v>528</v>
      </c>
      <c r="J25" s="100"/>
      <c r="K25" s="100" t="s">
        <v>236</v>
      </c>
      <c r="L25" s="100" t="s">
        <v>487</v>
      </c>
      <c r="M25" s="100" t="s">
        <v>501</v>
      </c>
      <c r="N25" s="100"/>
      <c r="O25" s="103"/>
    </row>
    <row r="26" spans="1:15" ht="13">
      <c r="A26" s="99" t="s">
        <v>237</v>
      </c>
      <c r="B26" s="100" t="s">
        <v>524</v>
      </c>
      <c r="C26" s="100" t="s">
        <v>521</v>
      </c>
      <c r="D26" s="100" t="s">
        <v>524</v>
      </c>
      <c r="E26" s="100" t="s">
        <v>529</v>
      </c>
      <c r="F26" s="100" t="s">
        <v>86</v>
      </c>
      <c r="G26" s="100">
        <v>0</v>
      </c>
      <c r="H26" s="100" t="s">
        <v>530</v>
      </c>
      <c r="I26" s="100" t="s">
        <v>531</v>
      </c>
      <c r="J26" s="100"/>
      <c r="K26" s="100" t="s">
        <v>236</v>
      </c>
      <c r="L26" s="100" t="s">
        <v>487</v>
      </c>
      <c r="M26" s="100" t="s">
        <v>501</v>
      </c>
      <c r="N26" s="100"/>
      <c r="O26" s="103"/>
    </row>
    <row r="27" spans="1:15" ht="13">
      <c r="A27" s="99" t="s">
        <v>238</v>
      </c>
      <c r="B27" s="100" t="s">
        <v>524</v>
      </c>
      <c r="C27" s="100" t="s">
        <v>521</v>
      </c>
      <c r="D27" s="100" t="s">
        <v>524</v>
      </c>
      <c r="E27" s="100" t="s">
        <v>532</v>
      </c>
      <c r="F27" s="100" t="s">
        <v>86</v>
      </c>
      <c r="G27" s="100">
        <v>0</v>
      </c>
      <c r="H27" s="100" t="s">
        <v>487</v>
      </c>
      <c r="I27" s="100" t="s">
        <v>528</v>
      </c>
      <c r="J27" s="100"/>
      <c r="K27" s="100" t="s">
        <v>236</v>
      </c>
      <c r="L27" s="100" t="s">
        <v>487</v>
      </c>
      <c r="M27" s="100" t="s">
        <v>501</v>
      </c>
      <c r="N27" s="100"/>
      <c r="O27" s="103"/>
    </row>
    <row r="28" spans="1:15" ht="13">
      <c r="A28" s="99" t="s">
        <v>239</v>
      </c>
      <c r="B28" s="100" t="s">
        <v>524</v>
      </c>
      <c r="C28" s="100" t="s">
        <v>521</v>
      </c>
      <c r="D28" s="100" t="s">
        <v>524</v>
      </c>
      <c r="E28" s="100" t="s">
        <v>495</v>
      </c>
      <c r="F28" s="100" t="s">
        <v>86</v>
      </c>
      <c r="G28" s="100">
        <v>0</v>
      </c>
      <c r="H28" s="100" t="s">
        <v>527</v>
      </c>
      <c r="I28" s="100" t="s">
        <v>531</v>
      </c>
      <c r="J28" s="100"/>
      <c r="K28" s="100" t="s">
        <v>236</v>
      </c>
      <c r="L28" s="100" t="s">
        <v>487</v>
      </c>
      <c r="M28" s="100" t="s">
        <v>501</v>
      </c>
      <c r="N28" s="100"/>
      <c r="O28" s="103"/>
    </row>
    <row r="29" spans="1:15" ht="13">
      <c r="A29" s="99" t="s">
        <v>240</v>
      </c>
      <c r="B29" s="100" t="s">
        <v>524</v>
      </c>
      <c r="C29" s="100" t="s">
        <v>521</v>
      </c>
      <c r="D29" s="100" t="s">
        <v>524</v>
      </c>
      <c r="E29" s="100" t="s">
        <v>533</v>
      </c>
      <c r="F29" s="100" t="s">
        <v>86</v>
      </c>
      <c r="G29" s="100">
        <v>0</v>
      </c>
      <c r="H29" s="100" t="s">
        <v>530</v>
      </c>
      <c r="I29" s="100" t="s">
        <v>487</v>
      </c>
      <c r="J29" s="100"/>
      <c r="K29" s="100" t="s">
        <v>236</v>
      </c>
      <c r="L29" s="100" t="s">
        <v>487</v>
      </c>
      <c r="M29" s="100" t="s">
        <v>501</v>
      </c>
      <c r="N29" s="100"/>
      <c r="O29" s="103"/>
    </row>
    <row r="30" spans="1:15" ht="13">
      <c r="A30" s="99" t="s">
        <v>241</v>
      </c>
      <c r="B30" s="100" t="s">
        <v>524</v>
      </c>
      <c r="C30" s="100" t="s">
        <v>521</v>
      </c>
      <c r="D30" s="100" t="s">
        <v>524</v>
      </c>
      <c r="E30" s="100" t="s">
        <v>534</v>
      </c>
      <c r="F30" s="100" t="s">
        <v>86</v>
      </c>
      <c r="G30" s="100">
        <v>0</v>
      </c>
      <c r="H30" s="100" t="s">
        <v>535</v>
      </c>
      <c r="I30" s="100" t="s">
        <v>536</v>
      </c>
      <c r="J30" s="100"/>
      <c r="K30" s="100" t="s">
        <v>242</v>
      </c>
      <c r="L30" s="100" t="s">
        <v>487</v>
      </c>
      <c r="M30" s="100" t="s">
        <v>501</v>
      </c>
      <c r="N30" s="100"/>
      <c r="O30" s="103"/>
    </row>
    <row r="31" spans="1:15" ht="13">
      <c r="A31" s="99" t="s">
        <v>243</v>
      </c>
      <c r="B31" s="100" t="s">
        <v>524</v>
      </c>
      <c r="C31" s="100" t="s">
        <v>521</v>
      </c>
      <c r="D31" s="100" t="s">
        <v>521</v>
      </c>
      <c r="E31" s="100" t="s">
        <v>486</v>
      </c>
      <c r="F31" s="100" t="s">
        <v>212</v>
      </c>
      <c r="G31" s="100">
        <v>0</v>
      </c>
      <c r="H31" s="100" t="s">
        <v>487</v>
      </c>
      <c r="I31" s="100" t="s">
        <v>537</v>
      </c>
      <c r="J31" s="100"/>
      <c r="K31" s="100" t="s">
        <v>231</v>
      </c>
      <c r="L31" s="100" t="s">
        <v>487</v>
      </c>
      <c r="M31" s="100"/>
      <c r="N31" s="100"/>
      <c r="O31" s="103" t="s">
        <v>519</v>
      </c>
    </row>
    <row r="32" spans="1:15" ht="13">
      <c r="A32" s="99" t="s">
        <v>244</v>
      </c>
      <c r="B32" s="100" t="s">
        <v>538</v>
      </c>
      <c r="C32" s="100" t="s">
        <v>539</v>
      </c>
      <c r="D32" s="100" t="s">
        <v>538</v>
      </c>
      <c r="E32" s="100" t="s">
        <v>540</v>
      </c>
      <c r="F32" s="100" t="s">
        <v>94</v>
      </c>
      <c r="G32" s="100">
        <v>0</v>
      </c>
      <c r="H32" s="100" t="s">
        <v>509</v>
      </c>
      <c r="I32" s="100" t="s">
        <v>541</v>
      </c>
      <c r="J32" s="100"/>
      <c r="K32" s="100" t="s">
        <v>223</v>
      </c>
      <c r="L32" s="100" t="s">
        <v>487</v>
      </c>
      <c r="M32" s="100" t="s">
        <v>501</v>
      </c>
      <c r="N32" s="100"/>
      <c r="O32" s="103"/>
    </row>
    <row r="33" spans="1:15" ht="13">
      <c r="A33" s="99" t="s">
        <v>245</v>
      </c>
      <c r="B33" s="100" t="s">
        <v>538</v>
      </c>
      <c r="C33" s="100" t="s">
        <v>539</v>
      </c>
      <c r="D33" s="100" t="s">
        <v>538</v>
      </c>
      <c r="E33" s="100" t="s">
        <v>495</v>
      </c>
      <c r="F33" s="100" t="s">
        <v>94</v>
      </c>
      <c r="G33" s="100">
        <v>0</v>
      </c>
      <c r="H33" s="100" t="s">
        <v>509</v>
      </c>
      <c r="I33" s="100" t="s">
        <v>542</v>
      </c>
      <c r="J33" s="100"/>
      <c r="K33" s="100" t="s">
        <v>246</v>
      </c>
      <c r="L33" s="100" t="s">
        <v>487</v>
      </c>
      <c r="M33" s="100" t="s">
        <v>501</v>
      </c>
      <c r="N33" s="100"/>
      <c r="O33" s="103"/>
    </row>
    <row r="34" spans="1:15" ht="13">
      <c r="A34" s="99" t="s">
        <v>247</v>
      </c>
      <c r="B34" s="100" t="s">
        <v>538</v>
      </c>
      <c r="C34" s="100" t="s">
        <v>539</v>
      </c>
      <c r="D34" s="100" t="s">
        <v>538</v>
      </c>
      <c r="E34" s="100" t="s">
        <v>503</v>
      </c>
      <c r="F34" s="100" t="s">
        <v>110</v>
      </c>
      <c r="G34" s="100">
        <v>0</v>
      </c>
      <c r="H34" s="100" t="s">
        <v>543</v>
      </c>
      <c r="I34" s="100" t="s">
        <v>544</v>
      </c>
      <c r="J34" s="100"/>
      <c r="K34" s="100" t="s">
        <v>248</v>
      </c>
      <c r="L34" s="100" t="s">
        <v>487</v>
      </c>
      <c r="M34" s="100" t="s">
        <v>501</v>
      </c>
      <c r="N34" s="100"/>
      <c r="O34" s="103"/>
    </row>
    <row r="35" spans="1:15" ht="13">
      <c r="A35" s="99" t="s">
        <v>249</v>
      </c>
      <c r="B35" s="100" t="s">
        <v>538</v>
      </c>
      <c r="C35" s="100" t="s">
        <v>539</v>
      </c>
      <c r="D35" s="100" t="s">
        <v>538</v>
      </c>
      <c r="E35" s="100" t="s">
        <v>545</v>
      </c>
      <c r="F35" s="100" t="s">
        <v>110</v>
      </c>
      <c r="G35" s="100">
        <v>0</v>
      </c>
      <c r="H35" s="100" t="s">
        <v>546</v>
      </c>
      <c r="I35" s="100" t="s">
        <v>504</v>
      </c>
      <c r="J35" s="100"/>
      <c r="K35" s="100" t="s">
        <v>248</v>
      </c>
      <c r="L35" s="100" t="s">
        <v>487</v>
      </c>
      <c r="M35" s="100" t="s">
        <v>501</v>
      </c>
      <c r="N35" s="100"/>
      <c r="O35" s="103"/>
    </row>
    <row r="36" spans="1:15" ht="13">
      <c r="A36" s="99" t="s">
        <v>250</v>
      </c>
      <c r="B36" s="100" t="s">
        <v>538</v>
      </c>
      <c r="C36" s="100" t="s">
        <v>539</v>
      </c>
      <c r="D36" s="100" t="s">
        <v>538</v>
      </c>
      <c r="E36" s="100" t="s">
        <v>547</v>
      </c>
      <c r="F36" s="100" t="s">
        <v>110</v>
      </c>
      <c r="G36" s="100">
        <v>0</v>
      </c>
      <c r="H36" s="100" t="s">
        <v>487</v>
      </c>
      <c r="I36" s="100" t="s">
        <v>544</v>
      </c>
      <c r="J36" s="100"/>
      <c r="K36" s="100" t="s">
        <v>248</v>
      </c>
      <c r="L36" s="100" t="s">
        <v>487</v>
      </c>
      <c r="M36" s="100" t="s">
        <v>501</v>
      </c>
      <c r="N36" s="100"/>
      <c r="O36" s="103"/>
    </row>
    <row r="37" spans="1:15" ht="13">
      <c r="A37" s="99" t="s">
        <v>251</v>
      </c>
      <c r="B37" s="100" t="s">
        <v>538</v>
      </c>
      <c r="C37" s="100" t="s">
        <v>539</v>
      </c>
      <c r="D37" s="100" t="s">
        <v>538</v>
      </c>
      <c r="E37" s="100" t="s">
        <v>526</v>
      </c>
      <c r="F37" s="100" t="s">
        <v>110</v>
      </c>
      <c r="G37" s="100">
        <v>0</v>
      </c>
      <c r="H37" s="100" t="s">
        <v>543</v>
      </c>
      <c r="I37" s="100" t="s">
        <v>504</v>
      </c>
      <c r="J37" s="100"/>
      <c r="K37" s="100" t="s">
        <v>248</v>
      </c>
      <c r="L37" s="100" t="s">
        <v>487</v>
      </c>
      <c r="M37" s="100" t="s">
        <v>501</v>
      </c>
      <c r="N37" s="100"/>
      <c r="O37" s="103"/>
    </row>
    <row r="38" spans="1:15" ht="13">
      <c r="A38" s="99" t="s">
        <v>252</v>
      </c>
      <c r="B38" s="100" t="s">
        <v>538</v>
      </c>
      <c r="C38" s="100" t="s">
        <v>539</v>
      </c>
      <c r="D38" s="100" t="s">
        <v>538</v>
      </c>
      <c r="E38" s="100" t="s">
        <v>529</v>
      </c>
      <c r="F38" s="100" t="s">
        <v>110</v>
      </c>
      <c r="G38" s="100">
        <v>0</v>
      </c>
      <c r="H38" s="100" t="s">
        <v>546</v>
      </c>
      <c r="I38" s="100" t="s">
        <v>487</v>
      </c>
      <c r="J38" s="100"/>
      <c r="K38" s="100" t="s">
        <v>248</v>
      </c>
      <c r="L38" s="100" t="s">
        <v>487</v>
      </c>
      <c r="M38" s="100" t="s">
        <v>501</v>
      </c>
      <c r="N38" s="100"/>
      <c r="O38" s="103"/>
    </row>
    <row r="39" spans="1:15" ht="13">
      <c r="A39" s="99" t="s">
        <v>253</v>
      </c>
      <c r="B39" s="100" t="s">
        <v>538</v>
      </c>
      <c r="C39" s="100" t="s">
        <v>539</v>
      </c>
      <c r="D39" s="100" t="s">
        <v>538</v>
      </c>
      <c r="E39" s="100" t="s">
        <v>503</v>
      </c>
      <c r="F39" s="100" t="s">
        <v>86</v>
      </c>
      <c r="G39" s="100">
        <v>0</v>
      </c>
      <c r="H39" s="100" t="s">
        <v>487</v>
      </c>
      <c r="I39" s="100" t="s">
        <v>548</v>
      </c>
      <c r="J39" s="100"/>
      <c r="K39" s="100" t="s">
        <v>254</v>
      </c>
      <c r="L39" s="100" t="s">
        <v>487</v>
      </c>
      <c r="M39" s="100" t="s">
        <v>501</v>
      </c>
      <c r="N39" s="100"/>
      <c r="O39" s="103"/>
    </row>
    <row r="40" spans="1:15" ht="13">
      <c r="A40" s="99" t="s">
        <v>255</v>
      </c>
      <c r="B40" s="100" t="s">
        <v>538</v>
      </c>
      <c r="C40" s="100" t="s">
        <v>539</v>
      </c>
      <c r="D40" s="100" t="s">
        <v>538</v>
      </c>
      <c r="E40" s="100" t="s">
        <v>545</v>
      </c>
      <c r="F40" s="100" t="s">
        <v>86</v>
      </c>
      <c r="G40" s="100">
        <v>0</v>
      </c>
      <c r="H40" s="100" t="s">
        <v>549</v>
      </c>
      <c r="I40" s="100" t="s">
        <v>550</v>
      </c>
      <c r="J40" s="100"/>
      <c r="K40" s="100" t="s">
        <v>254</v>
      </c>
      <c r="L40" s="100" t="s">
        <v>487</v>
      </c>
      <c r="M40" s="100" t="s">
        <v>501</v>
      </c>
      <c r="N40" s="100"/>
      <c r="O40" s="103"/>
    </row>
    <row r="41" spans="1:15" ht="13">
      <c r="A41" s="99" t="s">
        <v>256</v>
      </c>
      <c r="B41" s="100" t="s">
        <v>538</v>
      </c>
      <c r="C41" s="100" t="s">
        <v>539</v>
      </c>
      <c r="D41" s="100" t="s">
        <v>538</v>
      </c>
      <c r="E41" s="100" t="s">
        <v>494</v>
      </c>
      <c r="F41" s="100" t="s">
        <v>86</v>
      </c>
      <c r="G41" s="100">
        <v>0</v>
      </c>
      <c r="H41" s="100" t="s">
        <v>487</v>
      </c>
      <c r="I41" s="100" t="s">
        <v>549</v>
      </c>
      <c r="J41" s="100"/>
      <c r="K41" s="100" t="s">
        <v>254</v>
      </c>
      <c r="L41" s="100" t="s">
        <v>487</v>
      </c>
      <c r="M41" s="100" t="s">
        <v>501</v>
      </c>
      <c r="N41" s="100"/>
      <c r="O41" s="103"/>
    </row>
    <row r="42" spans="1:15" ht="13">
      <c r="A42" s="99" t="s">
        <v>257</v>
      </c>
      <c r="B42" s="100" t="s">
        <v>538</v>
      </c>
      <c r="C42" s="100" t="s">
        <v>539</v>
      </c>
      <c r="D42" s="100" t="s">
        <v>538</v>
      </c>
      <c r="E42" s="100" t="s">
        <v>540</v>
      </c>
      <c r="F42" s="100" t="s">
        <v>86</v>
      </c>
      <c r="G42" s="100">
        <v>0</v>
      </c>
      <c r="H42" s="100" t="s">
        <v>548</v>
      </c>
      <c r="I42" s="100" t="s">
        <v>550</v>
      </c>
      <c r="J42" s="100"/>
      <c r="K42" s="100" t="s">
        <v>254</v>
      </c>
      <c r="L42" s="100" t="s">
        <v>487</v>
      </c>
      <c r="M42" s="100" t="s">
        <v>501</v>
      </c>
      <c r="N42" s="100"/>
      <c r="O42" s="103"/>
    </row>
    <row r="43" spans="1:15" ht="13">
      <c r="A43" s="99" t="s">
        <v>258</v>
      </c>
      <c r="B43" s="100" t="s">
        <v>538</v>
      </c>
      <c r="C43" s="100" t="s">
        <v>539</v>
      </c>
      <c r="D43" s="100" t="s">
        <v>538</v>
      </c>
      <c r="E43" s="100" t="s">
        <v>551</v>
      </c>
      <c r="F43" s="100" t="s">
        <v>86</v>
      </c>
      <c r="G43" s="100">
        <v>0</v>
      </c>
      <c r="H43" s="100" t="s">
        <v>487</v>
      </c>
      <c r="I43" s="100" t="s">
        <v>550</v>
      </c>
      <c r="J43" s="100"/>
      <c r="K43" s="100" t="s">
        <v>254</v>
      </c>
      <c r="L43" s="100" t="s">
        <v>487</v>
      </c>
      <c r="M43" s="100" t="s">
        <v>501</v>
      </c>
      <c r="N43" s="100"/>
      <c r="O43" s="103"/>
    </row>
    <row r="44" spans="1:15" ht="13">
      <c r="A44" s="99" t="s">
        <v>259</v>
      </c>
      <c r="B44" s="100" t="s">
        <v>538</v>
      </c>
      <c r="C44" s="100" t="s">
        <v>539</v>
      </c>
      <c r="D44" s="100" t="s">
        <v>538</v>
      </c>
      <c r="E44" s="100" t="s">
        <v>552</v>
      </c>
      <c r="F44" s="100" t="s">
        <v>86</v>
      </c>
      <c r="G44" s="100">
        <v>0</v>
      </c>
      <c r="H44" s="100" t="s">
        <v>549</v>
      </c>
      <c r="I44" s="100" t="s">
        <v>548</v>
      </c>
      <c r="J44" s="100"/>
      <c r="K44" s="100" t="s">
        <v>254</v>
      </c>
      <c r="L44" s="100" t="s">
        <v>487</v>
      </c>
      <c r="M44" s="100" t="s">
        <v>501</v>
      </c>
      <c r="N44" s="100"/>
      <c r="O44" s="103"/>
    </row>
    <row r="45" spans="1:15" ht="13">
      <c r="A45" s="99" t="s">
        <v>260</v>
      </c>
      <c r="B45" s="100" t="s">
        <v>538</v>
      </c>
      <c r="C45" s="100" t="s">
        <v>539</v>
      </c>
      <c r="D45" s="100" t="s">
        <v>538</v>
      </c>
      <c r="E45" s="100" t="s">
        <v>553</v>
      </c>
      <c r="F45" s="100" t="s">
        <v>86</v>
      </c>
      <c r="G45" s="100">
        <v>0</v>
      </c>
      <c r="H45" s="100" t="s">
        <v>509</v>
      </c>
      <c r="I45" s="100" t="s">
        <v>550</v>
      </c>
      <c r="J45" s="100"/>
      <c r="K45" s="100" t="s">
        <v>221</v>
      </c>
      <c r="L45" s="100" t="s">
        <v>487</v>
      </c>
      <c r="M45" s="100" t="s">
        <v>501</v>
      </c>
      <c r="N45" s="100"/>
      <c r="O45" s="103"/>
    </row>
    <row r="46" spans="1:15" ht="13">
      <c r="A46" s="99" t="s">
        <v>261</v>
      </c>
      <c r="B46" s="100" t="s">
        <v>538</v>
      </c>
      <c r="C46" s="100" t="s">
        <v>539</v>
      </c>
      <c r="D46" s="100" t="s">
        <v>538</v>
      </c>
      <c r="E46" s="100" t="s">
        <v>518</v>
      </c>
      <c r="F46" s="100" t="s">
        <v>86</v>
      </c>
      <c r="G46" s="100">
        <v>0</v>
      </c>
      <c r="H46" s="100" t="s">
        <v>487</v>
      </c>
      <c r="I46" s="100" t="s">
        <v>554</v>
      </c>
      <c r="J46" s="100"/>
      <c r="K46" s="100" t="s">
        <v>219</v>
      </c>
      <c r="L46" s="100" t="s">
        <v>487</v>
      </c>
      <c r="M46" s="100" t="s">
        <v>501</v>
      </c>
      <c r="N46" s="100"/>
      <c r="O46" s="103"/>
    </row>
    <row r="47" spans="1:15" ht="13">
      <c r="A47" s="99" t="s">
        <v>262</v>
      </c>
      <c r="B47" s="100" t="s">
        <v>555</v>
      </c>
      <c r="C47" s="100" t="s">
        <v>556</v>
      </c>
      <c r="D47" s="100" t="s">
        <v>557</v>
      </c>
      <c r="E47" s="100" t="s">
        <v>558</v>
      </c>
      <c r="F47" s="100" t="s">
        <v>110</v>
      </c>
      <c r="G47" s="100">
        <v>0</v>
      </c>
      <c r="H47" s="100" t="s">
        <v>487</v>
      </c>
      <c r="I47" s="100" t="s">
        <v>559</v>
      </c>
      <c r="J47" s="100"/>
      <c r="K47" s="100" t="s">
        <v>263</v>
      </c>
      <c r="L47" s="100" t="s">
        <v>487</v>
      </c>
      <c r="M47" s="100" t="s">
        <v>501</v>
      </c>
      <c r="N47" s="100"/>
      <c r="O47" s="103"/>
    </row>
    <row r="48" spans="1:15" ht="13">
      <c r="A48" s="99" t="s">
        <v>264</v>
      </c>
      <c r="B48" s="100" t="s">
        <v>560</v>
      </c>
      <c r="C48" s="100" t="s">
        <v>556</v>
      </c>
      <c r="D48" s="100" t="s">
        <v>560</v>
      </c>
      <c r="E48" s="100" t="s">
        <v>495</v>
      </c>
      <c r="F48" s="100" t="s">
        <v>94</v>
      </c>
      <c r="G48" s="100">
        <v>0</v>
      </c>
      <c r="H48" s="100" t="s">
        <v>487</v>
      </c>
      <c r="I48" s="100" t="s">
        <v>561</v>
      </c>
      <c r="J48" s="100"/>
      <c r="K48" s="100" t="s">
        <v>234</v>
      </c>
      <c r="L48" s="100" t="s">
        <v>487</v>
      </c>
      <c r="M48" s="100" t="s">
        <v>501</v>
      </c>
      <c r="N48" s="100"/>
      <c r="O48" s="103"/>
    </row>
    <row r="49" spans="1:15" ht="13">
      <c r="A49" s="99" t="s">
        <v>265</v>
      </c>
      <c r="B49" s="100" t="s">
        <v>560</v>
      </c>
      <c r="C49" s="100" t="s">
        <v>556</v>
      </c>
      <c r="D49" s="100" t="s">
        <v>562</v>
      </c>
      <c r="E49" s="100" t="s">
        <v>563</v>
      </c>
      <c r="F49" s="100" t="s">
        <v>212</v>
      </c>
      <c r="G49" s="100">
        <v>0</v>
      </c>
      <c r="H49" s="100" t="s">
        <v>487</v>
      </c>
      <c r="I49" s="100" t="s">
        <v>564</v>
      </c>
      <c r="J49" s="100"/>
      <c r="K49" s="100" t="s">
        <v>231</v>
      </c>
      <c r="L49" s="100" t="s">
        <v>487</v>
      </c>
      <c r="M49" s="100"/>
      <c r="N49" s="100"/>
      <c r="O49" s="103" t="s">
        <v>519</v>
      </c>
    </row>
    <row r="50" spans="1:15" ht="13">
      <c r="A50" s="99" t="s">
        <v>266</v>
      </c>
      <c r="B50" s="100" t="s">
        <v>565</v>
      </c>
      <c r="C50" s="100" t="s">
        <v>566</v>
      </c>
      <c r="D50" s="100" t="s">
        <v>567</v>
      </c>
      <c r="E50" s="100" t="s">
        <v>499</v>
      </c>
      <c r="F50" s="100" t="s">
        <v>94</v>
      </c>
      <c r="G50" s="100">
        <v>0</v>
      </c>
      <c r="H50" s="100" t="s">
        <v>487</v>
      </c>
      <c r="I50" s="100" t="s">
        <v>568</v>
      </c>
      <c r="J50" s="100"/>
      <c r="K50" s="100" t="s">
        <v>213</v>
      </c>
      <c r="L50" s="100" t="s">
        <v>487</v>
      </c>
      <c r="M50" s="100" t="s">
        <v>501</v>
      </c>
      <c r="N50" s="100"/>
      <c r="O50" s="103"/>
    </row>
    <row r="51" spans="1:15" ht="13">
      <c r="A51" s="99" t="s">
        <v>267</v>
      </c>
      <c r="B51" s="100" t="s">
        <v>569</v>
      </c>
      <c r="C51" s="100" t="s">
        <v>566</v>
      </c>
      <c r="D51" s="100" t="s">
        <v>569</v>
      </c>
      <c r="E51" s="100" t="s">
        <v>503</v>
      </c>
      <c r="F51" s="100" t="s">
        <v>110</v>
      </c>
      <c r="G51" s="100">
        <v>0</v>
      </c>
      <c r="H51" s="100" t="s">
        <v>487</v>
      </c>
      <c r="I51" s="100" t="s">
        <v>548</v>
      </c>
      <c r="J51" s="100"/>
      <c r="K51" s="100" t="s">
        <v>268</v>
      </c>
      <c r="L51" s="100" t="s">
        <v>487</v>
      </c>
      <c r="M51" s="100" t="s">
        <v>501</v>
      </c>
      <c r="N51" s="100"/>
      <c r="O51" s="103"/>
    </row>
    <row r="52" spans="1:15" ht="13">
      <c r="A52" s="99" t="s">
        <v>269</v>
      </c>
      <c r="B52" s="100" t="s">
        <v>569</v>
      </c>
      <c r="C52" s="100" t="s">
        <v>566</v>
      </c>
      <c r="D52" s="100" t="s">
        <v>569</v>
      </c>
      <c r="E52" s="100" t="s">
        <v>570</v>
      </c>
      <c r="F52" s="100" t="s">
        <v>110</v>
      </c>
      <c r="G52" s="100">
        <v>0</v>
      </c>
      <c r="H52" s="100" t="s">
        <v>571</v>
      </c>
      <c r="I52" s="100" t="s">
        <v>500</v>
      </c>
      <c r="J52" s="100"/>
      <c r="K52" s="100" t="s">
        <v>268</v>
      </c>
      <c r="L52" s="100" t="s">
        <v>487</v>
      </c>
      <c r="M52" s="100" t="s">
        <v>501</v>
      </c>
      <c r="N52" s="100"/>
      <c r="O52" s="103"/>
    </row>
    <row r="53" spans="1:15" ht="13">
      <c r="A53" s="99" t="s">
        <v>270</v>
      </c>
      <c r="B53" s="100" t="s">
        <v>569</v>
      </c>
      <c r="C53" s="100" t="s">
        <v>566</v>
      </c>
      <c r="D53" s="100" t="s">
        <v>569</v>
      </c>
      <c r="E53" s="100" t="s">
        <v>526</v>
      </c>
      <c r="F53" s="100" t="s">
        <v>110</v>
      </c>
      <c r="G53" s="100">
        <v>0</v>
      </c>
      <c r="H53" s="100" t="s">
        <v>548</v>
      </c>
      <c r="I53" s="100" t="s">
        <v>571</v>
      </c>
      <c r="J53" s="100"/>
      <c r="K53" s="100" t="s">
        <v>268</v>
      </c>
      <c r="L53" s="100" t="s">
        <v>487</v>
      </c>
      <c r="M53" s="100" t="s">
        <v>501</v>
      </c>
      <c r="N53" s="100"/>
      <c r="O53" s="103"/>
    </row>
    <row r="54" spans="1:15" ht="13">
      <c r="A54" s="99" t="s">
        <v>271</v>
      </c>
      <c r="B54" s="100" t="s">
        <v>569</v>
      </c>
      <c r="C54" s="100" t="s">
        <v>566</v>
      </c>
      <c r="D54" s="100" t="s">
        <v>569</v>
      </c>
      <c r="E54" s="100" t="s">
        <v>572</v>
      </c>
      <c r="F54" s="100" t="s">
        <v>110</v>
      </c>
      <c r="G54" s="100">
        <v>0</v>
      </c>
      <c r="H54" s="100" t="s">
        <v>487</v>
      </c>
      <c r="I54" s="100" t="s">
        <v>500</v>
      </c>
      <c r="J54" s="100"/>
      <c r="K54" s="100" t="s">
        <v>268</v>
      </c>
      <c r="L54" s="100" t="s">
        <v>487</v>
      </c>
      <c r="M54" s="100" t="s">
        <v>501</v>
      </c>
      <c r="N54" s="100"/>
      <c r="O54" s="103"/>
    </row>
    <row r="55" spans="1:15" ht="13">
      <c r="A55" s="99" t="s">
        <v>272</v>
      </c>
      <c r="B55" s="100" t="s">
        <v>524</v>
      </c>
      <c r="C55" s="100" t="s">
        <v>521</v>
      </c>
      <c r="D55" s="100" t="s">
        <v>569</v>
      </c>
      <c r="E55" s="100" t="s">
        <v>503</v>
      </c>
      <c r="F55" s="100" t="s">
        <v>86</v>
      </c>
      <c r="G55" s="100">
        <v>0</v>
      </c>
      <c r="H55" s="100" t="s">
        <v>573</v>
      </c>
      <c r="I55" s="100" t="s">
        <v>574</v>
      </c>
      <c r="J55" s="100"/>
      <c r="K55" s="100" t="s">
        <v>273</v>
      </c>
      <c r="L55" s="100" t="s">
        <v>487</v>
      </c>
      <c r="M55" s="100" t="s">
        <v>501</v>
      </c>
      <c r="N55" s="100"/>
      <c r="O55" s="103"/>
    </row>
    <row r="56" spans="1:15" ht="13">
      <c r="A56" s="99" t="s">
        <v>274</v>
      </c>
      <c r="B56" s="100" t="s">
        <v>524</v>
      </c>
      <c r="C56" s="100" t="s">
        <v>521</v>
      </c>
      <c r="D56" s="100" t="s">
        <v>569</v>
      </c>
      <c r="E56" s="100" t="s">
        <v>503</v>
      </c>
      <c r="F56" s="100" t="s">
        <v>86</v>
      </c>
      <c r="G56" s="100">
        <v>0</v>
      </c>
      <c r="H56" s="100" t="s">
        <v>575</v>
      </c>
      <c r="I56" s="100" t="s">
        <v>576</v>
      </c>
      <c r="J56" s="100"/>
      <c r="K56" s="100" t="s">
        <v>273</v>
      </c>
      <c r="L56" s="100" t="s">
        <v>487</v>
      </c>
      <c r="M56" s="100" t="s">
        <v>501</v>
      </c>
      <c r="N56" s="100"/>
      <c r="O56" s="103"/>
    </row>
    <row r="57" spans="1:15" ht="13">
      <c r="A57" s="99" t="s">
        <v>275</v>
      </c>
      <c r="B57" s="100" t="s">
        <v>524</v>
      </c>
      <c r="C57" s="100" t="s">
        <v>521</v>
      </c>
      <c r="D57" s="100" t="s">
        <v>569</v>
      </c>
      <c r="E57" s="100" t="s">
        <v>503</v>
      </c>
      <c r="F57" s="100" t="s">
        <v>86</v>
      </c>
      <c r="G57" s="100">
        <v>0</v>
      </c>
      <c r="H57" s="100" t="s">
        <v>544</v>
      </c>
      <c r="I57" s="100" t="s">
        <v>573</v>
      </c>
      <c r="J57" s="100"/>
      <c r="K57" s="100" t="s">
        <v>273</v>
      </c>
      <c r="L57" s="100" t="s">
        <v>487</v>
      </c>
      <c r="M57" s="100" t="s">
        <v>501</v>
      </c>
      <c r="N57" s="100"/>
      <c r="O57" s="103"/>
    </row>
    <row r="58" spans="1:15" ht="13">
      <c r="A58" s="99" t="s">
        <v>276</v>
      </c>
      <c r="B58" s="100" t="s">
        <v>569</v>
      </c>
      <c r="C58" s="100" t="s">
        <v>566</v>
      </c>
      <c r="D58" s="100" t="s">
        <v>569</v>
      </c>
      <c r="E58" s="100" t="s">
        <v>577</v>
      </c>
      <c r="F58" s="100" t="s">
        <v>86</v>
      </c>
      <c r="G58" s="100">
        <v>0</v>
      </c>
      <c r="H58" s="100" t="s">
        <v>509</v>
      </c>
      <c r="I58" s="100" t="s">
        <v>578</v>
      </c>
      <c r="J58" s="100"/>
      <c r="K58" s="100" t="s">
        <v>221</v>
      </c>
      <c r="L58" s="100" t="s">
        <v>487</v>
      </c>
      <c r="M58" s="100" t="s">
        <v>501</v>
      </c>
      <c r="N58" s="100"/>
      <c r="O58" s="103"/>
    </row>
    <row r="59" spans="1:15" ht="13">
      <c r="A59" s="99" t="s">
        <v>277</v>
      </c>
      <c r="B59" s="100" t="s">
        <v>569</v>
      </c>
      <c r="C59" s="100" t="s">
        <v>566</v>
      </c>
      <c r="D59" s="100" t="s">
        <v>569</v>
      </c>
      <c r="E59" s="100" t="s">
        <v>552</v>
      </c>
      <c r="F59" s="100" t="s">
        <v>86</v>
      </c>
      <c r="G59" s="100">
        <v>0</v>
      </c>
      <c r="H59" s="100" t="s">
        <v>487</v>
      </c>
      <c r="I59" s="100" t="s">
        <v>578</v>
      </c>
      <c r="J59" s="100"/>
      <c r="K59" s="100" t="s">
        <v>229</v>
      </c>
      <c r="L59" s="100" t="s">
        <v>487</v>
      </c>
      <c r="M59" s="100" t="s">
        <v>501</v>
      </c>
      <c r="N59" s="100"/>
      <c r="O59" s="103"/>
    </row>
    <row r="60" spans="1:15" ht="13">
      <c r="A60" s="99" t="s">
        <v>278</v>
      </c>
      <c r="B60" s="100" t="s">
        <v>579</v>
      </c>
      <c r="C60" s="100" t="s">
        <v>580</v>
      </c>
      <c r="D60" s="100" t="s">
        <v>581</v>
      </c>
      <c r="E60" s="100" t="s">
        <v>558</v>
      </c>
      <c r="F60" s="100" t="s">
        <v>110</v>
      </c>
      <c r="G60" s="100">
        <v>0</v>
      </c>
      <c r="H60" s="100" t="s">
        <v>487</v>
      </c>
      <c r="I60" s="100" t="s">
        <v>549</v>
      </c>
      <c r="J60" s="100"/>
      <c r="K60" s="100" t="s">
        <v>263</v>
      </c>
      <c r="L60" s="100" t="s">
        <v>487</v>
      </c>
      <c r="M60" s="100" t="s">
        <v>501</v>
      </c>
      <c r="N60" s="100"/>
      <c r="O60" s="103"/>
    </row>
    <row r="61" spans="1:15" ht="13">
      <c r="A61" s="99" t="s">
        <v>279</v>
      </c>
      <c r="B61" s="100" t="s">
        <v>582</v>
      </c>
      <c r="C61" s="100" t="s">
        <v>580</v>
      </c>
      <c r="D61" s="100" t="s">
        <v>582</v>
      </c>
      <c r="E61" s="100" t="s">
        <v>508</v>
      </c>
      <c r="F61" s="100" t="s">
        <v>94</v>
      </c>
      <c r="G61" s="100">
        <v>0</v>
      </c>
      <c r="H61" s="100" t="s">
        <v>509</v>
      </c>
      <c r="I61" s="100" t="s">
        <v>578</v>
      </c>
      <c r="J61" s="100"/>
      <c r="K61" s="100" t="s">
        <v>280</v>
      </c>
      <c r="L61" s="100" t="s">
        <v>487</v>
      </c>
      <c r="M61" s="100" t="s">
        <v>501</v>
      </c>
      <c r="N61" s="100"/>
      <c r="O61" s="103"/>
    </row>
    <row r="62" spans="1:15" ht="13">
      <c r="A62" s="99" t="s">
        <v>281</v>
      </c>
      <c r="B62" s="100" t="s">
        <v>582</v>
      </c>
      <c r="C62" s="100" t="s">
        <v>580</v>
      </c>
      <c r="D62" s="100" t="s">
        <v>582</v>
      </c>
      <c r="E62" s="100" t="s">
        <v>513</v>
      </c>
      <c r="F62" s="100" t="s">
        <v>94</v>
      </c>
      <c r="G62" s="100">
        <v>0</v>
      </c>
      <c r="H62" s="100" t="s">
        <v>509</v>
      </c>
      <c r="I62" s="100" t="s">
        <v>583</v>
      </c>
      <c r="J62" s="100"/>
      <c r="K62" s="100" t="s">
        <v>223</v>
      </c>
      <c r="L62" s="100" t="s">
        <v>487</v>
      </c>
      <c r="M62" s="100" t="s">
        <v>501</v>
      </c>
      <c r="N62" s="100"/>
      <c r="O62" s="103"/>
    </row>
    <row r="63" spans="1:15" ht="13">
      <c r="A63" s="99" t="s">
        <v>282</v>
      </c>
      <c r="B63" s="100" t="s">
        <v>569</v>
      </c>
      <c r="C63" s="100" t="s">
        <v>566</v>
      </c>
      <c r="D63" s="100" t="s">
        <v>582</v>
      </c>
      <c r="E63" s="100" t="s">
        <v>503</v>
      </c>
      <c r="F63" s="100" t="s">
        <v>110</v>
      </c>
      <c r="G63" s="100">
        <v>0</v>
      </c>
      <c r="H63" s="100" t="s">
        <v>509</v>
      </c>
      <c r="I63" s="100" t="s">
        <v>584</v>
      </c>
      <c r="J63" s="100"/>
      <c r="K63" s="100" t="s">
        <v>283</v>
      </c>
      <c r="L63" s="100" t="s">
        <v>487</v>
      </c>
      <c r="M63" s="100" t="s">
        <v>501</v>
      </c>
      <c r="N63" s="100"/>
      <c r="O63" s="103"/>
    </row>
    <row r="64" spans="1:15" ht="13">
      <c r="A64" s="99" t="s">
        <v>284</v>
      </c>
      <c r="B64" s="100" t="s">
        <v>569</v>
      </c>
      <c r="C64" s="100" t="s">
        <v>566</v>
      </c>
      <c r="D64" s="100" t="s">
        <v>582</v>
      </c>
      <c r="E64" s="100" t="s">
        <v>570</v>
      </c>
      <c r="F64" s="100" t="s">
        <v>110</v>
      </c>
      <c r="G64" s="100">
        <v>0</v>
      </c>
      <c r="H64" s="100" t="s">
        <v>585</v>
      </c>
      <c r="I64" s="100" t="s">
        <v>586</v>
      </c>
      <c r="J64" s="100"/>
      <c r="K64" s="100" t="s">
        <v>283</v>
      </c>
      <c r="L64" s="100" t="s">
        <v>487</v>
      </c>
      <c r="M64" s="100" t="s">
        <v>501</v>
      </c>
      <c r="N64" s="100"/>
      <c r="O64" s="103"/>
    </row>
    <row r="65" spans="1:15" ht="13">
      <c r="A65" s="99" t="s">
        <v>285</v>
      </c>
      <c r="B65" s="100" t="s">
        <v>569</v>
      </c>
      <c r="C65" s="100" t="s">
        <v>566</v>
      </c>
      <c r="D65" s="100" t="s">
        <v>582</v>
      </c>
      <c r="E65" s="100" t="s">
        <v>526</v>
      </c>
      <c r="F65" s="100" t="s">
        <v>110</v>
      </c>
      <c r="G65" s="100">
        <v>0</v>
      </c>
      <c r="H65" s="100" t="s">
        <v>509</v>
      </c>
      <c r="I65" s="100" t="s">
        <v>586</v>
      </c>
      <c r="J65" s="100"/>
      <c r="K65" s="100" t="s">
        <v>283</v>
      </c>
      <c r="L65" s="100" t="s">
        <v>487</v>
      </c>
      <c r="M65" s="100" t="s">
        <v>501</v>
      </c>
      <c r="N65" s="100"/>
      <c r="O65" s="103"/>
    </row>
    <row r="66" spans="1:15" ht="13">
      <c r="A66" s="99" t="s">
        <v>286</v>
      </c>
      <c r="B66" s="100" t="s">
        <v>569</v>
      </c>
      <c r="C66" s="100" t="s">
        <v>566</v>
      </c>
      <c r="D66" s="100" t="s">
        <v>582</v>
      </c>
      <c r="E66" s="100" t="s">
        <v>572</v>
      </c>
      <c r="F66" s="100" t="s">
        <v>110</v>
      </c>
      <c r="G66" s="100">
        <v>0</v>
      </c>
      <c r="H66" s="100" t="s">
        <v>584</v>
      </c>
      <c r="I66" s="100" t="s">
        <v>585</v>
      </c>
      <c r="J66" s="100"/>
      <c r="K66" s="100" t="s">
        <v>283</v>
      </c>
      <c r="L66" s="100" t="s">
        <v>487</v>
      </c>
      <c r="M66" s="100" t="s">
        <v>501</v>
      </c>
      <c r="N66" s="100"/>
      <c r="O66" s="103"/>
    </row>
    <row r="67" spans="1:15" ht="13">
      <c r="A67" s="99" t="s">
        <v>287</v>
      </c>
      <c r="B67" s="100" t="s">
        <v>582</v>
      </c>
      <c r="C67" s="100" t="s">
        <v>580</v>
      </c>
      <c r="D67" s="100" t="s">
        <v>582</v>
      </c>
      <c r="E67" s="100" t="s">
        <v>503</v>
      </c>
      <c r="F67" s="100" t="s">
        <v>86</v>
      </c>
      <c r="G67" s="100">
        <v>0</v>
      </c>
      <c r="H67" s="100" t="s">
        <v>487</v>
      </c>
      <c r="I67" s="100" t="s">
        <v>587</v>
      </c>
      <c r="J67" s="100"/>
      <c r="K67" s="100" t="s">
        <v>288</v>
      </c>
      <c r="L67" s="100" t="s">
        <v>487</v>
      </c>
      <c r="M67" s="100" t="s">
        <v>501</v>
      </c>
      <c r="N67" s="100" t="s">
        <v>588</v>
      </c>
      <c r="O67" s="103"/>
    </row>
    <row r="68" spans="1:15" ht="13">
      <c r="A68" s="99" t="s">
        <v>289</v>
      </c>
      <c r="B68" s="100" t="s">
        <v>582</v>
      </c>
      <c r="C68" s="100" t="s">
        <v>580</v>
      </c>
      <c r="D68" s="100" t="s">
        <v>582</v>
      </c>
      <c r="E68" s="100" t="s">
        <v>589</v>
      </c>
      <c r="F68" s="100" t="s">
        <v>86</v>
      </c>
      <c r="G68" s="100">
        <v>0</v>
      </c>
      <c r="H68" s="100" t="s">
        <v>587</v>
      </c>
      <c r="I68" s="100" t="s">
        <v>587</v>
      </c>
      <c r="J68" s="100"/>
      <c r="K68" s="100" t="s">
        <v>288</v>
      </c>
      <c r="L68" s="100" t="s">
        <v>487</v>
      </c>
      <c r="M68" s="100" t="s">
        <v>501</v>
      </c>
      <c r="N68" s="100" t="s">
        <v>588</v>
      </c>
      <c r="O68" s="103"/>
    </row>
    <row r="69" spans="1:15" ht="13">
      <c r="A69" s="99" t="s">
        <v>290</v>
      </c>
      <c r="B69" s="100" t="s">
        <v>582</v>
      </c>
      <c r="C69" s="100" t="s">
        <v>580</v>
      </c>
      <c r="D69" s="100" t="s">
        <v>582</v>
      </c>
      <c r="E69" s="100" t="s">
        <v>590</v>
      </c>
      <c r="F69" s="100" t="s">
        <v>86</v>
      </c>
      <c r="G69" s="100">
        <v>0</v>
      </c>
      <c r="H69" s="100" t="s">
        <v>487</v>
      </c>
      <c r="I69" s="100" t="s">
        <v>587</v>
      </c>
      <c r="J69" s="100"/>
      <c r="K69" s="100" t="s">
        <v>288</v>
      </c>
      <c r="L69" s="100" t="s">
        <v>487</v>
      </c>
      <c r="M69" s="100" t="s">
        <v>501</v>
      </c>
      <c r="N69" s="100" t="s">
        <v>588</v>
      </c>
      <c r="O69" s="103"/>
    </row>
    <row r="70" spans="1:15" ht="13">
      <c r="A70" s="99" t="s">
        <v>291</v>
      </c>
      <c r="B70" s="100" t="s">
        <v>582</v>
      </c>
      <c r="C70" s="100" t="s">
        <v>580</v>
      </c>
      <c r="D70" s="100" t="s">
        <v>582</v>
      </c>
      <c r="E70" s="100" t="s">
        <v>529</v>
      </c>
      <c r="F70" s="100" t="s">
        <v>86</v>
      </c>
      <c r="G70" s="100">
        <v>0</v>
      </c>
      <c r="H70" s="100" t="s">
        <v>587</v>
      </c>
      <c r="I70" s="100" t="s">
        <v>587</v>
      </c>
      <c r="J70" s="100"/>
      <c r="K70" s="100" t="s">
        <v>288</v>
      </c>
      <c r="L70" s="100" t="s">
        <v>487</v>
      </c>
      <c r="M70" s="100" t="s">
        <v>501</v>
      </c>
      <c r="N70" s="100" t="s">
        <v>588</v>
      </c>
      <c r="O70" s="103"/>
    </row>
    <row r="71" spans="1:15" ht="13">
      <c r="A71" s="99" t="s">
        <v>292</v>
      </c>
      <c r="B71" s="100" t="s">
        <v>582</v>
      </c>
      <c r="C71" s="100" t="s">
        <v>580</v>
      </c>
      <c r="D71" s="100" t="s">
        <v>582</v>
      </c>
      <c r="E71" s="100" t="s">
        <v>591</v>
      </c>
      <c r="F71" s="100" t="s">
        <v>86</v>
      </c>
      <c r="G71" s="100">
        <v>0</v>
      </c>
      <c r="H71" s="100" t="s">
        <v>587</v>
      </c>
      <c r="I71" s="100" t="s">
        <v>587</v>
      </c>
      <c r="J71" s="100"/>
      <c r="K71" s="100" t="s">
        <v>288</v>
      </c>
      <c r="L71" s="100" t="s">
        <v>487</v>
      </c>
      <c r="M71" s="100" t="s">
        <v>501</v>
      </c>
      <c r="N71" s="100" t="s">
        <v>588</v>
      </c>
      <c r="O71" s="103"/>
    </row>
    <row r="72" spans="1:15" ht="13">
      <c r="A72" s="99" t="s">
        <v>293</v>
      </c>
      <c r="B72" s="100" t="s">
        <v>582</v>
      </c>
      <c r="C72" s="100" t="s">
        <v>580</v>
      </c>
      <c r="D72" s="100" t="s">
        <v>582</v>
      </c>
      <c r="E72" s="100" t="s">
        <v>592</v>
      </c>
      <c r="F72" s="100" t="s">
        <v>86</v>
      </c>
      <c r="G72" s="100">
        <v>0</v>
      </c>
      <c r="H72" s="100" t="s">
        <v>487</v>
      </c>
      <c r="I72" s="100" t="s">
        <v>587</v>
      </c>
      <c r="J72" s="100"/>
      <c r="K72" s="100" t="s">
        <v>288</v>
      </c>
      <c r="L72" s="100" t="s">
        <v>487</v>
      </c>
      <c r="M72" s="100" t="s">
        <v>501</v>
      </c>
      <c r="N72" s="100" t="s">
        <v>588</v>
      </c>
      <c r="O72" s="103"/>
    </row>
    <row r="73" spans="1:15" ht="13">
      <c r="A73" s="99" t="s">
        <v>294</v>
      </c>
      <c r="B73" s="100" t="s">
        <v>582</v>
      </c>
      <c r="C73" s="100" t="s">
        <v>580</v>
      </c>
      <c r="D73" s="100" t="s">
        <v>580</v>
      </c>
      <c r="E73" s="100" t="s">
        <v>529</v>
      </c>
      <c r="F73" s="100" t="s">
        <v>212</v>
      </c>
      <c r="G73" s="100">
        <v>0</v>
      </c>
      <c r="H73" s="100" t="s">
        <v>509</v>
      </c>
      <c r="I73" s="100" t="s">
        <v>593</v>
      </c>
      <c r="J73" s="100"/>
      <c r="K73" s="100" t="s">
        <v>246</v>
      </c>
      <c r="L73" s="100" t="s">
        <v>487</v>
      </c>
      <c r="M73" s="100" t="s">
        <v>501</v>
      </c>
      <c r="N73" s="100"/>
      <c r="O73" s="103"/>
    </row>
    <row r="74" spans="1:15" ht="13">
      <c r="A74" s="99" t="s">
        <v>295</v>
      </c>
      <c r="B74" s="100" t="s">
        <v>582</v>
      </c>
      <c r="C74" s="100" t="s">
        <v>580</v>
      </c>
      <c r="D74" s="100" t="s">
        <v>580</v>
      </c>
      <c r="E74" s="100" t="s">
        <v>486</v>
      </c>
      <c r="F74" s="100" t="s">
        <v>212</v>
      </c>
      <c r="G74" s="100">
        <v>0</v>
      </c>
      <c r="H74" s="100" t="s">
        <v>487</v>
      </c>
      <c r="I74" s="100" t="s">
        <v>594</v>
      </c>
      <c r="J74" s="100"/>
      <c r="K74" s="100" t="s">
        <v>231</v>
      </c>
      <c r="L74" s="100" t="s">
        <v>487</v>
      </c>
      <c r="M74" s="100"/>
      <c r="N74" s="100"/>
      <c r="O74" s="103" t="s">
        <v>519</v>
      </c>
    </row>
    <row r="75" spans="1:15" ht="13">
      <c r="A75" s="99" t="s">
        <v>296</v>
      </c>
      <c r="B75" s="100" t="s">
        <v>582</v>
      </c>
      <c r="C75" s="100" t="s">
        <v>580</v>
      </c>
      <c r="D75" s="100" t="s">
        <v>580</v>
      </c>
      <c r="E75" s="100" t="s">
        <v>595</v>
      </c>
      <c r="F75" s="100" t="s">
        <v>212</v>
      </c>
      <c r="G75" s="100">
        <v>0</v>
      </c>
      <c r="H75" s="100" t="s">
        <v>487</v>
      </c>
      <c r="I75" s="100" t="s">
        <v>596</v>
      </c>
      <c r="J75" s="100"/>
      <c r="K75" s="100" t="s">
        <v>234</v>
      </c>
      <c r="L75" s="100" t="s">
        <v>487</v>
      </c>
      <c r="M75" s="100" t="s">
        <v>501</v>
      </c>
      <c r="N75" s="100"/>
      <c r="O75" s="103"/>
    </row>
    <row r="76" spans="1:15" ht="13">
      <c r="A76" s="99" t="s">
        <v>297</v>
      </c>
      <c r="B76" s="100" t="s">
        <v>597</v>
      </c>
      <c r="C76" s="100" t="s">
        <v>598</v>
      </c>
      <c r="D76" s="100" t="s">
        <v>599</v>
      </c>
      <c r="E76" s="100" t="s">
        <v>499</v>
      </c>
      <c r="F76" s="100" t="s">
        <v>94</v>
      </c>
      <c r="G76" s="100">
        <v>0</v>
      </c>
      <c r="H76" s="100" t="s">
        <v>487</v>
      </c>
      <c r="I76" s="100" t="s">
        <v>600</v>
      </c>
      <c r="J76" s="100"/>
      <c r="K76" s="100" t="s">
        <v>213</v>
      </c>
      <c r="L76" s="100" t="s">
        <v>487</v>
      </c>
      <c r="M76" s="100" t="s">
        <v>501</v>
      </c>
      <c r="N76" s="100"/>
      <c r="O76" s="103"/>
    </row>
    <row r="77" spans="1:15" ht="13">
      <c r="A77" s="99" t="s">
        <v>298</v>
      </c>
      <c r="B77" s="100" t="s">
        <v>601</v>
      </c>
      <c r="C77" s="100" t="s">
        <v>598</v>
      </c>
      <c r="D77" s="100" t="s">
        <v>601</v>
      </c>
      <c r="E77" s="100" t="s">
        <v>513</v>
      </c>
      <c r="F77" s="100" t="s">
        <v>94</v>
      </c>
      <c r="G77" s="100">
        <v>0</v>
      </c>
      <c r="H77" s="100" t="s">
        <v>509</v>
      </c>
      <c r="I77" s="100" t="s">
        <v>602</v>
      </c>
      <c r="J77" s="100"/>
      <c r="K77" s="100" t="s">
        <v>223</v>
      </c>
      <c r="L77" s="100" t="s">
        <v>487</v>
      </c>
      <c r="M77" s="100" t="s">
        <v>501</v>
      </c>
      <c r="N77" s="100"/>
      <c r="O77" s="103"/>
    </row>
    <row r="78" spans="1:15" ht="13">
      <c r="A78" s="99" t="s">
        <v>299</v>
      </c>
      <c r="B78" s="100" t="s">
        <v>601</v>
      </c>
      <c r="C78" s="100" t="s">
        <v>598</v>
      </c>
      <c r="D78" s="100" t="s">
        <v>601</v>
      </c>
      <c r="E78" s="100" t="s">
        <v>603</v>
      </c>
      <c r="F78" s="100" t="s">
        <v>110</v>
      </c>
      <c r="G78" s="100">
        <v>0</v>
      </c>
      <c r="H78" s="100" t="s">
        <v>604</v>
      </c>
      <c r="I78" s="100" t="s">
        <v>527</v>
      </c>
      <c r="J78" s="100"/>
      <c r="K78" s="100" t="s">
        <v>242</v>
      </c>
      <c r="L78" s="100" t="s">
        <v>487</v>
      </c>
      <c r="M78" s="100" t="s">
        <v>501</v>
      </c>
      <c r="N78" s="100"/>
      <c r="O78" s="103"/>
    </row>
    <row r="79" spans="1:15" ht="13">
      <c r="A79" s="99" t="s">
        <v>300</v>
      </c>
      <c r="B79" s="100" t="s">
        <v>601</v>
      </c>
      <c r="C79" s="100" t="s">
        <v>598</v>
      </c>
      <c r="D79" s="100" t="s">
        <v>601</v>
      </c>
      <c r="E79" s="100" t="s">
        <v>503</v>
      </c>
      <c r="F79" s="100" t="s">
        <v>86</v>
      </c>
      <c r="G79" s="100">
        <v>0</v>
      </c>
      <c r="H79" s="100" t="s">
        <v>605</v>
      </c>
      <c r="I79" s="100" t="s">
        <v>606</v>
      </c>
      <c r="J79" s="100"/>
      <c r="K79" s="100" t="s">
        <v>301</v>
      </c>
      <c r="L79" s="100" t="s">
        <v>487</v>
      </c>
      <c r="M79" s="100" t="s">
        <v>501</v>
      </c>
      <c r="N79" s="100" t="s">
        <v>607</v>
      </c>
      <c r="O79" s="103"/>
    </row>
    <row r="80" spans="1:15" ht="13">
      <c r="A80" s="99" t="s">
        <v>302</v>
      </c>
      <c r="B80" s="100" t="s">
        <v>601</v>
      </c>
      <c r="C80" s="100" t="s">
        <v>598</v>
      </c>
      <c r="D80" s="100" t="s">
        <v>601</v>
      </c>
      <c r="E80" s="100" t="s">
        <v>545</v>
      </c>
      <c r="F80" s="100" t="s">
        <v>86</v>
      </c>
      <c r="G80" s="100">
        <v>0</v>
      </c>
      <c r="H80" s="100" t="s">
        <v>608</v>
      </c>
      <c r="I80" s="100" t="s">
        <v>609</v>
      </c>
      <c r="J80" s="100"/>
      <c r="K80" s="100" t="s">
        <v>301</v>
      </c>
      <c r="L80" s="100" t="s">
        <v>487</v>
      </c>
      <c r="M80" s="100" t="s">
        <v>501</v>
      </c>
      <c r="N80" s="100" t="s">
        <v>607</v>
      </c>
      <c r="O80" s="103"/>
    </row>
    <row r="81" spans="1:15" ht="13">
      <c r="A81" s="99" t="s">
        <v>303</v>
      </c>
      <c r="B81" s="100" t="s">
        <v>601</v>
      </c>
      <c r="C81" s="100" t="s">
        <v>598</v>
      </c>
      <c r="D81" s="100" t="s">
        <v>601</v>
      </c>
      <c r="E81" s="100" t="s">
        <v>494</v>
      </c>
      <c r="F81" s="100" t="s">
        <v>86</v>
      </c>
      <c r="G81" s="100">
        <v>0</v>
      </c>
      <c r="H81" s="100" t="s">
        <v>605</v>
      </c>
      <c r="I81" s="100" t="s">
        <v>608</v>
      </c>
      <c r="J81" s="100"/>
      <c r="K81" s="100" t="s">
        <v>301</v>
      </c>
      <c r="L81" s="100" t="s">
        <v>487</v>
      </c>
      <c r="M81" s="100" t="s">
        <v>501</v>
      </c>
      <c r="N81" s="100" t="s">
        <v>607</v>
      </c>
      <c r="O81" s="103"/>
    </row>
    <row r="82" spans="1:15" ht="13">
      <c r="A82" s="99" t="s">
        <v>304</v>
      </c>
      <c r="B82" s="100" t="s">
        <v>601</v>
      </c>
      <c r="C82" s="100" t="s">
        <v>598</v>
      </c>
      <c r="D82" s="100" t="s">
        <v>601</v>
      </c>
      <c r="E82" s="100" t="s">
        <v>540</v>
      </c>
      <c r="F82" s="100" t="s">
        <v>86</v>
      </c>
      <c r="G82" s="100">
        <v>0</v>
      </c>
      <c r="H82" s="100" t="s">
        <v>609</v>
      </c>
      <c r="I82" s="100" t="s">
        <v>606</v>
      </c>
      <c r="J82" s="100"/>
      <c r="K82" s="100" t="s">
        <v>301</v>
      </c>
      <c r="L82" s="100" t="s">
        <v>487</v>
      </c>
      <c r="M82" s="100" t="s">
        <v>501</v>
      </c>
      <c r="N82" s="100" t="s">
        <v>607</v>
      </c>
      <c r="O82" s="103"/>
    </row>
    <row r="83" spans="1:15" ht="13">
      <c r="A83" s="99" t="s">
        <v>305</v>
      </c>
      <c r="B83" s="100" t="s">
        <v>601</v>
      </c>
      <c r="C83" s="100" t="s">
        <v>598</v>
      </c>
      <c r="D83" s="100" t="s">
        <v>601</v>
      </c>
      <c r="E83" s="100" t="s">
        <v>551</v>
      </c>
      <c r="F83" s="100" t="s">
        <v>86</v>
      </c>
      <c r="G83" s="100">
        <v>0</v>
      </c>
      <c r="H83" s="100" t="s">
        <v>606</v>
      </c>
      <c r="I83" s="100" t="s">
        <v>608</v>
      </c>
      <c r="J83" s="100"/>
      <c r="K83" s="100" t="s">
        <v>301</v>
      </c>
      <c r="L83" s="100" t="s">
        <v>487</v>
      </c>
      <c r="M83" s="100" t="s">
        <v>501</v>
      </c>
      <c r="N83" s="100" t="s">
        <v>607</v>
      </c>
      <c r="O83" s="103"/>
    </row>
    <row r="84" spans="1:15" ht="13">
      <c r="A84" s="99" t="s">
        <v>306</v>
      </c>
      <c r="B84" s="100" t="s">
        <v>601</v>
      </c>
      <c r="C84" s="100" t="s">
        <v>598</v>
      </c>
      <c r="D84" s="100" t="s">
        <v>601</v>
      </c>
      <c r="E84" s="100" t="s">
        <v>552</v>
      </c>
      <c r="F84" s="100" t="s">
        <v>86</v>
      </c>
      <c r="G84" s="100">
        <v>0</v>
      </c>
      <c r="H84" s="100" t="s">
        <v>605</v>
      </c>
      <c r="I84" s="100" t="s">
        <v>609</v>
      </c>
      <c r="J84" s="100"/>
      <c r="K84" s="100" t="s">
        <v>301</v>
      </c>
      <c r="L84" s="100" t="s">
        <v>487</v>
      </c>
      <c r="M84" s="100" t="s">
        <v>501</v>
      </c>
      <c r="N84" s="100" t="s">
        <v>607</v>
      </c>
      <c r="O84" s="103"/>
    </row>
    <row r="85" spans="1:15" ht="13">
      <c r="A85" s="99" t="s">
        <v>307</v>
      </c>
      <c r="B85" s="100" t="s">
        <v>601</v>
      </c>
      <c r="C85" s="100" t="s">
        <v>598</v>
      </c>
      <c r="D85" s="100" t="s">
        <v>601</v>
      </c>
      <c r="E85" s="100" t="s">
        <v>553</v>
      </c>
      <c r="F85" s="100" t="s">
        <v>86</v>
      </c>
      <c r="G85" s="100">
        <v>0</v>
      </c>
      <c r="H85" s="100" t="s">
        <v>487</v>
      </c>
      <c r="I85" s="100" t="s">
        <v>610</v>
      </c>
      <c r="J85" s="100"/>
      <c r="K85" s="100" t="s">
        <v>219</v>
      </c>
      <c r="L85" s="100" t="s">
        <v>487</v>
      </c>
      <c r="M85" s="100" t="s">
        <v>501</v>
      </c>
      <c r="N85" s="100"/>
      <c r="O85" s="103"/>
    </row>
    <row r="86" spans="1:15" ht="13">
      <c r="A86" s="99" t="s">
        <v>308</v>
      </c>
      <c r="B86" s="100" t="s">
        <v>601</v>
      </c>
      <c r="C86" s="100" t="s">
        <v>598</v>
      </c>
      <c r="D86" s="100" t="s">
        <v>601</v>
      </c>
      <c r="E86" s="100" t="s">
        <v>518</v>
      </c>
      <c r="F86" s="100" t="s">
        <v>86</v>
      </c>
      <c r="G86" s="100">
        <v>0</v>
      </c>
      <c r="H86" s="100" t="s">
        <v>487</v>
      </c>
      <c r="I86" s="100" t="s">
        <v>611</v>
      </c>
      <c r="J86" s="100"/>
      <c r="K86" s="100" t="s">
        <v>229</v>
      </c>
      <c r="L86" s="100" t="s">
        <v>487</v>
      </c>
      <c r="M86" s="100" t="s">
        <v>501</v>
      </c>
      <c r="N86" s="100"/>
      <c r="O86" s="103"/>
    </row>
    <row r="87" spans="1:15" ht="13">
      <c r="A87" s="99" t="s">
        <v>309</v>
      </c>
      <c r="B87" s="100" t="s">
        <v>601</v>
      </c>
      <c r="C87" s="100" t="s">
        <v>598</v>
      </c>
      <c r="D87" s="100" t="s">
        <v>598</v>
      </c>
      <c r="E87" s="100" t="s">
        <v>570</v>
      </c>
      <c r="F87" s="100" t="s">
        <v>212</v>
      </c>
      <c r="G87" s="100">
        <v>0</v>
      </c>
      <c r="H87" s="100" t="s">
        <v>509</v>
      </c>
      <c r="I87" s="100" t="s">
        <v>612</v>
      </c>
      <c r="J87" s="100"/>
      <c r="K87" s="100" t="s">
        <v>246</v>
      </c>
      <c r="L87" s="100" t="s">
        <v>487</v>
      </c>
      <c r="M87" s="100" t="s">
        <v>501</v>
      </c>
      <c r="N87" s="100"/>
      <c r="O87" s="103"/>
    </row>
    <row r="88" spans="1:15" ht="13">
      <c r="A88" s="99" t="s">
        <v>310</v>
      </c>
      <c r="B88" s="100" t="s">
        <v>613</v>
      </c>
      <c r="C88" s="100" t="s">
        <v>614</v>
      </c>
      <c r="D88" s="100" t="s">
        <v>613</v>
      </c>
      <c r="E88" s="100" t="s">
        <v>540</v>
      </c>
      <c r="F88" s="100" t="s">
        <v>94</v>
      </c>
      <c r="G88" s="100">
        <v>0</v>
      </c>
      <c r="H88" s="100" t="s">
        <v>509</v>
      </c>
      <c r="I88" s="100" t="s">
        <v>615</v>
      </c>
      <c r="J88" s="100"/>
      <c r="K88" s="100" t="s">
        <v>280</v>
      </c>
      <c r="L88" s="100" t="s">
        <v>487</v>
      </c>
      <c r="M88" s="100" t="s">
        <v>501</v>
      </c>
      <c r="N88" s="100"/>
      <c r="O88" s="103"/>
    </row>
    <row r="89" spans="1:15" ht="13">
      <c r="A89" s="99" t="s">
        <v>311</v>
      </c>
      <c r="B89" s="100" t="s">
        <v>613</v>
      </c>
      <c r="C89" s="100" t="s">
        <v>614</v>
      </c>
      <c r="D89" s="100" t="s">
        <v>613</v>
      </c>
      <c r="E89" s="100" t="s">
        <v>495</v>
      </c>
      <c r="F89" s="100" t="s">
        <v>94</v>
      </c>
      <c r="G89" s="100">
        <v>0</v>
      </c>
      <c r="H89" s="100" t="s">
        <v>487</v>
      </c>
      <c r="I89" s="100" t="s">
        <v>616</v>
      </c>
      <c r="J89" s="100"/>
      <c r="K89" s="100" t="s">
        <v>234</v>
      </c>
      <c r="L89" s="100" t="s">
        <v>487</v>
      </c>
      <c r="M89" s="100" t="s">
        <v>501</v>
      </c>
      <c r="N89" s="100"/>
      <c r="O89" s="103"/>
    </row>
    <row r="90" spans="1:15" ht="13">
      <c r="A90" s="99" t="s">
        <v>312</v>
      </c>
      <c r="B90" s="100" t="s">
        <v>613</v>
      </c>
      <c r="C90" s="100" t="s">
        <v>614</v>
      </c>
      <c r="D90" s="100" t="s">
        <v>613</v>
      </c>
      <c r="E90" s="100" t="s">
        <v>503</v>
      </c>
      <c r="F90" s="100" t="s">
        <v>110</v>
      </c>
      <c r="G90" s="100">
        <v>0</v>
      </c>
      <c r="H90" s="100" t="s">
        <v>487</v>
      </c>
      <c r="I90" s="100" t="s">
        <v>550</v>
      </c>
      <c r="J90" s="100"/>
      <c r="K90" s="100" t="s">
        <v>268</v>
      </c>
      <c r="L90" s="100" t="s">
        <v>487</v>
      </c>
      <c r="M90" s="100" t="s">
        <v>501</v>
      </c>
      <c r="N90" s="100"/>
      <c r="O90" s="103"/>
    </row>
    <row r="91" spans="1:15" ht="13">
      <c r="A91" s="99" t="s">
        <v>313</v>
      </c>
      <c r="B91" s="100" t="s">
        <v>613</v>
      </c>
      <c r="C91" s="100" t="s">
        <v>614</v>
      </c>
      <c r="D91" s="100" t="s">
        <v>613</v>
      </c>
      <c r="E91" s="100" t="s">
        <v>570</v>
      </c>
      <c r="F91" s="100" t="s">
        <v>110</v>
      </c>
      <c r="G91" s="100">
        <v>0</v>
      </c>
      <c r="H91" s="100" t="s">
        <v>550</v>
      </c>
      <c r="I91" s="100" t="s">
        <v>617</v>
      </c>
      <c r="J91" s="100"/>
      <c r="K91" s="100" t="s">
        <v>268</v>
      </c>
      <c r="L91" s="100" t="s">
        <v>487</v>
      </c>
      <c r="M91" s="100" t="s">
        <v>501</v>
      </c>
      <c r="N91" s="100"/>
      <c r="O91" s="103"/>
    </row>
    <row r="92" spans="1:15" ht="13">
      <c r="A92" s="99" t="s">
        <v>314</v>
      </c>
      <c r="B92" s="100" t="s">
        <v>613</v>
      </c>
      <c r="C92" s="100" t="s">
        <v>614</v>
      </c>
      <c r="D92" s="100" t="s">
        <v>613</v>
      </c>
      <c r="E92" s="100" t="s">
        <v>494</v>
      </c>
      <c r="F92" s="100" t="s">
        <v>110</v>
      </c>
      <c r="G92" s="100">
        <v>0</v>
      </c>
      <c r="H92" s="100" t="s">
        <v>487</v>
      </c>
      <c r="I92" s="100" t="s">
        <v>617</v>
      </c>
      <c r="J92" s="100"/>
      <c r="K92" s="100" t="s">
        <v>268</v>
      </c>
      <c r="L92" s="100" t="s">
        <v>487</v>
      </c>
      <c r="M92" s="100" t="s">
        <v>501</v>
      </c>
      <c r="N92" s="100"/>
      <c r="O92" s="103"/>
    </row>
    <row r="93" spans="1:15" ht="13">
      <c r="A93" s="99" t="s">
        <v>315</v>
      </c>
      <c r="B93" s="100" t="s">
        <v>613</v>
      </c>
      <c r="C93" s="100" t="s">
        <v>614</v>
      </c>
      <c r="D93" s="100" t="s">
        <v>613</v>
      </c>
      <c r="E93" s="100" t="s">
        <v>529</v>
      </c>
      <c r="F93" s="100" t="s">
        <v>110</v>
      </c>
      <c r="G93" s="100">
        <v>0</v>
      </c>
      <c r="H93" s="100" t="s">
        <v>509</v>
      </c>
      <c r="I93" s="100" t="s">
        <v>618</v>
      </c>
      <c r="J93" s="100"/>
      <c r="K93" s="100" t="s">
        <v>283</v>
      </c>
      <c r="L93" s="100" t="s">
        <v>487</v>
      </c>
      <c r="M93" s="100" t="s">
        <v>501</v>
      </c>
      <c r="N93" s="100"/>
      <c r="O93" s="103"/>
    </row>
    <row r="94" spans="1:15" ht="13">
      <c r="A94" s="99" t="s">
        <v>316</v>
      </c>
      <c r="B94" s="100" t="s">
        <v>613</v>
      </c>
      <c r="C94" s="100" t="s">
        <v>614</v>
      </c>
      <c r="D94" s="100" t="s">
        <v>613</v>
      </c>
      <c r="E94" s="100" t="s">
        <v>551</v>
      </c>
      <c r="F94" s="100" t="s">
        <v>110</v>
      </c>
      <c r="G94" s="100">
        <v>0</v>
      </c>
      <c r="H94" s="100" t="s">
        <v>596</v>
      </c>
      <c r="I94" s="100" t="s">
        <v>618</v>
      </c>
      <c r="J94" s="100"/>
      <c r="K94" s="100" t="s">
        <v>283</v>
      </c>
      <c r="L94" s="100" t="s">
        <v>487</v>
      </c>
      <c r="M94" s="100" t="s">
        <v>501</v>
      </c>
      <c r="N94" s="100"/>
      <c r="O94" s="103"/>
    </row>
    <row r="95" spans="1:15" ht="13">
      <c r="A95" s="99" t="s">
        <v>317</v>
      </c>
      <c r="B95" s="100" t="s">
        <v>613</v>
      </c>
      <c r="C95" s="100" t="s">
        <v>614</v>
      </c>
      <c r="D95" s="100" t="s">
        <v>613</v>
      </c>
      <c r="E95" s="100" t="s">
        <v>619</v>
      </c>
      <c r="F95" s="100" t="s">
        <v>110</v>
      </c>
      <c r="G95" s="100">
        <v>0</v>
      </c>
      <c r="H95" s="100" t="s">
        <v>509</v>
      </c>
      <c r="I95" s="100" t="s">
        <v>596</v>
      </c>
      <c r="J95" s="100"/>
      <c r="K95" s="100" t="s">
        <v>283</v>
      </c>
      <c r="L95" s="100" t="s">
        <v>487</v>
      </c>
      <c r="M95" s="100" t="s">
        <v>501</v>
      </c>
      <c r="N95" s="100"/>
      <c r="O95" s="103"/>
    </row>
    <row r="96" spans="1:15" ht="13">
      <c r="A96" s="99" t="s">
        <v>318</v>
      </c>
      <c r="B96" s="100" t="s">
        <v>613</v>
      </c>
      <c r="C96" s="100" t="s">
        <v>614</v>
      </c>
      <c r="D96" s="100" t="s">
        <v>613</v>
      </c>
      <c r="E96" s="100" t="s">
        <v>620</v>
      </c>
      <c r="F96" s="100" t="s">
        <v>86</v>
      </c>
      <c r="G96" s="100">
        <v>0</v>
      </c>
      <c r="H96" s="100" t="s">
        <v>487</v>
      </c>
      <c r="I96" s="100" t="s">
        <v>544</v>
      </c>
      <c r="J96" s="100"/>
      <c r="K96" s="100" t="s">
        <v>225</v>
      </c>
      <c r="L96" s="100" t="s">
        <v>487</v>
      </c>
      <c r="M96" s="100" t="s">
        <v>501</v>
      </c>
      <c r="N96" s="100"/>
      <c r="O96" s="103"/>
    </row>
    <row r="97" spans="1:15" ht="13">
      <c r="A97" s="99" t="s">
        <v>319</v>
      </c>
      <c r="B97" s="100" t="s">
        <v>613</v>
      </c>
      <c r="C97" s="100" t="s">
        <v>614</v>
      </c>
      <c r="D97" s="100" t="s">
        <v>613</v>
      </c>
      <c r="E97" s="100" t="s">
        <v>621</v>
      </c>
      <c r="F97" s="100" t="s">
        <v>86</v>
      </c>
      <c r="G97" s="100">
        <v>0</v>
      </c>
      <c r="H97" s="100" t="s">
        <v>544</v>
      </c>
      <c r="I97" s="100" t="s">
        <v>622</v>
      </c>
      <c r="J97" s="100"/>
      <c r="K97" s="100" t="s">
        <v>225</v>
      </c>
      <c r="L97" s="100" t="s">
        <v>487</v>
      </c>
      <c r="M97" s="100" t="s">
        <v>501</v>
      </c>
      <c r="N97" s="100"/>
      <c r="O97" s="103"/>
    </row>
    <row r="98" spans="1:15" ht="13">
      <c r="A98" s="99" t="s">
        <v>320</v>
      </c>
      <c r="B98" s="100" t="s">
        <v>613</v>
      </c>
      <c r="C98" s="100" t="s">
        <v>614</v>
      </c>
      <c r="D98" s="100" t="s">
        <v>613</v>
      </c>
      <c r="E98" s="100" t="s">
        <v>592</v>
      </c>
      <c r="F98" s="100" t="s">
        <v>86</v>
      </c>
      <c r="G98" s="100">
        <v>0</v>
      </c>
      <c r="H98" s="100" t="s">
        <v>487</v>
      </c>
      <c r="I98" s="100" t="s">
        <v>622</v>
      </c>
      <c r="J98" s="100"/>
      <c r="K98" s="100" t="s">
        <v>225</v>
      </c>
      <c r="L98" s="100" t="s">
        <v>487</v>
      </c>
      <c r="M98" s="100" t="s">
        <v>501</v>
      </c>
      <c r="N98" s="100"/>
      <c r="O98" s="103"/>
    </row>
    <row r="99" spans="1:15" ht="13">
      <c r="A99" s="99" t="s">
        <v>321</v>
      </c>
      <c r="B99" s="100" t="s">
        <v>613</v>
      </c>
      <c r="C99" s="100" t="s">
        <v>614</v>
      </c>
      <c r="D99" s="100" t="s">
        <v>613</v>
      </c>
      <c r="E99" s="100" t="s">
        <v>623</v>
      </c>
      <c r="F99" s="100" t="s">
        <v>86</v>
      </c>
      <c r="G99" s="100">
        <v>0</v>
      </c>
      <c r="H99" s="100" t="s">
        <v>487</v>
      </c>
      <c r="I99" s="100" t="s">
        <v>624</v>
      </c>
      <c r="J99" s="100"/>
      <c r="K99" s="100" t="s">
        <v>219</v>
      </c>
      <c r="L99" s="100" t="s">
        <v>487</v>
      </c>
      <c r="M99" s="100" t="s">
        <v>501</v>
      </c>
      <c r="N99" s="100"/>
      <c r="O99" s="103"/>
    </row>
    <row r="100" spans="1:15" ht="13">
      <c r="A100" s="99" t="s">
        <v>322</v>
      </c>
      <c r="B100" s="100" t="s">
        <v>613</v>
      </c>
      <c r="C100" s="100" t="s">
        <v>614</v>
      </c>
      <c r="D100" s="100" t="s">
        <v>613</v>
      </c>
      <c r="E100" s="100" t="s">
        <v>625</v>
      </c>
      <c r="F100" s="100" t="s">
        <v>86</v>
      </c>
      <c r="G100" s="100">
        <v>0</v>
      </c>
      <c r="H100" s="100" t="s">
        <v>509</v>
      </c>
      <c r="I100" s="100" t="s">
        <v>626</v>
      </c>
      <c r="J100" s="100"/>
      <c r="K100" s="100" t="s">
        <v>221</v>
      </c>
      <c r="L100" s="100" t="s">
        <v>487</v>
      </c>
      <c r="M100" s="100" t="s">
        <v>501</v>
      </c>
      <c r="N100" s="100"/>
      <c r="O100" s="103"/>
    </row>
    <row r="101" spans="1:15" ht="13">
      <c r="A101" s="99" t="s">
        <v>323</v>
      </c>
      <c r="B101" s="100" t="s">
        <v>613</v>
      </c>
      <c r="C101" s="100" t="s">
        <v>614</v>
      </c>
      <c r="D101" s="100" t="s">
        <v>613</v>
      </c>
      <c r="E101" s="100" t="s">
        <v>595</v>
      </c>
      <c r="F101" s="100" t="s">
        <v>86</v>
      </c>
      <c r="G101" s="100">
        <v>0</v>
      </c>
      <c r="H101" s="100" t="s">
        <v>487</v>
      </c>
      <c r="I101" s="100" t="s">
        <v>627</v>
      </c>
      <c r="J101" s="100"/>
      <c r="K101" s="100" t="s">
        <v>229</v>
      </c>
      <c r="L101" s="100" t="s">
        <v>487</v>
      </c>
      <c r="M101" s="100" t="s">
        <v>501</v>
      </c>
      <c r="N101" s="100"/>
      <c r="O101" s="103"/>
    </row>
    <row r="102" spans="1:15" ht="13">
      <c r="A102" s="99" t="s">
        <v>324</v>
      </c>
      <c r="B102" s="100" t="s">
        <v>613</v>
      </c>
      <c r="C102" s="100" t="s">
        <v>614</v>
      </c>
      <c r="D102" s="100" t="s">
        <v>614</v>
      </c>
      <c r="E102" s="100" t="s">
        <v>518</v>
      </c>
      <c r="F102" s="100" t="s">
        <v>212</v>
      </c>
      <c r="G102" s="100">
        <v>0</v>
      </c>
      <c r="H102" s="100" t="s">
        <v>487</v>
      </c>
      <c r="I102" s="100" t="s">
        <v>628</v>
      </c>
      <c r="J102" s="100"/>
      <c r="K102" s="100" t="s">
        <v>231</v>
      </c>
      <c r="L102" s="100" t="s">
        <v>487</v>
      </c>
      <c r="M102" s="100"/>
      <c r="N102" s="100"/>
      <c r="O102" s="103" t="s">
        <v>519</v>
      </c>
    </row>
    <row r="103" spans="1:15" ht="13">
      <c r="A103" s="99" t="s">
        <v>325</v>
      </c>
      <c r="B103" s="100" t="s">
        <v>629</v>
      </c>
      <c r="C103" s="100" t="s">
        <v>630</v>
      </c>
      <c r="D103" s="100" t="s">
        <v>631</v>
      </c>
      <c r="E103" s="100" t="s">
        <v>499</v>
      </c>
      <c r="F103" s="100" t="s">
        <v>94</v>
      </c>
      <c r="G103" s="100">
        <v>0</v>
      </c>
      <c r="H103" s="100" t="s">
        <v>487</v>
      </c>
      <c r="I103" s="100" t="s">
        <v>632</v>
      </c>
      <c r="J103" s="100"/>
      <c r="K103" s="100" t="s">
        <v>213</v>
      </c>
      <c r="L103" s="100" t="s">
        <v>487</v>
      </c>
      <c r="M103" s="100" t="s">
        <v>501</v>
      </c>
      <c r="N103" s="100"/>
      <c r="O103" s="103"/>
    </row>
    <row r="104" spans="1:15" ht="13">
      <c r="A104" s="99" t="s">
        <v>326</v>
      </c>
      <c r="B104" s="100" t="s">
        <v>633</v>
      </c>
      <c r="C104" s="100" t="s">
        <v>630</v>
      </c>
      <c r="D104" s="100" t="s">
        <v>633</v>
      </c>
      <c r="E104" s="100" t="s">
        <v>634</v>
      </c>
      <c r="F104" s="100" t="s">
        <v>94</v>
      </c>
      <c r="G104" s="100">
        <v>0</v>
      </c>
      <c r="H104" s="100" t="s">
        <v>509</v>
      </c>
      <c r="I104" s="100" t="s">
        <v>617</v>
      </c>
      <c r="J104" s="100"/>
      <c r="K104" s="100" t="s">
        <v>280</v>
      </c>
      <c r="L104" s="100" t="s">
        <v>487</v>
      </c>
      <c r="M104" s="100" t="s">
        <v>501</v>
      </c>
      <c r="N104" s="100"/>
      <c r="O104" s="103"/>
    </row>
    <row r="105" spans="1:15" ht="13">
      <c r="A105" s="99" t="s">
        <v>327</v>
      </c>
      <c r="B105" s="100" t="s">
        <v>633</v>
      </c>
      <c r="C105" s="100" t="s">
        <v>630</v>
      </c>
      <c r="D105" s="100" t="s">
        <v>633</v>
      </c>
      <c r="E105" s="100" t="s">
        <v>540</v>
      </c>
      <c r="F105" s="100" t="s">
        <v>94</v>
      </c>
      <c r="G105" s="100">
        <v>0</v>
      </c>
      <c r="H105" s="100" t="s">
        <v>509</v>
      </c>
      <c r="I105" s="100" t="s">
        <v>617</v>
      </c>
      <c r="J105" s="100"/>
      <c r="K105" s="100" t="s">
        <v>223</v>
      </c>
      <c r="L105" s="100" t="s">
        <v>487</v>
      </c>
      <c r="M105" s="100" t="s">
        <v>501</v>
      </c>
      <c r="N105" s="100"/>
      <c r="O105" s="103"/>
    </row>
    <row r="106" spans="1:15" ht="13">
      <c r="A106" s="99" t="s">
        <v>328</v>
      </c>
      <c r="B106" s="100" t="s">
        <v>633</v>
      </c>
      <c r="C106" s="100" t="s">
        <v>630</v>
      </c>
      <c r="D106" s="100" t="s">
        <v>633</v>
      </c>
      <c r="E106" s="100" t="s">
        <v>495</v>
      </c>
      <c r="F106" s="100" t="s">
        <v>94</v>
      </c>
      <c r="G106" s="100">
        <v>0</v>
      </c>
      <c r="H106" s="100" t="s">
        <v>509</v>
      </c>
      <c r="I106" s="100" t="s">
        <v>635</v>
      </c>
      <c r="J106" s="100"/>
      <c r="K106" s="100" t="s">
        <v>246</v>
      </c>
      <c r="L106" s="100" t="s">
        <v>487</v>
      </c>
      <c r="M106" s="100" t="s">
        <v>501</v>
      </c>
      <c r="N106" s="100"/>
      <c r="O106" s="103"/>
    </row>
    <row r="107" spans="1:15" ht="13">
      <c r="A107" s="99" t="s">
        <v>329</v>
      </c>
      <c r="B107" s="100" t="s">
        <v>633</v>
      </c>
      <c r="C107" s="100" t="s">
        <v>630</v>
      </c>
      <c r="D107" s="100" t="s">
        <v>633</v>
      </c>
      <c r="E107" s="100" t="s">
        <v>503</v>
      </c>
      <c r="F107" s="100" t="s">
        <v>86</v>
      </c>
      <c r="G107" s="100">
        <v>0</v>
      </c>
      <c r="H107" s="100" t="s">
        <v>487</v>
      </c>
      <c r="I107" s="100" t="s">
        <v>543</v>
      </c>
      <c r="J107" s="100"/>
      <c r="K107" s="100" t="s">
        <v>330</v>
      </c>
      <c r="L107" s="100" t="s">
        <v>487</v>
      </c>
      <c r="M107" s="100" t="s">
        <v>501</v>
      </c>
      <c r="N107" s="100"/>
      <c r="O107" s="103"/>
    </row>
    <row r="108" spans="1:15" ht="13">
      <c r="A108" s="99" t="s">
        <v>331</v>
      </c>
      <c r="B108" s="100" t="s">
        <v>633</v>
      </c>
      <c r="C108" s="100" t="s">
        <v>630</v>
      </c>
      <c r="D108" s="100" t="s">
        <v>633</v>
      </c>
      <c r="E108" s="100" t="s">
        <v>545</v>
      </c>
      <c r="F108" s="100" t="s">
        <v>86</v>
      </c>
      <c r="G108" s="100">
        <v>0</v>
      </c>
      <c r="H108" s="100" t="s">
        <v>636</v>
      </c>
      <c r="I108" s="100" t="s">
        <v>546</v>
      </c>
      <c r="J108" s="100"/>
      <c r="K108" s="100" t="s">
        <v>330</v>
      </c>
      <c r="L108" s="100" t="s">
        <v>487</v>
      </c>
      <c r="M108" s="100" t="s">
        <v>501</v>
      </c>
      <c r="N108" s="100"/>
      <c r="O108" s="103"/>
    </row>
    <row r="109" spans="1:15" ht="13">
      <c r="A109" s="99" t="s">
        <v>332</v>
      </c>
      <c r="B109" s="100" t="s">
        <v>633</v>
      </c>
      <c r="C109" s="100" t="s">
        <v>630</v>
      </c>
      <c r="D109" s="100" t="s">
        <v>633</v>
      </c>
      <c r="E109" s="100" t="s">
        <v>547</v>
      </c>
      <c r="F109" s="100" t="s">
        <v>86</v>
      </c>
      <c r="G109" s="100">
        <v>0</v>
      </c>
      <c r="H109" s="100" t="s">
        <v>637</v>
      </c>
      <c r="I109" s="100" t="s">
        <v>543</v>
      </c>
      <c r="J109" s="100"/>
      <c r="K109" s="100" t="s">
        <v>330</v>
      </c>
      <c r="L109" s="100" t="s">
        <v>487</v>
      </c>
      <c r="M109" s="100" t="s">
        <v>501</v>
      </c>
      <c r="N109" s="100"/>
      <c r="O109" s="103"/>
    </row>
    <row r="110" spans="1:15" ht="13">
      <c r="A110" s="99" t="s">
        <v>333</v>
      </c>
      <c r="B110" s="100" t="s">
        <v>633</v>
      </c>
      <c r="C110" s="100" t="s">
        <v>630</v>
      </c>
      <c r="D110" s="100" t="s">
        <v>633</v>
      </c>
      <c r="E110" s="100" t="s">
        <v>526</v>
      </c>
      <c r="F110" s="100" t="s">
        <v>86</v>
      </c>
      <c r="G110" s="100">
        <v>0</v>
      </c>
      <c r="H110" s="100" t="s">
        <v>636</v>
      </c>
      <c r="I110" s="100" t="s">
        <v>487</v>
      </c>
      <c r="J110" s="100"/>
      <c r="K110" s="100" t="s">
        <v>330</v>
      </c>
      <c r="L110" s="100" t="s">
        <v>487</v>
      </c>
      <c r="M110" s="100" t="s">
        <v>501</v>
      </c>
      <c r="N110" s="100"/>
      <c r="O110" s="103"/>
    </row>
    <row r="111" spans="1:15" ht="13">
      <c r="A111" s="99" t="s">
        <v>334</v>
      </c>
      <c r="B111" s="100" t="s">
        <v>633</v>
      </c>
      <c r="C111" s="100" t="s">
        <v>630</v>
      </c>
      <c r="D111" s="100" t="s">
        <v>633</v>
      </c>
      <c r="E111" s="100" t="s">
        <v>529</v>
      </c>
      <c r="F111" s="100" t="s">
        <v>86</v>
      </c>
      <c r="G111" s="100">
        <v>0</v>
      </c>
      <c r="H111" s="100" t="s">
        <v>637</v>
      </c>
      <c r="I111" s="100" t="s">
        <v>546</v>
      </c>
      <c r="J111" s="100"/>
      <c r="K111" s="100" t="s">
        <v>330</v>
      </c>
      <c r="L111" s="100" t="s">
        <v>487</v>
      </c>
      <c r="M111" s="100" t="s">
        <v>501</v>
      </c>
      <c r="N111" s="100"/>
      <c r="O111" s="103"/>
    </row>
    <row r="112" spans="1:15" ht="13">
      <c r="A112" s="99" t="s">
        <v>335</v>
      </c>
      <c r="B112" s="100" t="s">
        <v>633</v>
      </c>
      <c r="C112" s="100" t="s">
        <v>630</v>
      </c>
      <c r="D112" s="100" t="s">
        <v>633</v>
      </c>
      <c r="E112" s="100" t="s">
        <v>518</v>
      </c>
      <c r="F112" s="100" t="s">
        <v>86</v>
      </c>
      <c r="G112" s="100">
        <v>0</v>
      </c>
      <c r="H112" s="100" t="s">
        <v>509</v>
      </c>
      <c r="I112" s="100" t="s">
        <v>638</v>
      </c>
      <c r="J112" s="100"/>
      <c r="K112" s="100" t="s">
        <v>221</v>
      </c>
      <c r="L112" s="100" t="s">
        <v>487</v>
      </c>
      <c r="M112" s="100" t="s">
        <v>501</v>
      </c>
      <c r="N112" s="100"/>
      <c r="O112" s="103"/>
    </row>
    <row r="113" spans="1:15" ht="13">
      <c r="A113" s="99" t="s">
        <v>336</v>
      </c>
      <c r="B113" s="100" t="s">
        <v>639</v>
      </c>
      <c r="C113" s="100" t="s">
        <v>640</v>
      </c>
      <c r="D113" s="100" t="s">
        <v>639</v>
      </c>
      <c r="E113" s="100" t="s">
        <v>486</v>
      </c>
      <c r="F113" s="100" t="s">
        <v>212</v>
      </c>
      <c r="G113" s="100">
        <v>0</v>
      </c>
      <c r="H113" s="100" t="s">
        <v>487</v>
      </c>
      <c r="I113" s="100" t="s">
        <v>641</v>
      </c>
      <c r="J113" s="100"/>
      <c r="K113" s="100" t="s">
        <v>231</v>
      </c>
      <c r="L113" s="100" t="s">
        <v>487</v>
      </c>
      <c r="M113" s="100"/>
      <c r="N113" s="100"/>
      <c r="O113" s="103" t="s">
        <v>519</v>
      </c>
    </row>
    <row r="114" spans="1:15" ht="13">
      <c r="A114" s="99" t="s">
        <v>337</v>
      </c>
      <c r="B114" s="100" t="s">
        <v>639</v>
      </c>
      <c r="C114" s="100" t="s">
        <v>640</v>
      </c>
      <c r="D114" s="100" t="s">
        <v>639</v>
      </c>
      <c r="E114" s="100" t="s">
        <v>595</v>
      </c>
      <c r="F114" s="100" t="s">
        <v>212</v>
      </c>
      <c r="G114" s="100">
        <v>0</v>
      </c>
      <c r="H114" s="100" t="s">
        <v>487</v>
      </c>
      <c r="I114" s="100" t="s">
        <v>642</v>
      </c>
      <c r="J114" s="100"/>
      <c r="K114" s="100" t="s">
        <v>234</v>
      </c>
      <c r="L114" s="100" t="s">
        <v>487</v>
      </c>
      <c r="M114" s="100" t="s">
        <v>501</v>
      </c>
      <c r="N114" s="100"/>
      <c r="O114" s="103"/>
    </row>
    <row r="115" spans="1:15" ht="13">
      <c r="A115" s="99" t="s">
        <v>338</v>
      </c>
      <c r="B115" s="100" t="s">
        <v>639</v>
      </c>
      <c r="C115" s="100" t="s">
        <v>640</v>
      </c>
      <c r="D115" s="100" t="s">
        <v>639</v>
      </c>
      <c r="E115" s="100" t="s">
        <v>503</v>
      </c>
      <c r="F115" s="100" t="s">
        <v>110</v>
      </c>
      <c r="G115" s="100">
        <v>0</v>
      </c>
      <c r="H115" s="100" t="s">
        <v>487</v>
      </c>
      <c r="I115" s="100" t="s">
        <v>643</v>
      </c>
      <c r="J115" s="100"/>
      <c r="K115" s="100" t="s">
        <v>339</v>
      </c>
      <c r="L115" s="100" t="s">
        <v>487</v>
      </c>
      <c r="M115" s="100" t="s">
        <v>501</v>
      </c>
      <c r="N115" s="100"/>
      <c r="O115" s="103"/>
    </row>
    <row r="116" spans="1:15" ht="13">
      <c r="A116" s="99" t="s">
        <v>340</v>
      </c>
      <c r="B116" s="100" t="s">
        <v>639</v>
      </c>
      <c r="C116" s="100" t="s">
        <v>640</v>
      </c>
      <c r="D116" s="100" t="s">
        <v>639</v>
      </c>
      <c r="E116" s="100" t="s">
        <v>503</v>
      </c>
      <c r="F116" s="100" t="s">
        <v>110</v>
      </c>
      <c r="G116" s="100">
        <v>0</v>
      </c>
      <c r="H116" s="100" t="s">
        <v>644</v>
      </c>
      <c r="I116" s="100" t="s">
        <v>544</v>
      </c>
      <c r="J116" s="100"/>
      <c r="K116" s="100" t="s">
        <v>339</v>
      </c>
      <c r="L116" s="100" t="s">
        <v>487</v>
      </c>
      <c r="M116" s="100" t="s">
        <v>501</v>
      </c>
      <c r="N116" s="100"/>
      <c r="O116" s="103"/>
    </row>
    <row r="117" spans="1:15" ht="13">
      <c r="A117" s="99" t="s">
        <v>341</v>
      </c>
      <c r="B117" s="100" t="s">
        <v>639</v>
      </c>
      <c r="C117" s="100" t="s">
        <v>640</v>
      </c>
      <c r="D117" s="100" t="s">
        <v>639</v>
      </c>
      <c r="E117" s="100" t="s">
        <v>493</v>
      </c>
      <c r="F117" s="100" t="s">
        <v>110</v>
      </c>
      <c r="G117" s="100">
        <v>0</v>
      </c>
      <c r="H117" s="100" t="s">
        <v>645</v>
      </c>
      <c r="I117" s="100" t="s">
        <v>646</v>
      </c>
      <c r="J117" s="100"/>
      <c r="K117" s="100" t="s">
        <v>339</v>
      </c>
      <c r="L117" s="100" t="s">
        <v>487</v>
      </c>
      <c r="M117" s="100" t="s">
        <v>501</v>
      </c>
      <c r="N117" s="100"/>
      <c r="O117" s="103"/>
    </row>
    <row r="118" spans="1:15" ht="13">
      <c r="A118" s="99" t="s">
        <v>342</v>
      </c>
      <c r="B118" s="100" t="s">
        <v>639</v>
      </c>
      <c r="C118" s="100" t="s">
        <v>640</v>
      </c>
      <c r="D118" s="100" t="s">
        <v>639</v>
      </c>
      <c r="E118" s="100" t="s">
        <v>493</v>
      </c>
      <c r="F118" s="100" t="s">
        <v>110</v>
      </c>
      <c r="G118" s="100">
        <v>0</v>
      </c>
      <c r="H118" s="100" t="s">
        <v>584</v>
      </c>
      <c r="I118" s="100" t="s">
        <v>504</v>
      </c>
      <c r="J118" s="100"/>
      <c r="K118" s="100" t="s">
        <v>339</v>
      </c>
      <c r="L118" s="100" t="s">
        <v>487</v>
      </c>
      <c r="M118" s="100" t="s">
        <v>501</v>
      </c>
      <c r="N118" s="100"/>
      <c r="O118" s="103"/>
    </row>
    <row r="119" spans="1:15" ht="13">
      <c r="A119" s="99" t="s">
        <v>343</v>
      </c>
      <c r="B119" s="100" t="s">
        <v>639</v>
      </c>
      <c r="C119" s="100" t="s">
        <v>640</v>
      </c>
      <c r="D119" s="100" t="s">
        <v>639</v>
      </c>
      <c r="E119" s="100" t="s">
        <v>570</v>
      </c>
      <c r="F119" s="100" t="s">
        <v>110</v>
      </c>
      <c r="G119" s="100">
        <v>0</v>
      </c>
      <c r="H119" s="100" t="s">
        <v>487</v>
      </c>
      <c r="I119" s="100" t="s">
        <v>644</v>
      </c>
      <c r="J119" s="100"/>
      <c r="K119" s="100" t="s">
        <v>339</v>
      </c>
      <c r="L119" s="100" t="s">
        <v>487</v>
      </c>
      <c r="M119" s="100" t="s">
        <v>501</v>
      </c>
      <c r="N119" s="100"/>
      <c r="O119" s="103"/>
    </row>
    <row r="120" spans="1:15" ht="13">
      <c r="A120" s="99" t="s">
        <v>344</v>
      </c>
      <c r="B120" s="100" t="s">
        <v>639</v>
      </c>
      <c r="C120" s="100" t="s">
        <v>640</v>
      </c>
      <c r="D120" s="100" t="s">
        <v>639</v>
      </c>
      <c r="E120" s="100" t="s">
        <v>570</v>
      </c>
      <c r="F120" s="100" t="s">
        <v>110</v>
      </c>
      <c r="G120" s="100">
        <v>0</v>
      </c>
      <c r="H120" s="100" t="s">
        <v>643</v>
      </c>
      <c r="I120" s="100" t="s">
        <v>544</v>
      </c>
      <c r="J120" s="100"/>
      <c r="K120" s="100" t="s">
        <v>339</v>
      </c>
      <c r="L120" s="100" t="s">
        <v>487</v>
      </c>
      <c r="M120" s="100" t="s">
        <v>501</v>
      </c>
      <c r="N120" s="100"/>
      <c r="O120" s="103"/>
    </row>
    <row r="121" spans="1:15" ht="13">
      <c r="A121" s="99" t="s">
        <v>345</v>
      </c>
      <c r="B121" s="100" t="s">
        <v>639</v>
      </c>
      <c r="C121" s="100" t="s">
        <v>640</v>
      </c>
      <c r="D121" s="100" t="s">
        <v>639</v>
      </c>
      <c r="E121" s="100" t="s">
        <v>547</v>
      </c>
      <c r="F121" s="100" t="s">
        <v>110</v>
      </c>
      <c r="G121" s="100">
        <v>0</v>
      </c>
      <c r="H121" s="100" t="s">
        <v>645</v>
      </c>
      <c r="I121" s="100" t="s">
        <v>584</v>
      </c>
      <c r="J121" s="100"/>
      <c r="K121" s="100" t="s">
        <v>339</v>
      </c>
      <c r="L121" s="100" t="s">
        <v>487</v>
      </c>
      <c r="M121" s="100" t="s">
        <v>501</v>
      </c>
      <c r="N121" s="100"/>
      <c r="O121" s="103"/>
    </row>
    <row r="122" spans="1:15" ht="13">
      <c r="A122" s="99" t="s">
        <v>346</v>
      </c>
      <c r="B122" s="100" t="s">
        <v>639</v>
      </c>
      <c r="C122" s="100" t="s">
        <v>640</v>
      </c>
      <c r="D122" s="100" t="s">
        <v>639</v>
      </c>
      <c r="E122" s="100" t="s">
        <v>547</v>
      </c>
      <c r="F122" s="100" t="s">
        <v>110</v>
      </c>
      <c r="G122" s="100">
        <v>0</v>
      </c>
      <c r="H122" s="100" t="s">
        <v>646</v>
      </c>
      <c r="I122" s="100" t="s">
        <v>504</v>
      </c>
      <c r="J122" s="100"/>
      <c r="K122" s="100" t="s">
        <v>339</v>
      </c>
      <c r="L122" s="100" t="s">
        <v>487</v>
      </c>
      <c r="M122" s="100" t="s">
        <v>501</v>
      </c>
      <c r="N122" s="100"/>
      <c r="O122" s="103"/>
    </row>
    <row r="123" spans="1:15" ht="13">
      <c r="A123" s="99" t="s">
        <v>347</v>
      </c>
      <c r="B123" s="100" t="s">
        <v>639</v>
      </c>
      <c r="C123" s="100" t="s">
        <v>640</v>
      </c>
      <c r="D123" s="100" t="s">
        <v>639</v>
      </c>
      <c r="E123" s="100" t="s">
        <v>494</v>
      </c>
      <c r="F123" s="100" t="s">
        <v>110</v>
      </c>
      <c r="G123" s="100">
        <v>0</v>
      </c>
      <c r="H123" s="100" t="s">
        <v>487</v>
      </c>
      <c r="I123" s="100" t="s">
        <v>544</v>
      </c>
      <c r="J123" s="100"/>
      <c r="K123" s="100" t="s">
        <v>339</v>
      </c>
      <c r="L123" s="100" t="s">
        <v>487</v>
      </c>
      <c r="M123" s="100" t="s">
        <v>501</v>
      </c>
      <c r="N123" s="100"/>
      <c r="O123" s="103"/>
    </row>
    <row r="124" spans="1:15" ht="13">
      <c r="A124" s="99" t="s">
        <v>348</v>
      </c>
      <c r="B124" s="100" t="s">
        <v>639</v>
      </c>
      <c r="C124" s="100" t="s">
        <v>640</v>
      </c>
      <c r="D124" s="100" t="s">
        <v>639</v>
      </c>
      <c r="E124" s="100" t="s">
        <v>494</v>
      </c>
      <c r="F124" s="100" t="s">
        <v>110</v>
      </c>
      <c r="G124" s="100">
        <v>0</v>
      </c>
      <c r="H124" s="100" t="s">
        <v>643</v>
      </c>
      <c r="I124" s="100" t="s">
        <v>644</v>
      </c>
      <c r="J124" s="100"/>
      <c r="K124" s="100" t="s">
        <v>339</v>
      </c>
      <c r="L124" s="100" t="s">
        <v>487</v>
      </c>
      <c r="M124" s="100" t="s">
        <v>501</v>
      </c>
      <c r="N124" s="100"/>
      <c r="O124" s="103"/>
    </row>
    <row r="125" spans="1:15" ht="13">
      <c r="A125" s="99" t="s">
        <v>349</v>
      </c>
      <c r="B125" s="100" t="s">
        <v>639</v>
      </c>
      <c r="C125" s="100" t="s">
        <v>640</v>
      </c>
      <c r="D125" s="100" t="s">
        <v>639</v>
      </c>
      <c r="E125" s="100" t="s">
        <v>603</v>
      </c>
      <c r="F125" s="100" t="s">
        <v>110</v>
      </c>
      <c r="G125" s="100">
        <v>0</v>
      </c>
      <c r="H125" s="100" t="s">
        <v>645</v>
      </c>
      <c r="I125" s="100" t="s">
        <v>504</v>
      </c>
      <c r="J125" s="100"/>
      <c r="K125" s="100" t="s">
        <v>339</v>
      </c>
      <c r="L125" s="100" t="s">
        <v>487</v>
      </c>
      <c r="M125" s="100" t="s">
        <v>501</v>
      </c>
      <c r="N125" s="100"/>
      <c r="O125" s="103"/>
    </row>
    <row r="126" spans="1:15" ht="13">
      <c r="A126" s="99" t="s">
        <v>350</v>
      </c>
      <c r="B126" s="100" t="s">
        <v>639</v>
      </c>
      <c r="C126" s="100" t="s">
        <v>640</v>
      </c>
      <c r="D126" s="100" t="s">
        <v>639</v>
      </c>
      <c r="E126" s="100" t="s">
        <v>603</v>
      </c>
      <c r="F126" s="100" t="s">
        <v>110</v>
      </c>
      <c r="G126" s="100">
        <v>0</v>
      </c>
      <c r="H126" s="100" t="s">
        <v>646</v>
      </c>
      <c r="I126" s="100" t="s">
        <v>584</v>
      </c>
      <c r="J126" s="100"/>
      <c r="K126" s="100" t="s">
        <v>339</v>
      </c>
      <c r="L126" s="100" t="s">
        <v>487</v>
      </c>
      <c r="M126" s="100" t="s">
        <v>501</v>
      </c>
      <c r="N126" s="100"/>
      <c r="O126" s="103"/>
    </row>
    <row r="127" spans="1:15" ht="13">
      <c r="A127" s="99" t="s">
        <v>351</v>
      </c>
      <c r="B127" s="100" t="s">
        <v>639</v>
      </c>
      <c r="C127" s="100" t="s">
        <v>640</v>
      </c>
      <c r="D127" s="100" t="s">
        <v>639</v>
      </c>
      <c r="E127" s="100" t="s">
        <v>532</v>
      </c>
      <c r="F127" s="100" t="s">
        <v>110</v>
      </c>
      <c r="G127" s="100">
        <v>0</v>
      </c>
      <c r="H127" s="100" t="s">
        <v>487</v>
      </c>
      <c r="I127" s="100" t="s">
        <v>647</v>
      </c>
      <c r="J127" s="100"/>
      <c r="K127" s="100" t="s">
        <v>219</v>
      </c>
      <c r="L127" s="100" t="s">
        <v>487</v>
      </c>
      <c r="M127" s="100" t="s">
        <v>501</v>
      </c>
      <c r="N127" s="100"/>
      <c r="O127" s="103"/>
    </row>
    <row r="128" spans="1:15" ht="13">
      <c r="A128" s="99" t="s">
        <v>352</v>
      </c>
      <c r="B128" s="100" t="s">
        <v>648</v>
      </c>
      <c r="C128" s="100" t="s">
        <v>649</v>
      </c>
      <c r="D128" s="100" t="s">
        <v>648</v>
      </c>
      <c r="E128" s="100" t="s">
        <v>495</v>
      </c>
      <c r="F128" s="100" t="s">
        <v>94</v>
      </c>
      <c r="G128" s="100">
        <v>0</v>
      </c>
      <c r="H128" s="100" t="s">
        <v>487</v>
      </c>
      <c r="I128" s="100" t="s">
        <v>650</v>
      </c>
      <c r="J128" s="100"/>
      <c r="K128" s="100" t="s">
        <v>234</v>
      </c>
      <c r="L128" s="100" t="s">
        <v>487</v>
      </c>
      <c r="M128" s="100" t="s">
        <v>501</v>
      </c>
      <c r="N128" s="100"/>
      <c r="O128" s="103"/>
    </row>
    <row r="129" spans="1:15" ht="13">
      <c r="A129" s="99" t="s">
        <v>353</v>
      </c>
      <c r="B129" s="100" t="s">
        <v>648</v>
      </c>
      <c r="C129" s="100" t="s">
        <v>649</v>
      </c>
      <c r="D129" s="100" t="s">
        <v>648</v>
      </c>
      <c r="E129" s="100" t="s">
        <v>634</v>
      </c>
      <c r="F129" s="100" t="s">
        <v>86</v>
      </c>
      <c r="G129" s="100">
        <v>0</v>
      </c>
      <c r="H129" s="100" t="s">
        <v>487</v>
      </c>
      <c r="I129" s="100" t="s">
        <v>536</v>
      </c>
      <c r="J129" s="100"/>
      <c r="K129" s="100" t="s">
        <v>215</v>
      </c>
      <c r="L129" s="100" t="s">
        <v>487</v>
      </c>
      <c r="M129" s="100" t="s">
        <v>501</v>
      </c>
      <c r="N129" s="100"/>
      <c r="O129" s="103"/>
    </row>
    <row r="130" spans="1:15" ht="13">
      <c r="A130" s="99" t="s">
        <v>354</v>
      </c>
      <c r="B130" s="100" t="s">
        <v>648</v>
      </c>
      <c r="C130" s="100" t="s">
        <v>649</v>
      </c>
      <c r="D130" s="100" t="s">
        <v>648</v>
      </c>
      <c r="E130" s="100" t="s">
        <v>603</v>
      </c>
      <c r="F130" s="100" t="s">
        <v>86</v>
      </c>
      <c r="G130" s="100">
        <v>0</v>
      </c>
      <c r="H130" s="100" t="s">
        <v>651</v>
      </c>
      <c r="I130" s="100" t="s">
        <v>536</v>
      </c>
      <c r="J130" s="100"/>
      <c r="K130" s="100" t="s">
        <v>215</v>
      </c>
      <c r="L130" s="100" t="s">
        <v>487</v>
      </c>
      <c r="M130" s="100" t="s">
        <v>501</v>
      </c>
      <c r="N130" s="100"/>
      <c r="O130" s="103"/>
    </row>
    <row r="131" spans="1:15" ht="13">
      <c r="A131" s="99" t="s">
        <v>355</v>
      </c>
      <c r="B131" s="100" t="s">
        <v>648</v>
      </c>
      <c r="C131" s="100" t="s">
        <v>649</v>
      </c>
      <c r="D131" s="100" t="s">
        <v>648</v>
      </c>
      <c r="E131" s="100" t="s">
        <v>652</v>
      </c>
      <c r="F131" s="100" t="s">
        <v>86</v>
      </c>
      <c r="G131" s="100">
        <v>0</v>
      </c>
      <c r="H131" s="100" t="s">
        <v>487</v>
      </c>
      <c r="I131" s="100" t="s">
        <v>651</v>
      </c>
      <c r="J131" s="100"/>
      <c r="K131" s="100" t="s">
        <v>215</v>
      </c>
      <c r="L131" s="100" t="s">
        <v>487</v>
      </c>
      <c r="M131" s="100" t="s">
        <v>501</v>
      </c>
      <c r="N131" s="100"/>
      <c r="O131" s="103"/>
    </row>
    <row r="132" spans="1:15" ht="13">
      <c r="A132" s="99" t="s">
        <v>356</v>
      </c>
      <c r="B132" s="100" t="s">
        <v>653</v>
      </c>
      <c r="C132" s="100" t="s">
        <v>654</v>
      </c>
      <c r="D132" s="100" t="s">
        <v>655</v>
      </c>
      <c r="E132" s="100" t="s">
        <v>499</v>
      </c>
      <c r="F132" s="100" t="s">
        <v>94</v>
      </c>
      <c r="G132" s="100">
        <v>0</v>
      </c>
      <c r="H132" s="100" t="s">
        <v>487</v>
      </c>
      <c r="I132" s="100" t="s">
        <v>656</v>
      </c>
      <c r="J132" s="100"/>
      <c r="K132" s="100" t="s">
        <v>213</v>
      </c>
      <c r="L132" s="100" t="s">
        <v>487</v>
      </c>
      <c r="M132" s="100" t="s">
        <v>501</v>
      </c>
      <c r="N132" s="100"/>
      <c r="O132" s="103"/>
    </row>
    <row r="133" spans="1:15" ht="13">
      <c r="A133" s="99" t="s">
        <v>357</v>
      </c>
      <c r="B133" s="100" t="s">
        <v>657</v>
      </c>
      <c r="C133" s="100" t="s">
        <v>654</v>
      </c>
      <c r="D133" s="100" t="s">
        <v>657</v>
      </c>
      <c r="E133" s="100" t="s">
        <v>634</v>
      </c>
      <c r="F133" s="100" t="s">
        <v>86</v>
      </c>
      <c r="G133" s="100">
        <v>0</v>
      </c>
      <c r="H133" s="100" t="s">
        <v>487</v>
      </c>
      <c r="I133" s="100" t="s">
        <v>651</v>
      </c>
      <c r="J133" s="100"/>
      <c r="K133" s="100" t="s">
        <v>229</v>
      </c>
      <c r="L133" s="100" t="s">
        <v>487</v>
      </c>
      <c r="M133" s="100" t="s">
        <v>501</v>
      </c>
      <c r="N133" s="100"/>
      <c r="O133" s="103"/>
    </row>
    <row r="134" spans="1:15" ht="13">
      <c r="A134" s="99" t="s">
        <v>358</v>
      </c>
      <c r="B134" s="100" t="s">
        <v>657</v>
      </c>
      <c r="C134" s="100" t="s">
        <v>654</v>
      </c>
      <c r="D134" s="100" t="s">
        <v>654</v>
      </c>
      <c r="E134" s="100" t="s">
        <v>518</v>
      </c>
      <c r="F134" s="100" t="s">
        <v>212</v>
      </c>
      <c r="G134" s="100">
        <v>0</v>
      </c>
      <c r="H134" s="100" t="s">
        <v>487</v>
      </c>
      <c r="I134" s="100" t="s">
        <v>658</v>
      </c>
      <c r="J134" s="100"/>
      <c r="K134" s="100" t="s">
        <v>231</v>
      </c>
      <c r="L134" s="100" t="s">
        <v>487</v>
      </c>
      <c r="M134" s="100"/>
      <c r="N134" s="100"/>
      <c r="O134" s="103" t="s">
        <v>519</v>
      </c>
    </row>
    <row r="135" spans="1:15" ht="13">
      <c r="A135" s="99" t="s">
        <v>359</v>
      </c>
      <c r="B135" s="100" t="s">
        <v>659</v>
      </c>
      <c r="C135" s="100" t="s">
        <v>660</v>
      </c>
      <c r="D135" s="100" t="s">
        <v>661</v>
      </c>
      <c r="E135" s="100" t="s">
        <v>662</v>
      </c>
      <c r="F135" s="100" t="s">
        <v>86</v>
      </c>
      <c r="G135" s="100">
        <v>0</v>
      </c>
      <c r="H135" s="100" t="s">
        <v>509</v>
      </c>
      <c r="I135" s="100" t="s">
        <v>622</v>
      </c>
      <c r="J135" s="100"/>
      <c r="K135" s="100" t="s">
        <v>221</v>
      </c>
      <c r="L135" s="100" t="s">
        <v>487</v>
      </c>
      <c r="M135" s="100" t="s">
        <v>501</v>
      </c>
      <c r="N135" s="100"/>
      <c r="O135" s="103"/>
    </row>
    <row r="136" spans="1:15" ht="13">
      <c r="A136" s="99" t="s">
        <v>360</v>
      </c>
      <c r="B136" s="100" t="s">
        <v>663</v>
      </c>
      <c r="C136" s="100" t="s">
        <v>664</v>
      </c>
      <c r="D136" s="100" t="s">
        <v>663</v>
      </c>
      <c r="E136" s="100" t="s">
        <v>513</v>
      </c>
      <c r="F136" s="100" t="s">
        <v>94</v>
      </c>
      <c r="G136" s="100">
        <v>0</v>
      </c>
      <c r="H136" s="100" t="s">
        <v>509</v>
      </c>
      <c r="I136" s="100" t="s">
        <v>665</v>
      </c>
      <c r="J136" s="100"/>
      <c r="K136" s="100" t="s">
        <v>223</v>
      </c>
      <c r="L136" s="100" t="s">
        <v>487</v>
      </c>
      <c r="M136" s="100" t="s">
        <v>501</v>
      </c>
      <c r="N136" s="100"/>
      <c r="O136" s="103"/>
    </row>
    <row r="137" spans="1:15" ht="13">
      <c r="A137" s="99">
        <v>529854</v>
      </c>
      <c r="B137" s="100" t="s">
        <v>663</v>
      </c>
      <c r="C137" s="100" t="s">
        <v>664</v>
      </c>
      <c r="D137" s="100" t="s">
        <v>663</v>
      </c>
      <c r="E137" s="100" t="s">
        <v>503</v>
      </c>
      <c r="F137" s="100" t="s">
        <v>86</v>
      </c>
      <c r="G137" s="100">
        <v>0</v>
      </c>
      <c r="H137" s="100" t="s">
        <v>666</v>
      </c>
      <c r="I137" s="100" t="s">
        <v>501</v>
      </c>
      <c r="J137" s="100"/>
      <c r="K137" s="100" t="s">
        <v>361</v>
      </c>
      <c r="L137" s="100" t="s">
        <v>487</v>
      </c>
      <c r="M137" s="100" t="s">
        <v>501</v>
      </c>
      <c r="N137" s="100" t="s">
        <v>588</v>
      </c>
      <c r="O137" s="103"/>
    </row>
    <row r="138" spans="1:15" ht="13">
      <c r="A138" s="99" t="s">
        <v>362</v>
      </c>
      <c r="B138" s="100" t="s">
        <v>663</v>
      </c>
      <c r="C138" s="100" t="s">
        <v>664</v>
      </c>
      <c r="D138" s="100" t="s">
        <v>663</v>
      </c>
      <c r="E138" s="100" t="s">
        <v>621</v>
      </c>
      <c r="F138" s="100" t="s">
        <v>86</v>
      </c>
      <c r="G138" s="100">
        <v>0</v>
      </c>
      <c r="H138" s="100" t="s">
        <v>487</v>
      </c>
      <c r="I138" s="100" t="s">
        <v>667</v>
      </c>
      <c r="J138" s="100"/>
      <c r="K138" s="100" t="s">
        <v>225</v>
      </c>
      <c r="L138" s="100" t="s">
        <v>487</v>
      </c>
      <c r="M138" s="100" t="s">
        <v>501</v>
      </c>
      <c r="N138" s="100"/>
      <c r="O138" s="103"/>
    </row>
    <row r="139" spans="1:15" ht="13">
      <c r="A139" s="99" t="s">
        <v>363</v>
      </c>
      <c r="B139" s="100" t="s">
        <v>663</v>
      </c>
      <c r="C139" s="100" t="s">
        <v>664</v>
      </c>
      <c r="D139" s="100" t="s">
        <v>663</v>
      </c>
      <c r="E139" s="100" t="s">
        <v>592</v>
      </c>
      <c r="F139" s="100" t="s">
        <v>86</v>
      </c>
      <c r="G139" s="100">
        <v>0</v>
      </c>
      <c r="H139" s="100" t="s">
        <v>667</v>
      </c>
      <c r="I139" s="100" t="s">
        <v>636</v>
      </c>
      <c r="J139" s="100"/>
      <c r="K139" s="100" t="s">
        <v>225</v>
      </c>
      <c r="L139" s="100" t="s">
        <v>487</v>
      </c>
      <c r="M139" s="100" t="s">
        <v>501</v>
      </c>
      <c r="N139" s="100"/>
      <c r="O139" s="103"/>
    </row>
    <row r="140" spans="1:15" ht="13">
      <c r="A140" s="99" t="s">
        <v>364</v>
      </c>
      <c r="B140" s="100" t="s">
        <v>663</v>
      </c>
      <c r="C140" s="100" t="s">
        <v>664</v>
      </c>
      <c r="D140" s="100" t="s">
        <v>663</v>
      </c>
      <c r="E140" s="100" t="s">
        <v>623</v>
      </c>
      <c r="F140" s="100" t="s">
        <v>86</v>
      </c>
      <c r="G140" s="100">
        <v>0</v>
      </c>
      <c r="H140" s="100" t="s">
        <v>487</v>
      </c>
      <c r="I140" s="100" t="s">
        <v>636</v>
      </c>
      <c r="J140" s="100"/>
      <c r="K140" s="100" t="s">
        <v>225</v>
      </c>
      <c r="L140" s="100" t="s">
        <v>487</v>
      </c>
      <c r="M140" s="100" t="s">
        <v>501</v>
      </c>
      <c r="N140" s="100"/>
      <c r="O140" s="103"/>
    </row>
    <row r="141" spans="1:15" ht="13">
      <c r="A141" s="99" t="s">
        <v>365</v>
      </c>
      <c r="B141" s="100" t="s">
        <v>663</v>
      </c>
      <c r="C141" s="100" t="s">
        <v>664</v>
      </c>
      <c r="D141" s="100" t="s">
        <v>664</v>
      </c>
      <c r="E141" s="100" t="s">
        <v>494</v>
      </c>
      <c r="F141" s="100" t="s">
        <v>212</v>
      </c>
      <c r="G141" s="100">
        <v>0</v>
      </c>
      <c r="H141" s="100" t="s">
        <v>509</v>
      </c>
      <c r="I141" s="100" t="s">
        <v>617</v>
      </c>
      <c r="J141" s="100"/>
      <c r="K141" s="100" t="s">
        <v>246</v>
      </c>
      <c r="L141" s="100" t="s">
        <v>487</v>
      </c>
      <c r="M141" s="100" t="s">
        <v>501</v>
      </c>
      <c r="N141" s="100"/>
      <c r="O141" s="103"/>
    </row>
    <row r="142" spans="1:15" ht="13">
      <c r="A142" s="99" t="s">
        <v>366</v>
      </c>
      <c r="B142" s="100" t="s">
        <v>663</v>
      </c>
      <c r="C142" s="100" t="s">
        <v>664</v>
      </c>
      <c r="D142" s="100" t="s">
        <v>664</v>
      </c>
      <c r="E142" s="100" t="s">
        <v>486</v>
      </c>
      <c r="F142" s="100" t="s">
        <v>212</v>
      </c>
      <c r="G142" s="100">
        <v>0</v>
      </c>
      <c r="H142" s="100" t="s">
        <v>487</v>
      </c>
      <c r="I142" s="100" t="s">
        <v>668</v>
      </c>
      <c r="J142" s="100"/>
      <c r="K142" s="100" t="s">
        <v>234</v>
      </c>
      <c r="L142" s="100" t="s">
        <v>487</v>
      </c>
      <c r="M142" s="100" t="s">
        <v>501</v>
      </c>
      <c r="N142" s="100"/>
      <c r="O142" s="103"/>
    </row>
    <row r="143" spans="1:15" ht="13">
      <c r="A143" s="99" t="s">
        <v>367</v>
      </c>
      <c r="B143" s="100" t="s">
        <v>669</v>
      </c>
      <c r="C143" s="100" t="s">
        <v>670</v>
      </c>
      <c r="D143" s="100" t="s">
        <v>671</v>
      </c>
      <c r="E143" s="100" t="s">
        <v>499</v>
      </c>
      <c r="F143" s="100" t="s">
        <v>94</v>
      </c>
      <c r="G143" s="100">
        <v>0</v>
      </c>
      <c r="H143" s="100" t="s">
        <v>487</v>
      </c>
      <c r="I143" s="100" t="s">
        <v>672</v>
      </c>
      <c r="J143" s="100"/>
      <c r="K143" s="100" t="s">
        <v>213</v>
      </c>
      <c r="L143" s="100" t="s">
        <v>487</v>
      </c>
      <c r="M143" s="100" t="s">
        <v>501</v>
      </c>
      <c r="N143" s="100"/>
      <c r="O143" s="103"/>
    </row>
    <row r="144" spans="1:15" ht="13">
      <c r="A144" s="99" t="s">
        <v>368</v>
      </c>
      <c r="B144" s="100" t="s">
        <v>669</v>
      </c>
      <c r="C144" s="100" t="s">
        <v>670</v>
      </c>
      <c r="D144" s="100" t="s">
        <v>671</v>
      </c>
      <c r="E144" s="100" t="s">
        <v>558</v>
      </c>
      <c r="F144" s="100" t="s">
        <v>110</v>
      </c>
      <c r="G144" s="100">
        <v>0</v>
      </c>
      <c r="H144" s="100" t="s">
        <v>487</v>
      </c>
      <c r="I144" s="100" t="s">
        <v>673</v>
      </c>
      <c r="J144" s="100"/>
      <c r="K144" s="100" t="s">
        <v>263</v>
      </c>
      <c r="L144" s="100" t="s">
        <v>487</v>
      </c>
      <c r="M144" s="100" t="s">
        <v>501</v>
      </c>
      <c r="N144" s="100"/>
      <c r="O144" s="103"/>
    </row>
    <row r="145" spans="1:15" ht="13">
      <c r="A145" s="99" t="s">
        <v>369</v>
      </c>
      <c r="B145" s="100" t="s">
        <v>674</v>
      </c>
      <c r="C145" s="100" t="s">
        <v>670</v>
      </c>
      <c r="D145" s="100" t="s">
        <v>674</v>
      </c>
      <c r="E145" s="100" t="s">
        <v>675</v>
      </c>
      <c r="F145" s="100" t="s">
        <v>94</v>
      </c>
      <c r="G145" s="100">
        <v>0</v>
      </c>
      <c r="H145" s="100" t="s">
        <v>509</v>
      </c>
      <c r="I145" s="100" t="s">
        <v>506</v>
      </c>
      <c r="J145" s="100"/>
      <c r="K145" s="100" t="s">
        <v>280</v>
      </c>
      <c r="L145" s="100" t="s">
        <v>487</v>
      </c>
      <c r="M145" s="100" t="s">
        <v>501</v>
      </c>
      <c r="N145" s="100"/>
      <c r="O145" s="103"/>
    </row>
    <row r="146" spans="1:15" ht="13">
      <c r="A146" s="99">
        <v>529333</v>
      </c>
      <c r="B146" s="100" t="s">
        <v>663</v>
      </c>
      <c r="C146" s="100" t="s">
        <v>664</v>
      </c>
      <c r="D146" s="100" t="s">
        <v>674</v>
      </c>
      <c r="E146" s="100" t="s">
        <v>503</v>
      </c>
      <c r="F146" s="100" t="s">
        <v>86</v>
      </c>
      <c r="G146" s="100">
        <v>0</v>
      </c>
      <c r="H146" s="100" t="s">
        <v>501</v>
      </c>
      <c r="I146" s="100" t="s">
        <v>666</v>
      </c>
      <c r="J146" s="100"/>
      <c r="K146" s="100" t="s">
        <v>370</v>
      </c>
      <c r="L146" s="100" t="s">
        <v>487</v>
      </c>
      <c r="M146" s="100" t="s">
        <v>501</v>
      </c>
      <c r="N146" s="100" t="s">
        <v>588</v>
      </c>
      <c r="O146" s="103"/>
    </row>
    <row r="147" spans="1:15" ht="13">
      <c r="A147" s="99">
        <v>529884</v>
      </c>
      <c r="B147" s="100" t="s">
        <v>674</v>
      </c>
      <c r="C147" s="100" t="s">
        <v>670</v>
      </c>
      <c r="D147" s="100" t="s">
        <v>674</v>
      </c>
      <c r="E147" s="100" t="s">
        <v>572</v>
      </c>
      <c r="F147" s="100" t="s">
        <v>86</v>
      </c>
      <c r="G147" s="100">
        <v>0</v>
      </c>
      <c r="H147" s="100" t="s">
        <v>666</v>
      </c>
      <c r="I147" s="100" t="s">
        <v>501</v>
      </c>
      <c r="J147" s="100"/>
      <c r="K147" s="100" t="s">
        <v>371</v>
      </c>
      <c r="L147" s="100" t="s">
        <v>487</v>
      </c>
      <c r="M147" s="100" t="s">
        <v>501</v>
      </c>
      <c r="N147" s="100" t="s">
        <v>588</v>
      </c>
      <c r="O147" s="103"/>
    </row>
    <row r="148" spans="1:15" ht="13">
      <c r="A148" s="99" t="s">
        <v>372</v>
      </c>
      <c r="B148" s="100" t="s">
        <v>674</v>
      </c>
      <c r="C148" s="100" t="s">
        <v>670</v>
      </c>
      <c r="D148" s="100" t="s">
        <v>674</v>
      </c>
      <c r="E148" s="100" t="s">
        <v>676</v>
      </c>
      <c r="F148" s="100" t="s">
        <v>86</v>
      </c>
      <c r="G148" s="100">
        <v>0</v>
      </c>
      <c r="H148" s="100" t="s">
        <v>487</v>
      </c>
      <c r="I148" s="100" t="s">
        <v>677</v>
      </c>
      <c r="J148" s="100"/>
      <c r="K148" s="100" t="s">
        <v>219</v>
      </c>
      <c r="L148" s="100" t="s">
        <v>487</v>
      </c>
      <c r="M148" s="100" t="s">
        <v>501</v>
      </c>
      <c r="N148" s="100"/>
      <c r="O148" s="103"/>
    </row>
    <row r="149" spans="1:15" ht="13">
      <c r="A149" s="99" t="s">
        <v>373</v>
      </c>
      <c r="B149" s="100" t="s">
        <v>674</v>
      </c>
      <c r="C149" s="100" t="s">
        <v>670</v>
      </c>
      <c r="D149" s="100" t="s">
        <v>674</v>
      </c>
      <c r="E149" s="100" t="s">
        <v>678</v>
      </c>
      <c r="F149" s="100" t="s">
        <v>86</v>
      </c>
      <c r="G149" s="100">
        <v>0</v>
      </c>
      <c r="H149" s="100" t="s">
        <v>487</v>
      </c>
      <c r="I149" s="100" t="s">
        <v>679</v>
      </c>
      <c r="J149" s="100"/>
      <c r="K149" s="100" t="s">
        <v>229</v>
      </c>
      <c r="L149" s="100" t="s">
        <v>487</v>
      </c>
      <c r="M149" s="100" t="s">
        <v>501</v>
      </c>
      <c r="N149" s="100"/>
      <c r="O149" s="103"/>
    </row>
    <row r="150" spans="1:15" ht="13">
      <c r="A150" s="99" t="s">
        <v>374</v>
      </c>
      <c r="B150" s="100" t="s">
        <v>680</v>
      </c>
      <c r="C150" s="100" t="s">
        <v>681</v>
      </c>
      <c r="D150" s="100" t="s">
        <v>680</v>
      </c>
      <c r="E150" s="100" t="s">
        <v>513</v>
      </c>
      <c r="F150" s="100" t="s">
        <v>94</v>
      </c>
      <c r="G150" s="100">
        <v>0</v>
      </c>
      <c r="H150" s="100" t="s">
        <v>509</v>
      </c>
      <c r="I150" s="100" t="s">
        <v>682</v>
      </c>
      <c r="J150" s="100"/>
      <c r="K150" s="100" t="s">
        <v>223</v>
      </c>
      <c r="L150" s="100" t="s">
        <v>487</v>
      </c>
      <c r="M150" s="100" t="s">
        <v>501</v>
      </c>
      <c r="N150" s="100"/>
      <c r="O150" s="103"/>
    </row>
    <row r="151" spans="1:15" ht="13">
      <c r="A151" s="99" t="s">
        <v>375</v>
      </c>
      <c r="B151" s="100" t="s">
        <v>680</v>
      </c>
      <c r="C151" s="100" t="s">
        <v>681</v>
      </c>
      <c r="D151" s="100" t="s">
        <v>680</v>
      </c>
      <c r="E151" s="100" t="s">
        <v>634</v>
      </c>
      <c r="F151" s="100" t="s">
        <v>110</v>
      </c>
      <c r="G151" s="100">
        <v>0</v>
      </c>
      <c r="H151" s="100" t="s">
        <v>509</v>
      </c>
      <c r="I151" s="100" t="s">
        <v>516</v>
      </c>
      <c r="J151" s="100"/>
      <c r="K151" s="100" t="s">
        <v>221</v>
      </c>
      <c r="L151" s="100" t="s">
        <v>487</v>
      </c>
      <c r="M151" s="100" t="s">
        <v>501</v>
      </c>
      <c r="N151" s="100"/>
      <c r="O151" s="103"/>
    </row>
    <row r="152" spans="1:15" ht="13">
      <c r="A152" s="99" t="s">
        <v>376</v>
      </c>
      <c r="B152" s="100" t="s">
        <v>680</v>
      </c>
      <c r="C152" s="100" t="s">
        <v>681</v>
      </c>
      <c r="D152" s="100" t="s">
        <v>681</v>
      </c>
      <c r="E152" s="100" t="s">
        <v>518</v>
      </c>
      <c r="F152" s="100" t="s">
        <v>212</v>
      </c>
      <c r="G152" s="100">
        <v>0</v>
      </c>
      <c r="H152" s="100" t="s">
        <v>487</v>
      </c>
      <c r="I152" s="100" t="s">
        <v>632</v>
      </c>
      <c r="J152" s="100"/>
      <c r="K152" s="100" t="s">
        <v>231</v>
      </c>
      <c r="L152" s="100" t="s">
        <v>487</v>
      </c>
      <c r="M152" s="100"/>
      <c r="N152" s="100"/>
      <c r="O152" s="103" t="s">
        <v>519</v>
      </c>
    </row>
    <row r="153" spans="1:15" ht="13">
      <c r="A153" s="99" t="s">
        <v>377</v>
      </c>
      <c r="B153" s="100" t="s">
        <v>680</v>
      </c>
      <c r="C153" s="100" t="s">
        <v>681</v>
      </c>
      <c r="D153" s="100" t="s">
        <v>681</v>
      </c>
      <c r="E153" s="100" t="s">
        <v>683</v>
      </c>
      <c r="F153" s="100" t="s">
        <v>212</v>
      </c>
      <c r="G153" s="100">
        <v>0</v>
      </c>
      <c r="H153" s="100" t="s">
        <v>487</v>
      </c>
      <c r="I153" s="100" t="s">
        <v>684</v>
      </c>
      <c r="J153" s="100"/>
      <c r="K153" s="100" t="s">
        <v>234</v>
      </c>
      <c r="L153" s="100" t="s">
        <v>487</v>
      </c>
      <c r="M153" s="100" t="s">
        <v>501</v>
      </c>
      <c r="N153" s="100"/>
      <c r="O153" s="103"/>
    </row>
    <row r="154" spans="1:15" ht="13">
      <c r="A154" s="99" t="s">
        <v>378</v>
      </c>
      <c r="B154" s="100" t="s">
        <v>685</v>
      </c>
      <c r="C154" s="100" t="s">
        <v>686</v>
      </c>
      <c r="D154" s="100" t="s">
        <v>685</v>
      </c>
      <c r="E154" s="100" t="s">
        <v>513</v>
      </c>
      <c r="F154" s="100" t="s">
        <v>94</v>
      </c>
      <c r="G154" s="100">
        <v>0</v>
      </c>
      <c r="H154" s="100" t="s">
        <v>509</v>
      </c>
      <c r="I154" s="100" t="s">
        <v>687</v>
      </c>
      <c r="J154" s="100"/>
      <c r="K154" s="100" t="s">
        <v>280</v>
      </c>
      <c r="L154" s="100" t="s">
        <v>487</v>
      </c>
      <c r="M154" s="100" t="s">
        <v>501</v>
      </c>
      <c r="N154" s="100"/>
      <c r="O154" s="103"/>
    </row>
    <row r="155" spans="1:15" ht="13">
      <c r="A155" s="99">
        <v>529358</v>
      </c>
      <c r="B155" s="100" t="s">
        <v>685</v>
      </c>
      <c r="C155" s="100" t="s">
        <v>686</v>
      </c>
      <c r="D155" s="100" t="s">
        <v>685</v>
      </c>
      <c r="E155" s="100" t="s">
        <v>503</v>
      </c>
      <c r="F155" s="100" t="s">
        <v>86</v>
      </c>
      <c r="G155" s="100">
        <v>0</v>
      </c>
      <c r="H155" s="100" t="s">
        <v>501</v>
      </c>
      <c r="I155" s="100" t="s">
        <v>666</v>
      </c>
      <c r="J155" s="100"/>
      <c r="K155" s="100" t="s">
        <v>379</v>
      </c>
      <c r="L155" s="100" t="s">
        <v>487</v>
      </c>
      <c r="M155" s="100" t="s">
        <v>501</v>
      </c>
      <c r="N155" s="100" t="s">
        <v>588</v>
      </c>
      <c r="O155" s="103"/>
    </row>
    <row r="156" spans="1:15" ht="13">
      <c r="A156" s="99" t="s">
        <v>380</v>
      </c>
      <c r="B156" s="100" t="s">
        <v>685</v>
      </c>
      <c r="C156" s="100" t="s">
        <v>686</v>
      </c>
      <c r="D156" s="100" t="s">
        <v>685</v>
      </c>
      <c r="E156" s="100" t="s">
        <v>572</v>
      </c>
      <c r="F156" s="100" t="s">
        <v>86</v>
      </c>
      <c r="G156" s="100">
        <v>0</v>
      </c>
      <c r="H156" s="100" t="s">
        <v>487</v>
      </c>
      <c r="I156" s="100" t="s">
        <v>688</v>
      </c>
      <c r="J156" s="100"/>
      <c r="K156" s="100" t="s">
        <v>381</v>
      </c>
      <c r="L156" s="100" t="s">
        <v>487</v>
      </c>
      <c r="M156" s="100" t="s">
        <v>501</v>
      </c>
      <c r="N156" s="100" t="s">
        <v>588</v>
      </c>
      <c r="O156" s="103"/>
    </row>
    <row r="157" spans="1:15" ht="13">
      <c r="A157" s="99" t="s">
        <v>382</v>
      </c>
      <c r="B157" s="100" t="s">
        <v>685</v>
      </c>
      <c r="C157" s="100" t="s">
        <v>686</v>
      </c>
      <c r="D157" s="100" t="s">
        <v>685</v>
      </c>
      <c r="E157" s="100" t="s">
        <v>551</v>
      </c>
      <c r="F157" s="100" t="s">
        <v>86</v>
      </c>
      <c r="G157" s="100">
        <v>0</v>
      </c>
      <c r="H157" s="100" t="s">
        <v>688</v>
      </c>
      <c r="I157" s="100" t="s">
        <v>688</v>
      </c>
      <c r="J157" s="100"/>
      <c r="K157" s="100" t="s">
        <v>381</v>
      </c>
      <c r="L157" s="100" t="s">
        <v>487</v>
      </c>
      <c r="M157" s="100" t="s">
        <v>501</v>
      </c>
      <c r="N157" s="100" t="s">
        <v>588</v>
      </c>
      <c r="O157" s="103"/>
    </row>
    <row r="158" spans="1:15" ht="13">
      <c r="A158" s="99" t="s">
        <v>383</v>
      </c>
      <c r="B158" s="100" t="s">
        <v>685</v>
      </c>
      <c r="C158" s="100" t="s">
        <v>686</v>
      </c>
      <c r="D158" s="100" t="s">
        <v>685</v>
      </c>
      <c r="E158" s="100" t="s">
        <v>533</v>
      </c>
      <c r="F158" s="100" t="s">
        <v>86</v>
      </c>
      <c r="G158" s="100">
        <v>0</v>
      </c>
      <c r="H158" s="100" t="s">
        <v>487</v>
      </c>
      <c r="I158" s="100" t="s">
        <v>688</v>
      </c>
      <c r="J158" s="100"/>
      <c r="K158" s="100" t="s">
        <v>381</v>
      </c>
      <c r="L158" s="100" t="s">
        <v>487</v>
      </c>
      <c r="M158" s="100" t="s">
        <v>501</v>
      </c>
      <c r="N158" s="100" t="s">
        <v>588</v>
      </c>
      <c r="O158" s="103"/>
    </row>
    <row r="159" spans="1:15" ht="13">
      <c r="A159" s="99" t="s">
        <v>384</v>
      </c>
      <c r="B159" s="100" t="s">
        <v>685</v>
      </c>
      <c r="C159" s="100" t="s">
        <v>686</v>
      </c>
      <c r="D159" s="100" t="s">
        <v>685</v>
      </c>
      <c r="E159" s="100" t="s">
        <v>486</v>
      </c>
      <c r="F159" s="100" t="s">
        <v>86</v>
      </c>
      <c r="G159" s="100">
        <v>0</v>
      </c>
      <c r="H159" s="100" t="s">
        <v>688</v>
      </c>
      <c r="I159" s="100" t="s">
        <v>688</v>
      </c>
      <c r="J159" s="100"/>
      <c r="K159" s="100" t="s">
        <v>381</v>
      </c>
      <c r="L159" s="100" t="s">
        <v>487</v>
      </c>
      <c r="M159" s="100" t="s">
        <v>501</v>
      </c>
      <c r="N159" s="100" t="s">
        <v>588</v>
      </c>
      <c r="O159" s="103"/>
    </row>
    <row r="160" spans="1:15" ht="13">
      <c r="A160" s="99" t="s">
        <v>385</v>
      </c>
      <c r="B160" s="100" t="s">
        <v>685</v>
      </c>
      <c r="C160" s="100" t="s">
        <v>686</v>
      </c>
      <c r="D160" s="100" t="s">
        <v>685</v>
      </c>
      <c r="E160" s="100" t="s">
        <v>534</v>
      </c>
      <c r="F160" s="100" t="s">
        <v>86</v>
      </c>
      <c r="G160" s="100">
        <v>0</v>
      </c>
      <c r="H160" s="100" t="s">
        <v>688</v>
      </c>
      <c r="I160" s="100" t="s">
        <v>688</v>
      </c>
      <c r="J160" s="100"/>
      <c r="K160" s="100" t="s">
        <v>381</v>
      </c>
      <c r="L160" s="100" t="s">
        <v>487</v>
      </c>
      <c r="M160" s="100" t="s">
        <v>501</v>
      </c>
      <c r="N160" s="100" t="s">
        <v>588</v>
      </c>
      <c r="O160" s="103"/>
    </row>
    <row r="161" spans="1:15" ht="13">
      <c r="A161" s="99" t="s">
        <v>386</v>
      </c>
      <c r="B161" s="100" t="s">
        <v>685</v>
      </c>
      <c r="C161" s="100" t="s">
        <v>686</v>
      </c>
      <c r="D161" s="100" t="s">
        <v>685</v>
      </c>
      <c r="E161" s="100" t="s">
        <v>689</v>
      </c>
      <c r="F161" s="100" t="s">
        <v>86</v>
      </c>
      <c r="G161" s="100">
        <v>0</v>
      </c>
      <c r="H161" s="100" t="s">
        <v>487</v>
      </c>
      <c r="I161" s="100" t="s">
        <v>688</v>
      </c>
      <c r="J161" s="100"/>
      <c r="K161" s="100" t="s">
        <v>381</v>
      </c>
      <c r="L161" s="100" t="s">
        <v>487</v>
      </c>
      <c r="M161" s="100" t="s">
        <v>501</v>
      </c>
      <c r="N161" s="100" t="s">
        <v>588</v>
      </c>
      <c r="O161" s="103"/>
    </row>
    <row r="162" spans="1:15" ht="13">
      <c r="A162" s="99" t="s">
        <v>387</v>
      </c>
      <c r="B162" s="100" t="s">
        <v>685</v>
      </c>
      <c r="C162" s="100" t="s">
        <v>686</v>
      </c>
      <c r="D162" s="100" t="s">
        <v>685</v>
      </c>
      <c r="E162" s="100" t="s">
        <v>662</v>
      </c>
      <c r="F162" s="100" t="s">
        <v>86</v>
      </c>
      <c r="G162" s="100">
        <v>0</v>
      </c>
      <c r="H162" s="100" t="s">
        <v>487</v>
      </c>
      <c r="I162" s="100" t="s">
        <v>690</v>
      </c>
      <c r="J162" s="100"/>
      <c r="K162" s="100" t="s">
        <v>219</v>
      </c>
      <c r="L162" s="100" t="s">
        <v>487</v>
      </c>
      <c r="M162" s="100" t="s">
        <v>501</v>
      </c>
      <c r="N162" s="100"/>
      <c r="O162" s="103"/>
    </row>
    <row r="163" spans="1:15" ht="13">
      <c r="A163" s="99" t="s">
        <v>388</v>
      </c>
      <c r="B163" s="100" t="s">
        <v>685</v>
      </c>
      <c r="C163" s="100" t="s">
        <v>686</v>
      </c>
      <c r="D163" s="100" t="s">
        <v>686</v>
      </c>
      <c r="E163" s="100" t="s">
        <v>570</v>
      </c>
      <c r="F163" s="100" t="s">
        <v>212</v>
      </c>
      <c r="G163" s="100">
        <v>0</v>
      </c>
      <c r="H163" s="100" t="s">
        <v>509</v>
      </c>
      <c r="I163" s="100" t="s">
        <v>665</v>
      </c>
      <c r="J163" s="100"/>
      <c r="K163" s="100" t="s">
        <v>246</v>
      </c>
      <c r="L163" s="100" t="s">
        <v>487</v>
      </c>
      <c r="M163" s="100" t="s">
        <v>501</v>
      </c>
      <c r="N163" s="100"/>
      <c r="O163" s="103"/>
    </row>
    <row r="164" spans="1:15" ht="13">
      <c r="A164" s="99" t="s">
        <v>389</v>
      </c>
      <c r="B164" s="100" t="s">
        <v>685</v>
      </c>
      <c r="C164" s="100" t="s">
        <v>686</v>
      </c>
      <c r="D164" s="100" t="s">
        <v>686</v>
      </c>
      <c r="E164" s="100" t="s">
        <v>518</v>
      </c>
      <c r="F164" s="100" t="s">
        <v>212</v>
      </c>
      <c r="G164" s="100">
        <v>0</v>
      </c>
      <c r="H164" s="100" t="s">
        <v>487</v>
      </c>
      <c r="I164" s="100" t="s">
        <v>600</v>
      </c>
      <c r="J164" s="100"/>
      <c r="K164" s="100" t="s">
        <v>234</v>
      </c>
      <c r="L164" s="100" t="s">
        <v>487</v>
      </c>
      <c r="M164" s="100" t="s">
        <v>501</v>
      </c>
      <c r="N164" s="100"/>
      <c r="O164" s="103"/>
    </row>
    <row r="165" spans="1:15" ht="13">
      <c r="A165" s="99" t="s">
        <v>390</v>
      </c>
      <c r="B165" s="100" t="s">
        <v>691</v>
      </c>
      <c r="C165" s="100" t="s">
        <v>692</v>
      </c>
      <c r="D165" s="100" t="s">
        <v>693</v>
      </c>
      <c r="E165" s="100" t="s">
        <v>499</v>
      </c>
      <c r="F165" s="100" t="s">
        <v>94</v>
      </c>
      <c r="G165" s="100">
        <v>0</v>
      </c>
      <c r="H165" s="100" t="s">
        <v>487</v>
      </c>
      <c r="I165" s="100" t="s">
        <v>694</v>
      </c>
      <c r="J165" s="100"/>
      <c r="K165" s="100" t="s">
        <v>213</v>
      </c>
      <c r="L165" s="100" t="s">
        <v>487</v>
      </c>
      <c r="M165" s="100" t="s">
        <v>501</v>
      </c>
      <c r="N165" s="100"/>
      <c r="O165" s="103"/>
    </row>
    <row r="166" spans="1:15" ht="13">
      <c r="A166" s="99" t="s">
        <v>391</v>
      </c>
      <c r="B166" s="100" t="s">
        <v>695</v>
      </c>
      <c r="C166" s="100" t="s">
        <v>692</v>
      </c>
      <c r="D166" s="100" t="s">
        <v>695</v>
      </c>
      <c r="E166" s="100" t="s">
        <v>529</v>
      </c>
      <c r="F166" s="100" t="s">
        <v>212</v>
      </c>
      <c r="G166" s="100">
        <v>0</v>
      </c>
      <c r="H166" s="100" t="s">
        <v>509</v>
      </c>
      <c r="I166" s="100" t="s">
        <v>549</v>
      </c>
      <c r="J166" s="100"/>
      <c r="K166" s="100" t="s">
        <v>246</v>
      </c>
      <c r="L166" s="100" t="s">
        <v>487</v>
      </c>
      <c r="M166" s="100" t="s">
        <v>501</v>
      </c>
      <c r="N166" s="100"/>
      <c r="O166" s="103"/>
    </row>
    <row r="167" spans="1:15" ht="13">
      <c r="A167" s="99" t="s">
        <v>392</v>
      </c>
      <c r="B167" s="100" t="s">
        <v>695</v>
      </c>
      <c r="C167" s="100" t="s">
        <v>692</v>
      </c>
      <c r="D167" s="100" t="s">
        <v>695</v>
      </c>
      <c r="E167" s="100" t="s">
        <v>486</v>
      </c>
      <c r="F167" s="100" t="s">
        <v>212</v>
      </c>
      <c r="G167" s="100">
        <v>0</v>
      </c>
      <c r="H167" s="100" t="s">
        <v>487</v>
      </c>
      <c r="I167" s="100" t="s">
        <v>696</v>
      </c>
      <c r="J167" s="100"/>
      <c r="K167" s="100" t="s">
        <v>231</v>
      </c>
      <c r="L167" s="100" t="s">
        <v>487</v>
      </c>
      <c r="M167" s="100"/>
      <c r="N167" s="100"/>
      <c r="O167" s="103" t="s">
        <v>519</v>
      </c>
    </row>
    <row r="168" spans="1:15" ht="13">
      <c r="A168" s="99">
        <v>529974</v>
      </c>
      <c r="B168" s="100" t="s">
        <v>695</v>
      </c>
      <c r="C168" s="100" t="s">
        <v>692</v>
      </c>
      <c r="D168" s="100" t="s">
        <v>695</v>
      </c>
      <c r="E168" s="100" t="s">
        <v>503</v>
      </c>
      <c r="F168" s="100" t="s">
        <v>110</v>
      </c>
      <c r="G168" s="100">
        <v>0</v>
      </c>
      <c r="H168" s="100" t="s">
        <v>501</v>
      </c>
      <c r="I168" s="100" t="s">
        <v>666</v>
      </c>
      <c r="J168" s="100"/>
      <c r="K168" s="100" t="s">
        <v>393</v>
      </c>
      <c r="L168" s="100" t="s">
        <v>487</v>
      </c>
      <c r="M168" s="100" t="s">
        <v>501</v>
      </c>
      <c r="N168" s="100" t="s">
        <v>588</v>
      </c>
      <c r="O168" s="103"/>
    </row>
    <row r="169" spans="1:15" ht="13">
      <c r="A169" s="99" t="s">
        <v>394</v>
      </c>
      <c r="B169" s="100" t="s">
        <v>695</v>
      </c>
      <c r="C169" s="100" t="s">
        <v>692</v>
      </c>
      <c r="D169" s="100" t="s">
        <v>695</v>
      </c>
      <c r="E169" s="100" t="s">
        <v>697</v>
      </c>
      <c r="F169" s="100" t="s">
        <v>110</v>
      </c>
      <c r="G169" s="100">
        <v>0</v>
      </c>
      <c r="H169" s="100" t="s">
        <v>509</v>
      </c>
      <c r="I169" s="100" t="s">
        <v>543</v>
      </c>
      <c r="J169" s="100"/>
      <c r="K169" s="100" t="s">
        <v>221</v>
      </c>
      <c r="L169" s="100" t="s">
        <v>487</v>
      </c>
      <c r="M169" s="100" t="s">
        <v>501</v>
      </c>
      <c r="N169" s="100"/>
      <c r="O169" s="103"/>
    </row>
    <row r="170" spans="1:15" ht="13">
      <c r="A170" s="99" t="s">
        <v>395</v>
      </c>
      <c r="B170" s="100" t="s">
        <v>698</v>
      </c>
      <c r="C170" s="100" t="s">
        <v>699</v>
      </c>
      <c r="D170" s="100" t="s">
        <v>698</v>
      </c>
      <c r="E170" s="100" t="s">
        <v>495</v>
      </c>
      <c r="F170" s="100" t="s">
        <v>94</v>
      </c>
      <c r="G170" s="100">
        <v>0</v>
      </c>
      <c r="H170" s="100" t="s">
        <v>487</v>
      </c>
      <c r="I170" s="100" t="s">
        <v>700</v>
      </c>
      <c r="J170" s="100"/>
      <c r="K170" s="100" t="s">
        <v>234</v>
      </c>
      <c r="L170" s="100" t="s">
        <v>487</v>
      </c>
      <c r="M170" s="100" t="s">
        <v>501</v>
      </c>
      <c r="N170" s="100"/>
      <c r="O170" s="103"/>
    </row>
    <row r="171" spans="1:15" ht="13">
      <c r="A171" s="99" t="s">
        <v>396</v>
      </c>
      <c r="B171" s="100" t="s">
        <v>701</v>
      </c>
      <c r="C171" s="100" t="s">
        <v>702</v>
      </c>
      <c r="D171" s="100" t="s">
        <v>701</v>
      </c>
      <c r="E171" s="100" t="s">
        <v>486</v>
      </c>
      <c r="F171" s="100" t="s">
        <v>212</v>
      </c>
      <c r="G171" s="100">
        <v>0</v>
      </c>
      <c r="H171" s="100" t="s">
        <v>487</v>
      </c>
      <c r="I171" s="100" t="s">
        <v>703</v>
      </c>
      <c r="J171" s="100"/>
      <c r="K171" s="100" t="s">
        <v>231</v>
      </c>
      <c r="L171" s="100" t="s">
        <v>487</v>
      </c>
      <c r="M171" s="100"/>
      <c r="N171" s="100"/>
      <c r="O171" s="103" t="s">
        <v>519</v>
      </c>
    </row>
    <row r="172" spans="1:15" ht="13">
      <c r="A172" s="99" t="s">
        <v>397</v>
      </c>
      <c r="B172" s="100" t="s">
        <v>701</v>
      </c>
      <c r="C172" s="100" t="s">
        <v>702</v>
      </c>
      <c r="D172" s="100" t="s">
        <v>701</v>
      </c>
      <c r="E172" s="100" t="s">
        <v>595</v>
      </c>
      <c r="F172" s="100" t="s">
        <v>212</v>
      </c>
      <c r="G172" s="100">
        <v>0</v>
      </c>
      <c r="H172" s="100" t="s">
        <v>487</v>
      </c>
      <c r="I172" s="100" t="s">
        <v>647</v>
      </c>
      <c r="J172" s="100"/>
      <c r="K172" s="100" t="s">
        <v>234</v>
      </c>
      <c r="L172" s="100" t="s">
        <v>487</v>
      </c>
      <c r="M172" s="100" t="s">
        <v>501</v>
      </c>
      <c r="N172" s="100"/>
      <c r="O172" s="103"/>
    </row>
    <row r="173" spans="1:15" ht="13">
      <c r="A173" s="99" t="s">
        <v>398</v>
      </c>
      <c r="B173" s="100" t="s">
        <v>704</v>
      </c>
      <c r="C173" s="100" t="s">
        <v>705</v>
      </c>
      <c r="D173" s="100" t="s">
        <v>706</v>
      </c>
      <c r="E173" s="100" t="s">
        <v>558</v>
      </c>
      <c r="F173" s="100" t="s">
        <v>110</v>
      </c>
      <c r="G173" s="100">
        <v>0</v>
      </c>
      <c r="H173" s="100" t="s">
        <v>487</v>
      </c>
      <c r="I173" s="100" t="s">
        <v>506</v>
      </c>
      <c r="J173" s="100"/>
      <c r="K173" s="100" t="s">
        <v>263</v>
      </c>
      <c r="L173" s="100" t="s">
        <v>487</v>
      </c>
      <c r="M173" s="100" t="s">
        <v>501</v>
      </c>
      <c r="N173" s="100"/>
      <c r="O173" s="103"/>
    </row>
    <row r="174" spans="1:15" ht="13">
      <c r="A174" s="99" t="s">
        <v>399</v>
      </c>
      <c r="B174" s="100" t="s">
        <v>707</v>
      </c>
      <c r="C174" s="100" t="s">
        <v>705</v>
      </c>
      <c r="D174" s="100" t="s">
        <v>707</v>
      </c>
      <c r="E174" s="100" t="s">
        <v>540</v>
      </c>
      <c r="F174" s="100" t="s">
        <v>94</v>
      </c>
      <c r="G174" s="100">
        <v>0</v>
      </c>
      <c r="H174" s="100" t="s">
        <v>509</v>
      </c>
      <c r="I174" s="100" t="s">
        <v>571</v>
      </c>
      <c r="J174" s="100"/>
      <c r="K174" s="100" t="s">
        <v>280</v>
      </c>
      <c r="L174" s="100" t="s">
        <v>487</v>
      </c>
      <c r="M174" s="100" t="s">
        <v>501</v>
      </c>
      <c r="N174" s="100"/>
      <c r="O174" s="103"/>
    </row>
    <row r="175" spans="1:15" ht="13">
      <c r="A175" s="99" t="s">
        <v>400</v>
      </c>
      <c r="B175" s="100" t="s">
        <v>707</v>
      </c>
      <c r="C175" s="100" t="s">
        <v>705</v>
      </c>
      <c r="D175" s="100" t="s">
        <v>707</v>
      </c>
      <c r="E175" s="100" t="s">
        <v>503</v>
      </c>
      <c r="F175" s="100" t="s">
        <v>110</v>
      </c>
      <c r="G175" s="100">
        <v>0</v>
      </c>
      <c r="H175" s="100" t="s">
        <v>487</v>
      </c>
      <c r="I175" s="100" t="s">
        <v>504</v>
      </c>
      <c r="J175" s="100"/>
      <c r="K175" s="100" t="s">
        <v>215</v>
      </c>
      <c r="L175" s="100" t="s">
        <v>487</v>
      </c>
      <c r="M175" s="100" t="s">
        <v>501</v>
      </c>
      <c r="N175" s="100"/>
      <c r="O175" s="103"/>
    </row>
    <row r="176" spans="1:15" ht="13">
      <c r="A176" s="99" t="s">
        <v>401</v>
      </c>
      <c r="B176" s="100" t="s">
        <v>707</v>
      </c>
      <c r="C176" s="100" t="s">
        <v>705</v>
      </c>
      <c r="D176" s="100" t="s">
        <v>707</v>
      </c>
      <c r="E176" s="100" t="s">
        <v>570</v>
      </c>
      <c r="F176" s="100" t="s">
        <v>110</v>
      </c>
      <c r="G176" s="100">
        <v>0</v>
      </c>
      <c r="H176" s="100" t="s">
        <v>487</v>
      </c>
      <c r="I176" s="100" t="s">
        <v>571</v>
      </c>
      <c r="J176" s="100"/>
      <c r="K176" s="100" t="s">
        <v>268</v>
      </c>
      <c r="L176" s="100" t="s">
        <v>487</v>
      </c>
      <c r="M176" s="100" t="s">
        <v>501</v>
      </c>
      <c r="N176" s="100"/>
      <c r="O176" s="103"/>
    </row>
    <row r="177" spans="1:15" ht="13">
      <c r="A177" s="99" t="s">
        <v>402</v>
      </c>
      <c r="B177" s="100" t="s">
        <v>707</v>
      </c>
      <c r="C177" s="100" t="s">
        <v>705</v>
      </c>
      <c r="D177" s="100" t="s">
        <v>707</v>
      </c>
      <c r="E177" s="100" t="s">
        <v>494</v>
      </c>
      <c r="F177" s="100" t="s">
        <v>110</v>
      </c>
      <c r="G177" s="100">
        <v>0</v>
      </c>
      <c r="H177" s="100" t="s">
        <v>506</v>
      </c>
      <c r="I177" s="100" t="s">
        <v>504</v>
      </c>
      <c r="J177" s="100"/>
      <c r="K177" s="100" t="s">
        <v>215</v>
      </c>
      <c r="L177" s="100" t="s">
        <v>487</v>
      </c>
      <c r="M177" s="100" t="s">
        <v>501</v>
      </c>
      <c r="N177" s="100"/>
      <c r="O177" s="103"/>
    </row>
    <row r="178" spans="1:15" ht="13">
      <c r="A178" s="99" t="s">
        <v>403</v>
      </c>
      <c r="B178" s="100" t="s">
        <v>707</v>
      </c>
      <c r="C178" s="100" t="s">
        <v>705</v>
      </c>
      <c r="D178" s="100" t="s">
        <v>707</v>
      </c>
      <c r="E178" s="100" t="s">
        <v>529</v>
      </c>
      <c r="F178" s="100" t="s">
        <v>110</v>
      </c>
      <c r="G178" s="100">
        <v>0</v>
      </c>
      <c r="H178" s="100" t="s">
        <v>665</v>
      </c>
      <c r="I178" s="100" t="s">
        <v>571</v>
      </c>
      <c r="J178" s="100"/>
      <c r="K178" s="100" t="s">
        <v>268</v>
      </c>
      <c r="L178" s="100" t="s">
        <v>487</v>
      </c>
      <c r="M178" s="100" t="s">
        <v>501</v>
      </c>
      <c r="N178" s="100"/>
      <c r="O178" s="103"/>
    </row>
    <row r="179" spans="1:15" ht="13">
      <c r="A179" s="99" t="s">
        <v>404</v>
      </c>
      <c r="B179" s="100" t="s">
        <v>707</v>
      </c>
      <c r="C179" s="100" t="s">
        <v>705</v>
      </c>
      <c r="D179" s="100" t="s">
        <v>707</v>
      </c>
      <c r="E179" s="100" t="s">
        <v>551</v>
      </c>
      <c r="F179" s="100" t="s">
        <v>110</v>
      </c>
      <c r="G179" s="100">
        <v>0</v>
      </c>
      <c r="H179" s="100" t="s">
        <v>487</v>
      </c>
      <c r="I179" s="100" t="s">
        <v>506</v>
      </c>
      <c r="J179" s="100"/>
      <c r="K179" s="100" t="s">
        <v>215</v>
      </c>
      <c r="L179" s="100" t="s">
        <v>487</v>
      </c>
      <c r="M179" s="100" t="s">
        <v>501</v>
      </c>
      <c r="N179" s="100"/>
      <c r="O179" s="103"/>
    </row>
    <row r="180" spans="1:15" ht="13">
      <c r="A180" s="99" t="s">
        <v>405</v>
      </c>
      <c r="B180" s="100" t="s">
        <v>707</v>
      </c>
      <c r="C180" s="100" t="s">
        <v>705</v>
      </c>
      <c r="D180" s="100" t="s">
        <v>707</v>
      </c>
      <c r="E180" s="100" t="s">
        <v>619</v>
      </c>
      <c r="F180" s="100" t="s">
        <v>110</v>
      </c>
      <c r="G180" s="100">
        <v>0</v>
      </c>
      <c r="H180" s="100" t="s">
        <v>487</v>
      </c>
      <c r="I180" s="100" t="s">
        <v>665</v>
      </c>
      <c r="J180" s="100"/>
      <c r="K180" s="100" t="s">
        <v>268</v>
      </c>
      <c r="L180" s="100" t="s">
        <v>487</v>
      </c>
      <c r="M180" s="100" t="s">
        <v>501</v>
      </c>
      <c r="N180" s="100"/>
      <c r="O180" s="103"/>
    </row>
    <row r="181" spans="1:15" ht="13">
      <c r="A181" s="99">
        <v>529383</v>
      </c>
      <c r="B181" s="100" t="s">
        <v>707</v>
      </c>
      <c r="C181" s="100" t="s">
        <v>705</v>
      </c>
      <c r="D181" s="100" t="s">
        <v>707</v>
      </c>
      <c r="E181" s="100" t="s">
        <v>503</v>
      </c>
      <c r="F181" s="100" t="s">
        <v>86</v>
      </c>
      <c r="G181" s="100">
        <v>0</v>
      </c>
      <c r="H181" s="100" t="s">
        <v>501</v>
      </c>
      <c r="I181" s="100" t="s">
        <v>666</v>
      </c>
      <c r="J181" s="100"/>
      <c r="K181" s="100" t="s">
        <v>406</v>
      </c>
      <c r="L181" s="100" t="s">
        <v>487</v>
      </c>
      <c r="M181" s="100" t="s">
        <v>501</v>
      </c>
      <c r="N181" s="100" t="s">
        <v>588</v>
      </c>
      <c r="O181" s="103"/>
    </row>
    <row r="182" spans="1:15" ht="13">
      <c r="A182" s="99">
        <v>530023</v>
      </c>
      <c r="B182" s="100" t="s">
        <v>707</v>
      </c>
      <c r="C182" s="100" t="s">
        <v>705</v>
      </c>
      <c r="D182" s="100" t="s">
        <v>707</v>
      </c>
      <c r="E182" s="100" t="s">
        <v>577</v>
      </c>
      <c r="F182" s="100" t="s">
        <v>86</v>
      </c>
      <c r="G182" s="100">
        <v>0</v>
      </c>
      <c r="H182" s="100" t="s">
        <v>501</v>
      </c>
      <c r="I182" s="100" t="s">
        <v>666</v>
      </c>
      <c r="J182" s="100"/>
      <c r="K182" s="100" t="s">
        <v>407</v>
      </c>
      <c r="L182" s="100" t="s">
        <v>487</v>
      </c>
      <c r="M182" s="100" t="s">
        <v>501</v>
      </c>
      <c r="N182" s="100" t="s">
        <v>588</v>
      </c>
      <c r="O182" s="103"/>
    </row>
    <row r="183" spans="1:15" ht="13">
      <c r="A183" s="99" t="s">
        <v>408</v>
      </c>
      <c r="B183" s="100" t="s">
        <v>708</v>
      </c>
      <c r="C183" s="100" t="s">
        <v>709</v>
      </c>
      <c r="D183" s="100" t="s">
        <v>708</v>
      </c>
      <c r="E183" s="100" t="s">
        <v>513</v>
      </c>
      <c r="F183" s="100" t="s">
        <v>94</v>
      </c>
      <c r="G183" s="100">
        <v>0</v>
      </c>
      <c r="H183" s="100" t="s">
        <v>509</v>
      </c>
      <c r="I183" s="100" t="s">
        <v>710</v>
      </c>
      <c r="J183" s="100"/>
      <c r="K183" s="100" t="s">
        <v>223</v>
      </c>
      <c r="L183" s="100" t="s">
        <v>487</v>
      </c>
      <c r="M183" s="100" t="s">
        <v>501</v>
      </c>
      <c r="N183" s="100"/>
      <c r="O183" s="103"/>
    </row>
    <row r="184" spans="1:15" ht="13">
      <c r="A184" s="99" t="s">
        <v>409</v>
      </c>
      <c r="B184" s="100" t="s">
        <v>708</v>
      </c>
      <c r="C184" s="100" t="s">
        <v>709</v>
      </c>
      <c r="D184" s="100" t="s">
        <v>708</v>
      </c>
      <c r="E184" s="100" t="s">
        <v>551</v>
      </c>
      <c r="F184" s="100" t="s">
        <v>212</v>
      </c>
      <c r="G184" s="100">
        <v>0</v>
      </c>
      <c r="H184" s="100" t="s">
        <v>509</v>
      </c>
      <c r="I184" s="100" t="s">
        <v>711</v>
      </c>
      <c r="J184" s="100"/>
      <c r="K184" s="100" t="s">
        <v>246</v>
      </c>
      <c r="L184" s="100" t="s">
        <v>487</v>
      </c>
      <c r="M184" s="100" t="s">
        <v>501</v>
      </c>
      <c r="N184" s="100"/>
      <c r="O184" s="103"/>
    </row>
    <row r="185" spans="1:15" ht="13">
      <c r="A185" s="99" t="s">
        <v>410</v>
      </c>
      <c r="B185" s="100" t="s">
        <v>708</v>
      </c>
      <c r="C185" s="100" t="s">
        <v>708</v>
      </c>
      <c r="D185" s="100" t="s">
        <v>708</v>
      </c>
      <c r="E185" s="100" t="s">
        <v>518</v>
      </c>
      <c r="F185" s="100" t="s">
        <v>212</v>
      </c>
      <c r="G185" s="100">
        <v>0</v>
      </c>
      <c r="H185" s="100" t="s">
        <v>487</v>
      </c>
      <c r="I185" s="100" t="s">
        <v>712</v>
      </c>
      <c r="J185" s="100"/>
      <c r="K185" s="100" t="s">
        <v>231</v>
      </c>
      <c r="L185" s="100" t="s">
        <v>487</v>
      </c>
      <c r="M185" s="100"/>
      <c r="N185" s="100"/>
      <c r="O185" s="103" t="s">
        <v>519</v>
      </c>
    </row>
    <row r="186" spans="1:15" ht="13">
      <c r="A186" s="99" t="s">
        <v>411</v>
      </c>
      <c r="B186" s="100" t="s">
        <v>707</v>
      </c>
      <c r="C186" s="100" t="s">
        <v>705</v>
      </c>
      <c r="D186" s="100" t="s">
        <v>708</v>
      </c>
      <c r="E186" s="100" t="s">
        <v>634</v>
      </c>
      <c r="F186" s="100" t="s">
        <v>110</v>
      </c>
      <c r="G186" s="100">
        <v>0</v>
      </c>
      <c r="H186" s="100" t="s">
        <v>509</v>
      </c>
      <c r="I186" s="100" t="s">
        <v>585</v>
      </c>
      <c r="J186" s="100"/>
      <c r="K186" s="100" t="s">
        <v>283</v>
      </c>
      <c r="L186" s="100" t="s">
        <v>487</v>
      </c>
      <c r="M186" s="100" t="s">
        <v>501</v>
      </c>
      <c r="N186" s="100"/>
      <c r="O186" s="103"/>
    </row>
    <row r="187" spans="1:15" ht="13">
      <c r="A187" s="99" t="s">
        <v>412</v>
      </c>
      <c r="B187" s="100" t="s">
        <v>707</v>
      </c>
      <c r="C187" s="100" t="s">
        <v>705</v>
      </c>
      <c r="D187" s="100" t="s">
        <v>708</v>
      </c>
      <c r="E187" s="100" t="s">
        <v>603</v>
      </c>
      <c r="F187" s="100" t="s">
        <v>110</v>
      </c>
      <c r="G187" s="100">
        <v>0</v>
      </c>
      <c r="H187" s="100" t="s">
        <v>656</v>
      </c>
      <c r="I187" s="100" t="s">
        <v>585</v>
      </c>
      <c r="J187" s="100"/>
      <c r="K187" s="100" t="s">
        <v>283</v>
      </c>
      <c r="L187" s="100" t="s">
        <v>487</v>
      </c>
      <c r="M187" s="100" t="s">
        <v>501</v>
      </c>
      <c r="N187" s="100"/>
      <c r="O187" s="103"/>
    </row>
    <row r="188" spans="1:15" ht="13">
      <c r="A188" s="99" t="s">
        <v>413</v>
      </c>
      <c r="B188" s="100" t="s">
        <v>707</v>
      </c>
      <c r="C188" s="100" t="s">
        <v>705</v>
      </c>
      <c r="D188" s="100" t="s">
        <v>708</v>
      </c>
      <c r="E188" s="100" t="s">
        <v>652</v>
      </c>
      <c r="F188" s="100" t="s">
        <v>110</v>
      </c>
      <c r="G188" s="100">
        <v>0</v>
      </c>
      <c r="H188" s="100" t="s">
        <v>509</v>
      </c>
      <c r="I188" s="100" t="s">
        <v>656</v>
      </c>
      <c r="J188" s="100"/>
      <c r="K188" s="100" t="s">
        <v>283</v>
      </c>
      <c r="L188" s="100" t="s">
        <v>487</v>
      </c>
      <c r="M188" s="100" t="s">
        <v>501</v>
      </c>
      <c r="N188" s="100"/>
      <c r="O188" s="103"/>
    </row>
    <row r="189" spans="1:15" ht="13">
      <c r="A189" s="99">
        <v>530062</v>
      </c>
      <c r="B189" s="100" t="s">
        <v>708</v>
      </c>
      <c r="C189" s="100" t="s">
        <v>709</v>
      </c>
      <c r="D189" s="100" t="s">
        <v>708</v>
      </c>
      <c r="E189" s="100" t="s">
        <v>503</v>
      </c>
      <c r="F189" s="100" t="s">
        <v>86</v>
      </c>
      <c r="G189" s="100">
        <v>0</v>
      </c>
      <c r="H189" s="100" t="s">
        <v>501</v>
      </c>
      <c r="I189" s="100" t="s">
        <v>666</v>
      </c>
      <c r="J189" s="100"/>
      <c r="K189" s="100" t="s">
        <v>414</v>
      </c>
      <c r="L189" s="100" t="s">
        <v>487</v>
      </c>
      <c r="M189" s="100" t="s">
        <v>501</v>
      </c>
      <c r="N189" s="100" t="s">
        <v>588</v>
      </c>
      <c r="O189" s="103"/>
    </row>
    <row r="190" spans="1:15" ht="13">
      <c r="A190" s="99" t="s">
        <v>415</v>
      </c>
      <c r="B190" s="100" t="s">
        <v>708</v>
      </c>
      <c r="C190" s="100" t="s">
        <v>709</v>
      </c>
      <c r="D190" s="100" t="s">
        <v>708</v>
      </c>
      <c r="E190" s="100" t="s">
        <v>591</v>
      </c>
      <c r="F190" s="100" t="s">
        <v>86</v>
      </c>
      <c r="G190" s="100">
        <v>0</v>
      </c>
      <c r="H190" s="100" t="s">
        <v>487</v>
      </c>
      <c r="I190" s="100" t="s">
        <v>585</v>
      </c>
      <c r="J190" s="100"/>
      <c r="K190" s="100" t="s">
        <v>219</v>
      </c>
      <c r="L190" s="100" t="s">
        <v>487</v>
      </c>
      <c r="M190" s="100" t="s">
        <v>501</v>
      </c>
      <c r="N190" s="100"/>
      <c r="O190" s="103"/>
    </row>
    <row r="191" spans="1:15" ht="13">
      <c r="A191" s="99" t="s">
        <v>416</v>
      </c>
      <c r="B191" s="100" t="s">
        <v>708</v>
      </c>
      <c r="C191" s="100" t="s">
        <v>709</v>
      </c>
      <c r="D191" s="100" t="s">
        <v>708</v>
      </c>
      <c r="E191" s="100" t="s">
        <v>713</v>
      </c>
      <c r="F191" s="100" t="s">
        <v>86</v>
      </c>
      <c r="G191" s="100">
        <v>0</v>
      </c>
      <c r="H191" s="100" t="s">
        <v>509</v>
      </c>
      <c r="I191" s="100" t="s">
        <v>542</v>
      </c>
      <c r="J191" s="100"/>
      <c r="K191" s="100" t="s">
        <v>221</v>
      </c>
      <c r="L191" s="100" t="s">
        <v>487</v>
      </c>
      <c r="M191" s="100" t="s">
        <v>501</v>
      </c>
      <c r="N191" s="100"/>
      <c r="O191" s="103"/>
    </row>
    <row r="192" spans="1:15" ht="13">
      <c r="A192" s="99" t="s">
        <v>417</v>
      </c>
      <c r="B192" s="100" t="s">
        <v>708</v>
      </c>
      <c r="C192" s="100" t="s">
        <v>709</v>
      </c>
      <c r="D192" s="100" t="s">
        <v>708</v>
      </c>
      <c r="E192" s="100" t="s">
        <v>714</v>
      </c>
      <c r="F192" s="100" t="s">
        <v>86</v>
      </c>
      <c r="G192" s="100">
        <v>0</v>
      </c>
      <c r="H192" s="100" t="s">
        <v>487</v>
      </c>
      <c r="I192" s="100" t="s">
        <v>544</v>
      </c>
      <c r="J192" s="100"/>
      <c r="K192" s="100" t="s">
        <v>229</v>
      </c>
      <c r="L192" s="100" t="s">
        <v>487</v>
      </c>
      <c r="M192" s="100" t="s">
        <v>501</v>
      </c>
      <c r="N192" s="100"/>
      <c r="O192" s="103"/>
    </row>
    <row r="193" spans="1:15" ht="13">
      <c r="A193" s="99" t="s">
        <v>418</v>
      </c>
      <c r="B193" s="100" t="s">
        <v>715</v>
      </c>
      <c r="C193" s="100" t="s">
        <v>716</v>
      </c>
      <c r="D193" s="100" t="s">
        <v>717</v>
      </c>
      <c r="E193" s="100" t="s">
        <v>499</v>
      </c>
      <c r="F193" s="100" t="s">
        <v>94</v>
      </c>
      <c r="G193" s="100">
        <v>0</v>
      </c>
      <c r="H193" s="100" t="s">
        <v>487</v>
      </c>
      <c r="I193" s="100" t="s">
        <v>718</v>
      </c>
      <c r="J193" s="100"/>
      <c r="K193" s="100" t="s">
        <v>213</v>
      </c>
      <c r="L193" s="100" t="s">
        <v>487</v>
      </c>
      <c r="M193" s="100" t="s">
        <v>501</v>
      </c>
      <c r="N193" s="100"/>
      <c r="O193" s="103"/>
    </row>
    <row r="194" spans="1:15" ht="13">
      <c r="A194" s="99" t="s">
        <v>419</v>
      </c>
      <c r="B194" s="100" t="s">
        <v>719</v>
      </c>
      <c r="C194" s="100" t="s">
        <v>716</v>
      </c>
      <c r="D194" s="100" t="s">
        <v>719</v>
      </c>
      <c r="E194" s="100" t="s">
        <v>508</v>
      </c>
      <c r="F194" s="100" t="s">
        <v>94</v>
      </c>
      <c r="G194" s="100">
        <v>0</v>
      </c>
      <c r="H194" s="100" t="s">
        <v>509</v>
      </c>
      <c r="I194" s="100" t="s">
        <v>720</v>
      </c>
      <c r="J194" s="100"/>
      <c r="K194" s="100" t="s">
        <v>223</v>
      </c>
      <c r="L194" s="100" t="s">
        <v>487</v>
      </c>
      <c r="M194" s="100" t="s">
        <v>501</v>
      </c>
      <c r="N194" s="100"/>
      <c r="O194" s="103"/>
    </row>
    <row r="195" spans="1:15" ht="13">
      <c r="A195" s="99" t="s">
        <v>420</v>
      </c>
      <c r="B195" s="100" t="s">
        <v>719</v>
      </c>
      <c r="C195" s="100" t="s">
        <v>716</v>
      </c>
      <c r="D195" s="100" t="s">
        <v>719</v>
      </c>
      <c r="E195" s="100" t="s">
        <v>513</v>
      </c>
      <c r="F195" s="100" t="s">
        <v>94</v>
      </c>
      <c r="G195" s="100">
        <v>0</v>
      </c>
      <c r="H195" s="100" t="s">
        <v>509</v>
      </c>
      <c r="I195" s="100" t="s">
        <v>665</v>
      </c>
      <c r="J195" s="100"/>
      <c r="K195" s="100" t="s">
        <v>280</v>
      </c>
      <c r="L195" s="100" t="s">
        <v>487</v>
      </c>
      <c r="M195" s="100" t="s">
        <v>501</v>
      </c>
      <c r="N195" s="100"/>
      <c r="O195" s="103"/>
    </row>
    <row r="196" spans="1:15" ht="13">
      <c r="A196" s="99" t="s">
        <v>421</v>
      </c>
      <c r="B196" s="100" t="s">
        <v>719</v>
      </c>
      <c r="C196" s="100" t="s">
        <v>716</v>
      </c>
      <c r="D196" s="100" t="s">
        <v>719</v>
      </c>
      <c r="E196" s="100" t="s">
        <v>634</v>
      </c>
      <c r="F196" s="100" t="s">
        <v>110</v>
      </c>
      <c r="G196" s="100">
        <v>0</v>
      </c>
      <c r="H196" s="100" t="s">
        <v>509</v>
      </c>
      <c r="I196" s="100" t="s">
        <v>618</v>
      </c>
      <c r="J196" s="100"/>
      <c r="K196" s="100" t="s">
        <v>221</v>
      </c>
      <c r="L196" s="100" t="s">
        <v>487</v>
      </c>
      <c r="M196" s="100" t="s">
        <v>501</v>
      </c>
      <c r="N196" s="100"/>
      <c r="O196" s="103"/>
    </row>
    <row r="197" spans="1:15" ht="13">
      <c r="A197" s="99" t="s">
        <v>422</v>
      </c>
      <c r="B197" s="100" t="s">
        <v>719</v>
      </c>
      <c r="C197" s="100" t="s">
        <v>716</v>
      </c>
      <c r="D197" s="100" t="s">
        <v>719</v>
      </c>
      <c r="E197" s="100" t="s">
        <v>540</v>
      </c>
      <c r="F197" s="100" t="s">
        <v>110</v>
      </c>
      <c r="G197" s="100">
        <v>0</v>
      </c>
      <c r="H197" s="100" t="s">
        <v>487</v>
      </c>
      <c r="I197" s="100" t="s">
        <v>721</v>
      </c>
      <c r="J197" s="100"/>
      <c r="K197" s="100" t="s">
        <v>219</v>
      </c>
      <c r="L197" s="100" t="s">
        <v>487</v>
      </c>
      <c r="M197" s="100" t="s">
        <v>501</v>
      </c>
      <c r="N197" s="100"/>
      <c r="O197" s="103"/>
    </row>
    <row r="198" spans="1:15" ht="13">
      <c r="A198" s="99"/>
      <c r="B198" s="100"/>
      <c r="C198" s="100"/>
      <c r="D198" s="100"/>
      <c r="E198" s="100"/>
      <c r="F198" s="100"/>
      <c r="G198" s="100"/>
      <c r="H198" s="100"/>
      <c r="I198" s="100"/>
      <c r="J198" s="100"/>
      <c r="K198" s="100"/>
      <c r="L198" s="100"/>
      <c r="M198" s="100"/>
      <c r="N198" s="100"/>
      <c r="O198" s="103"/>
    </row>
    <row r="199" spans="1:15" ht="13">
      <c r="A199" s="99"/>
      <c r="B199" s="100"/>
      <c r="C199" s="100"/>
      <c r="D199" s="100"/>
      <c r="E199" s="100"/>
      <c r="F199" s="100"/>
      <c r="G199" s="100"/>
      <c r="H199" s="100"/>
      <c r="I199" s="100"/>
      <c r="J199" s="100"/>
      <c r="K199" s="100"/>
      <c r="L199" s="100"/>
      <c r="M199" s="100"/>
      <c r="N199" s="100"/>
      <c r="O199" s="103"/>
    </row>
    <row r="200" spans="1:15" ht="13">
      <c r="A200" s="99"/>
      <c r="B200" s="100"/>
      <c r="C200" s="100"/>
      <c r="D200" s="100"/>
      <c r="E200" s="100"/>
      <c r="F200" s="100"/>
      <c r="G200" s="100"/>
      <c r="H200" s="100"/>
      <c r="I200" s="100"/>
      <c r="J200" s="100"/>
      <c r="K200" s="100"/>
      <c r="L200" s="100"/>
      <c r="M200" s="100"/>
      <c r="N200" s="100"/>
      <c r="O200" s="103"/>
    </row>
    <row r="201" spans="1:15" ht="13">
      <c r="A201" s="99"/>
      <c r="B201" s="100"/>
      <c r="C201" s="100"/>
      <c r="D201" s="100"/>
      <c r="E201" s="100"/>
      <c r="F201" s="100"/>
      <c r="G201" s="100"/>
      <c r="H201" s="100"/>
      <c r="I201" s="100"/>
      <c r="J201" s="100"/>
      <c r="K201" s="100"/>
      <c r="L201" s="100"/>
      <c r="M201" s="100"/>
      <c r="N201" s="100"/>
      <c r="O201" s="103"/>
    </row>
    <row r="202" spans="1:15" ht="13">
      <c r="A202" s="99"/>
      <c r="B202" s="100"/>
      <c r="C202" s="100"/>
      <c r="D202" s="100"/>
      <c r="E202" s="100"/>
      <c r="F202" s="100"/>
      <c r="G202" s="100"/>
      <c r="H202" s="100"/>
      <c r="I202" s="100"/>
      <c r="J202" s="100"/>
      <c r="K202" s="100"/>
      <c r="L202" s="100"/>
      <c r="M202" s="100"/>
      <c r="N202" s="100"/>
      <c r="O202" s="103"/>
    </row>
    <row r="203" spans="1:15" ht="13">
      <c r="A203" s="99"/>
      <c r="B203" s="100"/>
      <c r="C203" s="100"/>
      <c r="D203" s="100"/>
      <c r="E203" s="100"/>
      <c r="F203" s="100"/>
      <c r="G203" s="100"/>
      <c r="H203" s="100"/>
      <c r="I203" s="100"/>
      <c r="J203" s="100"/>
      <c r="K203" s="100"/>
      <c r="L203" s="100"/>
      <c r="M203" s="100"/>
      <c r="N203" s="100"/>
      <c r="O203" s="103"/>
    </row>
    <row r="204" spans="1:15" ht="13">
      <c r="A204" s="99"/>
      <c r="B204" s="100"/>
      <c r="C204" s="100"/>
      <c r="D204" s="100"/>
      <c r="E204" s="100"/>
      <c r="F204" s="100"/>
      <c r="G204" s="100"/>
      <c r="H204" s="100"/>
      <c r="I204" s="100"/>
      <c r="J204" s="100"/>
      <c r="K204" s="100"/>
      <c r="L204" s="100"/>
      <c r="M204" s="100"/>
      <c r="N204" s="100"/>
      <c r="O204" s="103"/>
    </row>
    <row r="205" spans="1:15" ht="13">
      <c r="A205" s="99"/>
      <c r="B205" s="100"/>
      <c r="C205" s="100"/>
      <c r="D205" s="100"/>
      <c r="E205" s="100"/>
      <c r="F205" s="100"/>
      <c r="G205" s="100"/>
      <c r="H205" s="100"/>
      <c r="I205" s="100"/>
      <c r="J205" s="100"/>
      <c r="K205" s="100"/>
      <c r="L205" s="100"/>
      <c r="M205" s="100"/>
      <c r="N205" s="100"/>
      <c r="O205" s="103"/>
    </row>
    <row r="206" spans="1:15" ht="13">
      <c r="A206" s="99"/>
      <c r="B206" s="100"/>
      <c r="C206" s="100"/>
      <c r="D206" s="100"/>
      <c r="E206" s="100"/>
      <c r="F206" s="100"/>
      <c r="G206" s="100"/>
      <c r="H206" s="100"/>
      <c r="I206" s="100"/>
      <c r="J206" s="100"/>
      <c r="K206" s="100"/>
      <c r="L206" s="100"/>
      <c r="M206" s="100"/>
      <c r="N206" s="100"/>
      <c r="O206" s="103"/>
    </row>
    <row r="207" spans="1:15" ht="13">
      <c r="A207" s="99"/>
      <c r="B207" s="100"/>
      <c r="C207" s="100"/>
      <c r="D207" s="100"/>
      <c r="E207" s="100"/>
      <c r="F207" s="100"/>
      <c r="G207" s="100"/>
      <c r="H207" s="100"/>
      <c r="I207" s="100"/>
      <c r="J207" s="100"/>
      <c r="K207" s="100"/>
      <c r="L207" s="100"/>
      <c r="M207" s="100"/>
      <c r="N207" s="100"/>
      <c r="O207" s="103"/>
    </row>
    <row r="208" spans="1:15" ht="13">
      <c r="A208" s="99"/>
      <c r="B208" s="100"/>
      <c r="C208" s="100"/>
      <c r="D208" s="100"/>
      <c r="E208" s="100"/>
      <c r="F208" s="100"/>
      <c r="G208" s="100"/>
      <c r="H208" s="100"/>
      <c r="I208" s="100"/>
      <c r="J208" s="100"/>
      <c r="K208" s="100"/>
      <c r="L208" s="100"/>
      <c r="M208" s="100"/>
      <c r="N208" s="100"/>
      <c r="O208" s="103"/>
    </row>
    <row r="209" spans="1:15" ht="13">
      <c r="A209" s="99"/>
      <c r="B209" s="100"/>
      <c r="C209" s="100"/>
      <c r="D209" s="100"/>
      <c r="E209" s="100"/>
      <c r="F209" s="100"/>
      <c r="G209" s="100"/>
      <c r="H209" s="100"/>
      <c r="I209" s="100"/>
      <c r="J209" s="100"/>
      <c r="K209" s="100"/>
      <c r="L209" s="100"/>
      <c r="M209" s="100"/>
      <c r="N209" s="100"/>
      <c r="O209" s="103"/>
    </row>
    <row r="210" spans="1:15" ht="13">
      <c r="A210" s="99"/>
      <c r="B210" s="100"/>
      <c r="C210" s="100"/>
      <c r="D210" s="100"/>
      <c r="E210" s="100"/>
      <c r="F210" s="100"/>
      <c r="G210" s="100"/>
      <c r="H210" s="100"/>
      <c r="I210" s="100"/>
      <c r="J210" s="100"/>
      <c r="K210" s="100"/>
      <c r="L210" s="100"/>
      <c r="M210" s="100"/>
      <c r="N210" s="100"/>
      <c r="O210" s="103"/>
    </row>
    <row r="211" spans="1:15" ht="13">
      <c r="A211" s="99"/>
      <c r="B211" s="100"/>
      <c r="C211" s="100"/>
      <c r="D211" s="100"/>
      <c r="E211" s="100"/>
      <c r="F211" s="100"/>
      <c r="G211" s="100"/>
      <c r="H211" s="100"/>
      <c r="I211" s="100"/>
      <c r="J211" s="100"/>
      <c r="K211" s="100"/>
      <c r="L211" s="100"/>
      <c r="M211" s="100"/>
      <c r="N211" s="100"/>
      <c r="O211" s="103"/>
    </row>
    <row r="212" spans="1:15" ht="13">
      <c r="A212" s="99"/>
      <c r="B212" s="100"/>
      <c r="C212" s="100"/>
      <c r="D212" s="100"/>
      <c r="E212" s="100"/>
      <c r="F212" s="100"/>
      <c r="G212" s="100"/>
      <c r="H212" s="100"/>
      <c r="I212" s="100"/>
      <c r="J212" s="100"/>
      <c r="K212" s="100"/>
      <c r="L212" s="100"/>
      <c r="M212" s="100"/>
      <c r="N212" s="100"/>
      <c r="O212" s="103"/>
    </row>
    <row r="213" spans="1:15" ht="13">
      <c r="A213" s="99"/>
      <c r="B213" s="100"/>
      <c r="C213" s="100"/>
      <c r="D213" s="100"/>
      <c r="E213" s="100"/>
      <c r="F213" s="100"/>
      <c r="G213" s="100"/>
      <c r="H213" s="100"/>
      <c r="I213" s="100"/>
      <c r="J213" s="100"/>
      <c r="K213" s="100"/>
      <c r="L213" s="100"/>
      <c r="M213" s="100"/>
      <c r="N213" s="100"/>
      <c r="O213" s="103"/>
    </row>
    <row r="214" spans="1:15" ht="13">
      <c r="A214" s="99"/>
      <c r="B214" s="100"/>
      <c r="C214" s="100"/>
      <c r="D214" s="100"/>
      <c r="E214" s="100"/>
      <c r="F214" s="100"/>
      <c r="G214" s="100"/>
      <c r="H214" s="100"/>
      <c r="I214" s="100"/>
      <c r="J214" s="100"/>
      <c r="K214" s="100"/>
      <c r="L214" s="100"/>
      <c r="M214" s="100"/>
      <c r="N214" s="100"/>
      <c r="O214" s="103"/>
    </row>
    <row r="215" spans="1:15" ht="13">
      <c r="A215" s="99"/>
      <c r="B215" s="100"/>
      <c r="C215" s="100"/>
      <c r="D215" s="100"/>
      <c r="E215" s="100"/>
      <c r="F215" s="100"/>
      <c r="G215" s="100"/>
      <c r="H215" s="100"/>
      <c r="I215" s="100"/>
      <c r="J215" s="100"/>
      <c r="K215" s="100"/>
      <c r="L215" s="100"/>
      <c r="M215" s="100"/>
      <c r="N215" s="100"/>
      <c r="O215" s="103"/>
    </row>
    <row r="216" spans="1:15" ht="13">
      <c r="A216" s="99"/>
      <c r="B216" s="100"/>
      <c r="C216" s="100"/>
      <c r="D216" s="100"/>
      <c r="E216" s="100"/>
      <c r="F216" s="100"/>
      <c r="G216" s="100"/>
      <c r="H216" s="100"/>
      <c r="I216" s="100"/>
      <c r="J216" s="100"/>
      <c r="K216" s="100"/>
      <c r="L216" s="100"/>
      <c r="M216" s="100"/>
      <c r="N216" s="100"/>
      <c r="O216" s="103"/>
    </row>
    <row r="217" spans="1:15" ht="13">
      <c r="A217" s="99"/>
      <c r="B217" s="100"/>
      <c r="C217" s="100"/>
      <c r="D217" s="100"/>
      <c r="E217" s="100"/>
      <c r="F217" s="100"/>
      <c r="G217" s="100"/>
      <c r="H217" s="100"/>
      <c r="I217" s="100"/>
      <c r="J217" s="100"/>
      <c r="K217" s="100"/>
      <c r="L217" s="100"/>
      <c r="M217" s="100"/>
      <c r="N217" s="100"/>
      <c r="O217" s="103"/>
    </row>
    <row r="218" spans="1:15" ht="13">
      <c r="A218" s="99"/>
      <c r="B218" s="100"/>
      <c r="C218" s="100"/>
      <c r="D218" s="100"/>
      <c r="E218" s="100"/>
      <c r="F218" s="100"/>
      <c r="G218" s="100"/>
      <c r="H218" s="100"/>
      <c r="I218" s="100"/>
      <c r="J218" s="100"/>
      <c r="K218" s="100"/>
      <c r="L218" s="100"/>
      <c r="M218" s="100"/>
      <c r="N218" s="100"/>
      <c r="O218" s="103"/>
    </row>
    <row r="219" spans="1:15" ht="13">
      <c r="A219" s="99"/>
      <c r="B219" s="100"/>
      <c r="C219" s="100"/>
      <c r="D219" s="100"/>
      <c r="E219" s="100"/>
      <c r="F219" s="100"/>
      <c r="G219" s="100"/>
      <c r="H219" s="100"/>
      <c r="I219" s="100"/>
      <c r="J219" s="100"/>
      <c r="K219" s="100"/>
      <c r="L219" s="100"/>
      <c r="M219" s="100"/>
      <c r="N219" s="100"/>
      <c r="O219" s="103"/>
    </row>
    <row r="220" spans="1:15" ht="13">
      <c r="A220" s="99"/>
      <c r="B220" s="100"/>
      <c r="C220" s="100"/>
      <c r="D220" s="100"/>
      <c r="E220" s="100"/>
      <c r="F220" s="100"/>
      <c r="G220" s="100"/>
      <c r="H220" s="100"/>
      <c r="I220" s="100"/>
      <c r="J220" s="100"/>
      <c r="K220" s="100"/>
      <c r="L220" s="100"/>
      <c r="M220" s="100"/>
      <c r="N220" s="100"/>
      <c r="O220" s="103"/>
    </row>
    <row r="221" spans="1:15" ht="13">
      <c r="A221" s="99"/>
      <c r="B221" s="100"/>
      <c r="C221" s="100"/>
      <c r="D221" s="100"/>
      <c r="E221" s="100"/>
      <c r="F221" s="100"/>
      <c r="G221" s="100"/>
      <c r="H221" s="100"/>
      <c r="I221" s="100"/>
      <c r="J221" s="100"/>
      <c r="K221" s="100"/>
      <c r="L221" s="100"/>
      <c r="M221" s="100"/>
      <c r="N221" s="100"/>
      <c r="O221" s="103"/>
    </row>
    <row r="222" spans="1:15" ht="13">
      <c r="A222" s="99"/>
      <c r="B222" s="100"/>
      <c r="C222" s="100"/>
      <c r="D222" s="100"/>
      <c r="E222" s="100"/>
      <c r="F222" s="100"/>
      <c r="G222" s="100"/>
      <c r="H222" s="100"/>
      <c r="I222" s="100"/>
      <c r="J222" s="100"/>
      <c r="K222" s="100"/>
      <c r="L222" s="100"/>
      <c r="M222" s="100"/>
      <c r="N222" s="100"/>
      <c r="O222" s="103"/>
    </row>
    <row r="223" spans="1:15" ht="13">
      <c r="A223" s="99"/>
      <c r="B223" s="100"/>
      <c r="C223" s="100"/>
      <c r="D223" s="100"/>
      <c r="E223" s="100"/>
      <c r="F223" s="100"/>
      <c r="G223" s="100"/>
      <c r="H223" s="100"/>
      <c r="I223" s="100"/>
      <c r="J223" s="100"/>
      <c r="K223" s="100"/>
      <c r="L223" s="100"/>
      <c r="M223" s="100"/>
      <c r="N223" s="100"/>
      <c r="O223" s="103"/>
    </row>
    <row r="224" spans="1:15" ht="13">
      <c r="A224" s="99"/>
      <c r="B224" s="100"/>
      <c r="C224" s="100"/>
      <c r="D224" s="100"/>
      <c r="E224" s="100"/>
      <c r="F224" s="100"/>
      <c r="G224" s="100"/>
      <c r="H224" s="100"/>
      <c r="I224" s="100"/>
      <c r="J224" s="100"/>
      <c r="K224" s="100"/>
      <c r="L224" s="100"/>
      <c r="M224" s="100"/>
      <c r="N224" s="100"/>
      <c r="O224" s="103"/>
    </row>
    <row r="225" spans="1:15" ht="13">
      <c r="A225" s="99"/>
      <c r="B225" s="100"/>
      <c r="C225" s="100"/>
      <c r="D225" s="100"/>
      <c r="E225" s="100"/>
      <c r="F225" s="100"/>
      <c r="G225" s="100"/>
      <c r="H225" s="100"/>
      <c r="I225" s="100"/>
      <c r="J225" s="100"/>
      <c r="K225" s="100"/>
      <c r="L225" s="100"/>
      <c r="M225" s="100"/>
      <c r="N225" s="100"/>
      <c r="O225" s="103"/>
    </row>
    <row r="226" spans="1:15" ht="13">
      <c r="A226" s="99"/>
      <c r="B226" s="100"/>
      <c r="C226" s="100"/>
      <c r="D226" s="100"/>
      <c r="E226" s="100"/>
      <c r="F226" s="100"/>
      <c r="G226" s="100"/>
      <c r="H226" s="100"/>
      <c r="I226" s="100"/>
      <c r="J226" s="100"/>
      <c r="K226" s="100"/>
      <c r="L226" s="100"/>
      <c r="M226" s="100"/>
      <c r="N226" s="100"/>
      <c r="O226" s="103"/>
    </row>
    <row r="227" spans="1:15" ht="13">
      <c r="A227" s="99"/>
      <c r="B227" s="100"/>
      <c r="C227" s="100"/>
      <c r="D227" s="100"/>
      <c r="E227" s="100"/>
      <c r="F227" s="100"/>
      <c r="G227" s="100"/>
      <c r="H227" s="100"/>
      <c r="I227" s="100"/>
      <c r="J227" s="100"/>
      <c r="K227" s="100"/>
      <c r="L227" s="100"/>
      <c r="M227" s="100"/>
      <c r="N227" s="100"/>
      <c r="O227" s="103"/>
    </row>
    <row r="228" spans="1:15" ht="13">
      <c r="A228" s="99"/>
      <c r="B228" s="100"/>
      <c r="C228" s="100"/>
      <c r="D228" s="100"/>
      <c r="E228" s="100"/>
      <c r="F228" s="100"/>
      <c r="G228" s="100"/>
      <c r="H228" s="100"/>
      <c r="I228" s="100"/>
      <c r="J228" s="100"/>
      <c r="K228" s="100"/>
      <c r="L228" s="100"/>
      <c r="M228" s="100"/>
      <c r="N228" s="100"/>
      <c r="O228" s="103"/>
    </row>
    <row r="229" spans="1:15" ht="13">
      <c r="A229" s="99"/>
      <c r="B229" s="100"/>
      <c r="C229" s="100"/>
      <c r="D229" s="100"/>
      <c r="E229" s="100"/>
      <c r="F229" s="100"/>
      <c r="G229" s="100"/>
      <c r="H229" s="100"/>
      <c r="I229" s="100"/>
      <c r="J229" s="100"/>
      <c r="K229" s="100"/>
      <c r="L229" s="100"/>
      <c r="M229" s="100"/>
      <c r="N229" s="100"/>
      <c r="O229" s="103"/>
    </row>
    <row r="230" spans="1:15" ht="13">
      <c r="A230" s="99"/>
      <c r="B230" s="100"/>
      <c r="C230" s="100"/>
      <c r="D230" s="100"/>
      <c r="E230" s="100"/>
      <c r="F230" s="100"/>
      <c r="G230" s="100"/>
      <c r="H230" s="100"/>
      <c r="I230" s="100"/>
      <c r="J230" s="100"/>
      <c r="K230" s="100"/>
      <c r="L230" s="100"/>
      <c r="M230" s="100"/>
      <c r="N230" s="100"/>
      <c r="O230" s="103"/>
    </row>
    <row r="231" spans="1:15" ht="13">
      <c r="A231" s="99"/>
      <c r="B231" s="100"/>
      <c r="C231" s="100"/>
      <c r="D231" s="100"/>
      <c r="E231" s="100"/>
      <c r="F231" s="100"/>
      <c r="G231" s="100"/>
      <c r="H231" s="100"/>
      <c r="I231" s="100"/>
      <c r="J231" s="100"/>
      <c r="K231" s="100"/>
      <c r="L231" s="100"/>
      <c r="M231" s="100"/>
      <c r="N231" s="100"/>
      <c r="O231" s="103"/>
    </row>
    <row r="232" spans="1:15" ht="13">
      <c r="A232" s="99"/>
      <c r="B232" s="100"/>
      <c r="C232" s="100"/>
      <c r="D232" s="100"/>
      <c r="E232" s="100"/>
      <c r="F232" s="100"/>
      <c r="G232" s="100"/>
      <c r="H232" s="100"/>
      <c r="I232" s="100"/>
      <c r="J232" s="100"/>
      <c r="K232" s="100"/>
      <c r="L232" s="100"/>
      <c r="M232" s="100"/>
      <c r="N232" s="100"/>
      <c r="O232" s="103"/>
    </row>
    <row r="233" spans="1:15" ht="13">
      <c r="A233" s="99"/>
      <c r="B233" s="100"/>
      <c r="C233" s="100"/>
      <c r="D233" s="100"/>
      <c r="E233" s="100"/>
      <c r="F233" s="100"/>
      <c r="G233" s="100"/>
      <c r="H233" s="100"/>
      <c r="I233" s="100"/>
      <c r="J233" s="100"/>
      <c r="K233" s="100"/>
      <c r="L233" s="100"/>
      <c r="M233" s="100"/>
      <c r="N233" s="100"/>
      <c r="O233" s="103"/>
    </row>
    <row r="234" spans="1:15" ht="13">
      <c r="A234" s="99"/>
      <c r="B234" s="100"/>
      <c r="C234" s="100"/>
      <c r="D234" s="100"/>
      <c r="E234" s="100"/>
      <c r="F234" s="100"/>
      <c r="G234" s="100"/>
      <c r="H234" s="100"/>
      <c r="I234" s="100"/>
      <c r="J234" s="100"/>
      <c r="K234" s="100"/>
      <c r="L234" s="100"/>
      <c r="M234" s="100"/>
      <c r="N234" s="100"/>
      <c r="O234" s="103"/>
    </row>
    <row r="235" spans="1:15" ht="13">
      <c r="A235" s="99"/>
      <c r="B235" s="100"/>
      <c r="C235" s="100"/>
      <c r="D235" s="100"/>
      <c r="E235" s="100"/>
      <c r="F235" s="100"/>
      <c r="G235" s="100"/>
      <c r="H235" s="100"/>
      <c r="I235" s="100"/>
      <c r="J235" s="100"/>
      <c r="K235" s="100"/>
      <c r="L235" s="100"/>
      <c r="M235" s="100"/>
      <c r="N235" s="100"/>
      <c r="O235" s="103"/>
    </row>
    <row r="236" spans="1:15" ht="13">
      <c r="A236" s="99"/>
      <c r="B236" s="100"/>
      <c r="C236" s="100"/>
      <c r="D236" s="100"/>
      <c r="E236" s="100"/>
      <c r="F236" s="100"/>
      <c r="G236" s="100"/>
      <c r="H236" s="100"/>
      <c r="I236" s="100"/>
      <c r="J236" s="100"/>
      <c r="K236" s="100"/>
      <c r="L236" s="100"/>
      <c r="M236" s="100"/>
      <c r="N236" s="100"/>
      <c r="O236" s="103"/>
    </row>
    <row r="237" spans="1:15" ht="13">
      <c r="A237" s="99"/>
      <c r="B237" s="100"/>
      <c r="C237" s="100"/>
      <c r="D237" s="100"/>
      <c r="E237" s="100"/>
      <c r="F237" s="100"/>
      <c r="G237" s="100"/>
      <c r="H237" s="100"/>
      <c r="I237" s="100"/>
      <c r="J237" s="100"/>
      <c r="K237" s="100"/>
      <c r="L237" s="100"/>
      <c r="M237" s="100"/>
      <c r="N237" s="100"/>
      <c r="O237" s="103"/>
    </row>
    <row r="238" spans="1:15" ht="13">
      <c r="A238" s="99"/>
      <c r="B238" s="100"/>
      <c r="C238" s="100"/>
      <c r="D238" s="100"/>
      <c r="E238" s="100"/>
      <c r="F238" s="100"/>
      <c r="G238" s="100"/>
      <c r="H238" s="100"/>
      <c r="I238" s="100"/>
      <c r="J238" s="100"/>
      <c r="K238" s="100"/>
      <c r="L238" s="100"/>
      <c r="M238" s="100"/>
      <c r="N238" s="100"/>
      <c r="O238" s="103"/>
    </row>
    <row r="239" spans="1:15" ht="13">
      <c r="A239" s="99"/>
      <c r="B239" s="100"/>
      <c r="C239" s="100"/>
      <c r="D239" s="100"/>
      <c r="E239" s="100"/>
      <c r="F239" s="100"/>
      <c r="G239" s="100"/>
      <c r="H239" s="100"/>
      <c r="I239" s="100"/>
      <c r="J239" s="100"/>
      <c r="K239" s="100"/>
      <c r="L239" s="100"/>
      <c r="M239" s="100"/>
      <c r="N239" s="100"/>
      <c r="O239" s="103"/>
    </row>
    <row r="240" spans="1:15" ht="13">
      <c r="A240" s="99"/>
      <c r="B240" s="100"/>
      <c r="C240" s="100"/>
      <c r="D240" s="100"/>
      <c r="E240" s="100"/>
      <c r="F240" s="100"/>
      <c r="G240" s="100"/>
      <c r="H240" s="100"/>
      <c r="I240" s="100"/>
      <c r="J240" s="100"/>
      <c r="K240" s="100"/>
      <c r="L240" s="100"/>
      <c r="M240" s="100"/>
      <c r="N240" s="100"/>
      <c r="O240" s="103"/>
    </row>
    <row r="241" spans="1:15" ht="13">
      <c r="A241" s="99"/>
      <c r="B241" s="100"/>
      <c r="C241" s="100"/>
      <c r="D241" s="100"/>
      <c r="E241" s="100"/>
      <c r="F241" s="100"/>
      <c r="G241" s="100"/>
      <c r="H241" s="100"/>
      <c r="I241" s="100"/>
      <c r="J241" s="100"/>
      <c r="K241" s="100"/>
      <c r="L241" s="100"/>
      <c r="M241" s="100"/>
      <c r="N241" s="100"/>
      <c r="O241" s="103"/>
    </row>
    <row r="242" spans="1:15" ht="13">
      <c r="A242" s="99"/>
      <c r="B242" s="100"/>
      <c r="C242" s="100"/>
      <c r="D242" s="100"/>
      <c r="E242" s="100"/>
      <c r="F242" s="100"/>
      <c r="G242" s="100"/>
      <c r="H242" s="100"/>
      <c r="I242" s="100"/>
      <c r="J242" s="100"/>
      <c r="K242" s="100"/>
      <c r="L242" s="100"/>
      <c r="M242" s="100"/>
      <c r="N242" s="100"/>
      <c r="O242" s="103"/>
    </row>
    <row r="243" spans="1:15" ht="13">
      <c r="A243" s="99"/>
      <c r="B243" s="100"/>
      <c r="C243" s="100"/>
      <c r="D243" s="100"/>
      <c r="E243" s="100"/>
      <c r="F243" s="100"/>
      <c r="G243" s="100"/>
      <c r="H243" s="100"/>
      <c r="I243" s="100"/>
      <c r="J243" s="100"/>
      <c r="K243" s="100"/>
      <c r="L243" s="100"/>
      <c r="M243" s="100"/>
      <c r="N243" s="100"/>
      <c r="O243" s="103"/>
    </row>
    <row r="244" spans="1:15" ht="13">
      <c r="A244" s="99"/>
      <c r="B244" s="100"/>
      <c r="C244" s="100"/>
      <c r="D244" s="100"/>
      <c r="E244" s="100"/>
      <c r="F244" s="100"/>
      <c r="G244" s="100"/>
      <c r="H244" s="100"/>
      <c r="I244" s="100"/>
      <c r="J244" s="100"/>
      <c r="K244" s="100"/>
      <c r="L244" s="100"/>
      <c r="M244" s="100"/>
      <c r="N244" s="100"/>
      <c r="O244" s="103"/>
    </row>
    <row r="245" spans="1:15" ht="13">
      <c r="A245" s="99"/>
      <c r="B245" s="100"/>
      <c r="C245" s="100"/>
      <c r="D245" s="100"/>
      <c r="E245" s="100"/>
      <c r="F245" s="100"/>
      <c r="G245" s="100"/>
      <c r="H245" s="100"/>
      <c r="I245" s="100"/>
      <c r="J245" s="100"/>
      <c r="K245" s="100"/>
      <c r="L245" s="100"/>
      <c r="M245" s="100"/>
      <c r="N245" s="100"/>
      <c r="O245" s="103"/>
    </row>
    <row r="246" spans="1:15" ht="13">
      <c r="A246" s="99"/>
      <c r="B246" s="100"/>
      <c r="C246" s="100"/>
      <c r="D246" s="100"/>
      <c r="E246" s="100"/>
      <c r="F246" s="100"/>
      <c r="G246" s="100"/>
      <c r="H246" s="100"/>
      <c r="I246" s="100"/>
      <c r="J246" s="100"/>
      <c r="K246" s="100"/>
      <c r="L246" s="100"/>
      <c r="M246" s="100"/>
      <c r="N246" s="100"/>
      <c r="O246" s="103"/>
    </row>
    <row r="247" spans="1:15" ht="13">
      <c r="A247" s="99"/>
      <c r="B247" s="100"/>
      <c r="C247" s="100"/>
      <c r="D247" s="100"/>
      <c r="E247" s="100"/>
      <c r="F247" s="100"/>
      <c r="G247" s="100"/>
      <c r="H247" s="100"/>
      <c r="I247" s="100"/>
      <c r="J247" s="100"/>
      <c r="K247" s="100"/>
      <c r="L247" s="100"/>
      <c r="M247" s="100"/>
      <c r="N247" s="100"/>
      <c r="O247" s="103"/>
    </row>
    <row r="248" spans="1:15" ht="13">
      <c r="A248" s="99"/>
      <c r="B248" s="100"/>
      <c r="C248" s="100"/>
      <c r="D248" s="100"/>
      <c r="E248" s="100"/>
      <c r="F248" s="100"/>
      <c r="G248" s="100"/>
      <c r="H248" s="100"/>
      <c r="I248" s="100"/>
      <c r="J248" s="100"/>
      <c r="K248" s="100"/>
      <c r="L248" s="100"/>
      <c r="M248" s="100"/>
      <c r="N248" s="100"/>
      <c r="O248" s="103"/>
    </row>
    <row r="249" spans="1:15" ht="13">
      <c r="A249" s="99"/>
      <c r="B249" s="100"/>
      <c r="C249" s="100"/>
      <c r="D249" s="100"/>
      <c r="E249" s="100"/>
      <c r="F249" s="100"/>
      <c r="G249" s="100"/>
      <c r="H249" s="100"/>
      <c r="I249" s="100"/>
      <c r="J249" s="100"/>
      <c r="K249" s="100"/>
      <c r="L249" s="100"/>
      <c r="M249" s="100"/>
      <c r="N249" s="100"/>
      <c r="O249" s="103"/>
    </row>
    <row r="250" spans="1:15" ht="13">
      <c r="A250" s="99"/>
      <c r="B250" s="100"/>
      <c r="C250" s="100"/>
      <c r="D250" s="100"/>
      <c r="E250" s="100"/>
      <c r="F250" s="100"/>
      <c r="G250" s="100"/>
      <c r="H250" s="100"/>
      <c r="I250" s="100"/>
      <c r="J250" s="100"/>
      <c r="K250" s="100"/>
      <c r="L250" s="100"/>
      <c r="M250" s="100"/>
      <c r="N250" s="100"/>
      <c r="O250" s="103"/>
    </row>
    <row r="251" spans="1:15" ht="13">
      <c r="A251" s="99"/>
      <c r="B251" s="100"/>
      <c r="C251" s="100"/>
      <c r="D251" s="100"/>
      <c r="E251" s="100"/>
      <c r="F251" s="100"/>
      <c r="G251" s="100"/>
      <c r="H251" s="100"/>
      <c r="I251" s="100"/>
      <c r="J251" s="100"/>
      <c r="K251" s="100"/>
      <c r="L251" s="100"/>
      <c r="M251" s="100"/>
      <c r="N251" s="100"/>
      <c r="O251" s="103"/>
    </row>
    <row r="252" spans="1:15" ht="13">
      <c r="A252" s="99"/>
      <c r="B252" s="100"/>
      <c r="C252" s="100"/>
      <c r="D252" s="100"/>
      <c r="E252" s="100"/>
      <c r="F252" s="100"/>
      <c r="G252" s="100"/>
      <c r="H252" s="100"/>
      <c r="I252" s="100"/>
      <c r="J252" s="100"/>
      <c r="K252" s="100"/>
      <c r="L252" s="100"/>
      <c r="M252" s="100"/>
      <c r="N252" s="100"/>
      <c r="O252" s="103"/>
    </row>
    <row r="253" spans="1:15" ht="13">
      <c r="A253" s="99"/>
      <c r="B253" s="100"/>
      <c r="C253" s="100"/>
      <c r="D253" s="100"/>
      <c r="E253" s="100"/>
      <c r="F253" s="100"/>
      <c r="G253" s="100"/>
      <c r="H253" s="100"/>
      <c r="I253" s="100"/>
      <c r="J253" s="100"/>
      <c r="K253" s="100"/>
      <c r="L253" s="100"/>
      <c r="M253" s="100"/>
      <c r="N253" s="100"/>
      <c r="O253" s="103"/>
    </row>
    <row r="254" spans="1:15" ht="13">
      <c r="A254" s="99"/>
      <c r="B254" s="100"/>
      <c r="C254" s="100"/>
      <c r="D254" s="100"/>
      <c r="E254" s="100"/>
      <c r="F254" s="100"/>
      <c r="G254" s="100"/>
      <c r="H254" s="100"/>
      <c r="I254" s="100"/>
      <c r="J254" s="100"/>
      <c r="K254" s="100"/>
      <c r="L254" s="100"/>
      <c r="M254" s="100"/>
      <c r="N254" s="100"/>
      <c r="O254" s="103"/>
    </row>
    <row r="255" spans="1:15" ht="13">
      <c r="A255" s="99"/>
      <c r="B255" s="100"/>
      <c r="C255" s="100"/>
      <c r="D255" s="100"/>
      <c r="E255" s="100"/>
      <c r="F255" s="100"/>
      <c r="G255" s="100"/>
      <c r="H255" s="100"/>
      <c r="I255" s="100"/>
      <c r="J255" s="100"/>
      <c r="K255" s="100"/>
      <c r="L255" s="100"/>
      <c r="M255" s="100"/>
      <c r="N255" s="100"/>
      <c r="O255" s="103"/>
    </row>
    <row r="256" spans="1:15" ht="13">
      <c r="A256" s="99"/>
      <c r="B256" s="100"/>
      <c r="C256" s="100"/>
      <c r="D256" s="100"/>
      <c r="E256" s="100"/>
      <c r="F256" s="100"/>
      <c r="G256" s="100"/>
      <c r="H256" s="100"/>
      <c r="I256" s="100"/>
      <c r="J256" s="100"/>
      <c r="K256" s="100"/>
      <c r="L256" s="100"/>
      <c r="M256" s="100"/>
      <c r="N256" s="100"/>
      <c r="O256" s="103"/>
    </row>
    <row r="257" spans="1:15" ht="13">
      <c r="A257" s="99"/>
      <c r="B257" s="100"/>
      <c r="C257" s="100"/>
      <c r="D257" s="100"/>
      <c r="E257" s="100"/>
      <c r="F257" s="100"/>
      <c r="G257" s="100"/>
      <c r="H257" s="100"/>
      <c r="I257" s="100"/>
      <c r="J257" s="100"/>
      <c r="K257" s="100"/>
      <c r="L257" s="100"/>
      <c r="M257" s="100"/>
      <c r="N257" s="100"/>
      <c r="O257" s="103"/>
    </row>
    <row r="258" spans="1:15" ht="13">
      <c r="A258" s="99"/>
      <c r="B258" s="100"/>
      <c r="C258" s="100"/>
      <c r="D258" s="100"/>
      <c r="E258" s="100"/>
      <c r="F258" s="100"/>
      <c r="G258" s="100"/>
      <c r="H258" s="100"/>
      <c r="I258" s="100"/>
      <c r="J258" s="100"/>
      <c r="K258" s="100"/>
      <c r="L258" s="100"/>
      <c r="M258" s="100"/>
      <c r="N258" s="100"/>
      <c r="O258" s="103"/>
    </row>
    <row r="259" spans="1:15" ht="13">
      <c r="A259" s="99"/>
      <c r="B259" s="100"/>
      <c r="C259" s="100"/>
      <c r="D259" s="100"/>
      <c r="E259" s="100"/>
      <c r="F259" s="100"/>
      <c r="G259" s="100"/>
      <c r="H259" s="100"/>
      <c r="I259" s="100"/>
      <c r="J259" s="100"/>
      <c r="K259" s="100"/>
      <c r="L259" s="100"/>
      <c r="M259" s="100"/>
      <c r="N259" s="100"/>
      <c r="O259" s="103"/>
    </row>
    <row r="260" spans="1:15" ht="13">
      <c r="A260" s="99"/>
      <c r="B260" s="100"/>
      <c r="C260" s="100"/>
      <c r="D260" s="100"/>
      <c r="E260" s="100"/>
      <c r="F260" s="100"/>
      <c r="G260" s="100"/>
      <c r="H260" s="100"/>
      <c r="I260" s="100"/>
      <c r="J260" s="100"/>
      <c r="K260" s="100"/>
      <c r="L260" s="100"/>
      <c r="M260" s="100"/>
      <c r="N260" s="100"/>
      <c r="O260" s="103"/>
    </row>
    <row r="261" spans="1:15" ht="13">
      <c r="A261" s="99"/>
      <c r="B261" s="100"/>
      <c r="C261" s="100"/>
      <c r="D261" s="100"/>
      <c r="E261" s="100"/>
      <c r="F261" s="100"/>
      <c r="G261" s="100"/>
      <c r="H261" s="100"/>
      <c r="I261" s="100"/>
      <c r="J261" s="100"/>
      <c r="K261" s="100"/>
      <c r="L261" s="100"/>
      <c r="M261" s="100"/>
      <c r="N261" s="100"/>
      <c r="O261" s="103"/>
    </row>
    <row r="262" spans="1:15" ht="13">
      <c r="A262" s="99"/>
      <c r="B262" s="100"/>
      <c r="C262" s="100"/>
      <c r="D262" s="100"/>
      <c r="E262" s="100"/>
      <c r="F262" s="100"/>
      <c r="G262" s="100"/>
      <c r="H262" s="100"/>
      <c r="I262" s="100"/>
      <c r="J262" s="100"/>
      <c r="K262" s="100"/>
      <c r="L262" s="100"/>
      <c r="M262" s="100"/>
      <c r="N262" s="100"/>
      <c r="O262" s="103"/>
    </row>
    <row r="263" spans="1:15" ht="13">
      <c r="A263" s="99"/>
      <c r="B263" s="100"/>
      <c r="C263" s="100"/>
      <c r="D263" s="100"/>
      <c r="E263" s="100"/>
      <c r="F263" s="100"/>
      <c r="G263" s="100"/>
      <c r="H263" s="100"/>
      <c r="I263" s="100"/>
      <c r="J263" s="100"/>
      <c r="K263" s="100"/>
      <c r="L263" s="100"/>
      <c r="M263" s="100"/>
      <c r="N263" s="100"/>
      <c r="O263" s="103"/>
    </row>
    <row r="264" spans="1:15" ht="13">
      <c r="A264" s="99"/>
      <c r="B264" s="100"/>
      <c r="C264" s="100"/>
      <c r="D264" s="100"/>
      <c r="E264" s="100"/>
      <c r="F264" s="100"/>
      <c r="G264" s="100"/>
      <c r="H264" s="100"/>
      <c r="I264" s="100"/>
      <c r="J264" s="100"/>
      <c r="K264" s="100"/>
      <c r="L264" s="100"/>
      <c r="M264" s="100"/>
      <c r="N264" s="100"/>
      <c r="O264" s="103"/>
    </row>
    <row r="265" spans="1:15" ht="13">
      <c r="A265" s="99"/>
      <c r="B265" s="100"/>
      <c r="C265" s="100"/>
      <c r="D265" s="100"/>
      <c r="E265" s="100"/>
      <c r="F265" s="100"/>
      <c r="G265" s="100"/>
      <c r="H265" s="100"/>
      <c r="I265" s="100"/>
      <c r="J265" s="100"/>
      <c r="K265" s="100"/>
      <c r="L265" s="100"/>
      <c r="M265" s="100"/>
      <c r="N265" s="100"/>
      <c r="O265" s="103"/>
    </row>
    <row r="266" spans="1:15" ht="13">
      <c r="A266" s="99"/>
      <c r="B266" s="100"/>
      <c r="C266" s="100"/>
      <c r="D266" s="100"/>
      <c r="E266" s="100"/>
      <c r="F266" s="100"/>
      <c r="G266" s="100"/>
      <c r="H266" s="100"/>
      <c r="I266" s="100"/>
      <c r="J266" s="100"/>
      <c r="K266" s="100"/>
      <c r="L266" s="100"/>
      <c r="M266" s="100"/>
      <c r="N266" s="100"/>
      <c r="O266" s="103"/>
    </row>
    <row r="267" spans="1:15" ht="13">
      <c r="A267" s="99"/>
      <c r="B267" s="100"/>
      <c r="C267" s="100"/>
      <c r="D267" s="100"/>
      <c r="E267" s="100"/>
      <c r="F267" s="100"/>
      <c r="G267" s="100"/>
      <c r="H267" s="100"/>
      <c r="I267" s="100"/>
      <c r="J267" s="100"/>
      <c r="K267" s="100"/>
      <c r="L267" s="100"/>
      <c r="M267" s="100"/>
      <c r="N267" s="100"/>
      <c r="O267" s="103"/>
    </row>
    <row r="268" spans="1:15" ht="13">
      <c r="A268" s="99"/>
      <c r="B268" s="100"/>
      <c r="C268" s="100"/>
      <c r="D268" s="100"/>
      <c r="E268" s="100"/>
      <c r="F268" s="100"/>
      <c r="G268" s="100"/>
      <c r="H268" s="100"/>
      <c r="I268" s="100"/>
      <c r="J268" s="100"/>
      <c r="K268" s="100"/>
      <c r="L268" s="100"/>
      <c r="M268" s="100"/>
      <c r="N268" s="100"/>
      <c r="O268" s="103"/>
    </row>
    <row r="269" spans="1:15" ht="13">
      <c r="A269" s="99"/>
      <c r="B269" s="100"/>
      <c r="C269" s="100"/>
      <c r="D269" s="100"/>
      <c r="E269" s="100"/>
      <c r="F269" s="100"/>
      <c r="G269" s="100"/>
      <c r="H269" s="100"/>
      <c r="I269" s="100"/>
      <c r="J269" s="100"/>
      <c r="K269" s="100"/>
      <c r="L269" s="100"/>
      <c r="M269" s="100"/>
      <c r="N269" s="100"/>
      <c r="O269" s="103"/>
    </row>
    <row r="270" spans="1:15" ht="13">
      <c r="A270" s="99"/>
      <c r="B270" s="100"/>
      <c r="C270" s="100"/>
      <c r="D270" s="100"/>
      <c r="E270" s="100"/>
      <c r="F270" s="100"/>
      <c r="G270" s="100"/>
      <c r="H270" s="100"/>
      <c r="I270" s="100"/>
      <c r="J270" s="100"/>
      <c r="K270" s="100"/>
      <c r="L270" s="100"/>
      <c r="M270" s="100"/>
      <c r="N270" s="100"/>
      <c r="O270" s="103"/>
    </row>
    <row r="271" spans="1:15" ht="13">
      <c r="A271" s="99"/>
      <c r="B271" s="100"/>
      <c r="C271" s="100"/>
      <c r="D271" s="100"/>
      <c r="E271" s="100"/>
      <c r="F271" s="100"/>
      <c r="G271" s="100"/>
      <c r="H271" s="100"/>
      <c r="I271" s="100"/>
      <c r="J271" s="100"/>
      <c r="K271" s="100"/>
      <c r="L271" s="100"/>
      <c r="M271" s="100"/>
      <c r="N271" s="100"/>
      <c r="O271" s="103"/>
    </row>
    <row r="272" spans="1:15" ht="13">
      <c r="A272" s="99"/>
      <c r="B272" s="100"/>
      <c r="C272" s="100"/>
      <c r="D272" s="100"/>
      <c r="E272" s="100"/>
      <c r="F272" s="100"/>
      <c r="G272" s="100"/>
      <c r="H272" s="100"/>
      <c r="I272" s="100"/>
      <c r="J272" s="100"/>
      <c r="K272" s="100"/>
      <c r="L272" s="100"/>
      <c r="M272" s="100"/>
      <c r="N272" s="100"/>
      <c r="O272" s="103"/>
    </row>
    <row r="273" spans="1:15" ht="13">
      <c r="A273" s="99"/>
      <c r="B273" s="100"/>
      <c r="C273" s="100"/>
      <c r="D273" s="100"/>
      <c r="E273" s="100"/>
      <c r="F273" s="100"/>
      <c r="G273" s="100"/>
      <c r="H273" s="100"/>
      <c r="I273" s="100"/>
      <c r="J273" s="100"/>
      <c r="K273" s="100"/>
      <c r="L273" s="100"/>
      <c r="M273" s="100"/>
      <c r="N273" s="100"/>
      <c r="O273" s="103"/>
    </row>
    <row r="274" spans="1:15" ht="13">
      <c r="A274" s="99"/>
      <c r="B274" s="100"/>
      <c r="C274" s="100"/>
      <c r="D274" s="100"/>
      <c r="E274" s="100"/>
      <c r="F274" s="100"/>
      <c r="G274" s="100"/>
      <c r="H274" s="100"/>
      <c r="I274" s="100"/>
      <c r="J274" s="100"/>
      <c r="K274" s="100"/>
      <c r="L274" s="100"/>
      <c r="M274" s="100"/>
      <c r="N274" s="100"/>
      <c r="O274" s="103"/>
    </row>
    <row r="275" spans="1:15" ht="13">
      <c r="A275" s="99"/>
      <c r="B275" s="100"/>
      <c r="C275" s="100"/>
      <c r="D275" s="100"/>
      <c r="E275" s="100"/>
      <c r="F275" s="100"/>
      <c r="G275" s="100"/>
      <c r="H275" s="100"/>
      <c r="I275" s="100"/>
      <c r="J275" s="100"/>
      <c r="K275" s="100"/>
      <c r="L275" s="100"/>
      <c r="M275" s="100"/>
      <c r="N275" s="100"/>
      <c r="O275" s="103"/>
    </row>
    <row r="276" spans="1:15" ht="13">
      <c r="A276" s="99"/>
      <c r="B276" s="100"/>
      <c r="C276" s="100"/>
      <c r="D276" s="100"/>
      <c r="E276" s="100"/>
      <c r="F276" s="100"/>
      <c r="G276" s="100"/>
      <c r="H276" s="100"/>
      <c r="I276" s="100"/>
      <c r="J276" s="100"/>
      <c r="K276" s="100"/>
      <c r="L276" s="100"/>
      <c r="M276" s="100"/>
      <c r="N276" s="100"/>
      <c r="O276" s="103"/>
    </row>
    <row r="277" spans="1:15" ht="13">
      <c r="A277" s="99"/>
      <c r="B277" s="100"/>
      <c r="C277" s="100"/>
      <c r="D277" s="100"/>
      <c r="E277" s="100"/>
      <c r="F277" s="100"/>
      <c r="G277" s="100"/>
      <c r="H277" s="100"/>
      <c r="I277" s="100"/>
      <c r="J277" s="100"/>
      <c r="K277" s="100"/>
      <c r="L277" s="100"/>
      <c r="M277" s="100"/>
      <c r="N277" s="100"/>
      <c r="O277" s="103"/>
    </row>
    <row r="278" spans="1:15" ht="13">
      <c r="A278" s="99"/>
      <c r="B278" s="100"/>
      <c r="C278" s="100"/>
      <c r="D278" s="100"/>
      <c r="E278" s="100"/>
      <c r="F278" s="100"/>
      <c r="G278" s="100"/>
      <c r="H278" s="100"/>
      <c r="I278" s="100"/>
      <c r="J278" s="100"/>
      <c r="K278" s="100"/>
      <c r="L278" s="100"/>
      <c r="M278" s="100"/>
      <c r="N278" s="100"/>
      <c r="O278" s="103"/>
    </row>
    <row r="279" spans="1:15" ht="13">
      <c r="A279" s="99"/>
      <c r="B279" s="100"/>
      <c r="C279" s="100"/>
      <c r="D279" s="100"/>
      <c r="E279" s="100"/>
      <c r="F279" s="100"/>
      <c r="G279" s="100"/>
      <c r="H279" s="100"/>
      <c r="I279" s="100"/>
      <c r="J279" s="100"/>
      <c r="K279" s="100"/>
      <c r="L279" s="100"/>
      <c r="M279" s="100"/>
      <c r="N279" s="100"/>
      <c r="O279" s="103"/>
    </row>
    <row r="280" spans="1:15" ht="13">
      <c r="A280" s="99"/>
      <c r="B280" s="100"/>
      <c r="C280" s="100"/>
      <c r="D280" s="100"/>
      <c r="E280" s="100"/>
      <c r="F280" s="100"/>
      <c r="G280" s="100"/>
      <c r="H280" s="100"/>
      <c r="I280" s="100"/>
      <c r="J280" s="100"/>
      <c r="K280" s="100"/>
      <c r="L280" s="100"/>
      <c r="M280" s="100"/>
      <c r="N280" s="100"/>
      <c r="O280" s="103"/>
    </row>
    <row r="281" spans="1:15" ht="13">
      <c r="A281" s="99"/>
      <c r="B281" s="100"/>
      <c r="C281" s="100"/>
      <c r="D281" s="100"/>
      <c r="E281" s="100"/>
      <c r="F281" s="100"/>
      <c r="G281" s="100"/>
      <c r="H281" s="100"/>
      <c r="I281" s="100"/>
      <c r="J281" s="100"/>
      <c r="K281" s="100"/>
      <c r="L281" s="100"/>
      <c r="M281" s="100"/>
      <c r="N281" s="100"/>
      <c r="O281" s="103"/>
    </row>
    <row r="282" spans="1:15" ht="13">
      <c r="A282" s="99"/>
      <c r="B282" s="100"/>
      <c r="C282" s="100"/>
      <c r="D282" s="100"/>
      <c r="E282" s="100"/>
      <c r="F282" s="100"/>
      <c r="G282" s="100"/>
      <c r="H282" s="100"/>
      <c r="I282" s="100"/>
      <c r="J282" s="100"/>
      <c r="K282" s="100"/>
      <c r="L282" s="100"/>
      <c r="M282" s="100"/>
      <c r="N282" s="100"/>
      <c r="O282" s="103"/>
    </row>
    <row r="283" spans="1:15" ht="13">
      <c r="A283" s="99"/>
      <c r="B283" s="100"/>
      <c r="C283" s="100"/>
      <c r="D283" s="100"/>
      <c r="E283" s="100"/>
      <c r="F283" s="100"/>
      <c r="G283" s="100"/>
      <c r="H283" s="100"/>
      <c r="I283" s="100"/>
      <c r="J283" s="100"/>
      <c r="K283" s="100"/>
      <c r="L283" s="100"/>
      <c r="M283" s="100"/>
      <c r="N283" s="100"/>
      <c r="O283" s="103"/>
    </row>
    <row r="284" spans="1:15" ht="13">
      <c r="A284" s="99"/>
      <c r="B284" s="100"/>
      <c r="C284" s="100"/>
      <c r="D284" s="100"/>
      <c r="E284" s="100"/>
      <c r="F284" s="100"/>
      <c r="G284" s="100"/>
      <c r="H284" s="100"/>
      <c r="I284" s="100"/>
      <c r="J284" s="100"/>
      <c r="K284" s="100"/>
      <c r="L284" s="100"/>
      <c r="M284" s="100"/>
      <c r="N284" s="100"/>
      <c r="O284" s="103"/>
    </row>
    <row r="285" spans="1:15" ht="13">
      <c r="A285" s="99"/>
      <c r="B285" s="100"/>
      <c r="C285" s="100"/>
      <c r="D285" s="100"/>
      <c r="E285" s="100"/>
      <c r="F285" s="100"/>
      <c r="G285" s="100"/>
      <c r="H285" s="100"/>
      <c r="I285" s="100"/>
      <c r="J285" s="100"/>
      <c r="K285" s="100"/>
      <c r="L285" s="100"/>
      <c r="M285" s="100"/>
      <c r="N285" s="100"/>
      <c r="O285" s="103"/>
    </row>
    <row r="286" spans="1:15" ht="13">
      <c r="A286" s="99"/>
      <c r="B286" s="100"/>
      <c r="C286" s="100"/>
      <c r="D286" s="100"/>
      <c r="E286" s="100"/>
      <c r="F286" s="100"/>
      <c r="G286" s="100"/>
      <c r="H286" s="100"/>
      <c r="I286" s="100"/>
      <c r="J286" s="100"/>
      <c r="K286" s="100"/>
      <c r="L286" s="100"/>
      <c r="M286" s="100"/>
      <c r="N286" s="100"/>
      <c r="O286" s="103"/>
    </row>
    <row r="287" spans="1:15" ht="13">
      <c r="A287" s="99"/>
      <c r="B287" s="100"/>
      <c r="C287" s="100"/>
      <c r="D287" s="100"/>
      <c r="E287" s="100"/>
      <c r="F287" s="100"/>
      <c r="G287" s="100"/>
      <c r="H287" s="100"/>
      <c r="I287" s="100"/>
      <c r="J287" s="100"/>
      <c r="K287" s="100"/>
      <c r="L287" s="100"/>
      <c r="M287" s="100"/>
      <c r="N287" s="100"/>
      <c r="O287" s="103"/>
    </row>
    <row r="288" spans="1:15" ht="13">
      <c r="A288" s="99"/>
      <c r="B288" s="100"/>
      <c r="C288" s="100"/>
      <c r="D288" s="100"/>
      <c r="E288" s="100"/>
      <c r="F288" s="100"/>
      <c r="G288" s="100"/>
      <c r="H288" s="100"/>
      <c r="I288" s="100"/>
      <c r="J288" s="100"/>
      <c r="K288" s="100"/>
      <c r="L288" s="100"/>
      <c r="M288" s="100"/>
      <c r="N288" s="100"/>
      <c r="O288" s="103"/>
    </row>
    <row r="289" spans="1:15" ht="13">
      <c r="A289" s="99"/>
      <c r="B289" s="100"/>
      <c r="C289" s="100"/>
      <c r="D289" s="100"/>
      <c r="E289" s="100"/>
      <c r="F289" s="100"/>
      <c r="G289" s="100"/>
      <c r="H289" s="100"/>
      <c r="I289" s="100"/>
      <c r="J289" s="100"/>
      <c r="K289" s="100"/>
      <c r="L289" s="100"/>
      <c r="M289" s="100"/>
      <c r="N289" s="100"/>
      <c r="O289" s="103"/>
    </row>
    <row r="290" spans="1:15" ht="13">
      <c r="A290" s="99"/>
      <c r="B290" s="100"/>
      <c r="C290" s="100"/>
      <c r="D290" s="100"/>
      <c r="E290" s="100"/>
      <c r="F290" s="100"/>
      <c r="G290" s="100"/>
      <c r="H290" s="100"/>
      <c r="I290" s="100"/>
      <c r="J290" s="100"/>
      <c r="K290" s="100"/>
      <c r="L290" s="100"/>
      <c r="M290" s="100"/>
      <c r="N290" s="100"/>
      <c r="O290" s="103"/>
    </row>
    <row r="291" spans="1:15" ht="13">
      <c r="A291" s="99"/>
      <c r="B291" s="100"/>
      <c r="C291" s="100"/>
      <c r="D291" s="100"/>
      <c r="E291" s="100"/>
      <c r="F291" s="100"/>
      <c r="G291" s="100"/>
      <c r="H291" s="100"/>
      <c r="I291" s="100"/>
      <c r="J291" s="100"/>
      <c r="K291" s="100"/>
      <c r="L291" s="100"/>
      <c r="M291" s="100"/>
      <c r="N291" s="100"/>
      <c r="O291" s="103"/>
    </row>
    <row r="292" spans="1:15" ht="13">
      <c r="A292" s="99"/>
      <c r="B292" s="100"/>
      <c r="C292" s="100"/>
      <c r="D292" s="100"/>
      <c r="E292" s="100"/>
      <c r="F292" s="100"/>
      <c r="G292" s="100"/>
      <c r="H292" s="100"/>
      <c r="I292" s="100"/>
      <c r="J292" s="100"/>
      <c r="K292" s="100"/>
      <c r="L292" s="100"/>
      <c r="M292" s="100"/>
      <c r="N292" s="100"/>
      <c r="O292" s="103"/>
    </row>
    <row r="293" spans="1:15" ht="13">
      <c r="A293" s="99"/>
      <c r="B293" s="100"/>
      <c r="C293" s="100"/>
      <c r="D293" s="100"/>
      <c r="E293" s="100"/>
      <c r="F293" s="100"/>
      <c r="G293" s="100"/>
      <c r="H293" s="100"/>
      <c r="I293" s="100"/>
      <c r="J293" s="100"/>
      <c r="K293" s="100"/>
      <c r="L293" s="100"/>
      <c r="M293" s="100"/>
      <c r="N293" s="100"/>
      <c r="O293" s="103"/>
    </row>
    <row r="294" spans="1:15" ht="13">
      <c r="A294" s="99"/>
      <c r="B294" s="100"/>
      <c r="C294" s="100"/>
      <c r="D294" s="100"/>
      <c r="E294" s="100"/>
      <c r="F294" s="100"/>
      <c r="G294" s="100"/>
      <c r="H294" s="100"/>
      <c r="I294" s="100"/>
      <c r="J294" s="100"/>
      <c r="K294" s="100"/>
      <c r="L294" s="100"/>
      <c r="M294" s="100"/>
      <c r="N294" s="100"/>
      <c r="O294" s="103"/>
    </row>
    <row r="295" spans="1:15" ht="13">
      <c r="A295" s="99"/>
      <c r="B295" s="100"/>
      <c r="C295" s="100"/>
      <c r="D295" s="100"/>
      <c r="E295" s="100"/>
      <c r="F295" s="100"/>
      <c r="G295" s="100"/>
      <c r="H295" s="100"/>
      <c r="I295" s="100"/>
      <c r="J295" s="100"/>
      <c r="K295" s="100"/>
      <c r="L295" s="100"/>
      <c r="M295" s="100"/>
      <c r="N295" s="100"/>
      <c r="O295" s="103"/>
    </row>
    <row r="296" spans="1:15" ht="13">
      <c r="A296" s="99"/>
      <c r="B296" s="100"/>
      <c r="C296" s="100"/>
      <c r="D296" s="100"/>
      <c r="E296" s="100"/>
      <c r="F296" s="100"/>
      <c r="G296" s="100"/>
      <c r="H296" s="100"/>
      <c r="I296" s="100"/>
      <c r="J296" s="100"/>
      <c r="K296" s="100"/>
      <c r="L296" s="100"/>
      <c r="M296" s="100"/>
      <c r="N296" s="100"/>
      <c r="O296" s="103"/>
    </row>
    <row r="297" spans="1:15" ht="13">
      <c r="A297" s="99"/>
      <c r="B297" s="100"/>
      <c r="C297" s="100"/>
      <c r="D297" s="100"/>
      <c r="E297" s="100"/>
      <c r="F297" s="100"/>
      <c r="G297" s="100"/>
      <c r="H297" s="100"/>
      <c r="I297" s="100"/>
      <c r="J297" s="100"/>
      <c r="K297" s="100"/>
      <c r="L297" s="100"/>
      <c r="M297" s="100"/>
      <c r="N297" s="100"/>
      <c r="O297" s="103"/>
    </row>
    <row r="298" spans="1:15" ht="13">
      <c r="A298" s="99"/>
      <c r="B298" s="100"/>
      <c r="C298" s="100"/>
      <c r="D298" s="100"/>
      <c r="E298" s="100"/>
      <c r="F298" s="100"/>
      <c r="G298" s="100"/>
      <c r="H298" s="100"/>
      <c r="I298" s="100"/>
      <c r="J298" s="100"/>
      <c r="K298" s="100"/>
      <c r="L298" s="100"/>
      <c r="M298" s="100"/>
      <c r="N298" s="100"/>
      <c r="O298" s="103"/>
    </row>
    <row r="299" spans="1:15" ht="13">
      <c r="A299" s="99"/>
      <c r="B299" s="100"/>
      <c r="C299" s="100"/>
      <c r="D299" s="100"/>
      <c r="E299" s="100"/>
      <c r="F299" s="100"/>
      <c r="G299" s="100"/>
      <c r="H299" s="100"/>
      <c r="I299" s="100"/>
      <c r="J299" s="100"/>
      <c r="K299" s="100"/>
      <c r="L299" s="100"/>
      <c r="M299" s="100"/>
      <c r="N299" s="100"/>
      <c r="O299" s="103"/>
    </row>
    <row r="300" spans="1:15" ht="13">
      <c r="A300" s="99"/>
      <c r="B300" s="100"/>
      <c r="C300" s="100"/>
      <c r="D300" s="100"/>
      <c r="E300" s="100"/>
      <c r="F300" s="100"/>
      <c r="G300" s="100"/>
      <c r="H300" s="100"/>
      <c r="I300" s="100"/>
      <c r="J300" s="100"/>
      <c r="K300" s="100"/>
      <c r="L300" s="100"/>
      <c r="M300" s="100"/>
      <c r="N300" s="100"/>
      <c r="O300" s="103"/>
    </row>
    <row r="301" spans="1:15" ht="13">
      <c r="A301" s="99"/>
      <c r="B301" s="100"/>
      <c r="C301" s="100"/>
      <c r="D301" s="100"/>
      <c r="E301" s="100"/>
      <c r="F301" s="100"/>
      <c r="G301" s="100"/>
      <c r="H301" s="100"/>
      <c r="I301" s="100"/>
      <c r="J301" s="100"/>
      <c r="K301" s="100"/>
      <c r="L301" s="100"/>
      <c r="M301" s="100"/>
      <c r="N301" s="100"/>
      <c r="O301" s="103"/>
    </row>
    <row r="302" spans="1:15" ht="13">
      <c r="A302" s="99"/>
      <c r="B302" s="100"/>
      <c r="C302" s="100"/>
      <c r="D302" s="100"/>
      <c r="E302" s="100"/>
      <c r="F302" s="100"/>
      <c r="G302" s="100"/>
      <c r="H302" s="100"/>
      <c r="I302" s="100"/>
      <c r="J302" s="100"/>
      <c r="K302" s="100"/>
      <c r="L302" s="100"/>
      <c r="M302" s="100"/>
      <c r="N302" s="100"/>
      <c r="O302" s="103"/>
    </row>
    <row r="303" spans="1:15" ht="13">
      <c r="A303" s="99"/>
      <c r="B303" s="100"/>
      <c r="C303" s="100"/>
      <c r="D303" s="100"/>
      <c r="E303" s="100"/>
      <c r="F303" s="100"/>
      <c r="G303" s="100"/>
      <c r="H303" s="100"/>
      <c r="I303" s="100"/>
      <c r="J303" s="100"/>
      <c r="K303" s="100"/>
      <c r="L303" s="100"/>
      <c r="M303" s="100"/>
      <c r="N303" s="100"/>
      <c r="O303" s="103"/>
    </row>
    <row r="304" spans="1:15" ht="13">
      <c r="A304" s="99"/>
      <c r="B304" s="100"/>
      <c r="C304" s="100"/>
      <c r="D304" s="100"/>
      <c r="E304" s="100"/>
      <c r="F304" s="100"/>
      <c r="G304" s="100"/>
      <c r="H304" s="100"/>
      <c r="I304" s="100"/>
      <c r="J304" s="100"/>
      <c r="K304" s="100"/>
      <c r="L304" s="100"/>
      <c r="M304" s="100"/>
      <c r="N304" s="100"/>
      <c r="O304" s="103"/>
    </row>
    <row r="305" spans="1:15" ht="13">
      <c r="A305" s="99"/>
      <c r="B305" s="100"/>
      <c r="C305" s="100"/>
      <c r="D305" s="100"/>
      <c r="E305" s="100"/>
      <c r="F305" s="100"/>
      <c r="G305" s="100"/>
      <c r="H305" s="100"/>
      <c r="I305" s="100"/>
      <c r="J305" s="100"/>
      <c r="K305" s="100"/>
      <c r="L305" s="100"/>
      <c r="M305" s="100"/>
      <c r="N305" s="100"/>
      <c r="O305" s="103"/>
    </row>
    <row r="306" spans="1:15" ht="13">
      <c r="A306" s="99"/>
      <c r="B306" s="100"/>
      <c r="C306" s="100"/>
      <c r="D306" s="100"/>
      <c r="E306" s="100"/>
      <c r="F306" s="100"/>
      <c r="G306" s="100"/>
      <c r="H306" s="100"/>
      <c r="I306" s="100"/>
      <c r="J306" s="100"/>
      <c r="K306" s="100"/>
      <c r="L306" s="100"/>
      <c r="M306" s="100"/>
      <c r="N306" s="100"/>
      <c r="O306" s="103"/>
    </row>
    <row r="307" spans="1:15" ht="13">
      <c r="A307" s="99"/>
      <c r="B307" s="100"/>
      <c r="C307" s="100"/>
      <c r="D307" s="100"/>
      <c r="E307" s="100"/>
      <c r="F307" s="100"/>
      <c r="G307" s="100"/>
      <c r="H307" s="100"/>
      <c r="I307" s="100"/>
      <c r="J307" s="100"/>
      <c r="K307" s="100"/>
      <c r="L307" s="100"/>
      <c r="M307" s="100"/>
      <c r="N307" s="100"/>
      <c r="O307" s="103"/>
    </row>
    <row r="308" spans="1:15" ht="13">
      <c r="A308" s="99"/>
      <c r="B308" s="100"/>
      <c r="C308" s="100"/>
      <c r="D308" s="100"/>
      <c r="E308" s="100"/>
      <c r="F308" s="100"/>
      <c r="G308" s="100"/>
      <c r="H308" s="100"/>
      <c r="I308" s="100"/>
      <c r="J308" s="100"/>
      <c r="K308" s="100"/>
      <c r="L308" s="100"/>
      <c r="M308" s="100"/>
      <c r="N308" s="100"/>
      <c r="O308" s="103"/>
    </row>
    <row r="309" spans="1:15" ht="13">
      <c r="A309" s="99"/>
      <c r="B309" s="100"/>
      <c r="C309" s="100"/>
      <c r="D309" s="100"/>
      <c r="E309" s="100"/>
      <c r="F309" s="100"/>
      <c r="G309" s="100"/>
      <c r="H309" s="100"/>
      <c r="I309" s="100"/>
      <c r="J309" s="100"/>
      <c r="K309" s="100"/>
      <c r="L309" s="100"/>
      <c r="M309" s="100"/>
      <c r="N309" s="100"/>
      <c r="O309" s="103"/>
    </row>
    <row r="310" spans="1:15" ht="13">
      <c r="A310" s="99"/>
      <c r="B310" s="100"/>
      <c r="C310" s="100"/>
      <c r="D310" s="100"/>
      <c r="E310" s="100"/>
      <c r="F310" s="100"/>
      <c r="G310" s="100"/>
      <c r="H310" s="100"/>
      <c r="I310" s="100"/>
      <c r="J310" s="100"/>
      <c r="K310" s="100"/>
      <c r="L310" s="100"/>
      <c r="M310" s="100"/>
      <c r="N310" s="100"/>
      <c r="O310" s="103"/>
    </row>
    <row r="311" spans="1:15" ht="13">
      <c r="A311" s="99"/>
      <c r="B311" s="100"/>
      <c r="C311" s="100"/>
      <c r="D311" s="100"/>
      <c r="E311" s="100"/>
      <c r="F311" s="100"/>
      <c r="G311" s="100"/>
      <c r="H311" s="100"/>
      <c r="I311" s="100"/>
      <c r="J311" s="100"/>
      <c r="K311" s="100"/>
      <c r="L311" s="100"/>
      <c r="M311" s="100"/>
      <c r="N311" s="100"/>
      <c r="O311" s="103"/>
    </row>
    <row r="312" spans="1:15" ht="13">
      <c r="A312" s="99"/>
      <c r="B312" s="100"/>
      <c r="C312" s="100"/>
      <c r="D312" s="100"/>
      <c r="E312" s="100"/>
      <c r="F312" s="100"/>
      <c r="G312" s="100"/>
      <c r="H312" s="100"/>
      <c r="I312" s="100"/>
      <c r="J312" s="100"/>
      <c r="K312" s="100"/>
      <c r="L312" s="100"/>
      <c r="M312" s="100"/>
      <c r="N312" s="100"/>
      <c r="O312" s="103"/>
    </row>
    <row r="313" spans="1:15" ht="13">
      <c r="A313" s="99"/>
      <c r="B313" s="100"/>
      <c r="C313" s="100"/>
      <c r="D313" s="100"/>
      <c r="E313" s="100"/>
      <c r="F313" s="100"/>
      <c r="G313" s="100"/>
      <c r="H313" s="100"/>
      <c r="I313" s="100"/>
      <c r="J313" s="100"/>
      <c r="K313" s="100"/>
      <c r="L313" s="100"/>
      <c r="M313" s="100"/>
      <c r="N313" s="100"/>
      <c r="O313" s="103"/>
    </row>
    <row r="314" spans="1:15" ht="13">
      <c r="A314" s="99"/>
      <c r="B314" s="100"/>
      <c r="C314" s="100"/>
      <c r="D314" s="100"/>
      <c r="E314" s="100"/>
      <c r="F314" s="100"/>
      <c r="G314" s="100"/>
      <c r="H314" s="100"/>
      <c r="I314" s="100"/>
      <c r="J314" s="100"/>
      <c r="K314" s="100"/>
      <c r="L314" s="100"/>
      <c r="M314" s="100"/>
      <c r="N314" s="100"/>
      <c r="O314" s="103"/>
    </row>
    <row r="315" spans="1:15" ht="13">
      <c r="A315" s="99"/>
      <c r="B315" s="100"/>
      <c r="C315" s="100"/>
      <c r="D315" s="100"/>
      <c r="E315" s="100"/>
      <c r="F315" s="100"/>
      <c r="G315" s="100"/>
      <c r="H315" s="100"/>
      <c r="I315" s="100"/>
      <c r="J315" s="100"/>
      <c r="K315" s="100"/>
      <c r="L315" s="100"/>
      <c r="M315" s="100"/>
      <c r="N315" s="100"/>
      <c r="O315" s="103"/>
    </row>
    <row r="316" spans="1:15" ht="13">
      <c r="A316" s="99"/>
      <c r="B316" s="100"/>
      <c r="C316" s="100"/>
      <c r="D316" s="100"/>
      <c r="E316" s="100"/>
      <c r="F316" s="100"/>
      <c r="G316" s="100"/>
      <c r="H316" s="100"/>
      <c r="I316" s="100"/>
      <c r="J316" s="100"/>
      <c r="K316" s="100"/>
      <c r="L316" s="100"/>
      <c r="M316" s="100"/>
      <c r="N316" s="100"/>
      <c r="O316" s="103"/>
    </row>
    <row r="317" spans="1:15" ht="13">
      <c r="A317" s="99"/>
      <c r="B317" s="100"/>
      <c r="C317" s="100"/>
      <c r="D317" s="100"/>
      <c r="E317" s="100"/>
      <c r="F317" s="100"/>
      <c r="G317" s="100"/>
      <c r="H317" s="100"/>
      <c r="I317" s="100"/>
      <c r="J317" s="100"/>
      <c r="K317" s="100"/>
      <c r="L317" s="100"/>
      <c r="M317" s="100"/>
      <c r="N317" s="100"/>
      <c r="O317" s="103"/>
    </row>
    <row r="318" spans="1:15" ht="13">
      <c r="A318" s="99"/>
      <c r="B318" s="100"/>
      <c r="C318" s="100"/>
      <c r="D318" s="100"/>
      <c r="E318" s="100"/>
      <c r="F318" s="100"/>
      <c r="G318" s="100"/>
      <c r="H318" s="100"/>
      <c r="I318" s="100"/>
      <c r="J318" s="100"/>
      <c r="K318" s="100"/>
      <c r="L318" s="100"/>
      <c r="M318" s="100"/>
      <c r="N318" s="100"/>
      <c r="O318" s="103"/>
    </row>
    <row r="319" spans="1:15" ht="13">
      <c r="A319" s="99"/>
      <c r="B319" s="100"/>
      <c r="C319" s="100"/>
      <c r="D319" s="100"/>
      <c r="E319" s="100"/>
      <c r="F319" s="100"/>
      <c r="G319" s="100"/>
      <c r="H319" s="100"/>
      <c r="I319" s="100"/>
      <c r="J319" s="100"/>
      <c r="K319" s="100"/>
      <c r="L319" s="100"/>
      <c r="M319" s="100"/>
      <c r="N319" s="100"/>
      <c r="O319" s="103"/>
    </row>
    <row r="320" spans="1:15" ht="13">
      <c r="A320" s="99"/>
      <c r="B320" s="100"/>
      <c r="C320" s="100"/>
      <c r="D320" s="100"/>
      <c r="E320" s="100"/>
      <c r="F320" s="100"/>
      <c r="G320" s="100"/>
      <c r="H320" s="100"/>
      <c r="I320" s="100"/>
      <c r="J320" s="100"/>
      <c r="K320" s="100"/>
      <c r="L320" s="100"/>
      <c r="M320" s="100"/>
      <c r="N320" s="100"/>
      <c r="O320" s="103"/>
    </row>
    <row r="321" spans="1:15" ht="13">
      <c r="A321" s="99"/>
      <c r="B321" s="100"/>
      <c r="C321" s="100"/>
      <c r="D321" s="100"/>
      <c r="E321" s="100"/>
      <c r="F321" s="100"/>
      <c r="G321" s="100"/>
      <c r="H321" s="100"/>
      <c r="I321" s="100"/>
      <c r="J321" s="100"/>
      <c r="K321" s="100"/>
      <c r="L321" s="100"/>
      <c r="M321" s="100"/>
      <c r="N321" s="100"/>
      <c r="O321" s="103"/>
    </row>
    <row r="322" spans="1:15" ht="13">
      <c r="A322" s="99"/>
      <c r="B322" s="100"/>
      <c r="C322" s="100"/>
      <c r="D322" s="100"/>
      <c r="E322" s="100"/>
      <c r="F322" s="100"/>
      <c r="G322" s="100"/>
      <c r="H322" s="100"/>
      <c r="I322" s="100"/>
      <c r="J322" s="100"/>
      <c r="K322" s="100"/>
      <c r="L322" s="100"/>
      <c r="M322" s="100"/>
      <c r="N322" s="100"/>
      <c r="O322" s="103"/>
    </row>
    <row r="323" spans="1:15" ht="13">
      <c r="A323" s="99"/>
      <c r="B323" s="100"/>
      <c r="C323" s="100"/>
      <c r="D323" s="100"/>
      <c r="E323" s="100"/>
      <c r="F323" s="100"/>
      <c r="G323" s="100"/>
      <c r="H323" s="100"/>
      <c r="I323" s="100"/>
      <c r="J323" s="100"/>
      <c r="K323" s="100"/>
      <c r="L323" s="100"/>
      <c r="M323" s="100"/>
      <c r="N323" s="100"/>
      <c r="O323" s="103"/>
    </row>
    <row r="324" spans="1:15" ht="13">
      <c r="A324" s="99"/>
      <c r="B324" s="100"/>
      <c r="C324" s="100"/>
      <c r="D324" s="100"/>
      <c r="E324" s="100"/>
      <c r="F324" s="100"/>
      <c r="G324" s="100"/>
      <c r="H324" s="100"/>
      <c r="I324" s="100"/>
      <c r="J324" s="100"/>
      <c r="K324" s="100"/>
      <c r="L324" s="100"/>
      <c r="M324" s="100"/>
      <c r="N324" s="100"/>
      <c r="O324" s="103"/>
    </row>
    <row r="325" spans="1:15" ht="13">
      <c r="A325" s="99"/>
      <c r="B325" s="100"/>
      <c r="C325" s="100"/>
      <c r="D325" s="100"/>
      <c r="E325" s="100"/>
      <c r="F325" s="100"/>
      <c r="G325" s="100"/>
      <c r="H325" s="100"/>
      <c r="I325" s="100"/>
      <c r="J325" s="100"/>
      <c r="K325" s="100"/>
      <c r="L325" s="100"/>
      <c r="M325" s="100"/>
      <c r="N325" s="100"/>
      <c r="O325" s="103"/>
    </row>
    <row r="326" spans="1:15" ht="13">
      <c r="A326" s="99"/>
      <c r="B326" s="100"/>
      <c r="C326" s="100"/>
      <c r="D326" s="100"/>
      <c r="E326" s="100"/>
      <c r="F326" s="100"/>
      <c r="G326" s="100"/>
      <c r="H326" s="100"/>
      <c r="I326" s="100"/>
      <c r="J326" s="100"/>
      <c r="K326" s="100"/>
      <c r="L326" s="100"/>
      <c r="M326" s="100"/>
      <c r="N326" s="100"/>
      <c r="O326" s="103"/>
    </row>
    <row r="327" spans="1:15" ht="13">
      <c r="A327" s="99"/>
      <c r="B327" s="100"/>
      <c r="C327" s="100"/>
      <c r="D327" s="100"/>
      <c r="E327" s="100"/>
      <c r="F327" s="100"/>
      <c r="G327" s="100"/>
      <c r="H327" s="100"/>
      <c r="I327" s="100"/>
      <c r="J327" s="100"/>
      <c r="K327" s="100"/>
      <c r="L327" s="100"/>
      <c r="M327" s="100"/>
      <c r="N327" s="100"/>
      <c r="O327" s="103"/>
    </row>
    <row r="328" spans="1:15" ht="13">
      <c r="A328" s="99"/>
      <c r="B328" s="100"/>
      <c r="C328" s="100"/>
      <c r="D328" s="100"/>
      <c r="E328" s="100"/>
      <c r="F328" s="100"/>
      <c r="G328" s="100"/>
      <c r="H328" s="100"/>
      <c r="I328" s="100"/>
      <c r="J328" s="100"/>
      <c r="K328" s="100"/>
      <c r="L328" s="100"/>
      <c r="M328" s="100"/>
      <c r="N328" s="100"/>
      <c r="O328" s="103"/>
    </row>
    <row r="329" spans="1:15" ht="13">
      <c r="A329" s="99"/>
      <c r="B329" s="100"/>
      <c r="C329" s="100"/>
      <c r="D329" s="100"/>
      <c r="E329" s="100"/>
      <c r="F329" s="100"/>
      <c r="G329" s="100"/>
      <c r="H329" s="100"/>
      <c r="I329" s="100"/>
      <c r="J329" s="100"/>
      <c r="K329" s="100"/>
      <c r="L329" s="100"/>
      <c r="M329" s="100"/>
      <c r="N329" s="100"/>
      <c r="O329" s="103"/>
    </row>
    <row r="330" spans="1:15" ht="13">
      <c r="A330" s="99"/>
      <c r="B330" s="100"/>
      <c r="C330" s="100"/>
      <c r="D330" s="100"/>
      <c r="E330" s="100"/>
      <c r="F330" s="100"/>
      <c r="G330" s="100"/>
      <c r="H330" s="100"/>
      <c r="I330" s="100"/>
      <c r="J330" s="100"/>
      <c r="K330" s="100"/>
      <c r="L330" s="100"/>
      <c r="M330" s="100"/>
      <c r="N330" s="100"/>
      <c r="O330" s="103"/>
    </row>
    <row r="331" spans="1:15" ht="13">
      <c r="A331" s="99"/>
      <c r="B331" s="100"/>
      <c r="C331" s="100"/>
      <c r="D331" s="100"/>
      <c r="E331" s="100"/>
      <c r="F331" s="100"/>
      <c r="G331" s="100"/>
      <c r="H331" s="100"/>
      <c r="I331" s="100"/>
      <c r="J331" s="100"/>
      <c r="K331" s="100"/>
      <c r="L331" s="100"/>
      <c r="M331" s="100"/>
      <c r="N331" s="100"/>
      <c r="O331" s="103"/>
    </row>
    <row r="332" spans="1:15" ht="13">
      <c r="A332" s="99"/>
      <c r="B332" s="100"/>
      <c r="C332" s="100"/>
      <c r="D332" s="100"/>
      <c r="E332" s="100"/>
      <c r="F332" s="100"/>
      <c r="G332" s="100"/>
      <c r="H332" s="100"/>
      <c r="I332" s="100"/>
      <c r="J332" s="100"/>
      <c r="K332" s="100"/>
      <c r="L332" s="100"/>
      <c r="M332" s="100"/>
      <c r="N332" s="100"/>
      <c r="O332" s="103"/>
    </row>
    <row r="333" spans="1:15" ht="13">
      <c r="A333" s="99"/>
      <c r="B333" s="100"/>
      <c r="C333" s="100"/>
      <c r="D333" s="100"/>
      <c r="E333" s="100"/>
      <c r="F333" s="100"/>
      <c r="G333" s="100"/>
      <c r="H333" s="100"/>
      <c r="I333" s="100"/>
      <c r="J333" s="100"/>
      <c r="K333" s="100"/>
      <c r="L333" s="100"/>
      <c r="M333" s="100"/>
      <c r="N333" s="100"/>
      <c r="O333" s="103"/>
    </row>
    <row r="334" spans="1:15" ht="13">
      <c r="A334" s="99"/>
      <c r="B334" s="100"/>
      <c r="C334" s="100"/>
      <c r="D334" s="100"/>
      <c r="E334" s="100"/>
      <c r="F334" s="100"/>
      <c r="G334" s="100"/>
      <c r="H334" s="100"/>
      <c r="I334" s="100"/>
      <c r="J334" s="100"/>
      <c r="K334" s="100"/>
      <c r="L334" s="100"/>
      <c r="M334" s="100"/>
      <c r="N334" s="100"/>
      <c r="O334" s="103"/>
    </row>
    <row r="335" spans="1:15" ht="13">
      <c r="A335" s="99"/>
      <c r="B335" s="100"/>
      <c r="C335" s="100"/>
      <c r="D335" s="100"/>
      <c r="E335" s="100"/>
      <c r="F335" s="100"/>
      <c r="G335" s="100"/>
      <c r="H335" s="100"/>
      <c r="I335" s="100"/>
      <c r="J335" s="100"/>
      <c r="K335" s="100"/>
      <c r="L335" s="100"/>
      <c r="M335" s="100"/>
      <c r="N335" s="100"/>
      <c r="O335" s="103"/>
    </row>
    <row r="336" spans="1:15" ht="13">
      <c r="A336" s="99"/>
      <c r="B336" s="100"/>
      <c r="C336" s="100"/>
      <c r="D336" s="100"/>
      <c r="E336" s="100"/>
      <c r="F336" s="100"/>
      <c r="G336" s="100"/>
      <c r="H336" s="100"/>
      <c r="I336" s="100"/>
      <c r="J336" s="100"/>
      <c r="K336" s="100"/>
      <c r="L336" s="100"/>
      <c r="M336" s="100"/>
      <c r="N336" s="100"/>
      <c r="O336" s="103"/>
    </row>
    <row r="337" spans="1:15" ht="13">
      <c r="A337" s="99"/>
      <c r="B337" s="100"/>
      <c r="C337" s="100"/>
      <c r="D337" s="100"/>
      <c r="E337" s="100"/>
      <c r="F337" s="100"/>
      <c r="G337" s="100"/>
      <c r="H337" s="100"/>
      <c r="I337" s="100"/>
      <c r="J337" s="100"/>
      <c r="K337" s="100"/>
      <c r="L337" s="100"/>
      <c r="M337" s="100"/>
      <c r="N337" s="100"/>
      <c r="O337" s="103"/>
    </row>
    <row r="338" spans="1:15" ht="13">
      <c r="A338" s="99"/>
      <c r="B338" s="100"/>
      <c r="C338" s="100"/>
      <c r="D338" s="100"/>
      <c r="E338" s="100"/>
      <c r="F338" s="100"/>
      <c r="G338" s="100"/>
      <c r="H338" s="100"/>
      <c r="I338" s="100"/>
      <c r="J338" s="100"/>
      <c r="K338" s="100"/>
      <c r="L338" s="100"/>
      <c r="M338" s="100"/>
      <c r="N338" s="100"/>
      <c r="O338" s="103"/>
    </row>
    <row r="339" spans="1:15" ht="13">
      <c r="A339" s="99"/>
      <c r="B339" s="100"/>
      <c r="C339" s="100"/>
      <c r="D339" s="100"/>
      <c r="E339" s="100"/>
      <c r="F339" s="100"/>
      <c r="G339" s="100"/>
      <c r="H339" s="100"/>
      <c r="I339" s="100"/>
      <c r="J339" s="100"/>
      <c r="K339" s="100"/>
      <c r="L339" s="100"/>
      <c r="M339" s="100"/>
      <c r="N339" s="100"/>
      <c r="O339" s="103"/>
    </row>
    <row r="340" spans="1:15" ht="13">
      <c r="A340" s="99"/>
      <c r="B340" s="100"/>
      <c r="C340" s="100"/>
      <c r="D340" s="100"/>
      <c r="E340" s="100"/>
      <c r="F340" s="100"/>
      <c r="G340" s="100"/>
      <c r="H340" s="100"/>
      <c r="I340" s="100"/>
      <c r="J340" s="100"/>
      <c r="K340" s="100"/>
      <c r="L340" s="100"/>
      <c r="M340" s="100"/>
      <c r="N340" s="100"/>
      <c r="O340" s="103"/>
    </row>
    <row r="341" spans="1:15" ht="13">
      <c r="A341" s="99"/>
      <c r="B341" s="100"/>
      <c r="C341" s="100"/>
      <c r="D341" s="100"/>
      <c r="E341" s="100"/>
      <c r="F341" s="100"/>
      <c r="G341" s="100"/>
      <c r="H341" s="100"/>
      <c r="I341" s="100"/>
      <c r="J341" s="100"/>
      <c r="K341" s="100"/>
      <c r="L341" s="100"/>
      <c r="M341" s="100"/>
      <c r="N341" s="100"/>
      <c r="O341" s="103"/>
    </row>
    <row r="342" spans="1:15" ht="13">
      <c r="A342" s="99"/>
      <c r="B342" s="100"/>
      <c r="C342" s="100"/>
      <c r="D342" s="100"/>
      <c r="E342" s="100"/>
      <c r="F342" s="100"/>
      <c r="G342" s="100"/>
      <c r="H342" s="100"/>
      <c r="I342" s="100"/>
      <c r="J342" s="100"/>
      <c r="K342" s="100"/>
      <c r="L342" s="100"/>
      <c r="M342" s="100"/>
      <c r="N342" s="100"/>
      <c r="O342" s="103"/>
    </row>
    <row r="343" spans="1:15" ht="13">
      <c r="A343" s="99"/>
      <c r="B343" s="100"/>
      <c r="C343" s="100"/>
      <c r="D343" s="100"/>
      <c r="E343" s="100"/>
      <c r="F343" s="100"/>
      <c r="G343" s="100"/>
      <c r="H343" s="100"/>
      <c r="I343" s="100"/>
      <c r="J343" s="100"/>
      <c r="K343" s="100"/>
      <c r="L343" s="100"/>
      <c r="M343" s="100"/>
      <c r="N343" s="100"/>
      <c r="O343" s="103"/>
    </row>
    <row r="344" spans="1:15" ht="13">
      <c r="A344" s="99"/>
      <c r="B344" s="100"/>
      <c r="C344" s="100"/>
      <c r="D344" s="100"/>
      <c r="E344" s="100"/>
      <c r="F344" s="100"/>
      <c r="G344" s="100"/>
      <c r="H344" s="100"/>
      <c r="I344" s="100"/>
      <c r="J344" s="100"/>
      <c r="K344" s="100"/>
      <c r="L344" s="100"/>
      <c r="M344" s="100"/>
      <c r="N344" s="100"/>
      <c r="O344" s="103"/>
    </row>
    <row r="345" spans="1:15" ht="13">
      <c r="A345" s="99"/>
      <c r="B345" s="100"/>
      <c r="C345" s="100"/>
      <c r="D345" s="100"/>
      <c r="E345" s="100"/>
      <c r="F345" s="100"/>
      <c r="G345" s="100"/>
      <c r="H345" s="100"/>
      <c r="I345" s="100"/>
      <c r="J345" s="100"/>
      <c r="K345" s="100"/>
      <c r="L345" s="100"/>
      <c r="M345" s="100"/>
      <c r="N345" s="100"/>
      <c r="O345" s="103"/>
    </row>
    <row r="346" spans="1:15" ht="13">
      <c r="A346" s="99"/>
      <c r="B346" s="100"/>
      <c r="C346" s="100"/>
      <c r="D346" s="100"/>
      <c r="E346" s="100"/>
      <c r="F346" s="100"/>
      <c r="G346" s="100"/>
      <c r="H346" s="100"/>
      <c r="I346" s="100"/>
      <c r="J346" s="100"/>
      <c r="K346" s="100"/>
      <c r="L346" s="100"/>
      <c r="M346" s="100"/>
      <c r="N346" s="100"/>
      <c r="O346" s="103"/>
    </row>
    <row r="347" spans="1:15" ht="13">
      <c r="A347" s="99"/>
      <c r="B347" s="100"/>
      <c r="C347" s="100"/>
      <c r="D347" s="100"/>
      <c r="E347" s="100"/>
      <c r="F347" s="100"/>
      <c r="G347" s="100"/>
      <c r="H347" s="100"/>
      <c r="I347" s="100"/>
      <c r="J347" s="100"/>
      <c r="K347" s="100"/>
      <c r="L347" s="100"/>
      <c r="M347" s="100"/>
      <c r="N347" s="100"/>
      <c r="O347" s="103"/>
    </row>
    <row r="348" spans="1:15" ht="13">
      <c r="A348" s="99"/>
      <c r="B348" s="100"/>
      <c r="C348" s="100"/>
      <c r="D348" s="100"/>
      <c r="E348" s="100"/>
      <c r="F348" s="100"/>
      <c r="G348" s="100"/>
      <c r="H348" s="100"/>
      <c r="I348" s="100"/>
      <c r="J348" s="100"/>
      <c r="K348" s="100"/>
      <c r="L348" s="100"/>
      <c r="M348" s="100"/>
      <c r="N348" s="100"/>
      <c r="O348" s="103"/>
    </row>
    <row r="349" spans="1:15" ht="13">
      <c r="A349" s="99"/>
      <c r="B349" s="100"/>
      <c r="C349" s="100"/>
      <c r="D349" s="100"/>
      <c r="E349" s="100"/>
      <c r="F349" s="100"/>
      <c r="G349" s="100"/>
      <c r="H349" s="100"/>
      <c r="I349" s="100"/>
      <c r="J349" s="100"/>
      <c r="K349" s="100"/>
      <c r="L349" s="100"/>
      <c r="M349" s="100"/>
      <c r="N349" s="100"/>
      <c r="O349" s="103"/>
    </row>
    <row r="350" spans="1:15" ht="13">
      <c r="A350" s="99"/>
      <c r="B350" s="100"/>
      <c r="C350" s="100"/>
      <c r="D350" s="100"/>
      <c r="E350" s="100"/>
      <c r="F350" s="100"/>
      <c r="G350" s="100"/>
      <c r="H350" s="100"/>
      <c r="I350" s="100"/>
      <c r="J350" s="100"/>
      <c r="K350" s="100"/>
      <c r="L350" s="100"/>
      <c r="M350" s="100"/>
      <c r="N350" s="100"/>
      <c r="O350" s="103"/>
    </row>
    <row r="351" spans="1:15" ht="13">
      <c r="A351" s="99"/>
      <c r="B351" s="100"/>
      <c r="C351" s="100"/>
      <c r="D351" s="100"/>
      <c r="E351" s="100"/>
      <c r="F351" s="100"/>
      <c r="G351" s="100"/>
      <c r="H351" s="100"/>
      <c r="I351" s="100"/>
      <c r="J351" s="100"/>
      <c r="K351" s="100"/>
      <c r="L351" s="100"/>
      <c r="M351" s="100"/>
      <c r="N351" s="100"/>
      <c r="O351" s="103"/>
    </row>
    <row r="352" spans="1:15" ht="13">
      <c r="A352" s="99"/>
      <c r="B352" s="100"/>
      <c r="C352" s="100"/>
      <c r="D352" s="100"/>
      <c r="E352" s="100"/>
      <c r="F352" s="100"/>
      <c r="G352" s="100"/>
      <c r="H352" s="100"/>
      <c r="I352" s="100"/>
      <c r="J352" s="100"/>
      <c r="K352" s="100"/>
      <c r="L352" s="100"/>
      <c r="M352" s="100"/>
      <c r="N352" s="100"/>
      <c r="O352" s="103"/>
    </row>
    <row r="353" spans="1:15" ht="13">
      <c r="A353" s="99"/>
      <c r="B353" s="100"/>
      <c r="C353" s="100"/>
      <c r="D353" s="100"/>
      <c r="E353" s="100"/>
      <c r="F353" s="100"/>
      <c r="G353" s="100"/>
      <c r="H353" s="100"/>
      <c r="I353" s="100"/>
      <c r="J353" s="100"/>
      <c r="K353" s="100"/>
      <c r="L353" s="100"/>
      <c r="M353" s="100"/>
      <c r="N353" s="100"/>
      <c r="O353" s="103"/>
    </row>
    <row r="354" spans="1:15" ht="13">
      <c r="A354" s="99"/>
      <c r="B354" s="100"/>
      <c r="C354" s="100"/>
      <c r="D354" s="100"/>
      <c r="E354" s="100"/>
      <c r="F354" s="100"/>
      <c r="G354" s="100"/>
      <c r="H354" s="100"/>
      <c r="I354" s="100"/>
      <c r="J354" s="100"/>
      <c r="K354" s="100"/>
      <c r="L354" s="100"/>
      <c r="M354" s="100"/>
      <c r="N354" s="100"/>
      <c r="O354" s="103"/>
    </row>
    <row r="355" spans="1:15" ht="13">
      <c r="A355" s="99"/>
      <c r="B355" s="100"/>
      <c r="C355" s="100"/>
      <c r="D355" s="100"/>
      <c r="E355" s="100"/>
      <c r="F355" s="100"/>
      <c r="G355" s="100"/>
      <c r="H355" s="100"/>
      <c r="I355" s="100"/>
      <c r="J355" s="100"/>
      <c r="K355" s="100"/>
      <c r="L355" s="100"/>
      <c r="M355" s="100"/>
      <c r="N355" s="100"/>
      <c r="O355" s="103"/>
    </row>
    <row r="356" spans="1:15" ht="13">
      <c r="A356" s="99"/>
      <c r="B356" s="100"/>
      <c r="C356" s="100"/>
      <c r="D356" s="100"/>
      <c r="E356" s="100"/>
      <c r="F356" s="100"/>
      <c r="G356" s="100"/>
      <c r="H356" s="100"/>
      <c r="I356" s="100"/>
      <c r="J356" s="100"/>
      <c r="K356" s="100"/>
      <c r="L356" s="100"/>
      <c r="M356" s="100"/>
      <c r="N356" s="100"/>
      <c r="O356" s="103"/>
    </row>
    <row r="357" spans="1:15" ht="13">
      <c r="A357" s="99"/>
      <c r="B357" s="100"/>
      <c r="C357" s="100"/>
      <c r="D357" s="100"/>
      <c r="E357" s="100"/>
      <c r="F357" s="100"/>
      <c r="G357" s="100"/>
      <c r="H357" s="100"/>
      <c r="I357" s="100"/>
      <c r="J357" s="100"/>
      <c r="K357" s="100"/>
      <c r="L357" s="100"/>
      <c r="M357" s="100"/>
      <c r="N357" s="100"/>
      <c r="O357" s="103"/>
    </row>
    <row r="358" spans="1:15" ht="13">
      <c r="A358" s="99"/>
      <c r="B358" s="100"/>
      <c r="C358" s="100"/>
      <c r="D358" s="100"/>
      <c r="E358" s="100"/>
      <c r="F358" s="100"/>
      <c r="G358" s="100"/>
      <c r="H358" s="100"/>
      <c r="I358" s="100"/>
      <c r="J358" s="100"/>
      <c r="K358" s="100"/>
      <c r="L358" s="100"/>
      <c r="M358" s="100"/>
      <c r="N358" s="100"/>
      <c r="O358" s="103"/>
    </row>
    <row r="359" spans="1:15" ht="13">
      <c r="A359" s="99"/>
      <c r="B359" s="100"/>
      <c r="C359" s="100"/>
      <c r="D359" s="100"/>
      <c r="E359" s="100"/>
      <c r="F359" s="100"/>
      <c r="G359" s="100"/>
      <c r="H359" s="100"/>
      <c r="I359" s="100"/>
      <c r="J359" s="100"/>
      <c r="K359" s="100"/>
      <c r="L359" s="100"/>
      <c r="M359" s="100"/>
      <c r="N359" s="100"/>
      <c r="O359" s="103"/>
    </row>
    <row r="360" spans="1:15" ht="13">
      <c r="A360" s="99"/>
      <c r="B360" s="100"/>
      <c r="C360" s="100"/>
      <c r="D360" s="100"/>
      <c r="E360" s="100"/>
      <c r="F360" s="100"/>
      <c r="G360" s="100"/>
      <c r="H360" s="100"/>
      <c r="I360" s="100"/>
      <c r="J360" s="100"/>
      <c r="K360" s="100"/>
      <c r="L360" s="100"/>
      <c r="M360" s="100"/>
      <c r="N360" s="100"/>
      <c r="O360" s="103"/>
    </row>
    <row r="361" spans="1:15" ht="13">
      <c r="A361" s="99"/>
      <c r="B361" s="100"/>
      <c r="C361" s="100"/>
      <c r="D361" s="100"/>
      <c r="E361" s="100"/>
      <c r="F361" s="100"/>
      <c r="G361" s="100"/>
      <c r="H361" s="100"/>
      <c r="I361" s="100"/>
      <c r="J361" s="100"/>
      <c r="K361" s="100"/>
      <c r="L361" s="100"/>
      <c r="M361" s="100"/>
      <c r="N361" s="100"/>
      <c r="O361" s="103"/>
    </row>
    <row r="362" spans="1:15" ht="13">
      <c r="A362" s="99"/>
      <c r="B362" s="100"/>
      <c r="C362" s="100"/>
      <c r="D362" s="100"/>
      <c r="E362" s="100"/>
      <c r="F362" s="100"/>
      <c r="G362" s="100"/>
      <c r="H362" s="100"/>
      <c r="I362" s="100"/>
      <c r="J362" s="100"/>
      <c r="K362" s="100"/>
      <c r="L362" s="100"/>
      <c r="M362" s="100"/>
      <c r="N362" s="100"/>
      <c r="O362" s="103"/>
    </row>
    <row r="363" spans="1:15" ht="13">
      <c r="A363" s="99"/>
      <c r="B363" s="100"/>
      <c r="C363" s="100"/>
      <c r="D363" s="100"/>
      <c r="E363" s="100"/>
      <c r="F363" s="100"/>
      <c r="G363" s="100"/>
      <c r="H363" s="100"/>
      <c r="I363" s="100"/>
      <c r="J363" s="100"/>
      <c r="K363" s="100"/>
      <c r="L363" s="100"/>
      <c r="M363" s="100"/>
      <c r="N363" s="100"/>
      <c r="O363" s="103"/>
    </row>
    <row r="364" spans="1:15" ht="13">
      <c r="A364" s="99"/>
      <c r="B364" s="100"/>
      <c r="C364" s="100"/>
      <c r="D364" s="100"/>
      <c r="E364" s="100"/>
      <c r="F364" s="100"/>
      <c r="G364" s="100"/>
      <c r="H364" s="100"/>
      <c r="I364" s="100"/>
      <c r="J364" s="100"/>
      <c r="K364" s="100"/>
      <c r="L364" s="100"/>
      <c r="M364" s="100"/>
      <c r="N364" s="100"/>
      <c r="O364" s="103"/>
    </row>
    <row r="365" spans="1:15" ht="13">
      <c r="A365" s="99"/>
      <c r="B365" s="100"/>
      <c r="C365" s="100"/>
      <c r="D365" s="100"/>
      <c r="E365" s="100"/>
      <c r="F365" s="100"/>
      <c r="G365" s="100"/>
      <c r="H365" s="100"/>
      <c r="I365" s="100"/>
      <c r="J365" s="100"/>
      <c r="K365" s="100"/>
      <c r="L365" s="100"/>
      <c r="M365" s="100"/>
      <c r="N365" s="100"/>
      <c r="O365" s="103"/>
    </row>
    <row r="366" spans="1:15" ht="13">
      <c r="A366" s="99"/>
      <c r="B366" s="100"/>
      <c r="C366" s="100"/>
      <c r="D366" s="100"/>
      <c r="E366" s="100"/>
      <c r="F366" s="100"/>
      <c r="G366" s="100"/>
      <c r="H366" s="100"/>
      <c r="I366" s="100"/>
      <c r="J366" s="100"/>
      <c r="K366" s="100"/>
      <c r="L366" s="100"/>
      <c r="M366" s="100"/>
      <c r="N366" s="100"/>
      <c r="O366" s="103"/>
    </row>
    <row r="367" spans="1:15" ht="13">
      <c r="A367" s="99"/>
      <c r="B367" s="100"/>
      <c r="C367" s="100"/>
      <c r="D367" s="100"/>
      <c r="E367" s="100"/>
      <c r="F367" s="100"/>
      <c r="G367" s="100"/>
      <c r="H367" s="100"/>
      <c r="I367" s="100"/>
      <c r="J367" s="100"/>
      <c r="K367" s="100"/>
      <c r="L367" s="100"/>
      <c r="M367" s="100"/>
      <c r="N367" s="100"/>
      <c r="O367" s="103"/>
    </row>
    <row r="368" spans="1:15" ht="13">
      <c r="A368" s="99"/>
      <c r="B368" s="100"/>
      <c r="C368" s="100"/>
      <c r="D368" s="100"/>
      <c r="E368" s="100"/>
      <c r="F368" s="100"/>
      <c r="G368" s="100"/>
      <c r="H368" s="100"/>
      <c r="I368" s="100"/>
      <c r="J368" s="100"/>
      <c r="K368" s="100"/>
      <c r="L368" s="100"/>
      <c r="M368" s="100"/>
      <c r="N368" s="100"/>
      <c r="O368" s="103"/>
    </row>
    <row r="369" spans="1:15" ht="13">
      <c r="A369" s="99"/>
      <c r="B369" s="100"/>
      <c r="C369" s="100"/>
      <c r="D369" s="100"/>
      <c r="E369" s="100"/>
      <c r="F369" s="100"/>
      <c r="G369" s="100"/>
      <c r="H369" s="100"/>
      <c r="I369" s="100"/>
      <c r="J369" s="100"/>
      <c r="K369" s="100"/>
      <c r="L369" s="100"/>
      <c r="M369" s="100"/>
      <c r="N369" s="100"/>
      <c r="O369" s="103"/>
    </row>
    <row r="370" spans="1:15" ht="13">
      <c r="A370" s="99"/>
      <c r="B370" s="100"/>
      <c r="C370" s="100"/>
      <c r="D370" s="100"/>
      <c r="E370" s="100"/>
      <c r="F370" s="100"/>
      <c r="G370" s="100"/>
      <c r="H370" s="100"/>
      <c r="I370" s="100"/>
      <c r="J370" s="100"/>
      <c r="K370" s="100"/>
      <c r="L370" s="100"/>
      <c r="M370" s="100"/>
      <c r="N370" s="100"/>
      <c r="O370" s="103"/>
    </row>
    <row r="371" spans="1:15" ht="13">
      <c r="A371" s="99"/>
      <c r="B371" s="100"/>
      <c r="C371" s="100"/>
      <c r="D371" s="100"/>
      <c r="E371" s="100"/>
      <c r="F371" s="100"/>
      <c r="G371" s="100"/>
      <c r="H371" s="100"/>
      <c r="I371" s="100"/>
      <c r="J371" s="100"/>
      <c r="K371" s="100"/>
      <c r="L371" s="100"/>
      <c r="M371" s="100"/>
      <c r="N371" s="100"/>
      <c r="O371" s="103"/>
    </row>
    <row r="372" spans="1:15" ht="13">
      <c r="A372" s="99"/>
      <c r="B372" s="100"/>
      <c r="C372" s="100"/>
      <c r="D372" s="100"/>
      <c r="E372" s="100"/>
      <c r="F372" s="100"/>
      <c r="G372" s="100"/>
      <c r="H372" s="100"/>
      <c r="I372" s="100"/>
      <c r="J372" s="100"/>
      <c r="K372" s="100"/>
      <c r="L372" s="100"/>
      <c r="M372" s="100"/>
      <c r="N372" s="100"/>
      <c r="O372" s="103"/>
    </row>
    <row r="373" spans="1:15" ht="13">
      <c r="A373" s="99"/>
      <c r="B373" s="100"/>
      <c r="C373" s="100"/>
      <c r="D373" s="100"/>
      <c r="E373" s="100"/>
      <c r="F373" s="100"/>
      <c r="G373" s="100"/>
      <c r="H373" s="100"/>
      <c r="I373" s="100"/>
      <c r="J373" s="100"/>
      <c r="K373" s="100"/>
      <c r="L373" s="100"/>
      <c r="M373" s="100"/>
      <c r="N373" s="100"/>
      <c r="O373" s="103"/>
    </row>
    <row r="374" spans="1:15" ht="13">
      <c r="A374" s="99"/>
      <c r="B374" s="100"/>
      <c r="C374" s="100"/>
      <c r="D374" s="100"/>
      <c r="E374" s="100"/>
      <c r="F374" s="100"/>
      <c r="G374" s="100"/>
      <c r="H374" s="100"/>
      <c r="I374" s="100"/>
      <c r="J374" s="100"/>
      <c r="K374" s="100"/>
      <c r="L374" s="100"/>
      <c r="M374" s="100"/>
      <c r="N374" s="100"/>
      <c r="O374" s="103"/>
    </row>
    <row r="375" spans="1:15" ht="13">
      <c r="A375" s="99"/>
      <c r="B375" s="100"/>
      <c r="C375" s="100"/>
      <c r="D375" s="100"/>
      <c r="E375" s="100"/>
      <c r="F375" s="100"/>
      <c r="G375" s="100"/>
      <c r="H375" s="100"/>
      <c r="I375" s="100"/>
      <c r="J375" s="100"/>
      <c r="K375" s="100"/>
      <c r="L375" s="100"/>
      <c r="M375" s="100"/>
      <c r="N375" s="100"/>
      <c r="O375" s="103"/>
    </row>
    <row r="376" spans="1:15" ht="13">
      <c r="A376" s="99"/>
      <c r="B376" s="100"/>
      <c r="C376" s="100"/>
      <c r="D376" s="100"/>
      <c r="E376" s="100"/>
      <c r="F376" s="100"/>
      <c r="G376" s="100"/>
      <c r="H376" s="100"/>
      <c r="I376" s="100"/>
      <c r="J376" s="100"/>
      <c r="K376" s="100"/>
      <c r="L376" s="100"/>
      <c r="M376" s="100"/>
      <c r="N376" s="100"/>
      <c r="O376" s="103"/>
    </row>
    <row r="377" spans="1:15" ht="13">
      <c r="A377" s="99"/>
      <c r="B377" s="100"/>
      <c r="C377" s="100"/>
      <c r="D377" s="100"/>
      <c r="E377" s="100"/>
      <c r="F377" s="100"/>
      <c r="G377" s="100"/>
      <c r="H377" s="100"/>
      <c r="I377" s="100"/>
      <c r="J377" s="100"/>
      <c r="K377" s="100"/>
      <c r="L377" s="100"/>
      <c r="M377" s="100"/>
      <c r="N377" s="100"/>
      <c r="O377" s="103"/>
    </row>
    <row r="378" spans="1:15" ht="13">
      <c r="A378" s="99"/>
      <c r="B378" s="100"/>
      <c r="C378" s="100"/>
      <c r="D378" s="100"/>
      <c r="E378" s="100"/>
      <c r="F378" s="100"/>
      <c r="G378" s="100"/>
      <c r="H378" s="100"/>
      <c r="I378" s="100"/>
      <c r="J378" s="100"/>
      <c r="K378" s="100"/>
      <c r="L378" s="100"/>
      <c r="M378" s="100"/>
      <c r="N378" s="100"/>
      <c r="O378" s="103"/>
    </row>
    <row r="379" spans="1:15" ht="13">
      <c r="A379" s="99"/>
      <c r="B379" s="100"/>
      <c r="C379" s="100"/>
      <c r="D379" s="100"/>
      <c r="E379" s="100"/>
      <c r="F379" s="100"/>
      <c r="G379" s="100"/>
      <c r="H379" s="100"/>
      <c r="I379" s="100"/>
      <c r="J379" s="100"/>
      <c r="K379" s="100"/>
      <c r="L379" s="100"/>
      <c r="M379" s="100"/>
      <c r="N379" s="100"/>
      <c r="O379" s="103"/>
    </row>
    <row r="380" spans="1:15" ht="13">
      <c r="A380" s="99"/>
      <c r="B380" s="100"/>
      <c r="C380" s="100"/>
      <c r="D380" s="100"/>
      <c r="E380" s="100"/>
      <c r="F380" s="100"/>
      <c r="G380" s="100"/>
      <c r="H380" s="100"/>
      <c r="I380" s="100"/>
      <c r="J380" s="100"/>
      <c r="K380" s="100"/>
      <c r="L380" s="100"/>
      <c r="M380" s="100"/>
      <c r="N380" s="100"/>
      <c r="O380" s="103"/>
    </row>
    <row r="381" spans="1:15" ht="13">
      <c r="A381" s="99"/>
      <c r="B381" s="100"/>
      <c r="C381" s="100"/>
      <c r="D381" s="100"/>
      <c r="E381" s="100"/>
      <c r="F381" s="100"/>
      <c r="G381" s="100"/>
      <c r="H381" s="100"/>
      <c r="I381" s="100"/>
      <c r="J381" s="100"/>
      <c r="K381" s="100"/>
      <c r="L381" s="100"/>
      <c r="M381" s="100"/>
      <c r="N381" s="100"/>
      <c r="O381" s="103"/>
    </row>
    <row r="382" spans="1:15" ht="13">
      <c r="A382" s="99"/>
      <c r="B382" s="100"/>
      <c r="C382" s="100"/>
      <c r="D382" s="100"/>
      <c r="E382" s="100"/>
      <c r="F382" s="100"/>
      <c r="G382" s="100"/>
      <c r="H382" s="100"/>
      <c r="I382" s="100"/>
      <c r="J382" s="100"/>
      <c r="K382" s="100"/>
      <c r="L382" s="100"/>
      <c r="M382" s="100"/>
      <c r="N382" s="100"/>
      <c r="O382" s="103"/>
    </row>
    <row r="383" spans="1:15" ht="13">
      <c r="A383" s="99"/>
      <c r="B383" s="100"/>
      <c r="C383" s="100"/>
      <c r="D383" s="100"/>
      <c r="E383" s="100"/>
      <c r="F383" s="100"/>
      <c r="G383" s="100"/>
      <c r="H383" s="100"/>
      <c r="I383" s="100"/>
      <c r="J383" s="100"/>
      <c r="K383" s="100"/>
      <c r="L383" s="100"/>
      <c r="M383" s="100"/>
      <c r="N383" s="100"/>
      <c r="O383" s="103"/>
    </row>
    <row r="384" spans="1:15" ht="13">
      <c r="A384" s="99"/>
      <c r="B384" s="100"/>
      <c r="C384" s="100"/>
      <c r="D384" s="100"/>
      <c r="E384" s="100"/>
      <c r="F384" s="100"/>
      <c r="G384" s="100"/>
      <c r="H384" s="100"/>
      <c r="I384" s="100"/>
      <c r="J384" s="100"/>
      <c r="K384" s="100"/>
      <c r="L384" s="100"/>
      <c r="M384" s="100"/>
      <c r="N384" s="100"/>
      <c r="O384" s="103"/>
    </row>
    <row r="385" spans="1:15" ht="13">
      <c r="A385" s="99"/>
      <c r="B385" s="100"/>
      <c r="C385" s="100"/>
      <c r="D385" s="100"/>
      <c r="E385" s="100"/>
      <c r="F385" s="100"/>
      <c r="G385" s="100"/>
      <c r="H385" s="100"/>
      <c r="I385" s="100"/>
      <c r="J385" s="100"/>
      <c r="K385" s="100"/>
      <c r="L385" s="100"/>
      <c r="M385" s="100"/>
      <c r="N385" s="100"/>
      <c r="O385" s="103"/>
    </row>
    <row r="386" spans="1:15" ht="13">
      <c r="A386" s="99"/>
      <c r="B386" s="100"/>
      <c r="C386" s="100"/>
      <c r="D386" s="100"/>
      <c r="E386" s="100"/>
      <c r="F386" s="100"/>
      <c r="G386" s="100"/>
      <c r="H386" s="100"/>
      <c r="I386" s="100"/>
      <c r="J386" s="100"/>
      <c r="K386" s="100"/>
      <c r="L386" s="100"/>
      <c r="M386" s="100"/>
      <c r="N386" s="100"/>
      <c r="O386" s="103"/>
    </row>
    <row r="387" spans="1:15" ht="13">
      <c r="A387" s="99"/>
      <c r="B387" s="100"/>
      <c r="C387" s="100"/>
      <c r="D387" s="100"/>
      <c r="E387" s="100"/>
      <c r="F387" s="100"/>
      <c r="G387" s="100"/>
      <c r="H387" s="100"/>
      <c r="I387" s="100"/>
      <c r="J387" s="100"/>
      <c r="K387" s="100"/>
      <c r="L387" s="100"/>
      <c r="M387" s="100"/>
      <c r="N387" s="100"/>
      <c r="O387" s="103"/>
    </row>
    <row r="388" spans="1:15" ht="13">
      <c r="A388" s="99"/>
      <c r="B388" s="100"/>
      <c r="C388" s="100"/>
      <c r="D388" s="100"/>
      <c r="E388" s="100"/>
      <c r="F388" s="100"/>
      <c r="G388" s="100"/>
      <c r="H388" s="100"/>
      <c r="I388" s="100"/>
      <c r="J388" s="100"/>
      <c r="K388" s="100"/>
      <c r="L388" s="100"/>
      <c r="M388" s="100"/>
      <c r="N388" s="100"/>
      <c r="O388" s="103"/>
    </row>
    <row r="389" spans="1:15" ht="13">
      <c r="A389" s="99"/>
      <c r="B389" s="100"/>
      <c r="C389" s="100"/>
      <c r="D389" s="100"/>
      <c r="E389" s="100"/>
      <c r="F389" s="100"/>
      <c r="G389" s="100"/>
      <c r="H389" s="100"/>
      <c r="I389" s="100"/>
      <c r="J389" s="100"/>
      <c r="K389" s="100"/>
      <c r="L389" s="100"/>
      <c r="M389" s="100"/>
      <c r="N389" s="100"/>
      <c r="O389" s="103"/>
    </row>
    <row r="390" spans="1:15" ht="13">
      <c r="A390" s="99"/>
      <c r="B390" s="100"/>
      <c r="C390" s="100"/>
      <c r="D390" s="100"/>
      <c r="E390" s="100"/>
      <c r="F390" s="100"/>
      <c r="G390" s="100"/>
      <c r="H390" s="100"/>
      <c r="I390" s="100"/>
      <c r="J390" s="100"/>
      <c r="K390" s="100"/>
      <c r="L390" s="100"/>
      <c r="M390" s="100"/>
      <c r="N390" s="100"/>
      <c r="O390" s="103"/>
    </row>
    <row r="391" spans="1:15" ht="13">
      <c r="A391" s="99"/>
      <c r="B391" s="100"/>
      <c r="C391" s="100"/>
      <c r="D391" s="100"/>
      <c r="E391" s="100"/>
      <c r="F391" s="100"/>
      <c r="G391" s="100"/>
      <c r="H391" s="100"/>
      <c r="I391" s="100"/>
      <c r="J391" s="100"/>
      <c r="K391" s="100"/>
      <c r="L391" s="100"/>
      <c r="M391" s="100"/>
      <c r="N391" s="100"/>
      <c r="O391" s="103"/>
    </row>
    <row r="392" spans="1:15" ht="13">
      <c r="A392" s="99"/>
      <c r="B392" s="100"/>
      <c r="C392" s="100"/>
      <c r="D392" s="100"/>
      <c r="E392" s="100"/>
      <c r="F392" s="100"/>
      <c r="G392" s="100"/>
      <c r="H392" s="100"/>
      <c r="I392" s="100"/>
      <c r="J392" s="100"/>
      <c r="K392" s="100"/>
      <c r="L392" s="100"/>
      <c r="M392" s="100"/>
      <c r="N392" s="100"/>
      <c r="O392" s="103"/>
    </row>
    <row r="393" spans="1:15" ht="13">
      <c r="A393" s="99"/>
      <c r="B393" s="100"/>
      <c r="C393" s="100"/>
      <c r="D393" s="100"/>
      <c r="E393" s="100"/>
      <c r="F393" s="100"/>
      <c r="G393" s="100"/>
      <c r="H393" s="100"/>
      <c r="I393" s="100"/>
      <c r="J393" s="100"/>
      <c r="K393" s="100"/>
      <c r="L393" s="100"/>
      <c r="M393" s="100"/>
      <c r="N393" s="100"/>
      <c r="O393" s="103"/>
    </row>
    <row r="394" spans="1:15" ht="13">
      <c r="A394" s="99"/>
      <c r="B394" s="100"/>
      <c r="C394" s="100"/>
      <c r="D394" s="100"/>
      <c r="E394" s="100"/>
      <c r="F394" s="100"/>
      <c r="G394" s="100"/>
      <c r="H394" s="100"/>
      <c r="I394" s="100"/>
      <c r="J394" s="100"/>
      <c r="K394" s="100"/>
      <c r="L394" s="100"/>
      <c r="M394" s="100"/>
      <c r="N394" s="100"/>
      <c r="O394" s="103"/>
    </row>
    <row r="395" spans="1:15" ht="13">
      <c r="A395" s="99"/>
      <c r="B395" s="100"/>
      <c r="C395" s="100"/>
      <c r="D395" s="100"/>
      <c r="E395" s="100"/>
      <c r="F395" s="100"/>
      <c r="G395" s="100"/>
      <c r="H395" s="100"/>
      <c r="I395" s="100"/>
      <c r="J395" s="100"/>
      <c r="K395" s="100"/>
      <c r="L395" s="100"/>
      <c r="M395" s="100"/>
      <c r="N395" s="100"/>
      <c r="O395" s="103"/>
    </row>
    <row r="396" spans="1:15" ht="13">
      <c r="A396" s="99"/>
      <c r="B396" s="100"/>
      <c r="C396" s="100"/>
      <c r="D396" s="100"/>
      <c r="E396" s="100"/>
      <c r="F396" s="100"/>
      <c r="G396" s="100"/>
      <c r="H396" s="100"/>
      <c r="I396" s="100"/>
      <c r="J396" s="100"/>
      <c r="K396" s="100"/>
      <c r="L396" s="100"/>
      <c r="M396" s="100"/>
      <c r="N396" s="100"/>
      <c r="O396" s="103"/>
    </row>
    <row r="397" spans="1:15" ht="13">
      <c r="A397" s="99"/>
      <c r="B397" s="100"/>
      <c r="C397" s="100"/>
      <c r="D397" s="100"/>
      <c r="E397" s="100"/>
      <c r="F397" s="100"/>
      <c r="G397" s="100"/>
      <c r="H397" s="100"/>
      <c r="I397" s="100"/>
      <c r="J397" s="100"/>
      <c r="K397" s="100"/>
      <c r="L397" s="100"/>
      <c r="M397" s="100"/>
      <c r="N397" s="100"/>
      <c r="O397" s="103"/>
    </row>
    <row r="398" spans="1:15" ht="13">
      <c r="A398" s="99"/>
      <c r="B398" s="100"/>
      <c r="C398" s="100"/>
      <c r="D398" s="100"/>
      <c r="E398" s="100"/>
      <c r="F398" s="100"/>
      <c r="G398" s="100"/>
      <c r="H398" s="100"/>
      <c r="I398" s="100"/>
      <c r="J398" s="100"/>
      <c r="K398" s="100"/>
      <c r="L398" s="100"/>
      <c r="M398" s="100"/>
      <c r="N398" s="100"/>
      <c r="O398" s="103"/>
    </row>
    <row r="399" spans="1:15" ht="13">
      <c r="A399" s="99"/>
      <c r="B399" s="100"/>
      <c r="C399" s="100"/>
      <c r="D399" s="100"/>
      <c r="E399" s="100"/>
      <c r="F399" s="100"/>
      <c r="G399" s="100"/>
      <c r="H399" s="100"/>
      <c r="I399" s="100"/>
      <c r="J399" s="100"/>
      <c r="K399" s="100"/>
      <c r="L399" s="100"/>
      <c r="M399" s="100"/>
      <c r="N399" s="100"/>
      <c r="O399" s="103"/>
    </row>
    <row r="400" spans="1:15" ht="13">
      <c r="A400" s="99"/>
      <c r="B400" s="100"/>
      <c r="C400" s="100"/>
      <c r="D400" s="100"/>
      <c r="E400" s="100"/>
      <c r="F400" s="100"/>
      <c r="G400" s="100"/>
      <c r="H400" s="100"/>
      <c r="I400" s="100"/>
      <c r="J400" s="100"/>
      <c r="K400" s="100"/>
      <c r="L400" s="100"/>
      <c r="M400" s="100"/>
      <c r="N400" s="100"/>
      <c r="O400" s="103"/>
    </row>
    <row r="401" spans="1:15" ht="13">
      <c r="A401" s="99"/>
      <c r="B401" s="100"/>
      <c r="C401" s="100"/>
      <c r="D401" s="100"/>
      <c r="E401" s="100"/>
      <c r="F401" s="100"/>
      <c r="G401" s="100"/>
      <c r="H401" s="100"/>
      <c r="I401" s="100"/>
      <c r="J401" s="100"/>
      <c r="K401" s="100"/>
      <c r="L401" s="100"/>
      <c r="M401" s="100"/>
      <c r="N401" s="100"/>
      <c r="O401" s="103"/>
    </row>
    <row r="402" spans="1:15" ht="13">
      <c r="A402" s="99"/>
      <c r="B402" s="100"/>
      <c r="C402" s="100"/>
      <c r="D402" s="100"/>
      <c r="E402" s="100"/>
      <c r="F402" s="100"/>
      <c r="G402" s="100"/>
      <c r="H402" s="100"/>
      <c r="I402" s="100"/>
      <c r="J402" s="100"/>
      <c r="K402" s="100"/>
      <c r="L402" s="100"/>
      <c r="M402" s="100"/>
      <c r="N402" s="100"/>
      <c r="O402" s="103"/>
    </row>
    <row r="403" spans="1:15" ht="13">
      <c r="A403" s="99"/>
      <c r="B403" s="100"/>
      <c r="C403" s="100"/>
      <c r="D403" s="100"/>
      <c r="E403" s="100"/>
      <c r="F403" s="100"/>
      <c r="G403" s="100"/>
      <c r="H403" s="100"/>
      <c r="I403" s="100"/>
      <c r="J403" s="100"/>
      <c r="K403" s="100"/>
      <c r="L403" s="100"/>
      <c r="M403" s="100"/>
      <c r="N403" s="100"/>
      <c r="O403" s="103"/>
    </row>
    <row r="404" spans="1:15" ht="13">
      <c r="A404" s="99"/>
      <c r="B404" s="100"/>
      <c r="C404" s="100"/>
      <c r="D404" s="100"/>
      <c r="E404" s="100"/>
      <c r="F404" s="100"/>
      <c r="G404" s="100"/>
      <c r="H404" s="100"/>
      <c r="I404" s="100"/>
      <c r="J404" s="100"/>
      <c r="K404" s="100"/>
      <c r="L404" s="100"/>
      <c r="M404" s="100"/>
      <c r="N404" s="100"/>
      <c r="O404" s="103"/>
    </row>
    <row r="405" spans="1:15" ht="13">
      <c r="A405" s="99"/>
      <c r="B405" s="100"/>
      <c r="C405" s="100"/>
      <c r="D405" s="100"/>
      <c r="E405" s="100"/>
      <c r="F405" s="100"/>
      <c r="G405" s="100"/>
      <c r="H405" s="100"/>
      <c r="I405" s="100"/>
      <c r="J405" s="100"/>
      <c r="K405" s="100"/>
      <c r="L405" s="100"/>
      <c r="M405" s="100"/>
      <c r="N405" s="100"/>
      <c r="O405" s="103"/>
    </row>
    <row r="406" spans="1:15" ht="13">
      <c r="A406" s="99"/>
      <c r="B406" s="100"/>
      <c r="C406" s="100"/>
      <c r="D406" s="100"/>
      <c r="E406" s="100"/>
      <c r="F406" s="100"/>
      <c r="G406" s="100"/>
      <c r="H406" s="100"/>
      <c r="I406" s="100"/>
      <c r="J406" s="100"/>
      <c r="K406" s="100"/>
      <c r="L406" s="100"/>
      <c r="M406" s="100"/>
      <c r="N406" s="100"/>
      <c r="O406" s="103"/>
    </row>
    <row r="407" spans="1:15" ht="13">
      <c r="A407" s="99"/>
      <c r="B407" s="100"/>
      <c r="C407" s="100"/>
      <c r="D407" s="100"/>
      <c r="E407" s="100"/>
      <c r="F407" s="100"/>
      <c r="G407" s="100"/>
      <c r="H407" s="100"/>
      <c r="I407" s="100"/>
      <c r="J407" s="100"/>
      <c r="K407" s="100"/>
      <c r="L407" s="100"/>
      <c r="M407" s="100"/>
      <c r="N407" s="100"/>
      <c r="O407" s="103"/>
    </row>
    <row r="408" spans="1:15" ht="13">
      <c r="A408" s="99"/>
      <c r="B408" s="100"/>
      <c r="C408" s="100"/>
      <c r="D408" s="100"/>
      <c r="E408" s="100"/>
      <c r="F408" s="100"/>
      <c r="G408" s="100"/>
      <c r="H408" s="100"/>
      <c r="I408" s="100"/>
      <c r="J408" s="100"/>
      <c r="K408" s="100"/>
      <c r="L408" s="100"/>
      <c r="M408" s="100"/>
      <c r="N408" s="100"/>
      <c r="O408" s="103"/>
    </row>
    <row r="409" spans="1:15" ht="13">
      <c r="A409" s="99"/>
      <c r="B409" s="100"/>
      <c r="C409" s="100"/>
      <c r="D409" s="100"/>
      <c r="E409" s="100"/>
      <c r="F409" s="100"/>
      <c r="G409" s="100"/>
      <c r="H409" s="100"/>
      <c r="I409" s="100"/>
      <c r="J409" s="100"/>
      <c r="K409" s="100"/>
      <c r="L409" s="100"/>
      <c r="M409" s="100"/>
      <c r="N409" s="100"/>
      <c r="O409" s="103"/>
    </row>
    <row r="410" spans="1:15" ht="13">
      <c r="A410" s="99"/>
      <c r="B410" s="100"/>
      <c r="C410" s="100"/>
      <c r="D410" s="100"/>
      <c r="E410" s="100"/>
      <c r="F410" s="100"/>
      <c r="G410" s="100"/>
      <c r="H410" s="100"/>
      <c r="I410" s="100"/>
      <c r="J410" s="100"/>
      <c r="K410" s="100"/>
      <c r="L410" s="100"/>
      <c r="M410" s="100"/>
      <c r="N410" s="100"/>
      <c r="O410" s="103"/>
    </row>
    <row r="411" spans="1:15" ht="13">
      <c r="A411" s="99"/>
      <c r="B411" s="100"/>
      <c r="C411" s="100"/>
      <c r="D411" s="100"/>
      <c r="E411" s="100"/>
      <c r="F411" s="100"/>
      <c r="G411" s="100"/>
      <c r="H411" s="100"/>
      <c r="I411" s="100"/>
      <c r="J411" s="100"/>
      <c r="K411" s="100"/>
      <c r="L411" s="100"/>
      <c r="M411" s="100"/>
      <c r="N411" s="100"/>
      <c r="O411" s="103"/>
    </row>
    <row r="412" spans="1:15" ht="13">
      <c r="A412" s="99"/>
      <c r="B412" s="100"/>
      <c r="C412" s="100"/>
      <c r="D412" s="100"/>
      <c r="E412" s="100"/>
      <c r="F412" s="100"/>
      <c r="G412" s="100"/>
      <c r="H412" s="100"/>
      <c r="I412" s="100"/>
      <c r="J412" s="100"/>
      <c r="K412" s="100"/>
      <c r="L412" s="100"/>
      <c r="M412" s="100"/>
      <c r="N412" s="100"/>
      <c r="O412" s="103"/>
    </row>
    <row r="413" spans="1:15" ht="13">
      <c r="A413" s="99"/>
      <c r="B413" s="100"/>
      <c r="C413" s="100"/>
      <c r="D413" s="100"/>
      <c r="E413" s="100"/>
      <c r="F413" s="100"/>
      <c r="G413" s="100"/>
      <c r="H413" s="100"/>
      <c r="I413" s="100"/>
      <c r="J413" s="100"/>
      <c r="K413" s="100"/>
      <c r="L413" s="100"/>
      <c r="M413" s="100"/>
      <c r="N413" s="100"/>
      <c r="O413" s="103"/>
    </row>
    <row r="414" spans="1:15" ht="13">
      <c r="A414" s="99"/>
      <c r="B414" s="100"/>
      <c r="C414" s="100"/>
      <c r="D414" s="100"/>
      <c r="E414" s="100"/>
      <c r="F414" s="100"/>
      <c r="G414" s="100"/>
      <c r="H414" s="100"/>
      <c r="I414" s="100"/>
      <c r="J414" s="100"/>
      <c r="K414" s="100"/>
      <c r="L414" s="100"/>
      <c r="M414" s="100"/>
      <c r="N414" s="100"/>
      <c r="O414" s="103"/>
    </row>
    <row r="415" spans="1:15" ht="13">
      <c r="A415" s="99"/>
      <c r="B415" s="100"/>
      <c r="C415" s="100"/>
      <c r="D415" s="100"/>
      <c r="E415" s="100"/>
      <c r="F415" s="100"/>
      <c r="G415" s="100"/>
      <c r="H415" s="100"/>
      <c r="I415" s="100"/>
      <c r="J415" s="100"/>
      <c r="K415" s="100"/>
      <c r="L415" s="100"/>
      <c r="M415" s="100"/>
      <c r="N415" s="100"/>
      <c r="O415" s="103"/>
    </row>
    <row r="416" spans="1:15" ht="13">
      <c r="A416" s="99"/>
      <c r="B416" s="100"/>
      <c r="C416" s="100"/>
      <c r="D416" s="100"/>
      <c r="E416" s="100"/>
      <c r="F416" s="100"/>
      <c r="G416" s="100"/>
      <c r="H416" s="100"/>
      <c r="I416" s="100"/>
      <c r="J416" s="100"/>
      <c r="K416" s="100"/>
      <c r="L416" s="100"/>
      <c r="M416" s="100"/>
      <c r="N416" s="100"/>
      <c r="O416" s="103"/>
    </row>
    <row r="417" spans="1:15" ht="13">
      <c r="A417" s="99"/>
      <c r="B417" s="100"/>
      <c r="C417" s="100"/>
      <c r="D417" s="100"/>
      <c r="E417" s="100"/>
      <c r="F417" s="100"/>
      <c r="G417" s="100"/>
      <c r="H417" s="100"/>
      <c r="I417" s="100"/>
      <c r="J417" s="100"/>
      <c r="K417" s="100"/>
      <c r="L417" s="100"/>
      <c r="M417" s="100"/>
      <c r="N417" s="100"/>
      <c r="O417" s="103"/>
    </row>
    <row r="418" spans="1:15" ht="13">
      <c r="A418" s="99"/>
      <c r="B418" s="100"/>
      <c r="C418" s="100"/>
      <c r="D418" s="100"/>
      <c r="E418" s="100"/>
      <c r="F418" s="100"/>
      <c r="G418" s="100"/>
      <c r="H418" s="100"/>
      <c r="I418" s="100"/>
      <c r="J418" s="100"/>
      <c r="K418" s="100"/>
      <c r="L418" s="100"/>
      <c r="M418" s="100"/>
      <c r="N418" s="100"/>
      <c r="O418" s="103"/>
    </row>
    <row r="419" spans="1:15" ht="13">
      <c r="A419" s="99"/>
      <c r="B419" s="100"/>
      <c r="C419" s="100"/>
      <c r="D419" s="100"/>
      <c r="E419" s="100"/>
      <c r="F419" s="100"/>
      <c r="G419" s="100"/>
      <c r="H419" s="100"/>
      <c r="I419" s="100"/>
      <c r="J419" s="100"/>
      <c r="K419" s="100"/>
      <c r="L419" s="100"/>
      <c r="M419" s="100"/>
      <c r="N419" s="100"/>
      <c r="O419" s="103"/>
    </row>
    <row r="420" spans="1:15" ht="13">
      <c r="A420" s="99"/>
      <c r="B420" s="100"/>
      <c r="C420" s="100"/>
      <c r="D420" s="100"/>
      <c r="E420" s="100"/>
      <c r="F420" s="100"/>
      <c r="G420" s="100"/>
      <c r="H420" s="100"/>
      <c r="I420" s="100"/>
      <c r="J420" s="100"/>
      <c r="K420" s="100"/>
      <c r="L420" s="100"/>
      <c r="M420" s="100"/>
      <c r="N420" s="100"/>
      <c r="O420" s="103"/>
    </row>
    <row r="421" spans="1:15" ht="13">
      <c r="A421" s="99"/>
      <c r="B421" s="100"/>
      <c r="C421" s="100"/>
      <c r="D421" s="100"/>
      <c r="E421" s="100"/>
      <c r="F421" s="100"/>
      <c r="G421" s="100"/>
      <c r="H421" s="100"/>
      <c r="I421" s="100"/>
      <c r="J421" s="100"/>
      <c r="K421" s="100"/>
      <c r="L421" s="100"/>
      <c r="M421" s="100"/>
      <c r="N421" s="100"/>
      <c r="O421" s="103"/>
    </row>
    <row r="422" spans="1:15" ht="13">
      <c r="A422" s="99"/>
      <c r="B422" s="100"/>
      <c r="C422" s="100"/>
      <c r="D422" s="100"/>
      <c r="E422" s="100"/>
      <c r="F422" s="100"/>
      <c r="G422" s="100"/>
      <c r="H422" s="100"/>
      <c r="I422" s="100"/>
      <c r="J422" s="100"/>
      <c r="K422" s="100"/>
      <c r="L422" s="100"/>
      <c r="M422" s="100"/>
      <c r="N422" s="100"/>
      <c r="O422" s="103"/>
    </row>
    <row r="423" spans="1:15" ht="13">
      <c r="A423" s="99"/>
      <c r="B423" s="100"/>
      <c r="C423" s="100"/>
      <c r="D423" s="100"/>
      <c r="E423" s="100"/>
      <c r="F423" s="100"/>
      <c r="G423" s="100"/>
      <c r="H423" s="100"/>
      <c r="I423" s="100"/>
      <c r="J423" s="100"/>
      <c r="K423" s="100"/>
      <c r="L423" s="100"/>
      <c r="M423" s="100"/>
      <c r="N423" s="100"/>
      <c r="O423" s="103"/>
    </row>
    <row r="424" spans="1:15" ht="13">
      <c r="A424" s="99"/>
      <c r="B424" s="100"/>
      <c r="C424" s="100"/>
      <c r="D424" s="100"/>
      <c r="E424" s="100"/>
      <c r="F424" s="100"/>
      <c r="G424" s="100"/>
      <c r="H424" s="100"/>
      <c r="I424" s="100"/>
      <c r="J424" s="100"/>
      <c r="K424" s="100"/>
      <c r="L424" s="100"/>
      <c r="M424" s="100"/>
      <c r="N424" s="100"/>
      <c r="O424" s="103"/>
    </row>
    <row r="425" spans="1:15" ht="13">
      <c r="A425" s="99"/>
      <c r="B425" s="100"/>
      <c r="C425" s="100"/>
      <c r="D425" s="100"/>
      <c r="E425" s="100"/>
      <c r="F425" s="100"/>
      <c r="G425" s="100"/>
      <c r="H425" s="100"/>
      <c r="I425" s="100"/>
      <c r="J425" s="100"/>
      <c r="K425" s="100"/>
      <c r="L425" s="100"/>
      <c r="M425" s="100"/>
      <c r="N425" s="100"/>
      <c r="O425" s="103"/>
    </row>
    <row r="426" spans="1:15" ht="13">
      <c r="A426" s="99"/>
      <c r="B426" s="100"/>
      <c r="C426" s="100"/>
      <c r="D426" s="100"/>
      <c r="E426" s="100"/>
      <c r="F426" s="100"/>
      <c r="G426" s="100"/>
      <c r="H426" s="100"/>
      <c r="I426" s="100"/>
      <c r="J426" s="100"/>
      <c r="K426" s="100"/>
      <c r="L426" s="100"/>
      <c r="M426" s="100"/>
      <c r="N426" s="100"/>
      <c r="O426" s="103"/>
    </row>
    <row r="427" spans="1:15" ht="13">
      <c r="A427" s="99"/>
      <c r="B427" s="100"/>
      <c r="C427" s="100"/>
      <c r="D427" s="100"/>
      <c r="E427" s="100"/>
      <c r="F427" s="100"/>
      <c r="G427" s="100"/>
      <c r="H427" s="100"/>
      <c r="I427" s="100"/>
      <c r="J427" s="100"/>
      <c r="K427" s="100"/>
      <c r="L427" s="100"/>
      <c r="M427" s="100"/>
      <c r="N427" s="100"/>
      <c r="O427" s="103"/>
    </row>
    <row r="428" spans="1:15" ht="13">
      <c r="A428" s="99"/>
      <c r="B428" s="100"/>
      <c r="C428" s="100"/>
      <c r="D428" s="100"/>
      <c r="E428" s="100"/>
      <c r="F428" s="100"/>
      <c r="G428" s="100"/>
      <c r="H428" s="100"/>
      <c r="I428" s="100"/>
      <c r="J428" s="100"/>
      <c r="K428" s="100"/>
      <c r="L428" s="100"/>
      <c r="M428" s="100"/>
      <c r="N428" s="100"/>
      <c r="O428" s="103"/>
    </row>
    <row r="429" spans="1:15" ht="13">
      <c r="A429" s="99"/>
      <c r="B429" s="100"/>
      <c r="C429" s="100"/>
      <c r="D429" s="100"/>
      <c r="E429" s="100"/>
      <c r="F429" s="100"/>
      <c r="G429" s="100"/>
      <c r="H429" s="100"/>
      <c r="I429" s="100"/>
      <c r="J429" s="100"/>
      <c r="K429" s="100"/>
      <c r="L429" s="100"/>
      <c r="M429" s="100"/>
      <c r="N429" s="100"/>
      <c r="O429" s="103"/>
    </row>
    <row r="430" spans="1:15" ht="13">
      <c r="A430" s="99"/>
      <c r="B430" s="100"/>
      <c r="C430" s="100"/>
      <c r="D430" s="100"/>
      <c r="E430" s="100"/>
      <c r="F430" s="100"/>
      <c r="G430" s="100"/>
      <c r="H430" s="100"/>
      <c r="I430" s="100"/>
      <c r="J430" s="100"/>
      <c r="K430" s="100"/>
      <c r="L430" s="100"/>
      <c r="M430" s="100"/>
      <c r="N430" s="100"/>
      <c r="O430" s="103"/>
    </row>
    <row r="431" spans="1:15" ht="13">
      <c r="A431" s="99"/>
      <c r="B431" s="100"/>
      <c r="C431" s="100"/>
      <c r="D431" s="100"/>
      <c r="E431" s="100"/>
      <c r="F431" s="100"/>
      <c r="G431" s="100"/>
      <c r="H431" s="100"/>
      <c r="I431" s="100"/>
      <c r="J431" s="100"/>
      <c r="K431" s="100"/>
      <c r="L431" s="100"/>
      <c r="M431" s="100"/>
      <c r="N431" s="100"/>
      <c r="O431" s="103"/>
    </row>
    <row r="432" spans="1:15" ht="13">
      <c r="A432" s="99"/>
      <c r="B432" s="100"/>
      <c r="C432" s="100"/>
      <c r="D432" s="100"/>
      <c r="E432" s="100"/>
      <c r="F432" s="100"/>
      <c r="G432" s="100"/>
      <c r="H432" s="100"/>
      <c r="I432" s="100"/>
      <c r="J432" s="100"/>
      <c r="K432" s="100"/>
      <c r="L432" s="100"/>
      <c r="M432" s="100"/>
      <c r="N432" s="100"/>
      <c r="O432" s="103"/>
    </row>
    <row r="433" spans="1:15" ht="13">
      <c r="A433" s="99"/>
      <c r="B433" s="100"/>
      <c r="C433" s="100"/>
      <c r="D433" s="100"/>
      <c r="E433" s="100"/>
      <c r="F433" s="100"/>
      <c r="G433" s="100"/>
      <c r="H433" s="100"/>
      <c r="I433" s="100"/>
      <c r="J433" s="100"/>
      <c r="K433" s="100"/>
      <c r="L433" s="100"/>
      <c r="M433" s="100"/>
      <c r="N433" s="100"/>
      <c r="O433" s="103"/>
    </row>
    <row r="434" spans="1:15" ht="13">
      <c r="A434" s="99"/>
      <c r="B434" s="100"/>
      <c r="C434" s="100"/>
      <c r="D434" s="100"/>
      <c r="E434" s="100"/>
      <c r="F434" s="100"/>
      <c r="G434" s="100"/>
      <c r="H434" s="100"/>
      <c r="I434" s="100"/>
      <c r="J434" s="100"/>
      <c r="K434" s="100"/>
      <c r="L434" s="100"/>
      <c r="M434" s="100"/>
      <c r="N434" s="100"/>
      <c r="O434" s="103"/>
    </row>
    <row r="435" spans="1:15" ht="13">
      <c r="A435" s="99"/>
      <c r="B435" s="100"/>
      <c r="C435" s="100"/>
      <c r="D435" s="100"/>
      <c r="E435" s="100"/>
      <c r="F435" s="100"/>
      <c r="G435" s="100"/>
      <c r="H435" s="100"/>
      <c r="I435" s="100"/>
      <c r="J435" s="100"/>
      <c r="K435" s="100"/>
      <c r="L435" s="100"/>
      <c r="M435" s="100"/>
      <c r="N435" s="100"/>
      <c r="O435" s="103"/>
    </row>
    <row r="436" spans="1:15" ht="13">
      <c r="A436" s="99"/>
      <c r="B436" s="100"/>
      <c r="C436" s="100"/>
      <c r="D436" s="100"/>
      <c r="E436" s="100"/>
      <c r="F436" s="100"/>
      <c r="G436" s="100"/>
      <c r="H436" s="100"/>
      <c r="I436" s="100"/>
      <c r="J436" s="100"/>
      <c r="K436" s="100"/>
      <c r="L436" s="100"/>
      <c r="M436" s="100"/>
      <c r="N436" s="100"/>
      <c r="O436" s="103"/>
    </row>
    <row r="437" spans="1:15" ht="13">
      <c r="A437" s="99"/>
      <c r="B437" s="100"/>
      <c r="C437" s="100"/>
      <c r="D437" s="100"/>
      <c r="E437" s="100"/>
      <c r="F437" s="100"/>
      <c r="G437" s="100"/>
      <c r="H437" s="100"/>
      <c r="I437" s="100"/>
      <c r="J437" s="100"/>
      <c r="K437" s="100"/>
      <c r="L437" s="100"/>
      <c r="M437" s="100"/>
      <c r="N437" s="100"/>
      <c r="O437" s="103"/>
    </row>
    <row r="438" spans="1:15" ht="13">
      <c r="A438" s="99"/>
      <c r="B438" s="100"/>
      <c r="C438" s="100"/>
      <c r="D438" s="100"/>
      <c r="E438" s="100"/>
      <c r="F438" s="100"/>
      <c r="G438" s="100"/>
      <c r="H438" s="100"/>
      <c r="I438" s="100"/>
      <c r="J438" s="100"/>
      <c r="K438" s="100"/>
      <c r="L438" s="100"/>
      <c r="M438" s="100"/>
      <c r="N438" s="100"/>
      <c r="O438" s="103"/>
    </row>
    <row r="439" spans="1:15" ht="13">
      <c r="A439" s="99"/>
      <c r="B439" s="100"/>
      <c r="C439" s="100"/>
      <c r="D439" s="100"/>
      <c r="E439" s="100"/>
      <c r="F439" s="100"/>
      <c r="G439" s="100"/>
      <c r="H439" s="100"/>
      <c r="I439" s="100"/>
      <c r="J439" s="100"/>
      <c r="K439" s="100"/>
      <c r="L439" s="100"/>
      <c r="M439" s="100"/>
      <c r="N439" s="100"/>
      <c r="O439" s="103"/>
    </row>
    <row r="440" spans="1:15" ht="13">
      <c r="A440" s="99"/>
      <c r="B440" s="100"/>
      <c r="C440" s="100"/>
      <c r="D440" s="100"/>
      <c r="E440" s="100"/>
      <c r="F440" s="100"/>
      <c r="G440" s="100"/>
      <c r="H440" s="100"/>
      <c r="I440" s="100"/>
      <c r="J440" s="100"/>
      <c r="K440" s="100"/>
      <c r="L440" s="100"/>
      <c r="M440" s="100"/>
      <c r="N440" s="100"/>
      <c r="O440" s="103"/>
    </row>
    <row r="441" spans="1:15" ht="13">
      <c r="A441" s="99"/>
      <c r="B441" s="100"/>
      <c r="C441" s="100"/>
      <c r="D441" s="100"/>
      <c r="E441" s="100"/>
      <c r="F441" s="100"/>
      <c r="G441" s="100"/>
      <c r="H441" s="100"/>
      <c r="I441" s="100"/>
      <c r="J441" s="100"/>
      <c r="K441" s="100"/>
      <c r="L441" s="100"/>
      <c r="M441" s="100"/>
      <c r="N441" s="100"/>
      <c r="O441" s="103"/>
    </row>
    <row r="442" spans="1:15" ht="13">
      <c r="A442" s="99"/>
      <c r="B442" s="100"/>
      <c r="C442" s="100"/>
      <c r="D442" s="100"/>
      <c r="E442" s="100"/>
      <c r="F442" s="100"/>
      <c r="G442" s="100"/>
      <c r="H442" s="100"/>
      <c r="I442" s="100"/>
      <c r="J442" s="100"/>
      <c r="K442" s="100"/>
      <c r="L442" s="100"/>
      <c r="M442" s="100"/>
      <c r="N442" s="100"/>
      <c r="O442" s="103"/>
    </row>
    <row r="443" spans="1:15" ht="13">
      <c r="A443" s="99"/>
      <c r="B443" s="100"/>
      <c r="C443" s="100"/>
      <c r="D443" s="100"/>
      <c r="E443" s="100"/>
      <c r="F443" s="100"/>
      <c r="G443" s="100"/>
      <c r="H443" s="100"/>
      <c r="I443" s="100"/>
      <c r="J443" s="100"/>
      <c r="K443" s="100"/>
      <c r="L443" s="100"/>
      <c r="M443" s="100"/>
      <c r="N443" s="100"/>
      <c r="O443" s="103"/>
    </row>
    <row r="444" spans="1:15" ht="13">
      <c r="A444" s="99"/>
      <c r="B444" s="100"/>
      <c r="C444" s="100"/>
      <c r="D444" s="100"/>
      <c r="E444" s="100"/>
      <c r="F444" s="100"/>
      <c r="G444" s="100"/>
      <c r="H444" s="100"/>
      <c r="I444" s="100"/>
      <c r="J444" s="100"/>
      <c r="K444" s="100"/>
      <c r="L444" s="100"/>
      <c r="M444" s="100"/>
      <c r="N444" s="100"/>
      <c r="O444" s="103"/>
    </row>
    <row r="445" spans="1:15" ht="13">
      <c r="A445" s="99"/>
      <c r="B445" s="100"/>
      <c r="C445" s="100"/>
      <c r="D445" s="100"/>
      <c r="E445" s="100"/>
      <c r="F445" s="100"/>
      <c r="G445" s="100"/>
      <c r="H445" s="100"/>
      <c r="I445" s="100"/>
      <c r="J445" s="100"/>
      <c r="K445" s="100"/>
      <c r="L445" s="100"/>
      <c r="M445" s="100"/>
      <c r="N445" s="100"/>
      <c r="O445" s="103"/>
    </row>
    <row r="446" spans="1:15" ht="13">
      <c r="A446" s="99"/>
      <c r="B446" s="100"/>
      <c r="C446" s="100"/>
      <c r="D446" s="100"/>
      <c r="E446" s="100"/>
      <c r="F446" s="100"/>
      <c r="G446" s="100"/>
      <c r="H446" s="100"/>
      <c r="I446" s="100"/>
      <c r="J446" s="100"/>
      <c r="K446" s="100"/>
      <c r="L446" s="100"/>
      <c r="M446" s="100"/>
      <c r="N446" s="100"/>
      <c r="O446" s="103"/>
    </row>
    <row r="447" spans="1:15" ht="13">
      <c r="A447" s="99"/>
      <c r="B447" s="100"/>
      <c r="C447" s="100"/>
      <c r="D447" s="100"/>
      <c r="E447" s="100"/>
      <c r="F447" s="100"/>
      <c r="G447" s="100"/>
      <c r="H447" s="100"/>
      <c r="I447" s="100"/>
      <c r="J447" s="100"/>
      <c r="K447" s="100"/>
      <c r="L447" s="100"/>
      <c r="M447" s="100"/>
      <c r="N447" s="100"/>
      <c r="O447" s="103"/>
    </row>
    <row r="448" spans="1:15" ht="13">
      <c r="A448" s="99"/>
      <c r="B448" s="100"/>
      <c r="C448" s="100"/>
      <c r="D448" s="100"/>
      <c r="E448" s="100"/>
      <c r="F448" s="100"/>
      <c r="G448" s="100"/>
      <c r="H448" s="100"/>
      <c r="I448" s="100"/>
      <c r="J448" s="100"/>
      <c r="K448" s="100"/>
      <c r="L448" s="100"/>
      <c r="M448" s="100"/>
      <c r="N448" s="100"/>
      <c r="O448" s="103"/>
    </row>
    <row r="449" spans="1:15" ht="13">
      <c r="A449" s="99"/>
      <c r="B449" s="100"/>
      <c r="C449" s="100"/>
      <c r="D449" s="100"/>
      <c r="E449" s="100"/>
      <c r="F449" s="100"/>
      <c r="G449" s="100"/>
      <c r="H449" s="100"/>
      <c r="I449" s="100"/>
      <c r="J449" s="100"/>
      <c r="K449" s="100"/>
      <c r="L449" s="100"/>
      <c r="M449" s="100"/>
      <c r="N449" s="100"/>
      <c r="O449" s="103"/>
    </row>
    <row r="450" spans="1:15" ht="13">
      <c r="A450" s="99"/>
      <c r="B450" s="100"/>
      <c r="C450" s="100"/>
      <c r="D450" s="100"/>
      <c r="E450" s="100"/>
      <c r="F450" s="100"/>
      <c r="G450" s="100"/>
      <c r="H450" s="100"/>
      <c r="I450" s="100"/>
      <c r="J450" s="100"/>
      <c r="K450" s="100"/>
      <c r="L450" s="100"/>
      <c r="M450" s="100"/>
      <c r="N450" s="100"/>
      <c r="O450" s="103"/>
    </row>
    <row r="451" spans="1:15" ht="13">
      <c r="A451" s="99"/>
      <c r="B451" s="100"/>
      <c r="C451" s="100"/>
      <c r="D451" s="100"/>
      <c r="E451" s="100"/>
      <c r="F451" s="100"/>
      <c r="G451" s="100"/>
      <c r="H451" s="100"/>
      <c r="I451" s="100"/>
      <c r="J451" s="100"/>
      <c r="K451" s="100"/>
      <c r="L451" s="100"/>
      <c r="M451" s="100"/>
      <c r="N451" s="100"/>
      <c r="O451" s="103"/>
    </row>
    <row r="452" spans="1:15" ht="13">
      <c r="A452" s="99"/>
      <c r="B452" s="100"/>
      <c r="C452" s="100"/>
      <c r="D452" s="100"/>
      <c r="E452" s="100"/>
      <c r="F452" s="100"/>
      <c r="G452" s="100"/>
      <c r="H452" s="100"/>
      <c r="I452" s="100"/>
      <c r="J452" s="100"/>
      <c r="K452" s="100"/>
      <c r="L452" s="100"/>
      <c r="M452" s="100"/>
      <c r="N452" s="100"/>
      <c r="O452" s="103"/>
    </row>
    <row r="453" spans="1:15" ht="13">
      <c r="A453" s="99"/>
      <c r="B453" s="100"/>
      <c r="C453" s="100"/>
      <c r="D453" s="100"/>
      <c r="E453" s="100"/>
      <c r="F453" s="100"/>
      <c r="G453" s="100"/>
      <c r="H453" s="100"/>
      <c r="I453" s="100"/>
      <c r="J453" s="100"/>
      <c r="K453" s="100"/>
      <c r="L453" s="100"/>
      <c r="M453" s="100"/>
      <c r="N453" s="100"/>
      <c r="O453" s="103"/>
    </row>
    <row r="454" spans="1:15" ht="13">
      <c r="A454" s="99"/>
      <c r="B454" s="100"/>
      <c r="C454" s="100"/>
      <c r="D454" s="100"/>
      <c r="E454" s="100"/>
      <c r="F454" s="100"/>
      <c r="G454" s="100"/>
      <c r="H454" s="100"/>
      <c r="I454" s="100"/>
      <c r="J454" s="100"/>
      <c r="K454" s="100"/>
      <c r="L454" s="100"/>
      <c r="M454" s="100"/>
      <c r="N454" s="100"/>
      <c r="O454" s="103"/>
    </row>
    <row r="455" spans="1:15" ht="13">
      <c r="A455" s="99"/>
      <c r="B455" s="100"/>
      <c r="C455" s="100"/>
      <c r="D455" s="100"/>
      <c r="E455" s="100"/>
      <c r="F455" s="100"/>
      <c r="G455" s="100"/>
      <c r="H455" s="100"/>
      <c r="I455" s="100"/>
      <c r="J455" s="100"/>
      <c r="K455" s="100"/>
      <c r="L455" s="100"/>
      <c r="M455" s="100"/>
      <c r="N455" s="100"/>
      <c r="O455" s="103"/>
    </row>
    <row r="456" spans="1:15" ht="13">
      <c r="A456" s="99"/>
      <c r="B456" s="100"/>
      <c r="C456" s="100"/>
      <c r="D456" s="100"/>
      <c r="E456" s="100"/>
      <c r="F456" s="100"/>
      <c r="G456" s="100"/>
      <c r="H456" s="100"/>
      <c r="I456" s="100"/>
      <c r="J456" s="100"/>
      <c r="K456" s="100"/>
      <c r="L456" s="100"/>
      <c r="M456" s="100"/>
      <c r="N456" s="100"/>
      <c r="O456" s="103"/>
    </row>
    <row r="457" spans="1:15" ht="13">
      <c r="A457" s="99"/>
      <c r="B457" s="100"/>
      <c r="C457" s="100"/>
      <c r="D457" s="100"/>
      <c r="E457" s="100"/>
      <c r="F457" s="100"/>
      <c r="G457" s="100"/>
      <c r="H457" s="100"/>
      <c r="I457" s="100"/>
      <c r="J457" s="100"/>
      <c r="K457" s="100"/>
      <c r="L457" s="100"/>
      <c r="M457" s="100"/>
      <c r="N457" s="100"/>
      <c r="O457" s="103"/>
    </row>
    <row r="458" spans="1:15" ht="13">
      <c r="A458" s="99"/>
      <c r="B458" s="100"/>
      <c r="C458" s="100"/>
      <c r="D458" s="100"/>
      <c r="E458" s="100"/>
      <c r="F458" s="100"/>
      <c r="G458" s="100"/>
      <c r="H458" s="100"/>
      <c r="I458" s="100"/>
      <c r="J458" s="100"/>
      <c r="K458" s="100"/>
      <c r="L458" s="100"/>
      <c r="M458" s="100"/>
      <c r="N458" s="100"/>
      <c r="O458" s="103"/>
    </row>
    <row r="459" spans="1:15" ht="13">
      <c r="A459" s="99"/>
      <c r="B459" s="100"/>
      <c r="C459" s="100"/>
      <c r="D459" s="100"/>
      <c r="E459" s="100"/>
      <c r="F459" s="100"/>
      <c r="G459" s="100"/>
      <c r="H459" s="100"/>
      <c r="I459" s="100"/>
      <c r="J459" s="100"/>
      <c r="K459" s="100"/>
      <c r="L459" s="100"/>
      <c r="M459" s="100"/>
      <c r="N459" s="100"/>
      <c r="O459" s="103"/>
    </row>
    <row r="460" spans="1:15" ht="13">
      <c r="A460" s="99"/>
      <c r="B460" s="100"/>
      <c r="C460" s="100"/>
      <c r="D460" s="100"/>
      <c r="E460" s="100"/>
      <c r="F460" s="100"/>
      <c r="G460" s="100"/>
      <c r="H460" s="100"/>
      <c r="I460" s="100"/>
      <c r="J460" s="100"/>
      <c r="K460" s="100"/>
      <c r="L460" s="100"/>
      <c r="M460" s="100"/>
      <c r="N460" s="100"/>
      <c r="O460" s="103"/>
    </row>
    <row r="461" spans="1:15" ht="13">
      <c r="A461" s="99"/>
      <c r="B461" s="100"/>
      <c r="C461" s="100"/>
      <c r="D461" s="100"/>
      <c r="E461" s="100"/>
      <c r="F461" s="100"/>
      <c r="G461" s="100"/>
      <c r="H461" s="100"/>
      <c r="I461" s="100"/>
      <c r="J461" s="100"/>
      <c r="K461" s="100"/>
      <c r="L461" s="100"/>
      <c r="M461" s="100"/>
      <c r="N461" s="100"/>
      <c r="O461" s="103"/>
    </row>
    <row r="462" spans="1:15" ht="13">
      <c r="A462" s="99"/>
      <c r="B462" s="100"/>
      <c r="C462" s="100"/>
      <c r="D462" s="100"/>
      <c r="E462" s="100"/>
      <c r="F462" s="100"/>
      <c r="G462" s="100"/>
      <c r="H462" s="100"/>
      <c r="I462" s="100"/>
      <c r="J462" s="100"/>
      <c r="K462" s="100"/>
      <c r="L462" s="100"/>
      <c r="M462" s="100"/>
      <c r="N462" s="100"/>
      <c r="O462" s="103"/>
    </row>
    <row r="463" spans="1:15" ht="13">
      <c r="A463" s="99"/>
      <c r="B463" s="100"/>
      <c r="C463" s="100"/>
      <c r="D463" s="100"/>
      <c r="E463" s="100"/>
      <c r="F463" s="100"/>
      <c r="G463" s="100"/>
      <c r="H463" s="100"/>
      <c r="I463" s="100"/>
      <c r="J463" s="100"/>
      <c r="K463" s="100"/>
      <c r="L463" s="100"/>
      <c r="M463" s="100"/>
      <c r="N463" s="100"/>
      <c r="O463" s="103"/>
    </row>
    <row r="464" spans="1:15" ht="13">
      <c r="A464" s="99"/>
      <c r="B464" s="100"/>
      <c r="C464" s="100"/>
      <c r="D464" s="100"/>
      <c r="E464" s="100"/>
      <c r="F464" s="100"/>
      <c r="G464" s="100"/>
      <c r="H464" s="100"/>
      <c r="I464" s="100"/>
      <c r="J464" s="100"/>
      <c r="K464" s="100"/>
      <c r="L464" s="100"/>
      <c r="M464" s="100"/>
      <c r="N464" s="100"/>
      <c r="O464" s="103"/>
    </row>
    <row r="465" spans="1:15" ht="13">
      <c r="A465" s="99"/>
      <c r="B465" s="100"/>
      <c r="C465" s="100"/>
      <c r="D465" s="100"/>
      <c r="E465" s="100"/>
      <c r="F465" s="100"/>
      <c r="G465" s="100"/>
      <c r="H465" s="100"/>
      <c r="I465" s="100"/>
      <c r="J465" s="100"/>
      <c r="K465" s="100"/>
      <c r="L465" s="100"/>
      <c r="M465" s="100"/>
      <c r="N465" s="100"/>
      <c r="O465" s="103"/>
    </row>
    <row r="466" spans="1:15" ht="13">
      <c r="A466" s="99"/>
      <c r="B466" s="100"/>
      <c r="C466" s="100"/>
      <c r="D466" s="100"/>
      <c r="E466" s="100"/>
      <c r="F466" s="100"/>
      <c r="G466" s="100"/>
      <c r="H466" s="100"/>
      <c r="I466" s="100"/>
      <c r="J466" s="100"/>
      <c r="K466" s="100"/>
      <c r="L466" s="100"/>
      <c r="M466" s="100"/>
      <c r="N466" s="100"/>
      <c r="O466" s="103"/>
    </row>
    <row r="467" spans="1:15" ht="13">
      <c r="A467" s="99"/>
      <c r="B467" s="100"/>
      <c r="C467" s="100"/>
      <c r="D467" s="100"/>
      <c r="E467" s="100"/>
      <c r="F467" s="100"/>
      <c r="G467" s="100"/>
      <c r="H467" s="100"/>
      <c r="I467" s="100"/>
      <c r="J467" s="100"/>
      <c r="K467" s="100"/>
      <c r="L467" s="100"/>
      <c r="M467" s="100"/>
      <c r="N467" s="100"/>
      <c r="O467" s="103"/>
    </row>
    <row r="468" spans="1:15" ht="13">
      <c r="A468" s="99"/>
      <c r="B468" s="100"/>
      <c r="C468" s="100"/>
      <c r="D468" s="100"/>
      <c r="E468" s="100"/>
      <c r="F468" s="100"/>
      <c r="G468" s="100"/>
      <c r="H468" s="100"/>
      <c r="I468" s="100"/>
      <c r="J468" s="100"/>
      <c r="K468" s="100"/>
      <c r="L468" s="100"/>
      <c r="M468" s="100"/>
      <c r="N468" s="100"/>
      <c r="O468" s="103"/>
    </row>
    <row r="469" spans="1:15" ht="13">
      <c r="A469" s="99"/>
      <c r="B469" s="100"/>
      <c r="C469" s="100"/>
      <c r="D469" s="100"/>
      <c r="E469" s="100"/>
      <c r="F469" s="100"/>
      <c r="G469" s="100"/>
      <c r="H469" s="100"/>
      <c r="I469" s="100"/>
      <c r="J469" s="100"/>
      <c r="K469" s="100"/>
      <c r="L469" s="100"/>
      <c r="M469" s="100"/>
      <c r="N469" s="100"/>
      <c r="O469" s="103"/>
    </row>
    <row r="470" spans="1:15" ht="13">
      <c r="A470" s="99"/>
      <c r="B470" s="100"/>
      <c r="C470" s="100"/>
      <c r="D470" s="100"/>
      <c r="E470" s="100"/>
      <c r="F470" s="100"/>
      <c r="G470" s="100"/>
      <c r="H470" s="100"/>
      <c r="I470" s="100"/>
      <c r="J470" s="100"/>
      <c r="K470" s="100"/>
      <c r="L470" s="100"/>
      <c r="M470" s="100"/>
      <c r="N470" s="100"/>
      <c r="O470" s="103"/>
    </row>
    <row r="471" spans="1:15" ht="13">
      <c r="A471" s="99"/>
      <c r="B471" s="100"/>
      <c r="C471" s="100"/>
      <c r="D471" s="100"/>
      <c r="E471" s="100"/>
      <c r="F471" s="100"/>
      <c r="G471" s="100"/>
      <c r="H471" s="100"/>
      <c r="I471" s="100"/>
      <c r="J471" s="100"/>
      <c r="K471" s="100"/>
      <c r="L471" s="100"/>
      <c r="M471" s="100"/>
      <c r="N471" s="100"/>
      <c r="O471" s="103"/>
    </row>
    <row r="472" spans="1:15" ht="13">
      <c r="A472" s="99"/>
      <c r="B472" s="100"/>
      <c r="C472" s="100"/>
      <c r="D472" s="100"/>
      <c r="E472" s="100"/>
      <c r="F472" s="100"/>
      <c r="G472" s="100"/>
      <c r="H472" s="100"/>
      <c r="I472" s="100"/>
      <c r="J472" s="100"/>
      <c r="K472" s="100"/>
      <c r="L472" s="100"/>
      <c r="M472" s="100"/>
      <c r="N472" s="100"/>
      <c r="O472" s="103"/>
    </row>
    <row r="473" spans="1:15" ht="13">
      <c r="A473" s="99"/>
      <c r="B473" s="100"/>
      <c r="C473" s="100"/>
      <c r="D473" s="100"/>
      <c r="E473" s="100"/>
      <c r="F473" s="100"/>
      <c r="G473" s="100"/>
      <c r="H473" s="100"/>
      <c r="I473" s="100"/>
      <c r="J473" s="100"/>
      <c r="K473" s="100"/>
      <c r="L473" s="100"/>
      <c r="M473" s="100"/>
      <c r="N473" s="100"/>
      <c r="O473" s="103"/>
    </row>
    <row r="474" spans="1:15" ht="13">
      <c r="A474" s="99"/>
      <c r="B474" s="100"/>
      <c r="C474" s="100"/>
      <c r="D474" s="100"/>
      <c r="E474" s="100"/>
      <c r="F474" s="100"/>
      <c r="G474" s="100"/>
      <c r="H474" s="100"/>
      <c r="I474" s="100"/>
      <c r="J474" s="100"/>
      <c r="K474" s="100"/>
      <c r="L474" s="100"/>
      <c r="M474" s="100"/>
      <c r="N474" s="100"/>
      <c r="O474" s="103"/>
    </row>
    <row r="475" spans="1:15" ht="13">
      <c r="A475" s="99"/>
      <c r="B475" s="100"/>
      <c r="C475" s="100"/>
      <c r="D475" s="100"/>
      <c r="E475" s="100"/>
      <c r="F475" s="100"/>
      <c r="G475" s="100"/>
      <c r="H475" s="100"/>
      <c r="I475" s="100"/>
      <c r="J475" s="100"/>
      <c r="K475" s="100"/>
      <c r="L475" s="100"/>
      <c r="M475" s="100"/>
      <c r="N475" s="100"/>
      <c r="O475" s="103"/>
    </row>
    <row r="476" spans="1:15" ht="13">
      <c r="A476" s="99"/>
      <c r="B476" s="100"/>
      <c r="C476" s="100"/>
      <c r="D476" s="100"/>
      <c r="E476" s="100"/>
      <c r="F476" s="100"/>
      <c r="G476" s="100"/>
      <c r="H476" s="100"/>
      <c r="I476" s="100"/>
      <c r="J476" s="100"/>
      <c r="K476" s="100"/>
      <c r="L476" s="100"/>
      <c r="M476" s="100"/>
      <c r="N476" s="100"/>
      <c r="O476" s="103"/>
    </row>
    <row r="477" spans="1:15" ht="13">
      <c r="A477" s="99"/>
      <c r="B477" s="100"/>
      <c r="C477" s="100"/>
      <c r="D477" s="100"/>
      <c r="E477" s="100"/>
      <c r="F477" s="100"/>
      <c r="G477" s="100"/>
      <c r="H477" s="100"/>
      <c r="I477" s="100"/>
      <c r="J477" s="100"/>
      <c r="K477" s="100"/>
      <c r="L477" s="100"/>
      <c r="M477" s="100"/>
      <c r="N477" s="100"/>
      <c r="O477" s="103"/>
    </row>
    <row r="478" spans="1:15" ht="13">
      <c r="A478" s="99"/>
      <c r="B478" s="100"/>
      <c r="C478" s="100"/>
      <c r="D478" s="100"/>
      <c r="E478" s="100"/>
      <c r="F478" s="100"/>
      <c r="G478" s="100"/>
      <c r="H478" s="100"/>
      <c r="I478" s="100"/>
      <c r="J478" s="100"/>
      <c r="K478" s="100"/>
      <c r="L478" s="100"/>
      <c r="M478" s="100"/>
      <c r="N478" s="100"/>
      <c r="O478" s="103"/>
    </row>
    <row r="479" spans="1:15" ht="13">
      <c r="A479" s="99"/>
      <c r="B479" s="100"/>
      <c r="C479" s="100"/>
      <c r="D479" s="100"/>
      <c r="E479" s="100"/>
      <c r="F479" s="100"/>
      <c r="G479" s="100"/>
      <c r="H479" s="100"/>
      <c r="I479" s="100"/>
      <c r="J479" s="100"/>
      <c r="K479" s="100"/>
      <c r="L479" s="100"/>
      <c r="M479" s="100"/>
      <c r="N479" s="100"/>
      <c r="O479" s="103"/>
    </row>
    <row r="480" spans="1:15" ht="13">
      <c r="A480" s="99"/>
      <c r="B480" s="100"/>
      <c r="C480" s="100"/>
      <c r="D480" s="100"/>
      <c r="E480" s="100"/>
      <c r="F480" s="100"/>
      <c r="G480" s="100"/>
      <c r="H480" s="100"/>
      <c r="I480" s="100"/>
      <c r="J480" s="100"/>
      <c r="K480" s="100"/>
      <c r="L480" s="100"/>
      <c r="M480" s="100"/>
      <c r="N480" s="100"/>
      <c r="O480" s="103"/>
    </row>
    <row r="481" spans="1:15" ht="13">
      <c r="A481" s="99"/>
      <c r="B481" s="100"/>
      <c r="C481" s="100"/>
      <c r="D481" s="100"/>
      <c r="E481" s="100"/>
      <c r="F481" s="100"/>
      <c r="G481" s="100"/>
      <c r="H481" s="100"/>
      <c r="I481" s="100"/>
      <c r="J481" s="100"/>
      <c r="K481" s="100"/>
      <c r="L481" s="100"/>
      <c r="M481" s="100"/>
      <c r="N481" s="100"/>
      <c r="O481" s="103"/>
    </row>
    <row r="482" spans="1:15" ht="13">
      <c r="A482" s="99"/>
      <c r="B482" s="100"/>
      <c r="C482" s="100"/>
      <c r="D482" s="100"/>
      <c r="E482" s="100"/>
      <c r="F482" s="100"/>
      <c r="G482" s="100"/>
      <c r="H482" s="100"/>
      <c r="I482" s="100"/>
      <c r="J482" s="100"/>
      <c r="K482" s="100"/>
      <c r="L482" s="100"/>
      <c r="M482" s="100"/>
      <c r="N482" s="100"/>
      <c r="O482" s="103"/>
    </row>
    <row r="483" spans="1:15" ht="13">
      <c r="A483" s="99"/>
      <c r="B483" s="100"/>
      <c r="C483" s="100"/>
      <c r="D483" s="100"/>
      <c r="E483" s="100"/>
      <c r="F483" s="100"/>
      <c r="G483" s="100"/>
      <c r="H483" s="100"/>
      <c r="I483" s="100"/>
      <c r="J483" s="100"/>
      <c r="K483" s="100"/>
      <c r="L483" s="100"/>
      <c r="M483" s="100"/>
      <c r="N483" s="100"/>
      <c r="O483" s="103"/>
    </row>
    <row r="484" spans="1:15" ht="13">
      <c r="A484" s="99"/>
      <c r="B484" s="100"/>
      <c r="C484" s="100"/>
      <c r="D484" s="100"/>
      <c r="E484" s="100"/>
      <c r="F484" s="100"/>
      <c r="G484" s="100"/>
      <c r="H484" s="100"/>
      <c r="I484" s="100"/>
      <c r="J484" s="100"/>
      <c r="K484" s="100"/>
      <c r="L484" s="100"/>
      <c r="M484" s="100"/>
      <c r="N484" s="100"/>
      <c r="O484" s="103"/>
    </row>
    <row r="485" spans="1:15" ht="13">
      <c r="A485" s="99"/>
      <c r="B485" s="100"/>
      <c r="C485" s="100"/>
      <c r="D485" s="100"/>
      <c r="E485" s="100"/>
      <c r="F485" s="100"/>
      <c r="G485" s="100"/>
      <c r="H485" s="100"/>
      <c r="I485" s="100"/>
      <c r="J485" s="100"/>
      <c r="K485" s="100"/>
      <c r="L485" s="100"/>
      <c r="M485" s="100"/>
      <c r="N485" s="100"/>
      <c r="O485" s="103"/>
    </row>
    <row r="486" spans="1:15" ht="13">
      <c r="A486" s="99"/>
      <c r="B486" s="100"/>
      <c r="C486" s="100"/>
      <c r="D486" s="100"/>
      <c r="E486" s="100"/>
      <c r="F486" s="100"/>
      <c r="G486" s="100"/>
      <c r="H486" s="100"/>
      <c r="I486" s="100"/>
      <c r="J486" s="100"/>
      <c r="K486" s="100"/>
      <c r="L486" s="100"/>
      <c r="M486" s="100"/>
      <c r="N486" s="100"/>
      <c r="O486" s="103"/>
    </row>
    <row r="487" spans="1:15" ht="13">
      <c r="A487" s="99"/>
      <c r="B487" s="100"/>
      <c r="C487" s="100"/>
      <c r="D487" s="100"/>
      <c r="E487" s="100"/>
      <c r="F487" s="100"/>
      <c r="G487" s="100"/>
      <c r="H487" s="100"/>
      <c r="I487" s="100"/>
      <c r="J487" s="100"/>
      <c r="K487" s="100"/>
      <c r="L487" s="100"/>
      <c r="M487" s="100"/>
      <c r="N487" s="100"/>
      <c r="O487" s="103"/>
    </row>
    <row r="488" spans="1:15" ht="13">
      <c r="A488" s="99"/>
      <c r="B488" s="100"/>
      <c r="C488" s="100"/>
      <c r="D488" s="100"/>
      <c r="E488" s="100"/>
      <c r="F488" s="100"/>
      <c r="G488" s="100"/>
      <c r="H488" s="100"/>
      <c r="I488" s="100"/>
      <c r="J488" s="100"/>
      <c r="K488" s="100"/>
      <c r="L488" s="100"/>
      <c r="M488" s="100"/>
      <c r="N488" s="100"/>
      <c r="O488" s="103"/>
    </row>
    <row r="489" spans="1:15" ht="13">
      <c r="A489" s="99"/>
      <c r="B489" s="100"/>
      <c r="C489" s="100"/>
      <c r="D489" s="100"/>
      <c r="E489" s="100"/>
      <c r="F489" s="100"/>
      <c r="G489" s="100"/>
      <c r="H489" s="100"/>
      <c r="I489" s="100"/>
      <c r="J489" s="100"/>
      <c r="K489" s="100"/>
      <c r="L489" s="100"/>
      <c r="M489" s="100"/>
      <c r="N489" s="100"/>
      <c r="O489" s="103"/>
    </row>
    <row r="490" spans="1:15" ht="13">
      <c r="A490" s="99"/>
      <c r="B490" s="100"/>
      <c r="C490" s="100"/>
      <c r="D490" s="100"/>
      <c r="E490" s="100"/>
      <c r="F490" s="100"/>
      <c r="G490" s="100"/>
      <c r="H490" s="100"/>
      <c r="I490" s="100"/>
      <c r="J490" s="100"/>
      <c r="K490" s="100"/>
      <c r="L490" s="100"/>
      <c r="M490" s="100"/>
      <c r="N490" s="100"/>
      <c r="O490" s="103"/>
    </row>
    <row r="491" spans="1:15" ht="13">
      <c r="A491" s="99"/>
      <c r="B491" s="100"/>
      <c r="C491" s="100"/>
      <c r="D491" s="100"/>
      <c r="E491" s="100"/>
      <c r="F491" s="100"/>
      <c r="G491" s="100"/>
      <c r="H491" s="100"/>
      <c r="I491" s="100"/>
      <c r="J491" s="100"/>
      <c r="K491" s="100"/>
      <c r="L491" s="100"/>
      <c r="M491" s="100"/>
      <c r="N491" s="100"/>
      <c r="O491" s="103"/>
    </row>
    <row r="492" spans="1:15" ht="13">
      <c r="A492" s="99"/>
      <c r="B492" s="100"/>
      <c r="C492" s="100"/>
      <c r="D492" s="100"/>
      <c r="E492" s="100"/>
      <c r="F492" s="100"/>
      <c r="G492" s="100"/>
      <c r="H492" s="100"/>
      <c r="I492" s="100"/>
      <c r="J492" s="100"/>
      <c r="K492" s="100"/>
      <c r="L492" s="100"/>
      <c r="M492" s="100"/>
      <c r="N492" s="100"/>
      <c r="O492" s="103"/>
    </row>
    <row r="493" spans="1:15" ht="13">
      <c r="A493" s="99"/>
      <c r="B493" s="100"/>
      <c r="C493" s="100"/>
      <c r="D493" s="100"/>
      <c r="E493" s="100"/>
      <c r="F493" s="100"/>
      <c r="G493" s="100"/>
      <c r="H493" s="100"/>
      <c r="I493" s="100"/>
      <c r="J493" s="100"/>
      <c r="K493" s="100"/>
      <c r="L493" s="100"/>
      <c r="M493" s="100"/>
      <c r="N493" s="100"/>
      <c r="O493" s="103"/>
    </row>
    <row r="494" spans="1:15" ht="13">
      <c r="A494" s="99"/>
      <c r="B494" s="100"/>
      <c r="C494" s="100"/>
      <c r="D494" s="100"/>
      <c r="E494" s="100"/>
      <c r="F494" s="100"/>
      <c r="G494" s="100"/>
      <c r="H494" s="100"/>
      <c r="I494" s="100"/>
      <c r="J494" s="100"/>
      <c r="K494" s="100"/>
      <c r="L494" s="100"/>
      <c r="M494" s="100"/>
      <c r="N494" s="100"/>
      <c r="O494" s="103"/>
    </row>
    <row r="495" spans="1:15" ht="13">
      <c r="A495" s="99"/>
      <c r="B495" s="100"/>
      <c r="C495" s="100"/>
      <c r="D495" s="100"/>
      <c r="E495" s="100"/>
      <c r="F495" s="100"/>
      <c r="G495" s="100"/>
      <c r="H495" s="100"/>
      <c r="I495" s="100"/>
      <c r="J495" s="100"/>
      <c r="K495" s="100"/>
      <c r="L495" s="100"/>
      <c r="M495" s="100"/>
      <c r="N495" s="100"/>
      <c r="O495" s="103"/>
    </row>
    <row r="496" spans="1:15" ht="13">
      <c r="A496" s="99"/>
      <c r="B496" s="100"/>
      <c r="C496" s="100"/>
      <c r="D496" s="100"/>
      <c r="E496" s="100"/>
      <c r="F496" s="100"/>
      <c r="G496" s="100"/>
      <c r="H496" s="100"/>
      <c r="I496" s="100"/>
      <c r="J496" s="100"/>
      <c r="K496" s="100"/>
      <c r="L496" s="100"/>
      <c r="M496" s="100"/>
      <c r="N496" s="100"/>
      <c r="O496" s="103"/>
    </row>
    <row r="497" spans="1:15" ht="13">
      <c r="A497" s="99"/>
      <c r="B497" s="100"/>
      <c r="C497" s="100"/>
      <c r="D497" s="100"/>
      <c r="E497" s="100"/>
      <c r="F497" s="100"/>
      <c r="G497" s="100"/>
      <c r="H497" s="100"/>
      <c r="I497" s="100"/>
      <c r="J497" s="100"/>
      <c r="K497" s="100"/>
      <c r="L497" s="100"/>
      <c r="M497" s="100"/>
      <c r="N497" s="100"/>
      <c r="O497" s="103"/>
    </row>
    <row r="498" spans="1:15" ht="13">
      <c r="A498" s="99"/>
      <c r="B498" s="100"/>
      <c r="C498" s="100"/>
      <c r="D498" s="100"/>
      <c r="E498" s="100"/>
      <c r="F498" s="100"/>
      <c r="G498" s="100"/>
      <c r="H498" s="100"/>
      <c r="I498" s="100"/>
      <c r="J498" s="100"/>
      <c r="K498" s="100"/>
      <c r="L498" s="100"/>
      <c r="M498" s="100"/>
      <c r="N498" s="100"/>
      <c r="O498" s="103"/>
    </row>
    <row r="499" spans="1:15" ht="13">
      <c r="A499" s="99"/>
      <c r="B499" s="100"/>
      <c r="C499" s="100"/>
      <c r="D499" s="100"/>
      <c r="E499" s="100"/>
      <c r="F499" s="100"/>
      <c r="G499" s="100"/>
      <c r="H499" s="100"/>
      <c r="I499" s="100"/>
      <c r="J499" s="100"/>
      <c r="K499" s="100"/>
      <c r="L499" s="100"/>
      <c r="M499" s="100"/>
      <c r="N499" s="100"/>
      <c r="O499" s="103"/>
    </row>
    <row r="500" spans="1:15" ht="13">
      <c r="A500" s="99"/>
      <c r="B500" s="100"/>
      <c r="C500" s="100"/>
      <c r="D500" s="100"/>
      <c r="E500" s="100"/>
      <c r="F500" s="100"/>
      <c r="G500" s="100"/>
      <c r="H500" s="100"/>
      <c r="I500" s="100"/>
      <c r="J500" s="100"/>
      <c r="K500" s="100"/>
      <c r="L500" s="100"/>
      <c r="M500" s="100"/>
      <c r="N500" s="100"/>
      <c r="O500" s="103"/>
    </row>
    <row r="501" spans="1:15" ht="13">
      <c r="A501" s="99"/>
      <c r="B501" s="100"/>
      <c r="C501" s="100"/>
      <c r="D501" s="100"/>
      <c r="E501" s="100"/>
      <c r="F501" s="100"/>
      <c r="G501" s="100"/>
      <c r="H501" s="100"/>
      <c r="I501" s="100"/>
      <c r="J501" s="100"/>
      <c r="K501" s="100"/>
      <c r="L501" s="100"/>
      <c r="M501" s="100"/>
      <c r="N501" s="100"/>
      <c r="O501" s="103"/>
    </row>
    <row r="502" spans="1:15" ht="13">
      <c r="A502" s="99"/>
      <c r="B502" s="100"/>
      <c r="C502" s="100"/>
      <c r="D502" s="100"/>
      <c r="E502" s="100"/>
      <c r="F502" s="100"/>
      <c r="G502" s="100"/>
      <c r="H502" s="100"/>
      <c r="I502" s="100"/>
      <c r="J502" s="100"/>
      <c r="K502" s="100"/>
      <c r="L502" s="100"/>
      <c r="M502" s="100"/>
      <c r="N502" s="100"/>
      <c r="O502" s="103"/>
    </row>
    <row r="503" spans="1:15" ht="13">
      <c r="A503" s="99"/>
      <c r="B503" s="100"/>
      <c r="C503" s="100"/>
      <c r="D503" s="100"/>
      <c r="E503" s="100"/>
      <c r="F503" s="100"/>
      <c r="G503" s="100"/>
      <c r="H503" s="100"/>
      <c r="I503" s="100"/>
      <c r="J503" s="100"/>
      <c r="K503" s="100"/>
      <c r="L503" s="100"/>
      <c r="M503" s="100"/>
      <c r="N503" s="100"/>
      <c r="O503" s="103"/>
    </row>
    <row r="504" spans="1:15" ht="13">
      <c r="A504" s="104"/>
      <c r="B504" s="105"/>
      <c r="C504" s="105"/>
      <c r="D504" s="105"/>
      <c r="E504" s="105"/>
      <c r="F504" s="105"/>
      <c r="G504" s="105"/>
      <c r="H504" s="105"/>
      <c r="I504" s="105"/>
      <c r="J504" s="105"/>
      <c r="K504" s="105"/>
      <c r="L504" s="105"/>
      <c r="M504" s="105"/>
      <c r="N504" s="105"/>
      <c r="O504" s="108"/>
    </row>
  </sheetData>
  <mergeCells count="2">
    <mergeCell ref="A1:O1"/>
    <mergeCell ref="A2:O2"/>
  </mergeCells>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CEAF7"/>
  </sheetPr>
  <dimension ref="A1:H63"/>
  <sheetViews>
    <sheetView showGridLines="0" zoomScaleNormal="100" workbookViewId="0">
      <pane ySplit="3" topLeftCell="A4" activePane="bottomLeft" state="frozen"/>
      <selection sqref="A1:N1"/>
      <selection pane="bottomLeft" sqref="A1:N1"/>
    </sheetView>
  </sheetViews>
  <sheetFormatPr defaultColWidth="8.54296875" defaultRowHeight="12.5"/>
  <cols>
    <col min="1" max="1" width="26" customWidth="1"/>
    <col min="2" max="2" width="64" customWidth="1"/>
    <col min="3" max="3" width="48" customWidth="1"/>
    <col min="4" max="8" width="14" customWidth="1"/>
  </cols>
  <sheetData>
    <row r="1" spans="1:8" ht="19">
      <c r="A1" s="201" t="s">
        <v>749</v>
      </c>
      <c r="B1" s="201"/>
      <c r="C1" s="201"/>
      <c r="D1" s="201"/>
      <c r="E1" s="201"/>
      <c r="F1" s="201"/>
      <c r="G1" s="201"/>
      <c r="H1" s="201"/>
    </row>
    <row r="2" spans="1:8">
      <c r="A2" s="202" t="s">
        <v>750</v>
      </c>
      <c r="B2" s="202"/>
      <c r="C2" s="202"/>
      <c r="D2" s="202"/>
      <c r="E2" s="202"/>
      <c r="F2" s="202"/>
      <c r="G2" s="202"/>
      <c r="H2" s="202"/>
    </row>
    <row r="3" spans="1:8" ht="14">
      <c r="A3" s="121"/>
      <c r="B3" s="121"/>
      <c r="C3" s="121"/>
      <c r="D3" s="121"/>
      <c r="E3" s="121"/>
      <c r="F3" s="121"/>
      <c r="G3" s="121"/>
      <c r="H3" s="121"/>
    </row>
    <row r="4" spans="1:8" ht="14">
      <c r="A4" s="200" t="s">
        <v>751</v>
      </c>
      <c r="B4" s="200"/>
      <c r="C4" s="200"/>
      <c r="D4" s="200"/>
      <c r="E4" s="200"/>
      <c r="F4" s="200"/>
      <c r="G4" s="200"/>
      <c r="H4" s="200"/>
    </row>
    <row r="5" spans="1:8" ht="13.75" customHeight="1">
      <c r="A5" s="122" t="s">
        <v>752</v>
      </c>
      <c r="B5" s="123" t="s">
        <v>753</v>
      </c>
      <c r="C5" s="121"/>
      <c r="D5" s="197" t="s">
        <v>754</v>
      </c>
      <c r="E5" s="197"/>
      <c r="F5" s="197"/>
      <c r="G5" s="197"/>
      <c r="H5" s="197"/>
    </row>
    <row r="6" spans="1:8" ht="13.75" customHeight="1">
      <c r="A6" s="124" t="s">
        <v>755</v>
      </c>
      <c r="B6" s="125" t="s">
        <v>756</v>
      </c>
      <c r="C6" s="126"/>
      <c r="D6" s="203" t="s">
        <v>757</v>
      </c>
      <c r="E6" s="203"/>
      <c r="F6" s="203"/>
      <c r="G6" s="203"/>
      <c r="H6" s="203"/>
    </row>
    <row r="7" spans="1:8" ht="37.5">
      <c r="A7" s="124" t="s">
        <v>758</v>
      </c>
      <c r="B7" s="125" t="s">
        <v>759</v>
      </c>
      <c r="C7" s="126"/>
      <c r="D7" s="203"/>
      <c r="E7" s="203"/>
      <c r="F7" s="203"/>
      <c r="G7" s="203"/>
      <c r="H7" s="203"/>
    </row>
    <row r="8" spans="1:8" ht="14">
      <c r="A8" s="124" t="s">
        <v>760</v>
      </c>
      <c r="B8" s="125" t="s">
        <v>761</v>
      </c>
      <c r="C8" s="126"/>
      <c r="D8" s="121"/>
      <c r="E8" s="121"/>
      <c r="F8" s="121"/>
      <c r="G8" s="121"/>
      <c r="H8" s="121"/>
    </row>
    <row r="9" spans="1:8" ht="13.75" customHeight="1">
      <c r="A9" s="124" t="s">
        <v>762</v>
      </c>
      <c r="B9" s="125" t="s">
        <v>763</v>
      </c>
      <c r="C9" s="126"/>
      <c r="D9" s="197" t="s">
        <v>764</v>
      </c>
      <c r="E9" s="197"/>
      <c r="F9" s="197"/>
      <c r="G9" s="197"/>
      <c r="H9" s="197"/>
    </row>
    <row r="10" spans="1:8" ht="23.9" customHeight="1">
      <c r="A10" s="124" t="s">
        <v>765</v>
      </c>
      <c r="B10" s="125" t="s">
        <v>766</v>
      </c>
      <c r="C10" s="126"/>
      <c r="D10" s="198" t="s">
        <v>767</v>
      </c>
      <c r="E10" s="198"/>
      <c r="F10" s="198"/>
      <c r="G10" s="198"/>
      <c r="H10" s="198"/>
    </row>
    <row r="11" spans="1:8" ht="14">
      <c r="A11" s="124" t="s">
        <v>768</v>
      </c>
      <c r="B11" s="125" t="s">
        <v>769</v>
      </c>
      <c r="C11" s="126"/>
      <c r="D11" s="198"/>
      <c r="E11" s="198"/>
      <c r="F11" s="198"/>
      <c r="G11" s="198"/>
      <c r="H11" s="198"/>
    </row>
    <row r="12" spans="1:8" ht="25">
      <c r="A12" s="124" t="s">
        <v>770</v>
      </c>
      <c r="B12" s="125" t="s">
        <v>771</v>
      </c>
      <c r="C12" s="126"/>
      <c r="D12" s="198"/>
      <c r="E12" s="198"/>
      <c r="F12" s="198"/>
      <c r="G12" s="198"/>
      <c r="H12" s="198"/>
    </row>
    <row r="13" spans="1:8" ht="25">
      <c r="A13" s="124" t="s">
        <v>772</v>
      </c>
      <c r="B13" s="125" t="s">
        <v>773</v>
      </c>
      <c r="C13" s="126"/>
      <c r="D13" s="198"/>
      <c r="E13" s="198"/>
      <c r="F13" s="198"/>
      <c r="G13" s="198"/>
      <c r="H13" s="198"/>
    </row>
    <row r="14" spans="1:8" ht="25">
      <c r="A14" s="124" t="s">
        <v>774</v>
      </c>
      <c r="B14" s="125" t="s">
        <v>775</v>
      </c>
      <c r="C14" s="126"/>
      <c r="D14" s="198"/>
      <c r="E14" s="198"/>
      <c r="F14" s="198"/>
      <c r="G14" s="198"/>
      <c r="H14" s="198"/>
    </row>
    <row r="15" spans="1:8" ht="14">
      <c r="A15" s="126"/>
      <c r="B15" s="126"/>
      <c r="C15" s="126"/>
      <c r="D15" s="121"/>
      <c r="E15" s="121"/>
      <c r="F15" s="121"/>
      <c r="G15" s="121"/>
      <c r="H15" s="121"/>
    </row>
    <row r="16" spans="1:8" ht="14">
      <c r="A16" s="199" t="s">
        <v>776</v>
      </c>
      <c r="B16" s="199"/>
      <c r="C16" s="199"/>
      <c r="D16" s="199"/>
      <c r="E16" s="199"/>
      <c r="F16" s="199"/>
      <c r="G16" s="199"/>
      <c r="H16" s="199"/>
    </row>
    <row r="17" spans="1:8" ht="14">
      <c r="A17" s="127" t="s">
        <v>777</v>
      </c>
      <c r="B17" s="128" t="s">
        <v>778</v>
      </c>
      <c r="C17" s="129" t="s">
        <v>779</v>
      </c>
      <c r="D17" s="121"/>
      <c r="E17" s="121"/>
      <c r="F17" s="121"/>
      <c r="G17" s="121"/>
      <c r="H17" s="121"/>
    </row>
    <row r="18" spans="1:8" ht="25">
      <c r="A18" s="130" t="s">
        <v>780</v>
      </c>
      <c r="B18" s="131" t="s">
        <v>781</v>
      </c>
      <c r="C18" s="125" t="s">
        <v>782</v>
      </c>
      <c r="D18" s="121"/>
      <c r="E18" s="121"/>
      <c r="F18" s="121"/>
      <c r="G18" s="121"/>
      <c r="H18" s="121"/>
    </row>
    <row r="19" spans="1:8" ht="25">
      <c r="A19" s="130" t="s">
        <v>783</v>
      </c>
      <c r="B19" s="131" t="s">
        <v>784</v>
      </c>
      <c r="C19" s="125" t="s">
        <v>785</v>
      </c>
      <c r="D19" s="121"/>
      <c r="E19" s="121"/>
      <c r="F19" s="121"/>
      <c r="G19" s="121"/>
      <c r="H19" s="121"/>
    </row>
    <row r="20" spans="1:8" ht="37.5">
      <c r="A20" s="130" t="s">
        <v>98</v>
      </c>
      <c r="B20" s="131" t="s">
        <v>786</v>
      </c>
      <c r="C20" s="125" t="s">
        <v>787</v>
      </c>
      <c r="D20" s="121"/>
      <c r="E20" s="121"/>
      <c r="F20" s="121"/>
      <c r="G20" s="121"/>
      <c r="H20" s="121"/>
    </row>
    <row r="21" spans="1:8" ht="14">
      <c r="A21" s="130" t="s">
        <v>788</v>
      </c>
      <c r="B21" s="131" t="s">
        <v>789</v>
      </c>
      <c r="C21" s="125" t="s">
        <v>790</v>
      </c>
      <c r="D21" s="121"/>
      <c r="E21" s="121"/>
      <c r="F21" s="121"/>
      <c r="G21" s="121"/>
      <c r="H21" s="121"/>
    </row>
    <row r="22" spans="1:8" ht="25">
      <c r="A22" s="130" t="s">
        <v>791</v>
      </c>
      <c r="B22" s="131" t="s">
        <v>792</v>
      </c>
      <c r="C22" s="125" t="s">
        <v>793</v>
      </c>
      <c r="D22" s="121"/>
      <c r="E22" s="121"/>
      <c r="F22" s="121"/>
      <c r="G22" s="121"/>
      <c r="H22" s="121"/>
    </row>
    <row r="23" spans="1:8" ht="25">
      <c r="A23" s="130" t="s">
        <v>794</v>
      </c>
      <c r="B23" s="131" t="s">
        <v>795</v>
      </c>
      <c r="C23" s="125" t="s">
        <v>796</v>
      </c>
      <c r="D23" s="121"/>
      <c r="E23" s="121"/>
      <c r="F23" s="121"/>
      <c r="G23" s="121"/>
      <c r="H23" s="121"/>
    </row>
    <row r="24" spans="1:8" ht="25">
      <c r="A24" s="130" t="s">
        <v>797</v>
      </c>
      <c r="B24" s="131" t="s">
        <v>798</v>
      </c>
      <c r="C24" s="125" t="s">
        <v>799</v>
      </c>
      <c r="D24" s="121"/>
      <c r="E24" s="121"/>
      <c r="F24" s="121"/>
      <c r="G24" s="121"/>
      <c r="H24" s="121"/>
    </row>
    <row r="25" spans="1:8" ht="14">
      <c r="A25" s="126"/>
      <c r="B25" s="126"/>
      <c r="C25" s="126"/>
      <c r="D25" s="121"/>
      <c r="E25" s="121"/>
      <c r="F25" s="121"/>
      <c r="G25" s="121"/>
      <c r="H25" s="121"/>
    </row>
    <row r="26" spans="1:8" ht="14">
      <c r="A26" s="199" t="s">
        <v>800</v>
      </c>
      <c r="B26" s="199"/>
      <c r="C26" s="199"/>
      <c r="D26" s="199"/>
      <c r="E26" s="199"/>
      <c r="F26" s="199"/>
      <c r="G26" s="199"/>
      <c r="H26" s="199"/>
    </row>
    <row r="27" spans="1:8" ht="14">
      <c r="A27" s="127" t="s">
        <v>801</v>
      </c>
      <c r="B27" s="128" t="s">
        <v>778</v>
      </c>
      <c r="C27" s="129" t="s">
        <v>802</v>
      </c>
      <c r="D27" s="121"/>
      <c r="E27" s="121"/>
      <c r="F27" s="121"/>
      <c r="G27" s="121"/>
      <c r="H27" s="121"/>
    </row>
    <row r="28" spans="1:8" ht="25">
      <c r="A28" s="132">
        <v>1</v>
      </c>
      <c r="B28" s="131" t="s">
        <v>803</v>
      </c>
      <c r="C28" s="125" t="s">
        <v>804</v>
      </c>
      <c r="D28" s="121"/>
      <c r="E28" s="121"/>
      <c r="F28" s="121"/>
      <c r="G28" s="121"/>
      <c r="H28" s="121"/>
    </row>
    <row r="29" spans="1:8" ht="25">
      <c r="A29" s="132">
        <v>2</v>
      </c>
      <c r="B29" s="131" t="s">
        <v>805</v>
      </c>
      <c r="C29" s="125" t="s">
        <v>806</v>
      </c>
      <c r="D29" s="121"/>
      <c r="E29" s="121"/>
      <c r="F29" s="121"/>
      <c r="G29" s="121"/>
      <c r="H29" s="121"/>
    </row>
    <row r="30" spans="1:8" ht="25">
      <c r="A30" s="132">
        <v>3</v>
      </c>
      <c r="B30" s="131" t="s">
        <v>807</v>
      </c>
      <c r="C30" s="125" t="s">
        <v>808</v>
      </c>
      <c r="D30" s="121"/>
      <c r="E30" s="121"/>
      <c r="F30" s="121"/>
      <c r="G30" s="121"/>
      <c r="H30" s="121"/>
    </row>
    <row r="31" spans="1:8" ht="25">
      <c r="A31" s="132">
        <v>4</v>
      </c>
      <c r="B31" s="131" t="s">
        <v>809</v>
      </c>
      <c r="C31" s="125" t="s">
        <v>810</v>
      </c>
      <c r="D31" s="121"/>
      <c r="E31" s="121"/>
      <c r="F31" s="121"/>
      <c r="G31" s="121"/>
      <c r="H31" s="121"/>
    </row>
    <row r="32" spans="1:8" ht="25">
      <c r="A32" s="132">
        <v>5</v>
      </c>
      <c r="B32" s="131" t="s">
        <v>811</v>
      </c>
      <c r="C32" s="125" t="s">
        <v>812</v>
      </c>
      <c r="D32" s="121"/>
      <c r="E32" s="121"/>
      <c r="F32" s="121"/>
      <c r="G32" s="121"/>
      <c r="H32" s="121"/>
    </row>
    <row r="33" spans="1:8" ht="25">
      <c r="A33" s="132">
        <v>6</v>
      </c>
      <c r="B33" s="131" t="s">
        <v>813</v>
      </c>
      <c r="C33" s="125" t="s">
        <v>814</v>
      </c>
      <c r="D33" s="121"/>
      <c r="E33" s="121"/>
      <c r="F33" s="121"/>
      <c r="G33" s="121"/>
      <c r="H33" s="121"/>
    </row>
    <row r="34" spans="1:8" ht="25">
      <c r="A34" s="132">
        <v>7</v>
      </c>
      <c r="B34" s="131" t="s">
        <v>815</v>
      </c>
      <c r="C34" s="125" t="s">
        <v>816</v>
      </c>
      <c r="D34" s="121"/>
      <c r="E34" s="121"/>
      <c r="F34" s="121"/>
      <c r="G34" s="121"/>
      <c r="H34" s="121"/>
    </row>
    <row r="35" spans="1:8" ht="25">
      <c r="A35" s="132">
        <v>8</v>
      </c>
      <c r="B35" s="131" t="s">
        <v>817</v>
      </c>
      <c r="C35" s="125" t="s">
        <v>818</v>
      </c>
      <c r="D35" s="121"/>
      <c r="E35" s="121"/>
      <c r="F35" s="121"/>
      <c r="G35" s="121"/>
      <c r="H35" s="121"/>
    </row>
    <row r="36" spans="1:8" ht="37.5">
      <c r="A36" s="132">
        <v>9</v>
      </c>
      <c r="B36" s="131" t="s">
        <v>819</v>
      </c>
      <c r="C36" s="125" t="s">
        <v>820</v>
      </c>
      <c r="D36" s="121"/>
      <c r="E36" s="121"/>
      <c r="F36" s="121"/>
      <c r="G36" s="121"/>
      <c r="H36" s="121"/>
    </row>
    <row r="37" spans="1:8" ht="37.5">
      <c r="A37" s="132">
        <v>10</v>
      </c>
      <c r="B37" s="131" t="s">
        <v>821</v>
      </c>
      <c r="C37" s="125" t="s">
        <v>822</v>
      </c>
      <c r="D37" s="121"/>
      <c r="E37" s="121"/>
      <c r="F37" s="121"/>
      <c r="G37" s="121"/>
      <c r="H37" s="121"/>
    </row>
    <row r="38" spans="1:8" ht="25">
      <c r="A38" s="132">
        <v>11</v>
      </c>
      <c r="B38" s="131" t="s">
        <v>823</v>
      </c>
      <c r="C38" s="125" t="s">
        <v>824</v>
      </c>
      <c r="D38" s="121"/>
      <c r="E38" s="121"/>
      <c r="F38" s="121"/>
      <c r="G38" s="121"/>
      <c r="H38" s="121"/>
    </row>
    <row r="39" spans="1:8" ht="25">
      <c r="A39" s="132">
        <v>12</v>
      </c>
      <c r="B39" s="131" t="s">
        <v>825</v>
      </c>
      <c r="C39" s="125" t="s">
        <v>826</v>
      </c>
      <c r="D39" s="121"/>
      <c r="E39" s="121"/>
      <c r="F39" s="121"/>
      <c r="G39" s="121"/>
      <c r="H39" s="121"/>
    </row>
    <row r="40" spans="1:8" ht="37.5">
      <c r="A40" s="132">
        <v>13</v>
      </c>
      <c r="B40" s="131" t="s">
        <v>827</v>
      </c>
      <c r="C40" s="125" t="s">
        <v>828</v>
      </c>
      <c r="D40" s="121"/>
      <c r="E40" s="121"/>
      <c r="F40" s="121"/>
      <c r="G40" s="121"/>
      <c r="H40" s="121"/>
    </row>
    <row r="41" spans="1:8" ht="25">
      <c r="A41" s="132">
        <v>14</v>
      </c>
      <c r="B41" s="131" t="s">
        <v>829</v>
      </c>
      <c r="C41" s="125" t="s">
        <v>830</v>
      </c>
      <c r="D41" s="121"/>
      <c r="E41" s="121"/>
      <c r="F41" s="121"/>
      <c r="G41" s="121"/>
      <c r="H41" s="121"/>
    </row>
    <row r="42" spans="1:8" ht="14">
      <c r="A42" s="121"/>
      <c r="B42" s="121"/>
      <c r="C42" s="121"/>
      <c r="D42" s="121"/>
      <c r="E42" s="121"/>
      <c r="F42" s="121"/>
      <c r="G42" s="121"/>
      <c r="H42" s="121"/>
    </row>
    <row r="43" spans="1:8" ht="14">
      <c r="A43" s="200" t="s">
        <v>831</v>
      </c>
      <c r="B43" s="200"/>
      <c r="C43" s="200"/>
      <c r="D43" s="200"/>
      <c r="E43" s="200"/>
      <c r="F43" s="200"/>
      <c r="G43" s="200"/>
      <c r="H43" s="200"/>
    </row>
    <row r="44" spans="1:8" ht="13.4" customHeight="1">
      <c r="A44" s="195" t="s">
        <v>832</v>
      </c>
      <c r="B44" s="195"/>
      <c r="C44" s="195"/>
      <c r="D44" s="195"/>
      <c r="E44" s="195"/>
      <c r="F44" s="195"/>
      <c r="G44" s="195"/>
      <c r="H44" s="195"/>
    </row>
    <row r="45" spans="1:8" ht="13.4" customHeight="1">
      <c r="A45" s="196" t="s">
        <v>833</v>
      </c>
      <c r="B45" s="196"/>
      <c r="C45" s="196"/>
      <c r="D45" s="196"/>
      <c r="E45" s="196"/>
      <c r="F45" s="196"/>
      <c r="G45" s="196"/>
      <c r="H45" s="196"/>
    </row>
    <row r="46" spans="1:8" ht="13.4" customHeight="1">
      <c r="A46" s="196" t="s">
        <v>834</v>
      </c>
      <c r="B46" s="196"/>
      <c r="C46" s="196"/>
      <c r="D46" s="196"/>
      <c r="E46" s="196"/>
      <c r="F46" s="196"/>
      <c r="G46" s="196"/>
      <c r="H46" s="196"/>
    </row>
    <row r="47" spans="1:8" ht="13.4" customHeight="1">
      <c r="A47" s="196" t="s">
        <v>835</v>
      </c>
      <c r="B47" s="196"/>
      <c r="C47" s="196"/>
      <c r="D47" s="196"/>
      <c r="E47" s="196"/>
      <c r="F47" s="196"/>
      <c r="G47" s="196"/>
      <c r="H47" s="196"/>
    </row>
    <row r="48" spans="1:8" ht="13.4" customHeight="1">
      <c r="A48" s="196" t="s">
        <v>836</v>
      </c>
      <c r="B48" s="196"/>
      <c r="C48" s="196"/>
      <c r="D48" s="196"/>
      <c r="E48" s="196"/>
      <c r="F48" s="196"/>
      <c r="G48" s="196"/>
      <c r="H48" s="196"/>
    </row>
    <row r="49" spans="1:8" ht="13.4" customHeight="1">
      <c r="A49" s="193" t="s">
        <v>837</v>
      </c>
      <c r="B49" s="193"/>
      <c r="C49" s="193"/>
      <c r="D49" s="193"/>
      <c r="E49" s="193"/>
      <c r="F49" s="193"/>
      <c r="G49" s="193"/>
      <c r="H49" s="193"/>
    </row>
    <row r="50" spans="1:8" ht="14">
      <c r="A50" s="133" t="s">
        <v>838</v>
      </c>
      <c r="B50" s="133"/>
      <c r="C50" s="133"/>
      <c r="D50" s="133"/>
      <c r="E50" s="133"/>
      <c r="F50" s="133"/>
      <c r="G50" s="133"/>
      <c r="H50" s="133"/>
    </row>
    <row r="51" spans="1:8" ht="13.75" customHeight="1">
      <c r="A51" s="194" t="s">
        <v>839</v>
      </c>
      <c r="B51" s="194"/>
      <c r="C51" s="194"/>
      <c r="D51" s="194"/>
      <c r="E51" s="194"/>
      <c r="F51" s="194"/>
      <c r="G51" s="194"/>
      <c r="H51" s="194"/>
    </row>
    <row r="52" spans="1:8" ht="13.75" customHeight="1">
      <c r="A52" s="194" t="s">
        <v>840</v>
      </c>
      <c r="B52" s="194"/>
      <c r="C52" s="194"/>
      <c r="D52" s="194"/>
      <c r="E52" s="194"/>
      <c r="F52" s="194"/>
      <c r="G52" s="194"/>
      <c r="H52" s="194"/>
    </row>
    <row r="53" spans="1:8" ht="13.75" customHeight="1">
      <c r="A53" s="194" t="s">
        <v>841</v>
      </c>
      <c r="B53" s="194"/>
      <c r="C53" s="194"/>
      <c r="D53" s="194"/>
      <c r="E53" s="194"/>
      <c r="F53" s="194"/>
      <c r="G53" s="194"/>
      <c r="H53" s="194"/>
    </row>
    <row r="54" spans="1:8" ht="13.75" customHeight="1">
      <c r="A54" s="194" t="s">
        <v>842</v>
      </c>
      <c r="B54" s="194"/>
      <c r="C54" s="194"/>
      <c r="D54" s="194"/>
      <c r="E54" s="194"/>
      <c r="F54" s="194"/>
      <c r="G54" s="194"/>
      <c r="H54" s="194"/>
    </row>
    <row r="56" spans="1:8" ht="46" customHeight="1">
      <c r="A56" s="134" t="s">
        <v>843</v>
      </c>
      <c r="B56" s="192"/>
      <c r="C56" s="192"/>
      <c r="D56" s="192"/>
      <c r="E56" s="192"/>
      <c r="F56" s="192"/>
      <c r="G56" s="192"/>
      <c r="H56" s="192"/>
    </row>
    <row r="57" spans="1:8" ht="46" customHeight="1">
      <c r="A57" s="135" t="s">
        <v>844</v>
      </c>
      <c r="B57" s="191" t="s">
        <v>845</v>
      </c>
      <c r="C57" s="191"/>
      <c r="D57" s="191"/>
      <c r="E57" s="191"/>
      <c r="F57" s="191"/>
      <c r="G57" s="191"/>
      <c r="H57" s="191"/>
    </row>
    <row r="58" spans="1:8" ht="46" customHeight="1">
      <c r="A58" s="135" t="s">
        <v>846</v>
      </c>
      <c r="B58" s="191" t="s">
        <v>847</v>
      </c>
      <c r="C58" s="191"/>
      <c r="D58" s="191"/>
      <c r="E58" s="191"/>
      <c r="F58" s="191"/>
      <c r="G58" s="191"/>
      <c r="H58" s="191"/>
    </row>
    <row r="59" spans="1:8" ht="46" customHeight="1">
      <c r="A59" s="135" t="s">
        <v>848</v>
      </c>
      <c r="B59" s="191" t="s">
        <v>849</v>
      </c>
      <c r="C59" s="191"/>
      <c r="D59" s="191"/>
      <c r="E59" s="191"/>
      <c r="F59" s="191"/>
      <c r="G59" s="191"/>
      <c r="H59" s="191"/>
    </row>
    <row r="60" spans="1:8" ht="46" customHeight="1">
      <c r="A60" s="135" t="s">
        <v>850</v>
      </c>
      <c r="B60" s="191" t="s">
        <v>851</v>
      </c>
      <c r="C60" s="191"/>
      <c r="D60" s="191"/>
      <c r="E60" s="191"/>
      <c r="F60" s="191"/>
      <c r="G60" s="191"/>
      <c r="H60" s="191"/>
    </row>
    <row r="61" spans="1:8" ht="46" customHeight="1">
      <c r="A61" s="135" t="s">
        <v>852</v>
      </c>
      <c r="B61" s="191" t="s">
        <v>853</v>
      </c>
      <c r="C61" s="191"/>
      <c r="D61" s="191"/>
      <c r="E61" s="191"/>
      <c r="F61" s="191"/>
      <c r="G61" s="191"/>
      <c r="H61" s="191"/>
    </row>
    <row r="62" spans="1:8" ht="46" customHeight="1">
      <c r="A62" s="135" t="s">
        <v>854</v>
      </c>
      <c r="B62" s="191" t="s">
        <v>855</v>
      </c>
      <c r="C62" s="191"/>
      <c r="D62" s="191"/>
      <c r="E62" s="191"/>
      <c r="F62" s="191"/>
      <c r="G62" s="191"/>
      <c r="H62" s="191"/>
    </row>
    <row r="63" spans="1:8" ht="46" customHeight="1">
      <c r="A63" s="135" t="s">
        <v>856</v>
      </c>
      <c r="B63" s="191" t="s">
        <v>857</v>
      </c>
      <c r="C63" s="191"/>
      <c r="D63" s="191"/>
      <c r="E63" s="191"/>
      <c r="F63" s="191"/>
      <c r="G63" s="191"/>
      <c r="H63" s="191"/>
    </row>
  </sheetData>
  <mergeCells count="28">
    <mergeCell ref="A1:H1"/>
    <mergeCell ref="A2:H2"/>
    <mergeCell ref="A4:H4"/>
    <mergeCell ref="D5:H5"/>
    <mergeCell ref="D6:H7"/>
    <mergeCell ref="D9:H9"/>
    <mergeCell ref="D10:H14"/>
    <mergeCell ref="A16:H16"/>
    <mergeCell ref="A26:H26"/>
    <mergeCell ref="A43:H43"/>
    <mergeCell ref="A44:H44"/>
    <mergeCell ref="A45:H45"/>
    <mergeCell ref="A46:H46"/>
    <mergeCell ref="A47:H47"/>
    <mergeCell ref="A48:H48"/>
    <mergeCell ref="A49:H49"/>
    <mergeCell ref="A51:H51"/>
    <mergeCell ref="A52:H52"/>
    <mergeCell ref="A53:H53"/>
    <mergeCell ref="A54:H54"/>
    <mergeCell ref="B61:H61"/>
    <mergeCell ref="B62:H62"/>
    <mergeCell ref="B63:H63"/>
    <mergeCell ref="B56:H56"/>
    <mergeCell ref="B57:H57"/>
    <mergeCell ref="B58:H58"/>
    <mergeCell ref="B59:H59"/>
    <mergeCell ref="B60:H60"/>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START HÄR</vt:lpstr>
      <vt:lpstr>Publicering</vt:lpstr>
      <vt:lpstr>INFO</vt:lpstr>
      <vt:lpstr>CAFÉPASS</vt:lpstr>
      <vt:lpstr>MATCHER</vt:lpstr>
      <vt:lpstr>BEMANNINGSPLAN</vt:lpstr>
      <vt:lpstr>LAGÖVERSIKT</vt:lpstr>
      <vt:lpstr>UPPDATERINGSKONTROLL</vt:lpstr>
      <vt:lpstr>KLASSNING</vt:lpstr>
      <vt:lpstr>REGLER</vt:lpstr>
      <vt:lpstr>IMPORT PROFIXIO</vt:lpstr>
      <vt:lpstr>OM FILEN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Wiebke Janke</cp:lastModifiedBy>
  <cp:revision>0</cp:revision>
  <dcterms:created xsi:type="dcterms:W3CDTF">2026-09-21T06:47:56Z</dcterms:created>
  <dcterms:modified xsi:type="dcterms:W3CDTF">2026-09-21T06:49:46Z</dcterms:modified>
  <dc:language>en-US</dc:language>
</cp:coreProperties>
</file>